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xml"/>
  <Override PartName="/xl/comments5.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5.xml" ContentType="application/vnd.openxmlformats-officedocument.drawing+xml"/>
  <Override PartName="/xl/comments6.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6.xml" ContentType="application/vnd.openxmlformats-officedocument.drawing+xml"/>
  <Override PartName="/xl/comments7.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7.xml" ContentType="application/vnd.openxmlformats-officedocument.drawing+xml"/>
  <Override PartName="/xl/comments8.xml" ContentType="application/vnd.openxmlformats-officedocument.spreadsheetml.comments+xml"/>
  <Override PartName="/xl/charts/chart40.xml" ContentType="application/vnd.openxmlformats-officedocument.drawingml.chart+xml"/>
  <Override PartName="/xl/charts/chart41.xml" ContentType="application/vnd.openxmlformats-officedocument.drawingml.chart+xml"/>
  <Override PartName="/xl/drawings/drawing8.xml" ContentType="application/vnd.openxmlformats-officedocument.drawing+xml"/>
  <Override PartName="/xl/comments9.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9.xml" ContentType="application/vnd.openxmlformats-officedocument.drawing+xml"/>
  <Override PartName="/xl/comments10.xml" ContentType="application/vnd.openxmlformats-officedocument.spreadsheetml.comments+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0.xml" ContentType="application/vnd.openxmlformats-officedocument.drawing+xml"/>
  <Override PartName="/xl/comments11.xml" ContentType="application/vnd.openxmlformats-officedocument.spreadsheetml.comments+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1.xml" ContentType="application/vnd.openxmlformats-officedocument.drawing+xml"/>
  <Override PartName="/xl/comments12.xml" ContentType="application/vnd.openxmlformats-officedocument.spreadsheetml.comments+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2.xml" ContentType="application/vnd.openxmlformats-officedocument.drawing+xml"/>
  <Override PartName="/xl/comments13.xml" ContentType="application/vnd.openxmlformats-officedocument.spreadsheetml.comments+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13.xml" ContentType="application/vnd.openxmlformats-officedocument.drawing+xml"/>
  <Override PartName="/xl/comments14.xml" ContentType="application/vnd.openxmlformats-officedocument.spreadsheetml.comments+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4.xml" ContentType="application/vnd.openxmlformats-officedocument.drawing+xml"/>
  <Override PartName="/xl/comments15.xml" ContentType="application/vnd.openxmlformats-officedocument.spreadsheetml.comments+xml"/>
  <Override PartName="/xl/charts/chart82.xml" ContentType="application/vnd.openxmlformats-officedocument.drawingml.chart+xml"/>
  <Override PartName="/xl/charts/chart83.xml" ContentType="application/vnd.openxmlformats-officedocument.drawingml.chart+xml"/>
  <Override PartName="/xl/drawings/drawing15.xml" ContentType="application/vnd.openxmlformats-officedocument.drawing+xml"/>
  <Override PartName="/xl/comments16.xml" ContentType="application/vnd.openxmlformats-officedocument.spreadsheetml.comments+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16.xml" ContentType="application/vnd.openxmlformats-officedocument.drawing+xml"/>
  <Override PartName="/xl/comments17.xml" ContentType="application/vnd.openxmlformats-officedocument.spreadsheetml.comments+xml"/>
  <Override PartName="/xl/charts/chart89.xml" ContentType="application/vnd.openxmlformats-officedocument.drawingml.chart+xml"/>
  <Override PartName="/xl/charts/chart90.xml" ContentType="application/vnd.openxmlformats-officedocument.drawingml.chart+xml"/>
  <Override PartName="/xl/drawings/drawing17.xml" ContentType="application/vnd.openxmlformats-officedocument.drawing+xml"/>
  <Override PartName="/xl/comments18.xml" ContentType="application/vnd.openxmlformats-officedocument.spreadsheetml.comments+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15" yWindow="10125" windowWidth="28830" windowHeight="5100" activeTab="1"/>
  </bookViews>
  <sheets>
    <sheet name="IGAP" sheetId="46" r:id="rId1"/>
    <sheet name="Phoenix_dactylifera_Rochdi_v201" sheetId="11" r:id="rId2"/>
    <sheet name="Stipe=phyllotaxie&amp;croissance" sheetId="78" r:id="rId3"/>
    <sheet name="Nervure=pétiole&amp;rachis" sheetId="80" r:id="rId4"/>
    <sheet name="Feuilles=description générale" sheetId="83" state="hidden" r:id="rId5"/>
    <sheet name="Feuilles=description rejets" sheetId="85" r:id="rId6"/>
    <sheet name="Folioles=disposition&amp;groupes" sheetId="84" r:id="rId7"/>
    <sheet name="Sections rachis &amp; L pennes" sheetId="82" r:id="rId8"/>
    <sheet name="Longueurs pennes (1-1)" sheetId="81" state="hidden" r:id="rId9"/>
    <sheet name="Ouvertures pennes" sheetId="79" r:id="rId10"/>
    <sheet name="Ouvertures pennes (1-1)" sheetId="87" state="hidden" r:id="rId11"/>
    <sheet name="Ouvertures pennes (2-1)" sheetId="88" state="hidden" r:id="rId12"/>
    <sheet name="Ouvertures pennes (MAX)" sheetId="89" state="hidden" r:id="rId13"/>
    <sheet name="Largeurs pennes" sheetId="94" r:id="rId14"/>
    <sheet name="Hauteurs pennes (0-1)" sheetId="95" state="hidden" r:id="rId15"/>
    <sheet name="Hauteurs pennes (1-1)" sheetId="96" state="hidden" r:id="rId16"/>
    <sheet name="Hauteurs pennes (2-1)" sheetId="97" state="hidden" r:id="rId17"/>
    <sheet name="Hauteurs pennes (MAX)" sheetId="90" state="hidden" r:id="rId18"/>
    <sheet name="Angles des pennes" sheetId="91" r:id="rId19"/>
    <sheet name="Angle horizontal pennes (1-1)" sheetId="92" state="hidden" r:id="rId20"/>
    <sheet name="Angle rotation pennes (1-1)" sheetId="93" state="hidden" r:id="rId21"/>
    <sheet name="Summary" sheetId="76" r:id="rId22"/>
    <sheet name="PLANT" sheetId="65" r:id="rId23"/>
    <sheet name="STEM_Geom" sheetId="49" r:id="rId24"/>
    <sheet name="SPEAR" sheetId="51" r:id="rId25"/>
    <sheet name="FROND_Prod" sheetId="52" r:id="rId26"/>
    <sheet name="FROND_NERVURE_Geom" sheetId="70" r:id="rId27"/>
    <sheet name="PINNAE_Prod" sheetId="54" r:id="rId28"/>
    <sheet name="PINNAE_Geom" sheetId="55" r:id="rId29"/>
    <sheet name="INFLO_Prod" sheetId="56" r:id="rId30"/>
    <sheet name="STALK_Geom" sheetId="71" r:id="rId31"/>
    <sheet name="BRACT_Prod" sheetId="57" r:id="rId32"/>
    <sheet name="BRACT_Geom" sheetId="72" r:id="rId33"/>
    <sheet name="SPIKELET_Prod" sheetId="58" r:id="rId34"/>
    <sheet name="SPIKELET_Geom" sheetId="73" r:id="rId35"/>
    <sheet name="FEMALE_FLOWER_Prod" sheetId="61" r:id="rId36"/>
    <sheet name="FEMALE_FLOWER_Geom" sheetId="75" r:id="rId37"/>
    <sheet name="MALE_FLOWER_Prod" sheetId="59" r:id="rId38"/>
    <sheet name="MALE_FLOWER_Geom" sheetId="74" r:id="rId39"/>
    <sheet name="MIXED_FLOWER_Prod" sheetId="63" r:id="rId40"/>
  </sheets>
  <externalReferences>
    <externalReference r:id="rId41"/>
    <externalReference r:id="rId42"/>
    <externalReference r:id="rId43"/>
  </externalReferences>
  <definedNames>
    <definedName name="IOTA" localSheetId="8">'Longueurs pennes (1-1)'!$B$1</definedName>
    <definedName name="_xlnm.Print_Area" localSheetId="31">BRACT_Prod!$C$4:$E$37</definedName>
    <definedName name="_xlnm.Print_Area" localSheetId="35">FEMALE_FLOWER_Prod!$C$3:$E$37</definedName>
    <definedName name="_xlnm.Print_Area" localSheetId="37">MALE_FLOWER_Prod!$C$3:$E$37</definedName>
    <definedName name="_xlnm.Print_Area" localSheetId="39">MIXED_FLOWER_Prod!$G$4:$I$37</definedName>
    <definedName name="_xlnm.Print_Area" localSheetId="1">Phoenix_dactylifera_Rochdi_v201!$A$2:$AN$306</definedName>
    <definedName name="_xlnm.Print_Area" localSheetId="24">SPEAR!$A$1:$Q$48</definedName>
    <definedName name="_xlnm.Print_Area" localSheetId="33">SPIKELET_Prod!$I$2:$J$37</definedName>
  </definedNames>
  <calcPr calcId="145621"/>
</workbook>
</file>

<file path=xl/calcChain.xml><?xml version="1.0" encoding="utf-8"?>
<calcChain xmlns="http://schemas.openxmlformats.org/spreadsheetml/2006/main">
  <c r="L15" i="61" l="1"/>
  <c r="S14" i="61"/>
  <c r="R14" i="61"/>
  <c r="L14" i="61"/>
  <c r="S13" i="61"/>
  <c r="R13" i="61"/>
  <c r="L13" i="61"/>
  <c r="N16" i="58"/>
  <c r="N15" i="58"/>
  <c r="N14" i="58"/>
  <c r="N13" i="58"/>
  <c r="W10" i="52" l="1"/>
  <c r="X10" i="52"/>
  <c r="Z10" i="52"/>
  <c r="I15" i="54" l="1"/>
  <c r="I14" i="54"/>
  <c r="D13" i="97" l="1"/>
  <c r="D13" i="96"/>
  <c r="CF13" i="84" l="1"/>
  <c r="BH30" i="84" l="1"/>
  <c r="BH13" i="84"/>
  <c r="T25" i="92" l="1"/>
  <c r="T24" i="92"/>
  <c r="T23" i="92"/>
  <c r="T22" i="92"/>
  <c r="T21" i="92"/>
  <c r="T20" i="92"/>
  <c r="T19" i="92"/>
  <c r="T18" i="92"/>
  <c r="T17" i="92"/>
  <c r="T16" i="92"/>
  <c r="O25" i="92"/>
  <c r="O24" i="92"/>
  <c r="O23" i="92"/>
  <c r="O22" i="92"/>
  <c r="O21" i="92"/>
  <c r="O20" i="92"/>
  <c r="O19" i="92"/>
  <c r="O18" i="92"/>
  <c r="O17" i="92"/>
  <c r="O16" i="92"/>
  <c r="H25" i="92"/>
  <c r="H24" i="92"/>
  <c r="H23" i="92"/>
  <c r="H22" i="92"/>
  <c r="H21" i="92"/>
  <c r="H20" i="92"/>
  <c r="H19" i="92"/>
  <c r="H18" i="92"/>
  <c r="H17" i="92"/>
  <c r="H16" i="92"/>
  <c r="C25" i="92"/>
  <c r="C24" i="92"/>
  <c r="C23" i="92"/>
  <c r="C22" i="92"/>
  <c r="C21" i="92"/>
  <c r="C20" i="92"/>
  <c r="C19" i="92"/>
  <c r="C18" i="92"/>
  <c r="C17" i="92"/>
  <c r="C16" i="92"/>
  <c r="T25" i="90"/>
  <c r="T24" i="90"/>
  <c r="T23" i="90"/>
  <c r="T22" i="90"/>
  <c r="T21" i="90"/>
  <c r="T20" i="90"/>
  <c r="T19" i="90"/>
  <c r="T18" i="90"/>
  <c r="T17" i="90"/>
  <c r="T16" i="90"/>
  <c r="T25" i="97"/>
  <c r="T24" i="97"/>
  <c r="T23" i="97"/>
  <c r="T22" i="97"/>
  <c r="T21" i="97"/>
  <c r="T20" i="97"/>
  <c r="T19" i="97"/>
  <c r="T18" i="97"/>
  <c r="T17" i="97"/>
  <c r="T16" i="97"/>
  <c r="T25" i="96"/>
  <c r="T24" i="96"/>
  <c r="T23" i="96"/>
  <c r="T22" i="96"/>
  <c r="T21" i="96"/>
  <c r="T20" i="96"/>
  <c r="T19" i="96"/>
  <c r="T18" i="96"/>
  <c r="T17" i="96"/>
  <c r="T16" i="96"/>
  <c r="T25" i="95"/>
  <c r="T24" i="95"/>
  <c r="T23" i="95"/>
  <c r="T22" i="95"/>
  <c r="T21" i="95"/>
  <c r="T20" i="95"/>
  <c r="T19" i="95"/>
  <c r="T18" i="95"/>
  <c r="T17" i="95"/>
  <c r="T16" i="95"/>
  <c r="O25" i="90"/>
  <c r="O24" i="90"/>
  <c r="O23" i="90"/>
  <c r="O22" i="90"/>
  <c r="O21" i="90"/>
  <c r="O20" i="90"/>
  <c r="O19" i="90"/>
  <c r="O18" i="90"/>
  <c r="O17" i="90"/>
  <c r="O16" i="90"/>
  <c r="O25" i="97"/>
  <c r="O24" i="97"/>
  <c r="O23" i="97"/>
  <c r="O22" i="97"/>
  <c r="O21" i="97"/>
  <c r="O20" i="97"/>
  <c r="O19" i="97"/>
  <c r="O18" i="97"/>
  <c r="O17" i="97"/>
  <c r="O16" i="97"/>
  <c r="O25" i="96"/>
  <c r="O24" i="96"/>
  <c r="O23" i="96"/>
  <c r="O22" i="96"/>
  <c r="O21" i="96"/>
  <c r="O20" i="96"/>
  <c r="O19" i="96"/>
  <c r="O18" i="96"/>
  <c r="O17" i="96"/>
  <c r="O16" i="96"/>
  <c r="O25" i="95"/>
  <c r="O24" i="95"/>
  <c r="O23" i="95"/>
  <c r="O22" i="95"/>
  <c r="O21" i="95"/>
  <c r="O20" i="95"/>
  <c r="O19" i="95"/>
  <c r="O18" i="95"/>
  <c r="O17" i="95"/>
  <c r="O16" i="95"/>
  <c r="H25" i="90"/>
  <c r="H24" i="90"/>
  <c r="H23" i="90"/>
  <c r="H22" i="90"/>
  <c r="H21" i="90"/>
  <c r="H20" i="90"/>
  <c r="H19" i="90"/>
  <c r="H18" i="90"/>
  <c r="H17" i="90"/>
  <c r="H16" i="90"/>
  <c r="H25" i="97"/>
  <c r="H24" i="97"/>
  <c r="H23" i="97"/>
  <c r="H22" i="97"/>
  <c r="H21" i="97"/>
  <c r="H20" i="97"/>
  <c r="H19" i="97"/>
  <c r="H18" i="97"/>
  <c r="H17" i="97"/>
  <c r="H16" i="97"/>
  <c r="H25" i="96"/>
  <c r="H24" i="96"/>
  <c r="H23" i="96"/>
  <c r="H22" i="96"/>
  <c r="H21" i="96"/>
  <c r="H20" i="96"/>
  <c r="H19" i="96"/>
  <c r="H18" i="96"/>
  <c r="H17" i="96"/>
  <c r="H16" i="96"/>
  <c r="H25" i="95"/>
  <c r="H24" i="95"/>
  <c r="H23" i="95"/>
  <c r="H22" i="95"/>
  <c r="H21" i="95"/>
  <c r="H20" i="95"/>
  <c r="H19" i="95"/>
  <c r="H18" i="95"/>
  <c r="H17" i="95"/>
  <c r="H16" i="95"/>
  <c r="C25" i="90"/>
  <c r="C24" i="90"/>
  <c r="C23" i="90"/>
  <c r="C22" i="90"/>
  <c r="C21" i="90"/>
  <c r="C20" i="90"/>
  <c r="C19" i="90"/>
  <c r="C18" i="90"/>
  <c r="C17" i="90"/>
  <c r="C16" i="90"/>
  <c r="C25" i="97"/>
  <c r="C24" i="97"/>
  <c r="C23" i="97"/>
  <c r="C22" i="97"/>
  <c r="C21" i="97"/>
  <c r="C20" i="97"/>
  <c r="C19" i="97"/>
  <c r="C18" i="97"/>
  <c r="C17" i="97"/>
  <c r="C16" i="97"/>
  <c r="C25" i="96"/>
  <c r="C24" i="96"/>
  <c r="C23" i="96"/>
  <c r="C22" i="96"/>
  <c r="C21" i="96"/>
  <c r="C20" i="96"/>
  <c r="C19" i="96"/>
  <c r="C18" i="96"/>
  <c r="C17" i="96"/>
  <c r="C16" i="96"/>
  <c r="C25" i="95"/>
  <c r="C24" i="95"/>
  <c r="C23" i="95"/>
  <c r="C22" i="95"/>
  <c r="C21" i="95"/>
  <c r="C20" i="95"/>
  <c r="C19" i="95"/>
  <c r="C18" i="95"/>
  <c r="C17" i="95"/>
  <c r="C16" i="95"/>
  <c r="T25" i="89"/>
  <c r="T24" i="89"/>
  <c r="T23" i="89"/>
  <c r="T22" i="89"/>
  <c r="T21" i="89"/>
  <c r="T20" i="89"/>
  <c r="T19" i="89"/>
  <c r="T18" i="89"/>
  <c r="T17" i="89"/>
  <c r="T16" i="89"/>
  <c r="O25" i="89"/>
  <c r="O24" i="89"/>
  <c r="O23" i="89"/>
  <c r="O22" i="89"/>
  <c r="O21" i="89"/>
  <c r="O20" i="89"/>
  <c r="O19" i="89"/>
  <c r="O18" i="89"/>
  <c r="O17" i="89"/>
  <c r="O16" i="89"/>
  <c r="H25" i="89"/>
  <c r="H24" i="89"/>
  <c r="H23" i="89"/>
  <c r="H22" i="89"/>
  <c r="H21" i="89"/>
  <c r="H20" i="89"/>
  <c r="H19" i="89"/>
  <c r="H18" i="89"/>
  <c r="H17" i="89"/>
  <c r="H16" i="89"/>
  <c r="C25" i="89"/>
  <c r="C24" i="89"/>
  <c r="C23" i="89"/>
  <c r="C22" i="89"/>
  <c r="C21" i="89"/>
  <c r="C20" i="89"/>
  <c r="C19" i="89"/>
  <c r="C18" i="89"/>
  <c r="C17" i="89"/>
  <c r="C16" i="89"/>
  <c r="T25" i="88"/>
  <c r="T24" i="88"/>
  <c r="T23" i="88"/>
  <c r="T22" i="88"/>
  <c r="T21" i="88"/>
  <c r="T20" i="88"/>
  <c r="T19" i="88"/>
  <c r="T18" i="88"/>
  <c r="T17" i="88"/>
  <c r="T16" i="88"/>
  <c r="O25" i="88"/>
  <c r="O24" i="88"/>
  <c r="O23" i="88"/>
  <c r="O22" i="88"/>
  <c r="O21" i="88"/>
  <c r="O20" i="88"/>
  <c r="O19" i="88"/>
  <c r="O18" i="88"/>
  <c r="O17" i="88"/>
  <c r="O16" i="88"/>
  <c r="H25" i="88"/>
  <c r="H24" i="88"/>
  <c r="H23" i="88"/>
  <c r="H22" i="88"/>
  <c r="H21" i="88"/>
  <c r="H20" i="88"/>
  <c r="H19" i="88"/>
  <c r="H18" i="88"/>
  <c r="H17" i="88"/>
  <c r="C25" i="88"/>
  <c r="C24" i="88"/>
  <c r="C23" i="88"/>
  <c r="C22" i="88"/>
  <c r="C21" i="88"/>
  <c r="C20" i="88"/>
  <c r="C19" i="88"/>
  <c r="C18" i="88"/>
  <c r="C17" i="88"/>
  <c r="C16" i="88"/>
  <c r="T25" i="87"/>
  <c r="T24" i="87"/>
  <c r="T23" i="87"/>
  <c r="T22" i="87"/>
  <c r="T21" i="87"/>
  <c r="T20" i="87"/>
  <c r="T19" i="87"/>
  <c r="T18" i="87"/>
  <c r="T17" i="87"/>
  <c r="T16" i="87"/>
  <c r="O25" i="87"/>
  <c r="O24" i="87"/>
  <c r="O23" i="87"/>
  <c r="O22" i="87"/>
  <c r="O21" i="87"/>
  <c r="O20" i="87"/>
  <c r="O19" i="87"/>
  <c r="O18" i="87"/>
  <c r="O17" i="87"/>
  <c r="O16" i="87"/>
  <c r="H25" i="87"/>
  <c r="H24" i="87"/>
  <c r="H23" i="87"/>
  <c r="H22" i="87"/>
  <c r="H21" i="87"/>
  <c r="H20" i="87"/>
  <c r="H19" i="87"/>
  <c r="H18" i="87"/>
  <c r="H17" i="87"/>
  <c r="D3" i="78"/>
  <c r="H3" i="78"/>
  <c r="AT170" i="84" l="1"/>
  <c r="AT13" i="84"/>
  <c r="AT14" i="84" s="1"/>
  <c r="AT15" i="84" s="1"/>
  <c r="AT16" i="84" s="1"/>
  <c r="AT17" i="84"/>
  <c r="AT18" i="84" s="1"/>
  <c r="AT19" i="84"/>
  <c r="AT20" i="84" s="1"/>
  <c r="AT21" i="84"/>
  <c r="AT22" i="84" s="1"/>
  <c r="AT23" i="84"/>
  <c r="AT24" i="84"/>
  <c r="AT25" i="84" s="1"/>
  <c r="AT26" i="84" s="1"/>
  <c r="AT27" i="84" s="1"/>
  <c r="AT28" i="84" s="1"/>
  <c r="AT29" i="84" s="1"/>
  <c r="AT30" i="84" s="1"/>
  <c r="AT31" i="84" s="1"/>
  <c r="AT32" i="84"/>
  <c r="AT33" i="84"/>
  <c r="AT34" i="84" s="1"/>
  <c r="AT35" i="84" s="1"/>
  <c r="AT36" i="84" s="1"/>
  <c r="AT37" i="84" s="1"/>
  <c r="AT38" i="84" s="1"/>
  <c r="AT39" i="84" s="1"/>
  <c r="AT40" i="84" s="1"/>
  <c r="AT41" i="84" s="1"/>
  <c r="AT42" i="84" s="1"/>
  <c r="AT43" i="84" s="1"/>
  <c r="AT44" i="84" s="1"/>
  <c r="AT45" i="84"/>
  <c r="AT46" i="84" s="1"/>
  <c r="AT47" i="84" s="1"/>
  <c r="AT48" i="84" s="1"/>
  <c r="AT49" i="84" s="1"/>
  <c r="AT50" i="84" s="1"/>
  <c r="AT51" i="84" s="1"/>
  <c r="AT52" i="84" s="1"/>
  <c r="AT53" i="84" s="1"/>
  <c r="AT54" i="84"/>
  <c r="AT55" i="84"/>
  <c r="AT56" i="84" s="1"/>
  <c r="AT57" i="84" s="1"/>
  <c r="AT58" i="84" s="1"/>
  <c r="AT59" i="84" s="1"/>
  <c r="AT60" i="84" s="1"/>
  <c r="AT61" i="84"/>
  <c r="AT62" i="84" s="1"/>
  <c r="AT63" i="84" s="1"/>
  <c r="AT64" i="84" s="1"/>
  <c r="AT65" i="84" s="1"/>
  <c r="AT66" i="84" s="1"/>
  <c r="AT67" i="84" s="1"/>
  <c r="AT68" i="84" s="1"/>
  <c r="AT69" i="84"/>
  <c r="AT70" i="84" s="1"/>
  <c r="AT71" i="84"/>
  <c r="AT72" i="84"/>
  <c r="AT73" i="84"/>
  <c r="AT74" i="84" s="1"/>
  <c r="AT75" i="84"/>
  <c r="AT76" i="84" s="1"/>
  <c r="AT77" i="84" s="1"/>
  <c r="AT78" i="84" s="1"/>
  <c r="AT79" i="84" s="1"/>
  <c r="AT80" i="84" s="1"/>
  <c r="AT81" i="84"/>
  <c r="AT82" i="84"/>
  <c r="AT83" i="84" s="1"/>
  <c r="AT84" i="84"/>
  <c r="AT85" i="84" s="1"/>
  <c r="AT86" i="84" s="1"/>
  <c r="AT87" i="84"/>
  <c r="AT88" i="84"/>
  <c r="AT89" i="84" s="1"/>
  <c r="AT90" i="84"/>
  <c r="AT91" i="84"/>
  <c r="AT92" i="84"/>
  <c r="AT93" i="84" s="1"/>
  <c r="AT94" i="84"/>
  <c r="AT95" i="84" s="1"/>
  <c r="AT96" i="84"/>
  <c r="AT97" i="84" s="1"/>
  <c r="AT98" i="84" s="1"/>
  <c r="AT99" i="84" s="1"/>
  <c r="AT100" i="84" s="1"/>
  <c r="AT101" i="84" s="1"/>
  <c r="AT102" i="84" s="1"/>
  <c r="AT103" i="84" s="1"/>
  <c r="AT104" i="84"/>
  <c r="AT105" i="84"/>
  <c r="AT106" i="84"/>
  <c r="AT107" i="84"/>
  <c r="AT108" i="84"/>
  <c r="AT109" i="84"/>
  <c r="AT110" i="84" s="1"/>
  <c r="AT111" i="84" s="1"/>
  <c r="AT112" i="84" s="1"/>
  <c r="AT113" i="84" s="1"/>
  <c r="AT114" i="84"/>
  <c r="AT115" i="84" s="1"/>
  <c r="AT116" i="84"/>
  <c r="AT117" i="84" s="1"/>
  <c r="AT118" i="84"/>
  <c r="AT119" i="84"/>
  <c r="AT120" i="84"/>
  <c r="AT121" i="84"/>
  <c r="AT122" i="84"/>
  <c r="AT123" i="84" s="1"/>
  <c r="AT124" i="84"/>
  <c r="AT125" i="84" s="1"/>
  <c r="AT126" i="84"/>
  <c r="AT127" i="84" s="1"/>
  <c r="AT128" i="84" s="1"/>
  <c r="AT129" i="84"/>
  <c r="AT130" i="84"/>
  <c r="AT131" i="84"/>
  <c r="AT132" i="84"/>
  <c r="AT133" i="84"/>
  <c r="AT134" i="84"/>
  <c r="AT135" i="84"/>
  <c r="AT136" i="84"/>
  <c r="AT137" i="84"/>
  <c r="AT138" i="84"/>
  <c r="AT139" i="84"/>
  <c r="AT140" i="84"/>
  <c r="AT141" i="84"/>
  <c r="AT142" i="84"/>
  <c r="AT143" i="84"/>
  <c r="AT144" i="84"/>
  <c r="AT145" i="84"/>
  <c r="AT146" i="84"/>
  <c r="AT147" i="84"/>
  <c r="AT148" i="84"/>
  <c r="AT149" i="84"/>
  <c r="AT150" i="84"/>
  <c r="AT151" i="84"/>
  <c r="AT152" i="84"/>
  <c r="AT153" i="84"/>
  <c r="AT154" i="84"/>
  <c r="AT155" i="84"/>
  <c r="AT156" i="84"/>
  <c r="AT157" i="84"/>
  <c r="AT158" i="84"/>
  <c r="AT159" i="84"/>
  <c r="AT160" i="84"/>
  <c r="AT161" i="84"/>
  <c r="AT162" i="84"/>
  <c r="AT163" i="84"/>
  <c r="AT164" i="84"/>
  <c r="AT165" i="84"/>
  <c r="AT166" i="84"/>
  <c r="AT167" i="84"/>
  <c r="AT168" i="84"/>
  <c r="AT169" i="84"/>
  <c r="AT11" i="84"/>
  <c r="AT12" i="84" s="1"/>
  <c r="CS25" i="84" l="1"/>
  <c r="CR25" i="84"/>
  <c r="CQ25" i="84"/>
  <c r="CT45" i="84"/>
  <c r="CS45" i="84"/>
  <c r="CU45" i="84" s="1"/>
  <c r="CR45" i="84"/>
  <c r="CQ45" i="84"/>
  <c r="CU25" i="84" l="1"/>
  <c r="CT25" i="84"/>
  <c r="X31" i="93" l="1"/>
  <c r="W31" i="93"/>
  <c r="V31" i="93"/>
  <c r="U31" i="93"/>
  <c r="X30" i="93"/>
  <c r="W30" i="93"/>
  <c r="V30" i="93"/>
  <c r="U30" i="93"/>
  <c r="X29" i="93"/>
  <c r="W29" i="93"/>
  <c r="V29" i="93"/>
  <c r="U29" i="93"/>
  <c r="X28" i="93"/>
  <c r="W28" i="93"/>
  <c r="V28" i="93"/>
  <c r="U28" i="93"/>
  <c r="X27" i="93"/>
  <c r="W27" i="93"/>
  <c r="V27" i="93"/>
  <c r="U27" i="93"/>
  <c r="X26" i="93"/>
  <c r="W26" i="93"/>
  <c r="V26" i="93"/>
  <c r="U26" i="93"/>
  <c r="X25" i="93"/>
  <c r="W25" i="93"/>
  <c r="V25" i="93"/>
  <c r="U25" i="93"/>
  <c r="X24" i="93"/>
  <c r="W24" i="93"/>
  <c r="V24" i="93"/>
  <c r="U24" i="93"/>
  <c r="X23" i="93"/>
  <c r="W23" i="93"/>
  <c r="V23" i="93"/>
  <c r="U23" i="93"/>
  <c r="X22" i="93"/>
  <c r="W22" i="93"/>
  <c r="V22" i="93"/>
  <c r="U22" i="93"/>
  <c r="X21" i="93"/>
  <c r="W21" i="93"/>
  <c r="V21" i="93"/>
  <c r="U21" i="93"/>
  <c r="X20" i="93"/>
  <c r="W20" i="93"/>
  <c r="V20" i="93"/>
  <c r="U20" i="93"/>
  <c r="X19" i="93"/>
  <c r="W19" i="93"/>
  <c r="V19" i="93"/>
  <c r="U19" i="93"/>
  <c r="X18" i="93"/>
  <c r="W18" i="93"/>
  <c r="V18" i="93"/>
  <c r="U18" i="93"/>
  <c r="X17" i="93"/>
  <c r="W17" i="93"/>
  <c r="V17" i="93"/>
  <c r="U17" i="93"/>
  <c r="X16" i="93"/>
  <c r="W16" i="93"/>
  <c r="V16" i="93"/>
  <c r="U16" i="93"/>
  <c r="X15" i="93"/>
  <c r="W15" i="93"/>
  <c r="V15" i="93"/>
  <c r="U15" i="93"/>
  <c r="X14" i="93"/>
  <c r="W14" i="93"/>
  <c r="V14" i="93"/>
  <c r="U14" i="93"/>
  <c r="X13" i="93"/>
  <c r="W13" i="93"/>
  <c r="V13" i="93"/>
  <c r="U13" i="93"/>
  <c r="S31" i="93"/>
  <c r="R31" i="93"/>
  <c r="Q31" i="93"/>
  <c r="P31" i="93"/>
  <c r="S30" i="93"/>
  <c r="R30" i="93"/>
  <c r="Q30" i="93"/>
  <c r="P30" i="93"/>
  <c r="S29" i="93"/>
  <c r="R29" i="93"/>
  <c r="Q29" i="93"/>
  <c r="P29" i="93"/>
  <c r="S28" i="93"/>
  <c r="R28" i="93"/>
  <c r="Q28" i="93"/>
  <c r="P28" i="93"/>
  <c r="S27" i="93"/>
  <c r="R27" i="93"/>
  <c r="Q27" i="93"/>
  <c r="P27" i="93"/>
  <c r="S26" i="93"/>
  <c r="R26" i="93"/>
  <c r="Q26" i="93"/>
  <c r="P26" i="93"/>
  <c r="S25" i="93"/>
  <c r="R25" i="93"/>
  <c r="Q25" i="93"/>
  <c r="P25" i="93"/>
  <c r="S24" i="93"/>
  <c r="R24" i="93"/>
  <c r="Q24" i="93"/>
  <c r="P24" i="93"/>
  <c r="S23" i="93"/>
  <c r="R23" i="93"/>
  <c r="Q23" i="93"/>
  <c r="P23" i="93"/>
  <c r="S22" i="93"/>
  <c r="R22" i="93"/>
  <c r="Q22" i="93"/>
  <c r="P22" i="93"/>
  <c r="S21" i="93"/>
  <c r="R21" i="93"/>
  <c r="Q21" i="93"/>
  <c r="P21" i="93"/>
  <c r="S20" i="93"/>
  <c r="R20" i="93"/>
  <c r="Q20" i="93"/>
  <c r="P20" i="93"/>
  <c r="S19" i="93"/>
  <c r="R19" i="93"/>
  <c r="Q19" i="93"/>
  <c r="P19" i="93"/>
  <c r="S18" i="93"/>
  <c r="R18" i="93"/>
  <c r="Q18" i="93"/>
  <c r="P18" i="93"/>
  <c r="S17" i="93"/>
  <c r="R17" i="93"/>
  <c r="Q17" i="93"/>
  <c r="P17" i="93"/>
  <c r="S16" i="93"/>
  <c r="R16" i="93"/>
  <c r="Q16" i="93"/>
  <c r="P16" i="93"/>
  <c r="S15" i="93"/>
  <c r="R15" i="93"/>
  <c r="Q15" i="93"/>
  <c r="P15" i="93"/>
  <c r="S14" i="93"/>
  <c r="R14" i="93"/>
  <c r="Q14" i="93"/>
  <c r="P14" i="93"/>
  <c r="S13" i="93"/>
  <c r="R13" i="93"/>
  <c r="Q13" i="93"/>
  <c r="P13" i="93"/>
  <c r="L31" i="93"/>
  <c r="K31" i="93"/>
  <c r="J31" i="93"/>
  <c r="I31" i="93"/>
  <c r="L30" i="93"/>
  <c r="K30" i="93"/>
  <c r="J30" i="93"/>
  <c r="I30" i="93"/>
  <c r="L29" i="93"/>
  <c r="K29" i="93"/>
  <c r="J29" i="93"/>
  <c r="I29" i="93"/>
  <c r="L28" i="93"/>
  <c r="K28" i="93"/>
  <c r="J28" i="93"/>
  <c r="I28" i="93"/>
  <c r="L27" i="93"/>
  <c r="K27" i="93"/>
  <c r="J27" i="93"/>
  <c r="I27" i="93"/>
  <c r="L26" i="93"/>
  <c r="K26" i="93"/>
  <c r="J26" i="93"/>
  <c r="I26" i="93"/>
  <c r="L25" i="93"/>
  <c r="K25" i="93"/>
  <c r="J25" i="93"/>
  <c r="I25" i="93"/>
  <c r="L24" i="93"/>
  <c r="K24" i="93"/>
  <c r="J24" i="93"/>
  <c r="I24" i="93"/>
  <c r="L23" i="93"/>
  <c r="K23" i="93"/>
  <c r="J23" i="93"/>
  <c r="I23" i="93"/>
  <c r="L22" i="93"/>
  <c r="K22" i="93"/>
  <c r="J22" i="93"/>
  <c r="I22" i="93"/>
  <c r="L21" i="93"/>
  <c r="K21" i="93"/>
  <c r="J21" i="93"/>
  <c r="I21" i="93"/>
  <c r="L20" i="93"/>
  <c r="K20" i="93"/>
  <c r="J20" i="93"/>
  <c r="I20" i="93"/>
  <c r="L19" i="93"/>
  <c r="K19" i="93"/>
  <c r="J19" i="93"/>
  <c r="I19" i="93"/>
  <c r="L18" i="93"/>
  <c r="K18" i="93"/>
  <c r="J18" i="93"/>
  <c r="I18" i="93"/>
  <c r="L17" i="93"/>
  <c r="K17" i="93"/>
  <c r="J17" i="93"/>
  <c r="I17" i="93"/>
  <c r="L16" i="93"/>
  <c r="K16" i="93"/>
  <c r="J16" i="93"/>
  <c r="I16" i="93"/>
  <c r="L15" i="93"/>
  <c r="K15" i="93"/>
  <c r="J15" i="93"/>
  <c r="I15" i="93"/>
  <c r="L14" i="93"/>
  <c r="K14" i="93"/>
  <c r="J14" i="93"/>
  <c r="I14" i="93"/>
  <c r="L13" i="93"/>
  <c r="K13" i="93"/>
  <c r="J13" i="93"/>
  <c r="I13" i="93"/>
  <c r="G31" i="93"/>
  <c r="F31" i="93"/>
  <c r="E31" i="93"/>
  <c r="D31" i="93"/>
  <c r="G30" i="93"/>
  <c r="F30" i="93"/>
  <c r="E30" i="93"/>
  <c r="D30" i="93"/>
  <c r="G29" i="93"/>
  <c r="F29" i="93"/>
  <c r="E29" i="93"/>
  <c r="D29" i="93"/>
  <c r="G28" i="93"/>
  <c r="F28" i="93"/>
  <c r="E28" i="93"/>
  <c r="D28" i="93"/>
  <c r="G27" i="93"/>
  <c r="F27" i="93"/>
  <c r="E27" i="93"/>
  <c r="D27" i="93"/>
  <c r="G26" i="93"/>
  <c r="F26" i="93"/>
  <c r="E26" i="93"/>
  <c r="D26" i="93"/>
  <c r="G25" i="93"/>
  <c r="F25" i="93"/>
  <c r="E25" i="93"/>
  <c r="D25" i="93"/>
  <c r="G24" i="93"/>
  <c r="F24" i="93"/>
  <c r="E24" i="93"/>
  <c r="D24" i="93"/>
  <c r="G23" i="93"/>
  <c r="F23" i="93"/>
  <c r="E23" i="93"/>
  <c r="D23" i="93"/>
  <c r="G22" i="93"/>
  <c r="F22" i="93"/>
  <c r="E22" i="93"/>
  <c r="D22" i="93"/>
  <c r="G21" i="93"/>
  <c r="F21" i="93"/>
  <c r="E21" i="93"/>
  <c r="D21" i="93"/>
  <c r="G20" i="93"/>
  <c r="F20" i="93"/>
  <c r="E20" i="93"/>
  <c r="D20" i="93"/>
  <c r="G19" i="93"/>
  <c r="F19" i="93"/>
  <c r="E19" i="93"/>
  <c r="D19" i="93"/>
  <c r="G18" i="93"/>
  <c r="F18" i="93"/>
  <c r="E18" i="93"/>
  <c r="D18" i="93"/>
  <c r="G17" i="93"/>
  <c r="F17" i="93"/>
  <c r="E17" i="93"/>
  <c r="D17" i="93"/>
  <c r="G16" i="93"/>
  <c r="F16" i="93"/>
  <c r="E16" i="93"/>
  <c r="D16" i="93"/>
  <c r="G15" i="93"/>
  <c r="F15" i="93"/>
  <c r="E15" i="93"/>
  <c r="D15" i="93"/>
  <c r="G14" i="93"/>
  <c r="F14" i="93"/>
  <c r="E14" i="93"/>
  <c r="D14" i="93"/>
  <c r="G13" i="93"/>
  <c r="F13" i="93"/>
  <c r="E13" i="93"/>
  <c r="D13" i="93"/>
  <c r="S66" i="91"/>
  <c r="R66" i="91"/>
  <c r="Q66" i="91"/>
  <c r="P66" i="91"/>
  <c r="S65" i="91"/>
  <c r="R65" i="91"/>
  <c r="Q65" i="91"/>
  <c r="P65" i="91"/>
  <c r="S64" i="91"/>
  <c r="R64" i="91"/>
  <c r="Q64" i="91"/>
  <c r="P64" i="91"/>
  <c r="S63" i="91"/>
  <c r="R63" i="91"/>
  <c r="Q63" i="91"/>
  <c r="P63" i="91"/>
  <c r="S62" i="91"/>
  <c r="R62" i="91"/>
  <c r="Q62" i="91"/>
  <c r="P62" i="91"/>
  <c r="S61" i="91"/>
  <c r="R61" i="91"/>
  <c r="Q61" i="91"/>
  <c r="P61" i="91"/>
  <c r="S60" i="91"/>
  <c r="R60" i="91"/>
  <c r="Q60" i="91"/>
  <c r="P60" i="91"/>
  <c r="S59" i="91"/>
  <c r="R59" i="91"/>
  <c r="Q59" i="91"/>
  <c r="P59" i="91"/>
  <c r="S58" i="91"/>
  <c r="R58" i="91"/>
  <c r="Q58" i="91"/>
  <c r="P58" i="91"/>
  <c r="S57" i="91"/>
  <c r="R57" i="91"/>
  <c r="Q57" i="91"/>
  <c r="P57" i="91"/>
  <c r="S56" i="91"/>
  <c r="R56" i="91"/>
  <c r="Q56" i="91"/>
  <c r="P56" i="91"/>
  <c r="S55" i="91"/>
  <c r="R55" i="91"/>
  <c r="Q55" i="91"/>
  <c r="P55" i="91"/>
  <c r="S54" i="91"/>
  <c r="R54" i="91"/>
  <c r="Q54" i="91"/>
  <c r="P54" i="91"/>
  <c r="S53" i="91"/>
  <c r="R53" i="91"/>
  <c r="Q53" i="91"/>
  <c r="P53" i="91"/>
  <c r="S52" i="91"/>
  <c r="R52" i="91"/>
  <c r="Q52" i="91"/>
  <c r="P52" i="91"/>
  <c r="S51" i="91"/>
  <c r="R51" i="91"/>
  <c r="Q51" i="91"/>
  <c r="P51" i="91"/>
  <c r="S50" i="91"/>
  <c r="R50" i="91"/>
  <c r="Q50" i="91"/>
  <c r="P50" i="91"/>
  <c r="S49" i="91"/>
  <c r="R49" i="91"/>
  <c r="Q49" i="91"/>
  <c r="P49" i="91"/>
  <c r="S48" i="91"/>
  <c r="R48" i="91"/>
  <c r="Q48" i="91"/>
  <c r="P48" i="91"/>
  <c r="X66" i="91"/>
  <c r="W66" i="91"/>
  <c r="V66" i="91"/>
  <c r="U66" i="91"/>
  <c r="X65" i="91"/>
  <c r="W65" i="91"/>
  <c r="V65" i="91"/>
  <c r="U65" i="91"/>
  <c r="X64" i="91"/>
  <c r="W64" i="91"/>
  <c r="V64" i="91"/>
  <c r="U64" i="91"/>
  <c r="X63" i="91"/>
  <c r="W63" i="91"/>
  <c r="V63" i="91"/>
  <c r="U63" i="91"/>
  <c r="X62" i="91"/>
  <c r="W62" i="91"/>
  <c r="V62" i="91"/>
  <c r="U62" i="91"/>
  <c r="X61" i="91"/>
  <c r="W61" i="91"/>
  <c r="V61" i="91"/>
  <c r="U61" i="91"/>
  <c r="X60" i="91"/>
  <c r="W60" i="91"/>
  <c r="V60" i="91"/>
  <c r="U60" i="91"/>
  <c r="X59" i="91"/>
  <c r="W59" i="91"/>
  <c r="V59" i="91"/>
  <c r="U59" i="91"/>
  <c r="X58" i="91"/>
  <c r="W58" i="91"/>
  <c r="V58" i="91"/>
  <c r="U58" i="91"/>
  <c r="X57" i="91"/>
  <c r="W57" i="91"/>
  <c r="V57" i="91"/>
  <c r="U57" i="91"/>
  <c r="X56" i="91"/>
  <c r="W56" i="91"/>
  <c r="V56" i="91"/>
  <c r="U56" i="91"/>
  <c r="X55" i="91"/>
  <c r="W55" i="91"/>
  <c r="V55" i="91"/>
  <c r="U55" i="91"/>
  <c r="X54" i="91"/>
  <c r="W54" i="91"/>
  <c r="V54" i="91"/>
  <c r="U54" i="91"/>
  <c r="X53" i="91"/>
  <c r="W53" i="91"/>
  <c r="V53" i="91"/>
  <c r="U53" i="91"/>
  <c r="X52" i="91"/>
  <c r="W52" i="91"/>
  <c r="V52" i="91"/>
  <c r="U52" i="91"/>
  <c r="X51" i="91"/>
  <c r="W51" i="91"/>
  <c r="V51" i="91"/>
  <c r="U51" i="91"/>
  <c r="X50" i="91"/>
  <c r="W50" i="91"/>
  <c r="V50" i="91"/>
  <c r="U50" i="91"/>
  <c r="X49" i="91"/>
  <c r="W49" i="91"/>
  <c r="V49" i="91"/>
  <c r="U49" i="91"/>
  <c r="X48" i="91"/>
  <c r="W48" i="91"/>
  <c r="V48" i="91"/>
  <c r="U48" i="91"/>
  <c r="AT66" i="91"/>
  <c r="AS66" i="91"/>
  <c r="AR66" i="91"/>
  <c r="AQ66" i="91"/>
  <c r="AO66" i="91"/>
  <c r="AN66" i="91"/>
  <c r="AM66" i="91"/>
  <c r="AL66" i="91"/>
  <c r="AT65" i="91"/>
  <c r="AS65" i="91"/>
  <c r="AR65" i="91"/>
  <c r="AQ65" i="91"/>
  <c r="AO65" i="91"/>
  <c r="AN65" i="91"/>
  <c r="AM65" i="91"/>
  <c r="AL65" i="91"/>
  <c r="AT64" i="91"/>
  <c r="AS64" i="91"/>
  <c r="AR64" i="91"/>
  <c r="AQ64" i="91"/>
  <c r="AO64" i="91"/>
  <c r="AN64" i="91"/>
  <c r="AM64" i="91"/>
  <c r="AL64" i="91"/>
  <c r="AT63" i="91"/>
  <c r="AS63" i="91"/>
  <c r="AR63" i="91"/>
  <c r="AQ63" i="91"/>
  <c r="AO63" i="91"/>
  <c r="AN63" i="91"/>
  <c r="AM63" i="91"/>
  <c r="AL63" i="91"/>
  <c r="AT62" i="91"/>
  <c r="AS62" i="91"/>
  <c r="AR62" i="91"/>
  <c r="AQ62" i="91"/>
  <c r="AO62" i="91"/>
  <c r="AN62" i="91"/>
  <c r="AM62" i="91"/>
  <c r="AL62" i="91"/>
  <c r="AT61" i="91"/>
  <c r="AS61" i="91"/>
  <c r="AR61" i="91"/>
  <c r="AQ61" i="91"/>
  <c r="AO61" i="91"/>
  <c r="AN61" i="91"/>
  <c r="AM61" i="91"/>
  <c r="AL61" i="91"/>
  <c r="AT60" i="91"/>
  <c r="AS60" i="91"/>
  <c r="AR60" i="91"/>
  <c r="AQ60" i="91"/>
  <c r="AO60" i="91"/>
  <c r="AN60" i="91"/>
  <c r="AM60" i="91"/>
  <c r="AL60" i="91"/>
  <c r="AT59" i="91"/>
  <c r="AS59" i="91"/>
  <c r="AR59" i="91"/>
  <c r="AQ59" i="91"/>
  <c r="AO59" i="91"/>
  <c r="AN59" i="91"/>
  <c r="AM59" i="91"/>
  <c r="AL59" i="91"/>
  <c r="AT58" i="91"/>
  <c r="AS58" i="91"/>
  <c r="AR58" i="91"/>
  <c r="AQ58" i="91"/>
  <c r="AO58" i="91"/>
  <c r="AN58" i="91"/>
  <c r="AM58" i="91"/>
  <c r="AL58" i="91"/>
  <c r="AT57" i="91"/>
  <c r="AS57" i="91"/>
  <c r="AR57" i="91"/>
  <c r="AQ57" i="91"/>
  <c r="AO57" i="91"/>
  <c r="AN57" i="91"/>
  <c r="AM57" i="91"/>
  <c r="AL57" i="91"/>
  <c r="AT56" i="91"/>
  <c r="AS56" i="91"/>
  <c r="AR56" i="91"/>
  <c r="AQ56" i="91"/>
  <c r="AO56" i="91"/>
  <c r="AN56" i="91"/>
  <c r="AM56" i="91"/>
  <c r="AL56" i="91"/>
  <c r="AT55" i="91"/>
  <c r="AS55" i="91"/>
  <c r="AR55" i="91"/>
  <c r="AQ55" i="91"/>
  <c r="AO55" i="91"/>
  <c r="AN55" i="91"/>
  <c r="AM55" i="91"/>
  <c r="AL55" i="91"/>
  <c r="AT54" i="91"/>
  <c r="AS54" i="91"/>
  <c r="AR54" i="91"/>
  <c r="AQ54" i="91"/>
  <c r="AO54" i="91"/>
  <c r="AN54" i="91"/>
  <c r="AM54" i="91"/>
  <c r="AL54" i="91"/>
  <c r="AT53" i="91"/>
  <c r="AS53" i="91"/>
  <c r="AR53" i="91"/>
  <c r="AQ53" i="91"/>
  <c r="AO53" i="91"/>
  <c r="AN53" i="91"/>
  <c r="AM53" i="91"/>
  <c r="AL53" i="91"/>
  <c r="AT52" i="91"/>
  <c r="AS52" i="91"/>
  <c r="AR52" i="91"/>
  <c r="AQ52" i="91"/>
  <c r="AO52" i="91"/>
  <c r="AN52" i="91"/>
  <c r="AM52" i="91"/>
  <c r="AL52" i="91"/>
  <c r="AT51" i="91"/>
  <c r="AS51" i="91"/>
  <c r="AR51" i="91"/>
  <c r="AQ51" i="91"/>
  <c r="AO51" i="91"/>
  <c r="AN51" i="91"/>
  <c r="AM51" i="91"/>
  <c r="AL51" i="91"/>
  <c r="AT50" i="91"/>
  <c r="AS50" i="91"/>
  <c r="AR50" i="91"/>
  <c r="AQ50" i="91"/>
  <c r="AO50" i="91"/>
  <c r="AN50" i="91"/>
  <c r="AM50" i="91"/>
  <c r="AL50" i="91"/>
  <c r="AT49" i="91"/>
  <c r="AS49" i="91"/>
  <c r="AR49" i="91"/>
  <c r="AQ49" i="91"/>
  <c r="AO49" i="91"/>
  <c r="AN49" i="91"/>
  <c r="AM49" i="91"/>
  <c r="AL49" i="91"/>
  <c r="AT48" i="91"/>
  <c r="AS48" i="91"/>
  <c r="AR48" i="91"/>
  <c r="AQ48" i="91"/>
  <c r="AO48" i="91"/>
  <c r="AN48" i="91"/>
  <c r="AM48" i="91"/>
  <c r="AL48" i="91"/>
  <c r="X32" i="91"/>
  <c r="W32" i="91"/>
  <c r="V32" i="91"/>
  <c r="U32" i="91"/>
  <c r="X31" i="91"/>
  <c r="W31" i="91"/>
  <c r="V31" i="91"/>
  <c r="U31" i="91"/>
  <c r="X30" i="91"/>
  <c r="W30" i="91"/>
  <c r="V30" i="91"/>
  <c r="U30" i="91"/>
  <c r="X29" i="91"/>
  <c r="W29" i="91"/>
  <c r="V29" i="91"/>
  <c r="U29" i="91"/>
  <c r="X28" i="91"/>
  <c r="W28" i="91"/>
  <c r="V28" i="91"/>
  <c r="U28" i="91"/>
  <c r="X27" i="91"/>
  <c r="W27" i="91"/>
  <c r="V27" i="91"/>
  <c r="U27" i="91"/>
  <c r="X26" i="91"/>
  <c r="W26" i="91"/>
  <c r="V26" i="91"/>
  <c r="U26" i="91"/>
  <c r="X25" i="91"/>
  <c r="W25" i="91"/>
  <c r="V25" i="91"/>
  <c r="U25" i="91"/>
  <c r="X24" i="91"/>
  <c r="W24" i="91"/>
  <c r="V24" i="91"/>
  <c r="U24" i="91"/>
  <c r="X23" i="91"/>
  <c r="W23" i="91"/>
  <c r="V23" i="91"/>
  <c r="U23" i="91"/>
  <c r="X22" i="91"/>
  <c r="W22" i="91"/>
  <c r="V22" i="91"/>
  <c r="U22" i="91"/>
  <c r="X21" i="91"/>
  <c r="W21" i="91"/>
  <c r="V21" i="91"/>
  <c r="U21" i="91"/>
  <c r="X20" i="91"/>
  <c r="W20" i="91"/>
  <c r="V20" i="91"/>
  <c r="U20" i="91"/>
  <c r="X19" i="91"/>
  <c r="W19" i="91"/>
  <c r="V19" i="91"/>
  <c r="U19" i="91"/>
  <c r="X18" i="91"/>
  <c r="W18" i="91"/>
  <c r="V18" i="91"/>
  <c r="U18" i="91"/>
  <c r="X17" i="91"/>
  <c r="W17" i="91"/>
  <c r="V17" i="91"/>
  <c r="U17" i="91"/>
  <c r="X16" i="91"/>
  <c r="W16" i="91"/>
  <c r="V16" i="91"/>
  <c r="U16" i="91"/>
  <c r="X15" i="91"/>
  <c r="W15" i="91"/>
  <c r="V15" i="91"/>
  <c r="U15" i="91"/>
  <c r="X14" i="91"/>
  <c r="W14" i="91"/>
  <c r="V14" i="91"/>
  <c r="U14" i="91"/>
  <c r="S32" i="91"/>
  <c r="R32" i="91"/>
  <c r="Q32" i="91"/>
  <c r="P32" i="91"/>
  <c r="S31" i="91"/>
  <c r="R31" i="91"/>
  <c r="Q31" i="91"/>
  <c r="P31" i="91"/>
  <c r="S30" i="91"/>
  <c r="R30" i="91"/>
  <c r="Q30" i="91"/>
  <c r="P30" i="91"/>
  <c r="S29" i="91"/>
  <c r="R29" i="91"/>
  <c r="Q29" i="91"/>
  <c r="P29" i="91"/>
  <c r="S28" i="91"/>
  <c r="R28" i="91"/>
  <c r="Q28" i="91"/>
  <c r="P28" i="91"/>
  <c r="S27" i="91"/>
  <c r="R27" i="91"/>
  <c r="Q27" i="91"/>
  <c r="P27" i="91"/>
  <c r="S26" i="91"/>
  <c r="R26" i="91"/>
  <c r="Q26" i="91"/>
  <c r="P26" i="91"/>
  <c r="S25" i="91"/>
  <c r="R25" i="91"/>
  <c r="Q25" i="91"/>
  <c r="P25" i="91"/>
  <c r="S24" i="91"/>
  <c r="R24" i="91"/>
  <c r="Q24" i="91"/>
  <c r="P24" i="91"/>
  <c r="S23" i="91"/>
  <c r="R23" i="91"/>
  <c r="Q23" i="91"/>
  <c r="P23" i="91"/>
  <c r="S22" i="91"/>
  <c r="R22" i="91"/>
  <c r="Q22" i="91"/>
  <c r="P22" i="91"/>
  <c r="S21" i="91"/>
  <c r="R21" i="91"/>
  <c r="Q21" i="91"/>
  <c r="P21" i="91"/>
  <c r="S20" i="91"/>
  <c r="R20" i="91"/>
  <c r="Q20" i="91"/>
  <c r="P20" i="91"/>
  <c r="S19" i="91"/>
  <c r="R19" i="91"/>
  <c r="Q19" i="91"/>
  <c r="P19" i="91"/>
  <c r="S18" i="91"/>
  <c r="R18" i="91"/>
  <c r="Q18" i="91"/>
  <c r="P18" i="91"/>
  <c r="S17" i="91"/>
  <c r="R17" i="91"/>
  <c r="Q17" i="91"/>
  <c r="P17" i="91"/>
  <c r="S16" i="91"/>
  <c r="R16" i="91"/>
  <c r="Q16" i="91"/>
  <c r="P16" i="91"/>
  <c r="S15" i="91"/>
  <c r="R15" i="91"/>
  <c r="Q15" i="91"/>
  <c r="P15" i="91"/>
  <c r="S14" i="91"/>
  <c r="R14" i="91"/>
  <c r="Q14" i="91"/>
  <c r="P14" i="91"/>
  <c r="AT32" i="91"/>
  <c r="AS32" i="91"/>
  <c r="AR32" i="91"/>
  <c r="AQ32" i="91"/>
  <c r="AT31" i="91"/>
  <c r="AS31" i="91"/>
  <c r="AR31" i="91"/>
  <c r="AQ31" i="91"/>
  <c r="AT30" i="91"/>
  <c r="AS30" i="91"/>
  <c r="AR30" i="91"/>
  <c r="AQ30" i="91"/>
  <c r="AT29" i="91"/>
  <c r="AS29" i="91"/>
  <c r="AR29" i="91"/>
  <c r="AQ29" i="91"/>
  <c r="AT28" i="91"/>
  <c r="AS28" i="91"/>
  <c r="AR28" i="91"/>
  <c r="AQ28" i="91"/>
  <c r="AT27" i="91"/>
  <c r="AS27" i="91"/>
  <c r="AR27" i="91"/>
  <c r="AQ27" i="91"/>
  <c r="AT26" i="91"/>
  <c r="AS26" i="91"/>
  <c r="AR26" i="91"/>
  <c r="AQ26" i="91"/>
  <c r="AT25" i="91"/>
  <c r="AS25" i="91"/>
  <c r="AR25" i="91"/>
  <c r="AQ25" i="91"/>
  <c r="AT24" i="91"/>
  <c r="AS24" i="91"/>
  <c r="AR24" i="91"/>
  <c r="AQ24" i="91"/>
  <c r="AT23" i="91"/>
  <c r="AS23" i="91"/>
  <c r="AR23" i="91"/>
  <c r="AQ23" i="91"/>
  <c r="AT22" i="91"/>
  <c r="AS22" i="91"/>
  <c r="AR22" i="91"/>
  <c r="AQ22" i="91"/>
  <c r="AT21" i="91"/>
  <c r="AS21" i="91"/>
  <c r="AR21" i="91"/>
  <c r="AQ21" i="91"/>
  <c r="AT20" i="91"/>
  <c r="AS20" i="91"/>
  <c r="AR20" i="91"/>
  <c r="AQ20" i="91"/>
  <c r="AT19" i="91"/>
  <c r="AS19" i="91"/>
  <c r="AR19" i="91"/>
  <c r="AQ19" i="91"/>
  <c r="AT18" i="91"/>
  <c r="AS18" i="91"/>
  <c r="AR18" i="91"/>
  <c r="AQ18" i="91"/>
  <c r="AT17" i="91"/>
  <c r="AS17" i="91"/>
  <c r="AR17" i="91"/>
  <c r="AQ17" i="91"/>
  <c r="AT16" i="91"/>
  <c r="AS16" i="91"/>
  <c r="AR16" i="91"/>
  <c r="AQ16" i="91"/>
  <c r="AT15" i="91"/>
  <c r="AS15" i="91"/>
  <c r="AR15" i="91"/>
  <c r="AQ15" i="91"/>
  <c r="AT14" i="91"/>
  <c r="AS14" i="91"/>
  <c r="AR14" i="91"/>
  <c r="AQ14" i="91"/>
  <c r="AL15" i="91"/>
  <c r="AM15" i="91"/>
  <c r="AN15" i="91"/>
  <c r="AO15" i="91"/>
  <c r="AL16" i="91"/>
  <c r="AM16" i="91"/>
  <c r="AN16" i="91"/>
  <c r="AO16" i="91"/>
  <c r="AL17" i="91"/>
  <c r="AM17" i="91"/>
  <c r="AN17" i="91"/>
  <c r="AO17" i="91"/>
  <c r="AL18" i="91"/>
  <c r="AM18" i="91"/>
  <c r="AN18" i="91"/>
  <c r="AO18" i="91"/>
  <c r="AL19" i="91"/>
  <c r="AM19" i="91"/>
  <c r="AN19" i="91"/>
  <c r="AO19" i="91"/>
  <c r="AL20" i="91"/>
  <c r="AM20" i="91"/>
  <c r="AN20" i="91"/>
  <c r="AO20" i="91"/>
  <c r="AL21" i="91"/>
  <c r="AM21" i="91"/>
  <c r="AN21" i="91"/>
  <c r="AO21" i="91"/>
  <c r="AL22" i="91"/>
  <c r="AM22" i="91"/>
  <c r="AN22" i="91"/>
  <c r="AO22" i="91"/>
  <c r="AL23" i="91"/>
  <c r="AM23" i="91"/>
  <c r="AN23" i="91"/>
  <c r="AO23" i="91"/>
  <c r="AL24" i="91"/>
  <c r="AM24" i="91"/>
  <c r="AN24" i="91"/>
  <c r="AO24" i="91"/>
  <c r="AL25" i="91"/>
  <c r="AM25" i="91"/>
  <c r="AN25" i="91"/>
  <c r="AO25" i="91"/>
  <c r="AL26" i="91"/>
  <c r="AM26" i="91"/>
  <c r="AN26" i="91"/>
  <c r="AO26" i="91"/>
  <c r="AL27" i="91"/>
  <c r="AM27" i="91"/>
  <c r="AN27" i="91"/>
  <c r="AO27" i="91"/>
  <c r="AL28" i="91"/>
  <c r="AM28" i="91"/>
  <c r="AN28" i="91"/>
  <c r="AO28" i="91"/>
  <c r="AL29" i="91"/>
  <c r="AM29" i="91"/>
  <c r="AN29" i="91"/>
  <c r="AO29" i="91"/>
  <c r="AL30" i="91"/>
  <c r="AM30" i="91"/>
  <c r="AN30" i="91"/>
  <c r="AO30" i="91"/>
  <c r="AL31" i="91"/>
  <c r="AM31" i="91"/>
  <c r="AN31" i="91"/>
  <c r="AO31" i="91"/>
  <c r="AL32" i="91"/>
  <c r="AM32" i="91"/>
  <c r="AN32" i="91"/>
  <c r="AO32" i="91"/>
  <c r="AM14" i="91"/>
  <c r="AN14" i="91"/>
  <c r="AO14" i="91"/>
  <c r="AL14" i="91"/>
  <c r="BH42" i="84" l="1"/>
  <c r="Q35" i="85" l="1"/>
  <c r="H13" i="49" l="1"/>
  <c r="G13" i="49"/>
  <c r="R16" i="78" l="1"/>
  <c r="P16" i="78"/>
  <c r="R15" i="78"/>
  <c r="P15" i="78"/>
  <c r="R14" i="78"/>
  <c r="P14" i="78"/>
  <c r="L33" i="78"/>
  <c r="C16" i="52" s="1"/>
  <c r="M23" i="78" l="1"/>
  <c r="M22" i="78"/>
  <c r="M21" i="78"/>
  <c r="G20" i="78"/>
  <c r="X31" i="88" l="1"/>
  <c r="W31" i="88"/>
  <c r="V31" i="88"/>
  <c r="U31" i="88"/>
  <c r="S31" i="88"/>
  <c r="R31" i="88"/>
  <c r="Q31" i="88"/>
  <c r="P31" i="88"/>
  <c r="L31" i="88"/>
  <c r="K31" i="88"/>
  <c r="J31" i="88"/>
  <c r="I31" i="88"/>
  <c r="G31" i="88"/>
  <c r="F31" i="88"/>
  <c r="E31" i="88"/>
  <c r="D31" i="88"/>
  <c r="X30" i="88"/>
  <c r="W30" i="88"/>
  <c r="V30" i="88"/>
  <c r="U30" i="88"/>
  <c r="S30" i="88"/>
  <c r="R30" i="88"/>
  <c r="Q30" i="88"/>
  <c r="P30" i="88"/>
  <c r="L30" i="88"/>
  <c r="K30" i="88"/>
  <c r="J30" i="88"/>
  <c r="I30" i="88"/>
  <c r="G30" i="88"/>
  <c r="F30" i="88"/>
  <c r="E30" i="88"/>
  <c r="D30" i="88"/>
  <c r="X29" i="88"/>
  <c r="W29" i="88"/>
  <c r="V29" i="88"/>
  <c r="U29" i="88"/>
  <c r="S29" i="88"/>
  <c r="R29" i="88"/>
  <c r="Q29" i="88"/>
  <c r="P29" i="88"/>
  <c r="L29" i="88"/>
  <c r="K29" i="88"/>
  <c r="J29" i="88"/>
  <c r="I29" i="88"/>
  <c r="G29" i="88"/>
  <c r="F29" i="88"/>
  <c r="E29" i="88"/>
  <c r="D29" i="88"/>
  <c r="X28" i="88"/>
  <c r="W28" i="88"/>
  <c r="V28" i="88"/>
  <c r="U28" i="88"/>
  <c r="S28" i="88"/>
  <c r="R28" i="88"/>
  <c r="Q28" i="88"/>
  <c r="P28" i="88"/>
  <c r="L28" i="88"/>
  <c r="K28" i="88"/>
  <c r="J28" i="88"/>
  <c r="I28" i="88"/>
  <c r="G28" i="88"/>
  <c r="F28" i="88"/>
  <c r="E28" i="88"/>
  <c r="D28" i="88"/>
  <c r="X27" i="88"/>
  <c r="W27" i="88"/>
  <c r="V27" i="88"/>
  <c r="U27" i="88"/>
  <c r="S27" i="88"/>
  <c r="R27" i="88"/>
  <c r="Q27" i="88"/>
  <c r="P27" i="88"/>
  <c r="L27" i="88"/>
  <c r="K27" i="88"/>
  <c r="J27" i="88"/>
  <c r="I27" i="88"/>
  <c r="G27" i="88"/>
  <c r="F27" i="88"/>
  <c r="E27" i="88"/>
  <c r="D27" i="88"/>
  <c r="X26" i="88"/>
  <c r="W26" i="88"/>
  <c r="V26" i="88"/>
  <c r="U26" i="88"/>
  <c r="S26" i="88"/>
  <c r="R26" i="88"/>
  <c r="Q26" i="88"/>
  <c r="P26" i="88"/>
  <c r="L26" i="88"/>
  <c r="K26" i="88"/>
  <c r="J26" i="88"/>
  <c r="I26" i="88"/>
  <c r="G26" i="88"/>
  <c r="F26" i="88"/>
  <c r="E26" i="88"/>
  <c r="D26" i="88"/>
  <c r="X16" i="88"/>
  <c r="W16" i="88"/>
  <c r="V16" i="88"/>
  <c r="U16" i="88"/>
  <c r="S16" i="88"/>
  <c r="R16" i="88"/>
  <c r="Q16" i="88"/>
  <c r="P16" i="88"/>
  <c r="L16" i="88"/>
  <c r="K16" i="88"/>
  <c r="J16" i="88"/>
  <c r="I16" i="88"/>
  <c r="G16" i="88"/>
  <c r="F16" i="88"/>
  <c r="E16" i="88"/>
  <c r="D16" i="88"/>
  <c r="X15" i="88"/>
  <c r="W15" i="88"/>
  <c r="V15" i="88"/>
  <c r="U15" i="88"/>
  <c r="S15" i="88"/>
  <c r="R15" i="88"/>
  <c r="Q15" i="88"/>
  <c r="P15" i="88"/>
  <c r="L15" i="88"/>
  <c r="K15" i="88"/>
  <c r="J15" i="88"/>
  <c r="I15" i="88"/>
  <c r="G15" i="88"/>
  <c r="F15" i="88"/>
  <c r="E15" i="88"/>
  <c r="D15" i="88"/>
  <c r="X14" i="88"/>
  <c r="W14" i="88"/>
  <c r="V14" i="88"/>
  <c r="U14" i="88"/>
  <c r="S14" i="88"/>
  <c r="R14" i="88"/>
  <c r="Q14" i="88"/>
  <c r="P14" i="88"/>
  <c r="L14" i="88"/>
  <c r="K14" i="88"/>
  <c r="J14" i="88"/>
  <c r="I14" i="88"/>
  <c r="G14" i="88"/>
  <c r="F14" i="88"/>
  <c r="E14" i="88"/>
  <c r="D14" i="88"/>
  <c r="X13" i="88"/>
  <c r="W13" i="88"/>
  <c r="V13" i="88"/>
  <c r="U13" i="88"/>
  <c r="S13" i="88"/>
  <c r="R13" i="88"/>
  <c r="Q13" i="88"/>
  <c r="P13" i="88"/>
  <c r="L13" i="88"/>
  <c r="K13" i="88"/>
  <c r="J13" i="88"/>
  <c r="I13" i="88"/>
  <c r="G13" i="88"/>
  <c r="F13" i="88"/>
  <c r="E13" i="88"/>
  <c r="D13" i="88"/>
  <c r="U3" i="88"/>
  <c r="J3" i="88"/>
  <c r="L1" i="88"/>
  <c r="T25" i="93" l="1"/>
  <c r="O25" i="93"/>
  <c r="H25" i="93"/>
  <c r="C25" i="93"/>
  <c r="T24" i="93"/>
  <c r="O24" i="93"/>
  <c r="H24" i="93"/>
  <c r="C24" i="93"/>
  <c r="T23" i="93"/>
  <c r="O23" i="93"/>
  <c r="H23" i="93"/>
  <c r="C23" i="93"/>
  <c r="T22" i="93"/>
  <c r="O22" i="93"/>
  <c r="H22" i="93"/>
  <c r="C22" i="93"/>
  <c r="T21" i="93"/>
  <c r="O21" i="93"/>
  <c r="H21" i="93"/>
  <c r="C21" i="93"/>
  <c r="T20" i="93"/>
  <c r="O20" i="93"/>
  <c r="H20" i="93"/>
  <c r="C20" i="93"/>
  <c r="T19" i="93"/>
  <c r="O19" i="93"/>
  <c r="H19" i="93"/>
  <c r="C19" i="93"/>
  <c r="T18" i="93"/>
  <c r="O18" i="93"/>
  <c r="H18" i="93"/>
  <c r="C18" i="93"/>
  <c r="T17" i="93"/>
  <c r="O17" i="93"/>
  <c r="H17" i="93"/>
  <c r="C17" i="93"/>
  <c r="T16" i="93"/>
  <c r="O16" i="93"/>
  <c r="H16" i="93"/>
  <c r="C16" i="93"/>
  <c r="U3" i="93"/>
  <c r="J3" i="93"/>
  <c r="L1" i="93"/>
  <c r="X31" i="92"/>
  <c r="W31" i="92"/>
  <c r="V31" i="92"/>
  <c r="U31" i="92"/>
  <c r="S31" i="92"/>
  <c r="R31" i="92"/>
  <c r="Q31" i="92"/>
  <c r="P31" i="92"/>
  <c r="L31" i="92"/>
  <c r="K31" i="92"/>
  <c r="J31" i="92"/>
  <c r="I31" i="92"/>
  <c r="G31" i="92"/>
  <c r="F31" i="92"/>
  <c r="E31" i="92"/>
  <c r="D31" i="92"/>
  <c r="X30" i="92"/>
  <c r="W30" i="92"/>
  <c r="V30" i="92"/>
  <c r="U30" i="92"/>
  <c r="S30" i="92"/>
  <c r="R30" i="92"/>
  <c r="Q30" i="92"/>
  <c r="P30" i="92"/>
  <c r="L30" i="92"/>
  <c r="K30" i="92"/>
  <c r="J30" i="92"/>
  <c r="I30" i="92"/>
  <c r="G30" i="92"/>
  <c r="F30" i="92"/>
  <c r="E30" i="92"/>
  <c r="D30" i="92"/>
  <c r="X29" i="92"/>
  <c r="W29" i="92"/>
  <c r="V29" i="92"/>
  <c r="U29" i="92"/>
  <c r="S29" i="92"/>
  <c r="R29" i="92"/>
  <c r="Q29" i="92"/>
  <c r="P29" i="92"/>
  <c r="L29" i="92"/>
  <c r="K29" i="92"/>
  <c r="J29" i="92"/>
  <c r="I29" i="92"/>
  <c r="G29" i="92"/>
  <c r="F29" i="92"/>
  <c r="E29" i="92"/>
  <c r="D29" i="92"/>
  <c r="X28" i="92"/>
  <c r="W28" i="92"/>
  <c r="V28" i="92"/>
  <c r="U28" i="92"/>
  <c r="S28" i="92"/>
  <c r="R28" i="92"/>
  <c r="Q28" i="92"/>
  <c r="P28" i="92"/>
  <c r="L28" i="92"/>
  <c r="K28" i="92"/>
  <c r="J28" i="92"/>
  <c r="I28" i="92"/>
  <c r="G28" i="92"/>
  <c r="F28" i="92"/>
  <c r="E28" i="92"/>
  <c r="D28" i="92"/>
  <c r="X27" i="92"/>
  <c r="W27" i="92"/>
  <c r="V27" i="92"/>
  <c r="U27" i="92"/>
  <c r="S27" i="92"/>
  <c r="R27" i="92"/>
  <c r="Q27" i="92"/>
  <c r="P27" i="92"/>
  <c r="L27" i="92"/>
  <c r="K27" i="92"/>
  <c r="J27" i="92"/>
  <c r="I27" i="92"/>
  <c r="G27" i="92"/>
  <c r="F27" i="92"/>
  <c r="E27" i="92"/>
  <c r="D27" i="92"/>
  <c r="X26" i="92"/>
  <c r="W26" i="92"/>
  <c r="V26" i="92"/>
  <c r="U26" i="92"/>
  <c r="S26" i="92"/>
  <c r="R26" i="92"/>
  <c r="Q26" i="92"/>
  <c r="P26" i="92"/>
  <c r="L26" i="92"/>
  <c r="K26" i="92"/>
  <c r="J26" i="92"/>
  <c r="I26" i="92"/>
  <c r="G26" i="92"/>
  <c r="F26" i="92"/>
  <c r="E26" i="92"/>
  <c r="D26" i="92"/>
  <c r="X25" i="92"/>
  <c r="W25" i="92"/>
  <c r="V25" i="92"/>
  <c r="U25" i="92"/>
  <c r="S25" i="92"/>
  <c r="R25" i="92"/>
  <c r="Q25" i="92"/>
  <c r="P25" i="92"/>
  <c r="L25" i="92"/>
  <c r="K25" i="92"/>
  <c r="J25" i="92"/>
  <c r="I25" i="92"/>
  <c r="G25" i="92"/>
  <c r="F25" i="92"/>
  <c r="E25" i="92"/>
  <c r="D25" i="92"/>
  <c r="X24" i="92"/>
  <c r="W24" i="92"/>
  <c r="V24" i="92"/>
  <c r="U24" i="92"/>
  <c r="S24" i="92"/>
  <c r="R24" i="92"/>
  <c r="Q24" i="92"/>
  <c r="P24" i="92"/>
  <c r="L24" i="92"/>
  <c r="K24" i="92"/>
  <c r="J24" i="92"/>
  <c r="I24" i="92"/>
  <c r="G24" i="92"/>
  <c r="F24" i="92"/>
  <c r="E24" i="92"/>
  <c r="D24" i="92"/>
  <c r="X23" i="92"/>
  <c r="W23" i="92"/>
  <c r="V23" i="92"/>
  <c r="U23" i="92"/>
  <c r="S23" i="92"/>
  <c r="R23" i="92"/>
  <c r="Q23" i="92"/>
  <c r="P23" i="92"/>
  <c r="L23" i="92"/>
  <c r="K23" i="92"/>
  <c r="J23" i="92"/>
  <c r="I23" i="92"/>
  <c r="G23" i="92"/>
  <c r="F23" i="92"/>
  <c r="E23" i="92"/>
  <c r="D23" i="92"/>
  <c r="X22" i="92"/>
  <c r="W22" i="92"/>
  <c r="V22" i="92"/>
  <c r="U22" i="92"/>
  <c r="S22" i="92"/>
  <c r="R22" i="92"/>
  <c r="Q22" i="92"/>
  <c r="P22" i="92"/>
  <c r="L22" i="92"/>
  <c r="K22" i="92"/>
  <c r="J22" i="92"/>
  <c r="I22" i="92"/>
  <c r="G22" i="92"/>
  <c r="F22" i="92"/>
  <c r="E22" i="92"/>
  <c r="D22" i="92"/>
  <c r="X21" i="92"/>
  <c r="W21" i="92"/>
  <c r="V21" i="92"/>
  <c r="U21" i="92"/>
  <c r="S21" i="92"/>
  <c r="R21" i="92"/>
  <c r="Q21" i="92"/>
  <c r="P21" i="92"/>
  <c r="L21" i="92"/>
  <c r="K21" i="92"/>
  <c r="J21" i="92"/>
  <c r="I21" i="92"/>
  <c r="G21" i="92"/>
  <c r="F21" i="92"/>
  <c r="E21" i="92"/>
  <c r="D21" i="92"/>
  <c r="X20" i="92"/>
  <c r="W20" i="92"/>
  <c r="V20" i="92"/>
  <c r="U20" i="92"/>
  <c r="S20" i="92"/>
  <c r="R20" i="92"/>
  <c r="Q20" i="92"/>
  <c r="P20" i="92"/>
  <c r="L20" i="92"/>
  <c r="K20" i="92"/>
  <c r="J20" i="92"/>
  <c r="I20" i="92"/>
  <c r="G20" i="92"/>
  <c r="F20" i="92"/>
  <c r="E20" i="92"/>
  <c r="D20" i="92"/>
  <c r="X19" i="92"/>
  <c r="W19" i="92"/>
  <c r="V19" i="92"/>
  <c r="U19" i="92"/>
  <c r="S19" i="92"/>
  <c r="R19" i="92"/>
  <c r="Q19" i="92"/>
  <c r="P19" i="92"/>
  <c r="L19" i="92"/>
  <c r="K19" i="92"/>
  <c r="J19" i="92"/>
  <c r="I19" i="92"/>
  <c r="G19" i="92"/>
  <c r="F19" i="92"/>
  <c r="E19" i="92"/>
  <c r="D19" i="92"/>
  <c r="X18" i="92"/>
  <c r="W18" i="92"/>
  <c r="V18" i="92"/>
  <c r="U18" i="92"/>
  <c r="S18" i="92"/>
  <c r="R18" i="92"/>
  <c r="Q18" i="92"/>
  <c r="P18" i="92"/>
  <c r="L18" i="92"/>
  <c r="K18" i="92"/>
  <c r="J18" i="92"/>
  <c r="I18" i="92"/>
  <c r="G18" i="92"/>
  <c r="F18" i="92"/>
  <c r="E18" i="92"/>
  <c r="D18" i="92"/>
  <c r="X17" i="92"/>
  <c r="W17" i="92"/>
  <c r="V17" i="92"/>
  <c r="U17" i="92"/>
  <c r="S17" i="92"/>
  <c r="R17" i="92"/>
  <c r="Q17" i="92"/>
  <c r="P17" i="92"/>
  <c r="L17" i="92"/>
  <c r="K17" i="92"/>
  <c r="J17" i="92"/>
  <c r="I17" i="92"/>
  <c r="G17" i="92"/>
  <c r="F17" i="92"/>
  <c r="E17" i="92"/>
  <c r="D17" i="92"/>
  <c r="X16" i="92"/>
  <c r="W16" i="92"/>
  <c r="V16" i="92"/>
  <c r="U16" i="92"/>
  <c r="S16" i="92"/>
  <c r="R16" i="92"/>
  <c r="Q16" i="92"/>
  <c r="P16" i="92"/>
  <c r="L16" i="92"/>
  <c r="K16" i="92"/>
  <c r="J16" i="92"/>
  <c r="I16" i="92"/>
  <c r="G16" i="92"/>
  <c r="F16" i="92"/>
  <c r="E16" i="92"/>
  <c r="D16" i="92"/>
  <c r="X15" i="92"/>
  <c r="W15" i="92"/>
  <c r="V15" i="92"/>
  <c r="U15" i="92"/>
  <c r="S15" i="92"/>
  <c r="R15" i="92"/>
  <c r="Q15" i="92"/>
  <c r="P15" i="92"/>
  <c r="L15" i="92"/>
  <c r="K15" i="92"/>
  <c r="J15" i="92"/>
  <c r="I15" i="92"/>
  <c r="G15" i="92"/>
  <c r="F15" i="92"/>
  <c r="E15" i="92"/>
  <c r="D15" i="92"/>
  <c r="X14" i="92"/>
  <c r="W14" i="92"/>
  <c r="V14" i="92"/>
  <c r="U14" i="92"/>
  <c r="S14" i="92"/>
  <c r="R14" i="92"/>
  <c r="Q14" i="92"/>
  <c r="P14" i="92"/>
  <c r="L14" i="92"/>
  <c r="K14" i="92"/>
  <c r="J14" i="92"/>
  <c r="I14" i="92"/>
  <c r="G14" i="92"/>
  <c r="F14" i="92"/>
  <c r="E14" i="92"/>
  <c r="D14" i="92"/>
  <c r="X13" i="92"/>
  <c r="W13" i="92"/>
  <c r="V13" i="92"/>
  <c r="U13" i="92"/>
  <c r="S13" i="92"/>
  <c r="R13" i="92"/>
  <c r="Q13" i="92"/>
  <c r="P13" i="92"/>
  <c r="L13" i="92"/>
  <c r="K13" i="92"/>
  <c r="J13" i="92"/>
  <c r="I13" i="92"/>
  <c r="G13" i="92"/>
  <c r="F13" i="92"/>
  <c r="E13" i="92"/>
  <c r="D13" i="92"/>
  <c r="U3" i="92"/>
  <c r="J3" i="92"/>
  <c r="L1" i="92"/>
  <c r="U3" i="90"/>
  <c r="J3" i="90"/>
  <c r="L1" i="90"/>
  <c r="X31" i="97"/>
  <c r="W31" i="97"/>
  <c r="V31" i="97"/>
  <c r="U31" i="97"/>
  <c r="S31" i="97"/>
  <c r="R31" i="97"/>
  <c r="Q31" i="97"/>
  <c r="P31" i="97"/>
  <c r="L31" i="97"/>
  <c r="K31" i="97"/>
  <c r="J31" i="97"/>
  <c r="I31" i="97"/>
  <c r="G31" i="97"/>
  <c r="F31" i="97"/>
  <c r="E31" i="97"/>
  <c r="D31" i="97"/>
  <c r="X30" i="97"/>
  <c r="W30" i="97"/>
  <c r="V30" i="97"/>
  <c r="U30" i="97"/>
  <c r="S30" i="97"/>
  <c r="R30" i="97"/>
  <c r="Q30" i="97"/>
  <c r="P30" i="97"/>
  <c r="L30" i="97"/>
  <c r="K30" i="97"/>
  <c r="J30" i="97"/>
  <c r="I30" i="97"/>
  <c r="G30" i="97"/>
  <c r="F30" i="97"/>
  <c r="E30" i="97"/>
  <c r="D30" i="97"/>
  <c r="X29" i="97"/>
  <c r="W29" i="97"/>
  <c r="V29" i="97"/>
  <c r="U29" i="97"/>
  <c r="S29" i="97"/>
  <c r="R29" i="97"/>
  <c r="Q29" i="97"/>
  <c r="P29" i="97"/>
  <c r="L29" i="97"/>
  <c r="K29" i="97"/>
  <c r="J29" i="97"/>
  <c r="I29" i="97"/>
  <c r="G29" i="97"/>
  <c r="F29" i="97"/>
  <c r="E29" i="97"/>
  <c r="D29" i="97"/>
  <c r="X28" i="97"/>
  <c r="W28" i="97"/>
  <c r="V28" i="97"/>
  <c r="U28" i="97"/>
  <c r="S28" i="97"/>
  <c r="R28" i="97"/>
  <c r="Q28" i="97"/>
  <c r="P28" i="97"/>
  <c r="L28" i="97"/>
  <c r="K28" i="97"/>
  <c r="J28" i="97"/>
  <c r="I28" i="97"/>
  <c r="G28" i="97"/>
  <c r="F28" i="97"/>
  <c r="E28" i="97"/>
  <c r="D28" i="97"/>
  <c r="X27" i="97"/>
  <c r="W27" i="97"/>
  <c r="V27" i="97"/>
  <c r="U27" i="97"/>
  <c r="S27" i="97"/>
  <c r="R27" i="97"/>
  <c r="Q27" i="97"/>
  <c r="P27" i="97"/>
  <c r="L27" i="97"/>
  <c r="K27" i="97"/>
  <c r="J27" i="97"/>
  <c r="I27" i="97"/>
  <c r="G27" i="97"/>
  <c r="F27" i="97"/>
  <c r="E27" i="97"/>
  <c r="D27" i="97"/>
  <c r="X26" i="97"/>
  <c r="W26" i="97"/>
  <c r="V26" i="97"/>
  <c r="U26" i="97"/>
  <c r="S26" i="97"/>
  <c r="R26" i="97"/>
  <c r="Q26" i="97"/>
  <c r="P26" i="97"/>
  <c r="L26" i="97"/>
  <c r="K26" i="97"/>
  <c r="J26" i="97"/>
  <c r="I26" i="97"/>
  <c r="G26" i="97"/>
  <c r="F26" i="97"/>
  <c r="E26" i="97"/>
  <c r="D26" i="97"/>
  <c r="X16" i="97"/>
  <c r="W16" i="97"/>
  <c r="V16" i="97"/>
  <c r="U16" i="97"/>
  <c r="S16" i="97"/>
  <c r="R16" i="97"/>
  <c r="Q16" i="97"/>
  <c r="P16" i="97"/>
  <c r="L16" i="97"/>
  <c r="K16" i="97"/>
  <c r="J16" i="97"/>
  <c r="I16" i="97"/>
  <c r="G16" i="97"/>
  <c r="F16" i="97"/>
  <c r="E16" i="97"/>
  <c r="D16" i="97"/>
  <c r="X15" i="97"/>
  <c r="W15" i="97"/>
  <c r="V15" i="97"/>
  <c r="U15" i="97"/>
  <c r="S15" i="97"/>
  <c r="R15" i="97"/>
  <c r="Q15" i="97"/>
  <c r="P15" i="97"/>
  <c r="L15" i="97"/>
  <c r="K15" i="97"/>
  <c r="J15" i="97"/>
  <c r="I15" i="97"/>
  <c r="G15" i="97"/>
  <c r="F15" i="97"/>
  <c r="E15" i="97"/>
  <c r="D15" i="97"/>
  <c r="X14" i="97"/>
  <c r="W14" i="97"/>
  <c r="V14" i="97"/>
  <c r="U14" i="97"/>
  <c r="S14" i="97"/>
  <c r="R14" i="97"/>
  <c r="Q14" i="97"/>
  <c r="P14" i="97"/>
  <c r="L14" i="97"/>
  <c r="K14" i="97"/>
  <c r="J14" i="97"/>
  <c r="I14" i="97"/>
  <c r="G14" i="97"/>
  <c r="F14" i="97"/>
  <c r="E14" i="97"/>
  <c r="D14" i="97"/>
  <c r="X13" i="97"/>
  <c r="W13" i="97"/>
  <c r="V13" i="97"/>
  <c r="U13" i="97"/>
  <c r="S13" i="97"/>
  <c r="R13" i="97"/>
  <c r="Q13" i="97"/>
  <c r="P13" i="97"/>
  <c r="L13" i="97"/>
  <c r="K13" i="97"/>
  <c r="J13" i="97"/>
  <c r="I13" i="97"/>
  <c r="G13" i="97"/>
  <c r="F13" i="97"/>
  <c r="E13" i="97"/>
  <c r="U3" i="97"/>
  <c r="J3" i="97"/>
  <c r="L1" i="97"/>
  <c r="X31" i="96"/>
  <c r="W31" i="96"/>
  <c r="V31" i="96"/>
  <c r="U31" i="96"/>
  <c r="S31" i="96"/>
  <c r="R31" i="96"/>
  <c r="Q31" i="96"/>
  <c r="P31" i="96"/>
  <c r="L31" i="96"/>
  <c r="K31" i="96"/>
  <c r="J31" i="96"/>
  <c r="I31" i="96"/>
  <c r="G31" i="96"/>
  <c r="F31" i="96"/>
  <c r="E31" i="96"/>
  <c r="D31" i="96"/>
  <c r="X30" i="96"/>
  <c r="W30" i="96"/>
  <c r="V30" i="96"/>
  <c r="U30" i="96"/>
  <c r="S30" i="96"/>
  <c r="R30" i="96"/>
  <c r="Q30" i="96"/>
  <c r="P30" i="96"/>
  <c r="L30" i="96"/>
  <c r="K30" i="96"/>
  <c r="J30" i="96"/>
  <c r="I30" i="96"/>
  <c r="G30" i="96"/>
  <c r="F30" i="96"/>
  <c r="E30" i="96"/>
  <c r="D30" i="96"/>
  <c r="X29" i="96"/>
  <c r="W29" i="96"/>
  <c r="V29" i="96"/>
  <c r="U29" i="96"/>
  <c r="S29" i="96"/>
  <c r="R29" i="96"/>
  <c r="Q29" i="96"/>
  <c r="P29" i="96"/>
  <c r="L29" i="96"/>
  <c r="K29" i="96"/>
  <c r="J29" i="96"/>
  <c r="I29" i="96"/>
  <c r="G29" i="96"/>
  <c r="F29" i="96"/>
  <c r="E29" i="96"/>
  <c r="D29" i="96"/>
  <c r="X28" i="96"/>
  <c r="W28" i="96"/>
  <c r="V28" i="96"/>
  <c r="U28" i="96"/>
  <c r="S28" i="96"/>
  <c r="R28" i="96"/>
  <c r="Q28" i="96"/>
  <c r="P28" i="96"/>
  <c r="L28" i="96"/>
  <c r="K28" i="96"/>
  <c r="J28" i="96"/>
  <c r="I28" i="96"/>
  <c r="G28" i="96"/>
  <c r="F28" i="96"/>
  <c r="E28" i="96"/>
  <c r="D28" i="96"/>
  <c r="X27" i="96"/>
  <c r="W27" i="96"/>
  <c r="V27" i="96"/>
  <c r="U27" i="96"/>
  <c r="S27" i="96"/>
  <c r="R27" i="96"/>
  <c r="Q27" i="96"/>
  <c r="P27" i="96"/>
  <c r="L27" i="96"/>
  <c r="K27" i="96"/>
  <c r="J27" i="96"/>
  <c r="I27" i="96"/>
  <c r="G27" i="96"/>
  <c r="F27" i="96"/>
  <c r="E27" i="96"/>
  <c r="D27" i="96"/>
  <c r="X26" i="96"/>
  <c r="W26" i="96"/>
  <c r="V26" i="96"/>
  <c r="U26" i="96"/>
  <c r="S26" i="96"/>
  <c r="R26" i="96"/>
  <c r="Q26" i="96"/>
  <c r="P26" i="96"/>
  <c r="L26" i="96"/>
  <c r="K26" i="96"/>
  <c r="J26" i="96"/>
  <c r="I26" i="96"/>
  <c r="G26" i="96"/>
  <c r="F26" i="96"/>
  <c r="E26" i="96"/>
  <c r="D26" i="96"/>
  <c r="X16" i="96"/>
  <c r="W16" i="96"/>
  <c r="V16" i="96"/>
  <c r="U16" i="96"/>
  <c r="S16" i="96"/>
  <c r="R16" i="96"/>
  <c r="Q16" i="96"/>
  <c r="P16" i="96"/>
  <c r="L16" i="96"/>
  <c r="K16" i="96"/>
  <c r="J16" i="96"/>
  <c r="I16" i="96"/>
  <c r="G16" i="96"/>
  <c r="F16" i="96"/>
  <c r="E16" i="96"/>
  <c r="D16" i="96"/>
  <c r="X15" i="96"/>
  <c r="W15" i="96"/>
  <c r="V15" i="96"/>
  <c r="U15" i="96"/>
  <c r="S15" i="96"/>
  <c r="R15" i="96"/>
  <c r="Q15" i="96"/>
  <c r="P15" i="96"/>
  <c r="L15" i="96"/>
  <c r="K15" i="96"/>
  <c r="J15" i="96"/>
  <c r="I15" i="96"/>
  <c r="G15" i="96"/>
  <c r="F15" i="96"/>
  <c r="E15" i="96"/>
  <c r="D15" i="96"/>
  <c r="X14" i="96"/>
  <c r="W14" i="96"/>
  <c r="V14" i="96"/>
  <c r="U14" i="96"/>
  <c r="S14" i="96"/>
  <c r="R14" i="96"/>
  <c r="Q14" i="96"/>
  <c r="P14" i="96"/>
  <c r="L14" i="96"/>
  <c r="K14" i="96"/>
  <c r="J14" i="96"/>
  <c r="I14" i="96"/>
  <c r="G14" i="96"/>
  <c r="F14" i="96"/>
  <c r="E14" i="96"/>
  <c r="D14" i="96"/>
  <c r="X13" i="96"/>
  <c r="W13" i="96"/>
  <c r="V13" i="96"/>
  <c r="U13" i="96"/>
  <c r="S13" i="96"/>
  <c r="R13" i="96"/>
  <c r="Q13" i="96"/>
  <c r="P13" i="96"/>
  <c r="L13" i="96"/>
  <c r="K13" i="96"/>
  <c r="J13" i="96"/>
  <c r="I13" i="96"/>
  <c r="G13" i="96"/>
  <c r="F13" i="96"/>
  <c r="E13" i="96"/>
  <c r="U3" i="96"/>
  <c r="J3" i="96"/>
  <c r="L1" i="96"/>
  <c r="X31" i="95"/>
  <c r="X31" i="90" s="1"/>
  <c r="W31" i="95"/>
  <c r="W31" i="90" s="1"/>
  <c r="V31" i="95"/>
  <c r="U31" i="95"/>
  <c r="U31" i="90" s="1"/>
  <c r="S31" i="95"/>
  <c r="S31" i="90" s="1"/>
  <c r="R31" i="95"/>
  <c r="R31" i="90" s="1"/>
  <c r="Q31" i="95"/>
  <c r="P31" i="95"/>
  <c r="P31" i="90" s="1"/>
  <c r="L31" i="95"/>
  <c r="L31" i="90" s="1"/>
  <c r="K31" i="95"/>
  <c r="K31" i="90" s="1"/>
  <c r="J31" i="95"/>
  <c r="J31" i="90" s="1"/>
  <c r="I31" i="95"/>
  <c r="I31" i="90" s="1"/>
  <c r="G31" i="95"/>
  <c r="G31" i="90" s="1"/>
  <c r="F31" i="95"/>
  <c r="F31" i="90" s="1"/>
  <c r="E31" i="95"/>
  <c r="D31" i="95"/>
  <c r="X30" i="95"/>
  <c r="W30" i="95"/>
  <c r="W30" i="90" s="1"/>
  <c r="V30" i="95"/>
  <c r="U30" i="95"/>
  <c r="U30" i="90" s="1"/>
  <c r="S30" i="95"/>
  <c r="R30" i="95"/>
  <c r="R30" i="90" s="1"/>
  <c r="Q30" i="95"/>
  <c r="P30" i="95"/>
  <c r="P30" i="90" s="1"/>
  <c r="L30" i="95"/>
  <c r="L30" i="90" s="1"/>
  <c r="K30" i="95"/>
  <c r="K30" i="90" s="1"/>
  <c r="J30" i="95"/>
  <c r="I30" i="95"/>
  <c r="G30" i="95"/>
  <c r="G30" i="90" s="1"/>
  <c r="F30" i="95"/>
  <c r="F30" i="90" s="1"/>
  <c r="E30" i="95"/>
  <c r="D30" i="95"/>
  <c r="X29" i="95"/>
  <c r="X29" i="90" s="1"/>
  <c r="W29" i="95"/>
  <c r="W29" i="90" s="1"/>
  <c r="V29" i="95"/>
  <c r="U29" i="95"/>
  <c r="U29" i="90" s="1"/>
  <c r="S29" i="95"/>
  <c r="S29" i="90" s="1"/>
  <c r="R29" i="95"/>
  <c r="R29" i="90" s="1"/>
  <c r="Q29" i="95"/>
  <c r="P29" i="95"/>
  <c r="L29" i="95"/>
  <c r="L29" i="90" s="1"/>
  <c r="K29" i="95"/>
  <c r="K29" i="90" s="1"/>
  <c r="J29" i="95"/>
  <c r="I29" i="95"/>
  <c r="G29" i="95"/>
  <c r="G29" i="90" s="1"/>
  <c r="F29" i="95"/>
  <c r="F29" i="90" s="1"/>
  <c r="E29" i="95"/>
  <c r="D29" i="95"/>
  <c r="X28" i="95"/>
  <c r="X28" i="90" s="1"/>
  <c r="W28" i="95"/>
  <c r="W28" i="90" s="1"/>
  <c r="V28" i="95"/>
  <c r="U28" i="95"/>
  <c r="U28" i="90" s="1"/>
  <c r="S28" i="95"/>
  <c r="R28" i="95"/>
  <c r="R28" i="90" s="1"/>
  <c r="Q28" i="95"/>
  <c r="P28" i="95"/>
  <c r="P28" i="90" s="1"/>
  <c r="L28" i="95"/>
  <c r="K28" i="95"/>
  <c r="K28" i="90" s="1"/>
  <c r="J28" i="95"/>
  <c r="I28" i="95"/>
  <c r="I28" i="90" s="1"/>
  <c r="G28" i="95"/>
  <c r="G28" i="90" s="1"/>
  <c r="F28" i="95"/>
  <c r="F28" i="90" s="1"/>
  <c r="E28" i="95"/>
  <c r="D28" i="95"/>
  <c r="D28" i="90" s="1"/>
  <c r="X27" i="95"/>
  <c r="W27" i="95"/>
  <c r="W27" i="90" s="1"/>
  <c r="V27" i="95"/>
  <c r="U27" i="95"/>
  <c r="U27" i="90" s="1"/>
  <c r="S27" i="95"/>
  <c r="S27" i="90" s="1"/>
  <c r="R27" i="95"/>
  <c r="R27" i="90" s="1"/>
  <c r="Q27" i="95"/>
  <c r="P27" i="95"/>
  <c r="L27" i="95"/>
  <c r="L27" i="90" s="1"/>
  <c r="K27" i="95"/>
  <c r="K27" i="90" s="1"/>
  <c r="J27" i="95"/>
  <c r="I27" i="95"/>
  <c r="G27" i="95"/>
  <c r="G27" i="90" s="1"/>
  <c r="F27" i="95"/>
  <c r="F27" i="90" s="1"/>
  <c r="E27" i="95"/>
  <c r="D27" i="95"/>
  <c r="X26" i="95"/>
  <c r="X26" i="90" s="1"/>
  <c r="W26" i="95"/>
  <c r="W26" i="90" s="1"/>
  <c r="V26" i="95"/>
  <c r="U26" i="95"/>
  <c r="U26" i="90" s="1"/>
  <c r="S26" i="95"/>
  <c r="S26" i="90" s="1"/>
  <c r="R26" i="95"/>
  <c r="R26" i="90" s="1"/>
  <c r="Q26" i="95"/>
  <c r="P26" i="95"/>
  <c r="L26" i="95"/>
  <c r="L26" i="90" s="1"/>
  <c r="K26" i="95"/>
  <c r="K26" i="90" s="1"/>
  <c r="J26" i="95"/>
  <c r="I26" i="95"/>
  <c r="G26" i="95"/>
  <c r="G26" i="90" s="1"/>
  <c r="F26" i="95"/>
  <c r="F26" i="90" s="1"/>
  <c r="E26" i="95"/>
  <c r="D26" i="95"/>
  <c r="X16" i="95"/>
  <c r="X16" i="90" s="1"/>
  <c r="W16" i="95"/>
  <c r="W16" i="90" s="1"/>
  <c r="V16" i="95"/>
  <c r="V16" i="90" s="1"/>
  <c r="U16" i="95"/>
  <c r="U16" i="90" s="1"/>
  <c r="S16" i="95"/>
  <c r="S16" i="90" s="1"/>
  <c r="R16" i="95"/>
  <c r="R16" i="90" s="1"/>
  <c r="Q16" i="95"/>
  <c r="Q16" i="90" s="1"/>
  <c r="P16" i="95"/>
  <c r="P16" i="90" s="1"/>
  <c r="L16" i="95"/>
  <c r="L16" i="90" s="1"/>
  <c r="K16" i="95"/>
  <c r="K16" i="90" s="1"/>
  <c r="J16" i="95"/>
  <c r="J16" i="90" s="1"/>
  <c r="I16" i="95"/>
  <c r="I16" i="90" s="1"/>
  <c r="G16" i="95"/>
  <c r="G16" i="90" s="1"/>
  <c r="F16" i="95"/>
  <c r="F16" i="90" s="1"/>
  <c r="E16" i="95"/>
  <c r="E16" i="90" s="1"/>
  <c r="D16" i="95"/>
  <c r="D16" i="90" s="1"/>
  <c r="X15" i="95"/>
  <c r="W15" i="95"/>
  <c r="W15" i="90" s="1"/>
  <c r="V15" i="95"/>
  <c r="V15" i="90" s="1"/>
  <c r="U15" i="95"/>
  <c r="S15" i="95"/>
  <c r="R15" i="95"/>
  <c r="R15" i="90" s="1"/>
  <c r="Q15" i="95"/>
  <c r="Q15" i="90" s="1"/>
  <c r="P15" i="95"/>
  <c r="L15" i="95"/>
  <c r="L15" i="90" s="1"/>
  <c r="K15" i="95"/>
  <c r="K15" i="90" s="1"/>
  <c r="J15" i="95"/>
  <c r="J15" i="90" s="1"/>
  <c r="I15" i="95"/>
  <c r="G15" i="95"/>
  <c r="F15" i="95"/>
  <c r="F15" i="90" s="1"/>
  <c r="E15" i="95"/>
  <c r="D15" i="95"/>
  <c r="X14" i="95"/>
  <c r="X14" i="90" s="1"/>
  <c r="W14" i="95"/>
  <c r="W14" i="90" s="1"/>
  <c r="V14" i="95"/>
  <c r="V14" i="90" s="1"/>
  <c r="U14" i="95"/>
  <c r="S14" i="95"/>
  <c r="S14" i="90" s="1"/>
  <c r="R14" i="95"/>
  <c r="R14" i="90" s="1"/>
  <c r="Q14" i="95"/>
  <c r="Q14" i="90" s="1"/>
  <c r="P14" i="95"/>
  <c r="L14" i="95"/>
  <c r="L14" i="90" s="1"/>
  <c r="K14" i="95"/>
  <c r="K14" i="90" s="1"/>
  <c r="J14" i="95"/>
  <c r="J14" i="90" s="1"/>
  <c r="I14" i="95"/>
  <c r="G14" i="95"/>
  <c r="F14" i="95"/>
  <c r="F14" i="90" s="1"/>
  <c r="E14" i="95"/>
  <c r="D14" i="95"/>
  <c r="X13" i="95"/>
  <c r="X13" i="90" s="1"/>
  <c r="W13" i="95"/>
  <c r="W13" i="90" s="1"/>
  <c r="V13" i="95"/>
  <c r="U13" i="95"/>
  <c r="S13" i="95"/>
  <c r="S13" i="90" s="1"/>
  <c r="R13" i="95"/>
  <c r="R13" i="90" s="1"/>
  <c r="Q13" i="95"/>
  <c r="P13" i="95"/>
  <c r="L13" i="95"/>
  <c r="L13" i="90" s="1"/>
  <c r="K13" i="95"/>
  <c r="K13" i="90" s="1"/>
  <c r="J13" i="95"/>
  <c r="I13" i="95"/>
  <c r="G13" i="95"/>
  <c r="G13" i="90" s="1"/>
  <c r="F13" i="95"/>
  <c r="F13" i="90" s="1"/>
  <c r="E13" i="95"/>
  <c r="D13" i="95"/>
  <c r="U3" i="95"/>
  <c r="J3" i="95"/>
  <c r="L1" i="95"/>
  <c r="X31" i="89"/>
  <c r="W31" i="89"/>
  <c r="V31" i="89"/>
  <c r="U31" i="89"/>
  <c r="S31" i="89"/>
  <c r="R31" i="89"/>
  <c r="Q31" i="89"/>
  <c r="P31" i="89"/>
  <c r="L31" i="89"/>
  <c r="K31" i="89"/>
  <c r="J31" i="89"/>
  <c r="I31" i="89"/>
  <c r="G31" i="89"/>
  <c r="F31" i="89"/>
  <c r="E31" i="89"/>
  <c r="D31" i="89"/>
  <c r="X30" i="89"/>
  <c r="W30" i="89"/>
  <c r="V30" i="89"/>
  <c r="U30" i="89"/>
  <c r="S30" i="89"/>
  <c r="R30" i="89"/>
  <c r="Q30" i="89"/>
  <c r="P30" i="89"/>
  <c r="L30" i="89"/>
  <c r="K30" i="89"/>
  <c r="J30" i="89"/>
  <c r="I30" i="89"/>
  <c r="G30" i="89"/>
  <c r="F30" i="89"/>
  <c r="E30" i="89"/>
  <c r="D30" i="89"/>
  <c r="X29" i="89"/>
  <c r="W29" i="89"/>
  <c r="V29" i="89"/>
  <c r="U29" i="89"/>
  <c r="S29" i="89"/>
  <c r="R29" i="89"/>
  <c r="Q29" i="89"/>
  <c r="P29" i="89"/>
  <c r="L29" i="89"/>
  <c r="K29" i="89"/>
  <c r="J29" i="89"/>
  <c r="I29" i="89"/>
  <c r="G29" i="89"/>
  <c r="F29" i="89"/>
  <c r="E29" i="89"/>
  <c r="D29" i="89"/>
  <c r="X28" i="89"/>
  <c r="W28" i="89"/>
  <c r="V28" i="89"/>
  <c r="U28" i="89"/>
  <c r="S28" i="89"/>
  <c r="R28" i="89"/>
  <c r="Q28" i="89"/>
  <c r="P28" i="89"/>
  <c r="L28" i="89"/>
  <c r="K28" i="89"/>
  <c r="J28" i="89"/>
  <c r="I28" i="89"/>
  <c r="G28" i="89"/>
  <c r="F28" i="89"/>
  <c r="E28" i="89"/>
  <c r="D28" i="89"/>
  <c r="X27" i="89"/>
  <c r="W27" i="89"/>
  <c r="V27" i="89"/>
  <c r="U27" i="89"/>
  <c r="S27" i="89"/>
  <c r="R27" i="89"/>
  <c r="Q27" i="89"/>
  <c r="P27" i="89"/>
  <c r="L27" i="89"/>
  <c r="K27" i="89"/>
  <c r="J27" i="89"/>
  <c r="I27" i="89"/>
  <c r="G27" i="89"/>
  <c r="F27" i="89"/>
  <c r="E27" i="89"/>
  <c r="D27" i="89"/>
  <c r="X26" i="89"/>
  <c r="W26" i="89"/>
  <c r="V26" i="89"/>
  <c r="U26" i="89"/>
  <c r="S26" i="89"/>
  <c r="R26" i="89"/>
  <c r="Q26" i="89"/>
  <c r="P26" i="89"/>
  <c r="L26" i="89"/>
  <c r="K26" i="89"/>
  <c r="J26" i="89"/>
  <c r="I26" i="89"/>
  <c r="G26" i="89"/>
  <c r="F26" i="89"/>
  <c r="E26" i="89"/>
  <c r="D26" i="89"/>
  <c r="X16" i="89"/>
  <c r="W16" i="89"/>
  <c r="V16" i="89"/>
  <c r="U16" i="89"/>
  <c r="S16" i="89"/>
  <c r="R16" i="89"/>
  <c r="Q16" i="89"/>
  <c r="P16" i="89"/>
  <c r="L16" i="89"/>
  <c r="K16" i="89"/>
  <c r="J16" i="89"/>
  <c r="I16" i="89"/>
  <c r="G16" i="89"/>
  <c r="F16" i="89"/>
  <c r="E16" i="89"/>
  <c r="D16" i="89"/>
  <c r="X15" i="89"/>
  <c r="W15" i="89"/>
  <c r="V15" i="89"/>
  <c r="U15" i="89"/>
  <c r="S15" i="89"/>
  <c r="R15" i="89"/>
  <c r="Q15" i="89"/>
  <c r="P15" i="89"/>
  <c r="L15" i="89"/>
  <c r="K15" i="89"/>
  <c r="J15" i="89"/>
  <c r="I15" i="89"/>
  <c r="G15" i="89"/>
  <c r="F15" i="89"/>
  <c r="E15" i="89"/>
  <c r="D15" i="89"/>
  <c r="X14" i="89"/>
  <c r="W14" i="89"/>
  <c r="V14" i="89"/>
  <c r="U14" i="89"/>
  <c r="S14" i="89"/>
  <c r="R14" i="89"/>
  <c r="Q14" i="89"/>
  <c r="P14" i="89"/>
  <c r="L14" i="89"/>
  <c r="K14" i="89"/>
  <c r="J14" i="89"/>
  <c r="I14" i="89"/>
  <c r="G14" i="89"/>
  <c r="F14" i="89"/>
  <c r="E14" i="89"/>
  <c r="D14" i="89"/>
  <c r="X13" i="89"/>
  <c r="W13" i="89"/>
  <c r="V13" i="89"/>
  <c r="U13" i="89"/>
  <c r="S13" i="89"/>
  <c r="R13" i="89"/>
  <c r="Q13" i="89"/>
  <c r="P13" i="89"/>
  <c r="L13" i="89"/>
  <c r="K13" i="89"/>
  <c r="J13" i="89"/>
  <c r="I13" i="89"/>
  <c r="G13" i="89"/>
  <c r="F13" i="89"/>
  <c r="E13" i="89"/>
  <c r="D13" i="89"/>
  <c r="U3" i="89"/>
  <c r="J3" i="89"/>
  <c r="L1" i="89"/>
  <c r="X31" i="81"/>
  <c r="W31" i="81"/>
  <c r="V31" i="81"/>
  <c r="U31" i="81"/>
  <c r="S31" i="81"/>
  <c r="R31" i="81"/>
  <c r="Q31" i="81"/>
  <c r="P31" i="81"/>
  <c r="L31" i="81"/>
  <c r="K31" i="81"/>
  <c r="J31" i="81"/>
  <c r="I31" i="81"/>
  <c r="G31" i="81"/>
  <c r="F31" i="81"/>
  <c r="E31" i="81"/>
  <c r="D31" i="81"/>
  <c r="X30" i="81"/>
  <c r="W30" i="81"/>
  <c r="V30" i="81"/>
  <c r="U30" i="81"/>
  <c r="S30" i="81"/>
  <c r="R30" i="81"/>
  <c r="Q30" i="81"/>
  <c r="P30" i="81"/>
  <c r="L30" i="81"/>
  <c r="K30" i="81"/>
  <c r="J30" i="81"/>
  <c r="I30" i="81"/>
  <c r="G30" i="81"/>
  <c r="F30" i="81"/>
  <c r="E30" i="81"/>
  <c r="D30" i="81"/>
  <c r="X29" i="81"/>
  <c r="W29" i="81"/>
  <c r="V29" i="81"/>
  <c r="U29" i="81"/>
  <c r="S29" i="81"/>
  <c r="R29" i="81"/>
  <c r="Q29" i="81"/>
  <c r="P29" i="81"/>
  <c r="L29" i="81"/>
  <c r="K29" i="81"/>
  <c r="J29" i="81"/>
  <c r="I29" i="81"/>
  <c r="G29" i="81"/>
  <c r="F29" i="81"/>
  <c r="E29" i="81"/>
  <c r="D29" i="81"/>
  <c r="X28" i="81"/>
  <c r="W28" i="81"/>
  <c r="V28" i="81"/>
  <c r="U28" i="81"/>
  <c r="S28" i="81"/>
  <c r="R28" i="81"/>
  <c r="Q28" i="81"/>
  <c r="P28" i="81"/>
  <c r="L28" i="81"/>
  <c r="K28" i="81"/>
  <c r="J28" i="81"/>
  <c r="I28" i="81"/>
  <c r="G28" i="81"/>
  <c r="F28" i="81"/>
  <c r="E28" i="81"/>
  <c r="D28" i="81"/>
  <c r="X27" i="81"/>
  <c r="W27" i="81"/>
  <c r="V27" i="81"/>
  <c r="U27" i="81"/>
  <c r="S27" i="81"/>
  <c r="R27" i="81"/>
  <c r="Q27" i="81"/>
  <c r="P27" i="81"/>
  <c r="L27" i="81"/>
  <c r="K27" i="81"/>
  <c r="J27" i="81"/>
  <c r="I27" i="81"/>
  <c r="G27" i="81"/>
  <c r="F27" i="81"/>
  <c r="E27" i="81"/>
  <c r="D27" i="81"/>
  <c r="X26" i="81"/>
  <c r="W26" i="81"/>
  <c r="V26" i="81"/>
  <c r="U26" i="81"/>
  <c r="S26" i="81"/>
  <c r="R26" i="81"/>
  <c r="Q26" i="81"/>
  <c r="P26" i="81"/>
  <c r="L26" i="81"/>
  <c r="K26" i="81"/>
  <c r="J26" i="81"/>
  <c r="I26" i="81"/>
  <c r="G26" i="81"/>
  <c r="F26" i="81"/>
  <c r="E26" i="81"/>
  <c r="D26" i="81"/>
  <c r="X25" i="81"/>
  <c r="W25" i="81"/>
  <c r="V25" i="81"/>
  <c r="U25" i="81"/>
  <c r="T25" i="81"/>
  <c r="S25" i="81"/>
  <c r="R25" i="81"/>
  <c r="Q25" i="81"/>
  <c r="P25" i="81"/>
  <c r="O25" i="81"/>
  <c r="L25" i="81"/>
  <c r="K25" i="81"/>
  <c r="J25" i="81"/>
  <c r="I25" i="81"/>
  <c r="H25" i="81"/>
  <c r="G25" i="81"/>
  <c r="F25" i="81"/>
  <c r="E25" i="81"/>
  <c r="D25" i="81"/>
  <c r="C25" i="81"/>
  <c r="X24" i="81"/>
  <c r="W24" i="81"/>
  <c r="V24" i="81"/>
  <c r="U24" i="81"/>
  <c r="T24" i="81"/>
  <c r="S24" i="81"/>
  <c r="R24" i="81"/>
  <c r="Q24" i="81"/>
  <c r="P24" i="81"/>
  <c r="O24" i="81"/>
  <c r="L24" i="81"/>
  <c r="K24" i="81"/>
  <c r="J24" i="81"/>
  <c r="I24" i="81"/>
  <c r="H24" i="81"/>
  <c r="G24" i="81"/>
  <c r="F24" i="81"/>
  <c r="E24" i="81"/>
  <c r="D24" i="81"/>
  <c r="C24" i="81"/>
  <c r="X23" i="81"/>
  <c r="W23" i="81"/>
  <c r="V23" i="81"/>
  <c r="U23" i="81"/>
  <c r="T23" i="81"/>
  <c r="S23" i="81"/>
  <c r="R23" i="81"/>
  <c r="Q23" i="81"/>
  <c r="P23" i="81"/>
  <c r="O23" i="81"/>
  <c r="L23" i="81"/>
  <c r="K23" i="81"/>
  <c r="J23" i="81"/>
  <c r="I23" i="81"/>
  <c r="H23" i="81"/>
  <c r="G23" i="81"/>
  <c r="F23" i="81"/>
  <c r="E23" i="81"/>
  <c r="D23" i="81"/>
  <c r="C23" i="81"/>
  <c r="X22" i="81"/>
  <c r="W22" i="81"/>
  <c r="V22" i="81"/>
  <c r="U22" i="81"/>
  <c r="T22" i="81"/>
  <c r="S22" i="81"/>
  <c r="R22" i="81"/>
  <c r="Q22" i="81"/>
  <c r="P22" i="81"/>
  <c r="O22" i="81"/>
  <c r="L22" i="81"/>
  <c r="K22" i="81"/>
  <c r="J22" i="81"/>
  <c r="I22" i="81"/>
  <c r="H22" i="81"/>
  <c r="G22" i="81"/>
  <c r="F22" i="81"/>
  <c r="E22" i="81"/>
  <c r="D22" i="81"/>
  <c r="C22" i="81"/>
  <c r="X21" i="81"/>
  <c r="W21" i="81"/>
  <c r="V21" i="81"/>
  <c r="U21" i="81"/>
  <c r="T21" i="81"/>
  <c r="S21" i="81"/>
  <c r="R21" i="81"/>
  <c r="Q21" i="81"/>
  <c r="P21" i="81"/>
  <c r="O21" i="81"/>
  <c r="L21" i="81"/>
  <c r="K21" i="81"/>
  <c r="J21" i="81"/>
  <c r="I21" i="81"/>
  <c r="H21" i="81"/>
  <c r="G21" i="81"/>
  <c r="F21" i="81"/>
  <c r="E21" i="81"/>
  <c r="D21" i="81"/>
  <c r="C21" i="81"/>
  <c r="X20" i="81"/>
  <c r="W20" i="81"/>
  <c r="V20" i="81"/>
  <c r="U20" i="81"/>
  <c r="T20" i="81"/>
  <c r="S20" i="81"/>
  <c r="R20" i="81"/>
  <c r="Q20" i="81"/>
  <c r="P20" i="81"/>
  <c r="O20" i="81"/>
  <c r="L20" i="81"/>
  <c r="K20" i="81"/>
  <c r="I20" i="81"/>
  <c r="H20" i="81"/>
  <c r="G20" i="81"/>
  <c r="F20" i="81"/>
  <c r="E20" i="81"/>
  <c r="D20" i="81"/>
  <c r="C20" i="81"/>
  <c r="X19" i="81"/>
  <c r="W19" i="81"/>
  <c r="V19" i="81"/>
  <c r="U19" i="81"/>
  <c r="T19" i="81"/>
  <c r="S19" i="81"/>
  <c r="R19" i="81"/>
  <c r="Q19" i="81"/>
  <c r="P19" i="81"/>
  <c r="O19" i="81"/>
  <c r="L19" i="81"/>
  <c r="K19" i="81"/>
  <c r="J19" i="81"/>
  <c r="I19" i="81"/>
  <c r="H19" i="81"/>
  <c r="G19" i="81"/>
  <c r="F19" i="81"/>
  <c r="E19" i="81"/>
  <c r="D19" i="81"/>
  <c r="C19" i="81"/>
  <c r="X18" i="81"/>
  <c r="W18" i="81"/>
  <c r="V18" i="81"/>
  <c r="U18" i="81"/>
  <c r="T18" i="81"/>
  <c r="S18" i="81"/>
  <c r="R18" i="81"/>
  <c r="Q18" i="81"/>
  <c r="P18" i="81"/>
  <c r="O18" i="81"/>
  <c r="L18" i="81"/>
  <c r="K18" i="81"/>
  <c r="J18" i="81"/>
  <c r="I18" i="81"/>
  <c r="H18" i="81"/>
  <c r="G18" i="81"/>
  <c r="F18" i="81"/>
  <c r="E18" i="81"/>
  <c r="D18" i="81"/>
  <c r="C18" i="81"/>
  <c r="X17" i="81"/>
  <c r="W17" i="81"/>
  <c r="V17" i="81"/>
  <c r="U17" i="81"/>
  <c r="T17" i="81"/>
  <c r="S17" i="81"/>
  <c r="R17" i="81"/>
  <c r="Q17" i="81"/>
  <c r="P17" i="81"/>
  <c r="O17" i="81"/>
  <c r="L17" i="81"/>
  <c r="K17" i="81"/>
  <c r="J17" i="81"/>
  <c r="I17" i="81"/>
  <c r="H17" i="81"/>
  <c r="G17" i="81"/>
  <c r="F17" i="81"/>
  <c r="E17" i="81"/>
  <c r="D17" i="81"/>
  <c r="C17" i="81"/>
  <c r="X16" i="81"/>
  <c r="W16" i="81"/>
  <c r="V16" i="81"/>
  <c r="U16" i="81"/>
  <c r="T16" i="81"/>
  <c r="S16" i="81"/>
  <c r="R16" i="81"/>
  <c r="Q16" i="81"/>
  <c r="P16" i="81"/>
  <c r="O16" i="81"/>
  <c r="L16" i="81"/>
  <c r="K16" i="81"/>
  <c r="J16" i="81"/>
  <c r="I16" i="81"/>
  <c r="H16" i="81"/>
  <c r="G16" i="81"/>
  <c r="F16" i="81"/>
  <c r="E16" i="81"/>
  <c r="D16" i="81"/>
  <c r="C16" i="81"/>
  <c r="X15" i="81"/>
  <c r="W15" i="81"/>
  <c r="V15" i="81"/>
  <c r="U15" i="81"/>
  <c r="S15" i="81"/>
  <c r="R15" i="81"/>
  <c r="Q15" i="81"/>
  <c r="P15" i="81"/>
  <c r="L15" i="81"/>
  <c r="K15" i="81"/>
  <c r="J15" i="81"/>
  <c r="I15" i="81"/>
  <c r="G15" i="81"/>
  <c r="F15" i="81"/>
  <c r="E15" i="81"/>
  <c r="D15" i="81"/>
  <c r="X14" i="81"/>
  <c r="W14" i="81"/>
  <c r="V14" i="81"/>
  <c r="U14" i="81"/>
  <c r="S14" i="81"/>
  <c r="R14" i="81"/>
  <c r="Q14" i="81"/>
  <c r="P14" i="81"/>
  <c r="L14" i="81"/>
  <c r="K14" i="81"/>
  <c r="J14" i="81"/>
  <c r="I14" i="81"/>
  <c r="G14" i="81"/>
  <c r="F14" i="81"/>
  <c r="E14" i="81"/>
  <c r="D14" i="81"/>
  <c r="X13" i="81"/>
  <c r="W13" i="81"/>
  <c r="V13" i="81"/>
  <c r="U13" i="81"/>
  <c r="S13" i="81"/>
  <c r="R13" i="81"/>
  <c r="Q13" i="81"/>
  <c r="P13" i="81"/>
  <c r="L13" i="81"/>
  <c r="K13" i="81"/>
  <c r="J13" i="81"/>
  <c r="I13" i="81"/>
  <c r="G13" i="81"/>
  <c r="F13" i="81"/>
  <c r="E13" i="81"/>
  <c r="D13" i="81"/>
  <c r="S3" i="81"/>
  <c r="I3" i="81"/>
  <c r="L1" i="81"/>
  <c r="X31" i="87"/>
  <c r="W31" i="87"/>
  <c r="V31" i="87"/>
  <c r="U31" i="87"/>
  <c r="S31" i="87"/>
  <c r="R31" i="87"/>
  <c r="Q31" i="87"/>
  <c r="P31" i="87"/>
  <c r="L31" i="87"/>
  <c r="K31" i="87"/>
  <c r="J31" i="87"/>
  <c r="I31" i="87"/>
  <c r="G31" i="87"/>
  <c r="F31" i="87"/>
  <c r="E31" i="87"/>
  <c r="D31" i="87"/>
  <c r="X30" i="87"/>
  <c r="W30" i="87"/>
  <c r="V30" i="87"/>
  <c r="U30" i="87"/>
  <c r="S30" i="87"/>
  <c r="R30" i="87"/>
  <c r="Q30" i="87"/>
  <c r="P30" i="87"/>
  <c r="L30" i="87"/>
  <c r="K30" i="87"/>
  <c r="J30" i="87"/>
  <c r="I30" i="87"/>
  <c r="G30" i="87"/>
  <c r="F30" i="87"/>
  <c r="E30" i="87"/>
  <c r="D30" i="87"/>
  <c r="X29" i="87"/>
  <c r="W29" i="87"/>
  <c r="V29" i="87"/>
  <c r="U29" i="87"/>
  <c r="S29" i="87"/>
  <c r="R29" i="87"/>
  <c r="Q29" i="87"/>
  <c r="P29" i="87"/>
  <c r="L29" i="87"/>
  <c r="K29" i="87"/>
  <c r="J29" i="87"/>
  <c r="I29" i="87"/>
  <c r="G29" i="87"/>
  <c r="F29" i="87"/>
  <c r="E29" i="87"/>
  <c r="D29" i="87"/>
  <c r="X28" i="87"/>
  <c r="W28" i="87"/>
  <c r="V28" i="87"/>
  <c r="U28" i="87"/>
  <c r="S28" i="87"/>
  <c r="R28" i="87"/>
  <c r="Q28" i="87"/>
  <c r="P28" i="87"/>
  <c r="L28" i="87"/>
  <c r="K28" i="87"/>
  <c r="J28" i="87"/>
  <c r="I28" i="87"/>
  <c r="G28" i="87"/>
  <c r="F28" i="87"/>
  <c r="E28" i="87"/>
  <c r="D28" i="87"/>
  <c r="X27" i="87"/>
  <c r="W27" i="87"/>
  <c r="V27" i="87"/>
  <c r="U27" i="87"/>
  <c r="S27" i="87"/>
  <c r="R27" i="87"/>
  <c r="Q27" i="87"/>
  <c r="P27" i="87"/>
  <c r="L27" i="87"/>
  <c r="K27" i="87"/>
  <c r="J27" i="87"/>
  <c r="I27" i="87"/>
  <c r="G27" i="87"/>
  <c r="F27" i="87"/>
  <c r="E27" i="87"/>
  <c r="D27" i="87"/>
  <c r="X26" i="87"/>
  <c r="W26" i="87"/>
  <c r="V26" i="87"/>
  <c r="U26" i="87"/>
  <c r="S26" i="87"/>
  <c r="R26" i="87"/>
  <c r="Q26" i="87"/>
  <c r="P26" i="87"/>
  <c r="L26" i="87"/>
  <c r="K26" i="87"/>
  <c r="J26" i="87"/>
  <c r="I26" i="87"/>
  <c r="G26" i="87"/>
  <c r="F26" i="87"/>
  <c r="E26" i="87"/>
  <c r="D26" i="87"/>
  <c r="C25" i="87"/>
  <c r="C24" i="87"/>
  <c r="C23" i="87"/>
  <c r="C22" i="87"/>
  <c r="C21" i="87"/>
  <c r="C20" i="87"/>
  <c r="C19" i="87"/>
  <c r="C18" i="87"/>
  <c r="C17" i="87"/>
  <c r="X16" i="87"/>
  <c r="W16" i="87"/>
  <c r="V16" i="87"/>
  <c r="U16" i="87"/>
  <c r="S16" i="87"/>
  <c r="R16" i="87"/>
  <c r="Q16" i="87"/>
  <c r="P16" i="87"/>
  <c r="L16" i="87"/>
  <c r="K16" i="87"/>
  <c r="J16" i="87"/>
  <c r="I16" i="87"/>
  <c r="G16" i="87"/>
  <c r="F16" i="87"/>
  <c r="E16" i="87"/>
  <c r="D16" i="87"/>
  <c r="C16" i="87"/>
  <c r="X15" i="87"/>
  <c r="W15" i="87"/>
  <c r="V15" i="87"/>
  <c r="U15" i="87"/>
  <c r="S15" i="87"/>
  <c r="R15" i="87"/>
  <c r="Q15" i="87"/>
  <c r="P15" i="87"/>
  <c r="L15" i="87"/>
  <c r="K15" i="87"/>
  <c r="J15" i="87"/>
  <c r="I15" i="87"/>
  <c r="G15" i="87"/>
  <c r="F15" i="87"/>
  <c r="E15" i="87"/>
  <c r="D15" i="87"/>
  <c r="X14" i="87"/>
  <c r="W14" i="87"/>
  <c r="V14" i="87"/>
  <c r="U14" i="87"/>
  <c r="S14" i="87"/>
  <c r="R14" i="87"/>
  <c r="Q14" i="87"/>
  <c r="P14" i="87"/>
  <c r="L14" i="87"/>
  <c r="K14" i="87"/>
  <c r="J14" i="87"/>
  <c r="I14" i="87"/>
  <c r="G14" i="87"/>
  <c r="F14" i="87"/>
  <c r="E14" i="87"/>
  <c r="D14" i="87"/>
  <c r="X13" i="87"/>
  <c r="W13" i="87"/>
  <c r="V13" i="87"/>
  <c r="U13" i="87"/>
  <c r="S13" i="87"/>
  <c r="R13" i="87"/>
  <c r="Q13" i="87"/>
  <c r="P13" i="87"/>
  <c r="L13" i="87"/>
  <c r="K13" i="87"/>
  <c r="J13" i="87"/>
  <c r="I13" i="87"/>
  <c r="G13" i="87"/>
  <c r="F13" i="87"/>
  <c r="E13" i="87"/>
  <c r="D13" i="87"/>
  <c r="U3" i="87"/>
  <c r="J3" i="87"/>
  <c r="AA60" i="91"/>
  <c r="T60" i="91"/>
  <c r="O60" i="91"/>
  <c r="H60" i="91"/>
  <c r="C60" i="91"/>
  <c r="AA59" i="91"/>
  <c r="T59" i="91"/>
  <c r="O59" i="91"/>
  <c r="H59" i="91"/>
  <c r="C59" i="91"/>
  <c r="AA58" i="91"/>
  <c r="T58" i="91"/>
  <c r="O58" i="91"/>
  <c r="H58" i="91"/>
  <c r="C58" i="91"/>
  <c r="AA57" i="91"/>
  <c r="T57" i="91"/>
  <c r="O57" i="91"/>
  <c r="H57" i="91"/>
  <c r="C57" i="91"/>
  <c r="AA56" i="91"/>
  <c r="T56" i="91"/>
  <c r="O56" i="91"/>
  <c r="H56" i="91"/>
  <c r="C56" i="91"/>
  <c r="AA55" i="91"/>
  <c r="T55" i="91"/>
  <c r="O55" i="91"/>
  <c r="H55" i="91"/>
  <c r="C55" i="91"/>
  <c r="AA54" i="91"/>
  <c r="T54" i="91"/>
  <c r="O54" i="91"/>
  <c r="H54" i="91"/>
  <c r="C54" i="91"/>
  <c r="AA53" i="91"/>
  <c r="T53" i="91"/>
  <c r="O53" i="91"/>
  <c r="H53" i="91"/>
  <c r="C53" i="91"/>
  <c r="AA52" i="91"/>
  <c r="T52" i="91"/>
  <c r="O52" i="91"/>
  <c r="H52" i="91"/>
  <c r="C52" i="91"/>
  <c r="AA51" i="91"/>
  <c r="T51" i="91"/>
  <c r="O51" i="91"/>
  <c r="H51" i="91"/>
  <c r="C51" i="91"/>
  <c r="M36" i="91"/>
  <c r="G36" i="91"/>
  <c r="H26" i="91"/>
  <c r="C26" i="91"/>
  <c r="H25" i="91"/>
  <c r="C25" i="91"/>
  <c r="H24" i="91"/>
  <c r="C24" i="91"/>
  <c r="H23" i="91"/>
  <c r="C23" i="91"/>
  <c r="H22" i="91"/>
  <c r="C22" i="91"/>
  <c r="H21" i="91"/>
  <c r="C21" i="91"/>
  <c r="H20" i="91"/>
  <c r="C20" i="91"/>
  <c r="H19" i="91"/>
  <c r="C19" i="91"/>
  <c r="H18" i="91"/>
  <c r="C18" i="91"/>
  <c r="H17" i="91"/>
  <c r="C17" i="91"/>
  <c r="AI3" i="91"/>
  <c r="AC3" i="91"/>
  <c r="W3" i="91"/>
  <c r="Q3" i="91"/>
  <c r="L3" i="91"/>
  <c r="F3" i="91"/>
  <c r="AH1" i="91"/>
  <c r="V1" i="91"/>
  <c r="K1" i="91"/>
  <c r="Q60" i="94"/>
  <c r="N60" i="94"/>
  <c r="R25" i="97" s="1"/>
  <c r="J60" i="94"/>
  <c r="R25" i="96" s="1"/>
  <c r="F60" i="94"/>
  <c r="R25" i="95" s="1"/>
  <c r="R25" i="90" s="1"/>
  <c r="C60" i="94"/>
  <c r="AB59" i="94"/>
  <c r="W24" i="97" s="1"/>
  <c r="X59" i="94"/>
  <c r="W24" i="96" s="1"/>
  <c r="T59" i="94"/>
  <c r="W24" i="95" s="1"/>
  <c r="W24" i="90" s="1"/>
  <c r="Q59" i="94"/>
  <c r="C59" i="94"/>
  <c r="AB58" i="94"/>
  <c r="W23" i="97" s="1"/>
  <c r="X58" i="94"/>
  <c r="W23" i="96" s="1"/>
  <c r="T58" i="94"/>
  <c r="W23" i="95" s="1"/>
  <c r="W23" i="90" s="1"/>
  <c r="Q58" i="94"/>
  <c r="N58" i="94"/>
  <c r="R23" i="97" s="1"/>
  <c r="M58" i="94"/>
  <c r="Q23" i="97" s="1"/>
  <c r="J58" i="94"/>
  <c r="R23" i="96" s="1"/>
  <c r="I58" i="94"/>
  <c r="Q23" i="96" s="1"/>
  <c r="F58" i="94"/>
  <c r="R23" i="95" s="1"/>
  <c r="R23" i="90" s="1"/>
  <c r="E58" i="94"/>
  <c r="Q23" i="95" s="1"/>
  <c r="Q23" i="90" s="1"/>
  <c r="C58" i="94"/>
  <c r="AB57" i="94"/>
  <c r="W22" i="97" s="1"/>
  <c r="X57" i="94"/>
  <c r="W22" i="96" s="1"/>
  <c r="T57" i="94"/>
  <c r="W22" i="95" s="1"/>
  <c r="W22" i="90" s="1"/>
  <c r="Q57" i="94"/>
  <c r="N57" i="94"/>
  <c r="R22" i="97" s="1"/>
  <c r="J57" i="94"/>
  <c r="R22" i="96" s="1"/>
  <c r="F57" i="94"/>
  <c r="R22" i="95" s="1"/>
  <c r="R22" i="90" s="1"/>
  <c r="C57" i="94"/>
  <c r="Q56" i="94"/>
  <c r="N56" i="94"/>
  <c r="R21" i="97" s="1"/>
  <c r="J56" i="94"/>
  <c r="R21" i="96" s="1"/>
  <c r="F56" i="94"/>
  <c r="R21" i="95" s="1"/>
  <c r="R21" i="90" s="1"/>
  <c r="C56" i="94"/>
  <c r="AB55" i="94"/>
  <c r="W20" i="97" s="1"/>
  <c r="X55" i="94"/>
  <c r="W20" i="96" s="1"/>
  <c r="T55" i="94"/>
  <c r="W20" i="95" s="1"/>
  <c r="W20" i="90" s="1"/>
  <c r="Q55" i="94"/>
  <c r="N55" i="94"/>
  <c r="R20" i="97" s="1"/>
  <c r="M55" i="94"/>
  <c r="Q20" i="97" s="1"/>
  <c r="J55" i="94"/>
  <c r="R20" i="96" s="1"/>
  <c r="I55" i="94"/>
  <c r="Q20" i="96" s="1"/>
  <c r="F55" i="94"/>
  <c r="R20" i="95" s="1"/>
  <c r="R20" i="90" s="1"/>
  <c r="E55" i="94"/>
  <c r="Q20" i="95" s="1"/>
  <c r="Q20" i="90" s="1"/>
  <c r="C55" i="94"/>
  <c r="Q54" i="94"/>
  <c r="N54" i="94"/>
  <c r="R19" i="97" s="1"/>
  <c r="M54" i="94"/>
  <c r="Q19" i="97" s="1"/>
  <c r="J54" i="94"/>
  <c r="R19" i="96" s="1"/>
  <c r="I54" i="94"/>
  <c r="Q19" i="96" s="1"/>
  <c r="F54" i="94"/>
  <c r="R19" i="95" s="1"/>
  <c r="R19" i="90" s="1"/>
  <c r="E54" i="94"/>
  <c r="Q19" i="95" s="1"/>
  <c r="Q19" i="90" s="1"/>
  <c r="C54" i="94"/>
  <c r="AB53" i="94"/>
  <c r="W18" i="97" s="1"/>
  <c r="AA53" i="94"/>
  <c r="V18" i="97" s="1"/>
  <c r="X53" i="94"/>
  <c r="W18" i="96" s="1"/>
  <c r="W53" i="94"/>
  <c r="V18" i="96" s="1"/>
  <c r="T53" i="94"/>
  <c r="W18" i="95" s="1"/>
  <c r="W18" i="90" s="1"/>
  <c r="S53" i="94"/>
  <c r="V18" i="95" s="1"/>
  <c r="V18" i="90" s="1"/>
  <c r="Q53" i="94"/>
  <c r="N53" i="94"/>
  <c r="R18" i="97" s="1"/>
  <c r="M53" i="94"/>
  <c r="Q18" i="97" s="1"/>
  <c r="J53" i="94"/>
  <c r="R18" i="96" s="1"/>
  <c r="I53" i="94"/>
  <c r="Q18" i="96" s="1"/>
  <c r="F53" i="94"/>
  <c r="R18" i="95" s="1"/>
  <c r="R18" i="90" s="1"/>
  <c r="E53" i="94"/>
  <c r="Q18" i="95" s="1"/>
  <c r="Q18" i="90" s="1"/>
  <c r="C53" i="94"/>
  <c r="AC52" i="94"/>
  <c r="X17" i="97" s="1"/>
  <c r="AB52" i="94"/>
  <c r="W17" i="97" s="1"/>
  <c r="Y52" i="94"/>
  <c r="X17" i="96" s="1"/>
  <c r="X52" i="94"/>
  <c r="W17" i="96" s="1"/>
  <c r="U52" i="94"/>
  <c r="X17" i="95" s="1"/>
  <c r="X17" i="90" s="1"/>
  <c r="T52" i="94"/>
  <c r="W17" i="95" s="1"/>
  <c r="W17" i="90" s="1"/>
  <c r="Q52" i="94"/>
  <c r="N52" i="94"/>
  <c r="R17" i="97" s="1"/>
  <c r="J52" i="94"/>
  <c r="R17" i="96" s="1"/>
  <c r="F52" i="94"/>
  <c r="R17" i="95" s="1"/>
  <c r="R17" i="90" s="1"/>
  <c r="C52" i="94"/>
  <c r="Q51" i="94"/>
  <c r="C51" i="94"/>
  <c r="M37" i="94"/>
  <c r="G37" i="94"/>
  <c r="AB26" i="94"/>
  <c r="K25" i="97" s="1"/>
  <c r="X26" i="94"/>
  <c r="K25" i="96" s="1"/>
  <c r="T26" i="94"/>
  <c r="K25" i="95" s="1"/>
  <c r="K25" i="90" s="1"/>
  <c r="Q26" i="94"/>
  <c r="N26" i="94"/>
  <c r="F25" i="97" s="1"/>
  <c r="J26" i="94"/>
  <c r="F25" i="96" s="1"/>
  <c r="F26" i="94"/>
  <c r="F25" i="95" s="1"/>
  <c r="F25" i="90" s="1"/>
  <c r="C26" i="94"/>
  <c r="AB25" i="94"/>
  <c r="K24" i="97" s="1"/>
  <c r="X25" i="94"/>
  <c r="K24" i="96" s="1"/>
  <c r="T25" i="94"/>
  <c r="K24" i="95" s="1"/>
  <c r="K24" i="90" s="1"/>
  <c r="Q25" i="94"/>
  <c r="N25" i="94"/>
  <c r="F24" i="97" s="1"/>
  <c r="J25" i="94"/>
  <c r="F24" i="96" s="1"/>
  <c r="F25" i="94"/>
  <c r="F24" i="95" s="1"/>
  <c r="F24" i="90" s="1"/>
  <c r="C25" i="94"/>
  <c r="AB24" i="94"/>
  <c r="K23" i="97" s="1"/>
  <c r="X24" i="94"/>
  <c r="K23" i="96" s="1"/>
  <c r="T24" i="94"/>
  <c r="K23" i="95" s="1"/>
  <c r="K23" i="90" s="1"/>
  <c r="Q24" i="94"/>
  <c r="N24" i="94"/>
  <c r="F23" i="97" s="1"/>
  <c r="J24" i="94"/>
  <c r="F23" i="96" s="1"/>
  <c r="F24" i="94"/>
  <c r="F23" i="95" s="1"/>
  <c r="F23" i="90" s="1"/>
  <c r="C24" i="94"/>
  <c r="AB23" i="94"/>
  <c r="K22" i="97" s="1"/>
  <c r="X23" i="94"/>
  <c r="K22" i="96" s="1"/>
  <c r="T23" i="94"/>
  <c r="K22" i="95" s="1"/>
  <c r="K22" i="90" s="1"/>
  <c r="Q23" i="94"/>
  <c r="N23" i="94"/>
  <c r="F22" i="97" s="1"/>
  <c r="J23" i="94"/>
  <c r="F22" i="96" s="1"/>
  <c r="F23" i="94"/>
  <c r="F22" i="95" s="1"/>
  <c r="F22" i="90" s="1"/>
  <c r="C23" i="94"/>
  <c r="AB22" i="94"/>
  <c r="K21" i="97" s="1"/>
  <c r="X22" i="94"/>
  <c r="K21" i="96" s="1"/>
  <c r="T22" i="94"/>
  <c r="K21" i="95" s="1"/>
  <c r="K21" i="90" s="1"/>
  <c r="Q22" i="94"/>
  <c r="N22" i="94"/>
  <c r="F21" i="97" s="1"/>
  <c r="J22" i="94"/>
  <c r="F21" i="96" s="1"/>
  <c r="F22" i="94"/>
  <c r="F21" i="95" s="1"/>
  <c r="F21" i="90" s="1"/>
  <c r="C22" i="94"/>
  <c r="AB21" i="94"/>
  <c r="K20" i="97" s="1"/>
  <c r="X21" i="94"/>
  <c r="K20" i="96" s="1"/>
  <c r="T21" i="94"/>
  <c r="K20" i="95" s="1"/>
  <c r="K20" i="90" s="1"/>
  <c r="Q21" i="94"/>
  <c r="N21" i="94"/>
  <c r="F20" i="97" s="1"/>
  <c r="J21" i="94"/>
  <c r="F20" i="96" s="1"/>
  <c r="F21" i="94"/>
  <c r="F20" i="95" s="1"/>
  <c r="F20" i="90" s="1"/>
  <c r="C21" i="94"/>
  <c r="AB20" i="94"/>
  <c r="K19" i="97" s="1"/>
  <c r="AA20" i="94"/>
  <c r="J19" i="97" s="1"/>
  <c r="X20" i="94"/>
  <c r="K19" i="96" s="1"/>
  <c r="W20" i="94"/>
  <c r="J19" i="96" s="1"/>
  <c r="T20" i="94"/>
  <c r="K19" i="95" s="1"/>
  <c r="K19" i="90" s="1"/>
  <c r="S20" i="94"/>
  <c r="J19" i="95" s="1"/>
  <c r="J19" i="90" s="1"/>
  <c r="Q20" i="94"/>
  <c r="N20" i="94"/>
  <c r="F19" i="97" s="1"/>
  <c r="M20" i="94"/>
  <c r="E19" i="97" s="1"/>
  <c r="J20" i="94"/>
  <c r="F19" i="96" s="1"/>
  <c r="I20" i="94"/>
  <c r="E19" i="96" s="1"/>
  <c r="F20" i="94"/>
  <c r="F19" i="95" s="1"/>
  <c r="F19" i="90" s="1"/>
  <c r="E20" i="94"/>
  <c r="E19" i="95" s="1"/>
  <c r="E19" i="90" s="1"/>
  <c r="C20" i="94"/>
  <c r="AB19" i="94"/>
  <c r="K18" i="97" s="1"/>
  <c r="AA19" i="94"/>
  <c r="J18" i="97" s="1"/>
  <c r="X19" i="94"/>
  <c r="K18" i="96" s="1"/>
  <c r="W19" i="94"/>
  <c r="J18" i="96" s="1"/>
  <c r="T19" i="94"/>
  <c r="K18" i="95" s="1"/>
  <c r="K18" i="90" s="1"/>
  <c r="S19" i="94"/>
  <c r="J18" i="95" s="1"/>
  <c r="J18" i="90" s="1"/>
  <c r="Q19" i="94"/>
  <c r="N19" i="94"/>
  <c r="F18" i="97" s="1"/>
  <c r="M19" i="94"/>
  <c r="E18" i="97" s="1"/>
  <c r="J19" i="94"/>
  <c r="F18" i="96" s="1"/>
  <c r="I19" i="94"/>
  <c r="E18" i="96" s="1"/>
  <c r="F19" i="94"/>
  <c r="F18" i="95" s="1"/>
  <c r="F18" i="90" s="1"/>
  <c r="E19" i="94"/>
  <c r="E18" i="95" s="1"/>
  <c r="E18" i="90" s="1"/>
  <c r="C19" i="94"/>
  <c r="AB18" i="94"/>
  <c r="K17" i="97" s="1"/>
  <c r="AA18" i="94"/>
  <c r="J17" i="97" s="1"/>
  <c r="X18" i="94"/>
  <c r="K17" i="96" s="1"/>
  <c r="W18" i="94"/>
  <c r="J17" i="96" s="1"/>
  <c r="T18" i="94"/>
  <c r="K17" i="95" s="1"/>
  <c r="K17" i="90" s="1"/>
  <c r="S18" i="94"/>
  <c r="J17" i="95" s="1"/>
  <c r="J17" i="90" s="1"/>
  <c r="Q18" i="94"/>
  <c r="N18" i="94"/>
  <c r="F17" i="97" s="1"/>
  <c r="M18" i="94"/>
  <c r="E17" i="97" s="1"/>
  <c r="J18" i="94"/>
  <c r="F17" i="96" s="1"/>
  <c r="I18" i="94"/>
  <c r="E17" i="96" s="1"/>
  <c r="F18" i="94"/>
  <c r="F17" i="95" s="1"/>
  <c r="F17" i="90" s="1"/>
  <c r="E18" i="94"/>
  <c r="E17" i="95" s="1"/>
  <c r="E17" i="90" s="1"/>
  <c r="C18" i="94"/>
  <c r="Q17" i="94"/>
  <c r="C17" i="94"/>
  <c r="M3" i="94"/>
  <c r="G3" i="94"/>
  <c r="J1" i="94"/>
  <c r="M60" i="79"/>
  <c r="J60" i="79"/>
  <c r="R25" i="88" s="1"/>
  <c r="F60" i="79"/>
  <c r="R25" i="87" s="1"/>
  <c r="C60" i="79"/>
  <c r="T59" i="79"/>
  <c r="P59" i="79"/>
  <c r="W24" i="87" s="1"/>
  <c r="M59" i="79"/>
  <c r="C59" i="79"/>
  <c r="T58" i="79"/>
  <c r="P58" i="79"/>
  <c r="W23" i="87" s="1"/>
  <c r="M58" i="79"/>
  <c r="J58" i="79"/>
  <c r="R23" i="88" s="1"/>
  <c r="I58" i="79"/>
  <c r="F58" i="79"/>
  <c r="R23" i="87" s="1"/>
  <c r="E58" i="79"/>
  <c r="Q23" i="87" s="1"/>
  <c r="C58" i="79"/>
  <c r="T57" i="79"/>
  <c r="P57" i="79"/>
  <c r="W22" i="87" s="1"/>
  <c r="M57" i="79"/>
  <c r="J57" i="79"/>
  <c r="R22" i="88" s="1"/>
  <c r="F57" i="79"/>
  <c r="R22" i="87" s="1"/>
  <c r="C57" i="79"/>
  <c r="M56" i="79"/>
  <c r="J56" i="79"/>
  <c r="F56" i="79"/>
  <c r="R21" i="87" s="1"/>
  <c r="C56" i="79"/>
  <c r="T55" i="79"/>
  <c r="P55" i="79"/>
  <c r="W20" i="87" s="1"/>
  <c r="M55" i="79"/>
  <c r="J55" i="79"/>
  <c r="R20" i="88" s="1"/>
  <c r="I55" i="79"/>
  <c r="Q20" i="88" s="1"/>
  <c r="F55" i="79"/>
  <c r="R20" i="87" s="1"/>
  <c r="E55" i="79"/>
  <c r="Q20" i="87" s="1"/>
  <c r="C55" i="79"/>
  <c r="M54" i="79"/>
  <c r="J54" i="79"/>
  <c r="I54" i="79"/>
  <c r="Q19" i="88" s="1"/>
  <c r="F54" i="79"/>
  <c r="R19" i="87" s="1"/>
  <c r="E54" i="79"/>
  <c r="Q19" i="87" s="1"/>
  <c r="C54" i="79"/>
  <c r="T53" i="79"/>
  <c r="S53" i="79"/>
  <c r="V18" i="88" s="1"/>
  <c r="P53" i="79"/>
  <c r="W18" i="87" s="1"/>
  <c r="O53" i="79"/>
  <c r="V18" i="87" s="1"/>
  <c r="M53" i="79"/>
  <c r="J53" i="79"/>
  <c r="R18" i="88" s="1"/>
  <c r="I53" i="79"/>
  <c r="Q18" i="88" s="1"/>
  <c r="F53" i="79"/>
  <c r="R18" i="87" s="1"/>
  <c r="E53" i="79"/>
  <c r="Q18" i="87" s="1"/>
  <c r="C53" i="79"/>
  <c r="U52" i="79"/>
  <c r="T52" i="79"/>
  <c r="W17" i="88" s="1"/>
  <c r="Q52" i="79"/>
  <c r="X17" i="87" s="1"/>
  <c r="P52" i="79"/>
  <c r="W17" i="87" s="1"/>
  <c r="M52" i="79"/>
  <c r="J52" i="79"/>
  <c r="F52" i="79"/>
  <c r="R17" i="87" s="1"/>
  <c r="C52" i="79"/>
  <c r="M51" i="79"/>
  <c r="C51" i="79"/>
  <c r="M37" i="79"/>
  <c r="G37" i="79"/>
  <c r="T26" i="79"/>
  <c r="K25" i="88" s="1"/>
  <c r="P26" i="79"/>
  <c r="K25" i="87" s="1"/>
  <c r="M26" i="79"/>
  <c r="J26" i="79"/>
  <c r="F26" i="79"/>
  <c r="F25" i="87" s="1"/>
  <c r="C26" i="79"/>
  <c r="T25" i="79"/>
  <c r="P25" i="79"/>
  <c r="K24" i="87" s="1"/>
  <c r="M25" i="79"/>
  <c r="J25" i="79"/>
  <c r="F25" i="79"/>
  <c r="F24" i="87" s="1"/>
  <c r="C25" i="79"/>
  <c r="T24" i="79"/>
  <c r="K23" i="88" s="1"/>
  <c r="P24" i="79"/>
  <c r="K23" i="87" s="1"/>
  <c r="M24" i="79"/>
  <c r="J24" i="79"/>
  <c r="F23" i="88" s="1"/>
  <c r="F24" i="79"/>
  <c r="F23" i="87" s="1"/>
  <c r="C24" i="79"/>
  <c r="T23" i="79"/>
  <c r="K22" i="88" s="1"/>
  <c r="P23" i="79"/>
  <c r="K22" i="87" s="1"/>
  <c r="M23" i="79"/>
  <c r="J23" i="79"/>
  <c r="F23" i="79"/>
  <c r="F22" i="87" s="1"/>
  <c r="C23" i="79"/>
  <c r="T22" i="79"/>
  <c r="P22" i="79"/>
  <c r="K21" i="87" s="1"/>
  <c r="M22" i="79"/>
  <c r="J22" i="79"/>
  <c r="F21" i="88" s="1"/>
  <c r="F22" i="79"/>
  <c r="F21" i="87" s="1"/>
  <c r="C22" i="79"/>
  <c r="T21" i="79"/>
  <c r="K20" i="88" s="1"/>
  <c r="P21" i="79"/>
  <c r="K20" i="87" s="1"/>
  <c r="M21" i="79"/>
  <c r="J21" i="79"/>
  <c r="F21" i="79"/>
  <c r="F20" i="87" s="1"/>
  <c r="C21" i="79"/>
  <c r="T20" i="79"/>
  <c r="S20" i="79"/>
  <c r="J19" i="88" s="1"/>
  <c r="P20" i="79"/>
  <c r="K19" i="87" s="1"/>
  <c r="O20" i="79"/>
  <c r="J19" i="87" s="1"/>
  <c r="M20" i="79"/>
  <c r="J20" i="79"/>
  <c r="F19" i="88" s="1"/>
  <c r="I20" i="79"/>
  <c r="F20" i="79"/>
  <c r="F19" i="87" s="1"/>
  <c r="E20" i="79"/>
  <c r="E19" i="87" s="1"/>
  <c r="C20" i="79"/>
  <c r="T19" i="79"/>
  <c r="K18" i="88" s="1"/>
  <c r="S19" i="79"/>
  <c r="P19" i="79"/>
  <c r="K18" i="87" s="1"/>
  <c r="O19" i="79"/>
  <c r="J18" i="87" s="1"/>
  <c r="M19" i="79"/>
  <c r="J19" i="79"/>
  <c r="I19" i="79"/>
  <c r="E18" i="88" s="1"/>
  <c r="F19" i="79"/>
  <c r="F18" i="87" s="1"/>
  <c r="E19" i="79"/>
  <c r="E18" i="87" s="1"/>
  <c r="C19" i="79"/>
  <c r="T18" i="79"/>
  <c r="S18" i="79"/>
  <c r="J17" i="88" s="1"/>
  <c r="P18" i="79"/>
  <c r="K17" i="87" s="1"/>
  <c r="O18" i="79"/>
  <c r="J17" i="87" s="1"/>
  <c r="M18" i="79"/>
  <c r="J18" i="79"/>
  <c r="F17" i="88" s="1"/>
  <c r="I18" i="79"/>
  <c r="F18" i="79"/>
  <c r="F17" i="87" s="1"/>
  <c r="E18" i="79"/>
  <c r="E17" i="87" s="1"/>
  <c r="C18" i="79"/>
  <c r="M17" i="79"/>
  <c r="C17" i="79"/>
  <c r="M3" i="79"/>
  <c r="G3" i="79"/>
  <c r="J1" i="79"/>
  <c r="K24" i="82"/>
  <c r="D24" i="82"/>
  <c r="K13" i="82"/>
  <c r="D13" i="82"/>
  <c r="AF3" i="82"/>
  <c r="V3" i="82"/>
  <c r="L3" i="82"/>
  <c r="F3" i="82"/>
  <c r="X1" i="82"/>
  <c r="K1" i="82"/>
  <c r="P7" i="84"/>
  <c r="D7" i="84"/>
  <c r="CO3" i="84"/>
  <c r="CI3" i="84"/>
  <c r="CC3" i="84"/>
  <c r="BY3" i="84"/>
  <c r="BP3" i="84"/>
  <c r="BK3" i="84"/>
  <c r="AZ3" i="84"/>
  <c r="AS3" i="84"/>
  <c r="AH3" i="84"/>
  <c r="AA3" i="84"/>
  <c r="U3" i="84"/>
  <c r="P3" i="84"/>
  <c r="I3" i="84"/>
  <c r="D3" i="84"/>
  <c r="BD1" i="84"/>
  <c r="AL1" i="84"/>
  <c r="H1" i="84"/>
  <c r="H3" i="85"/>
  <c r="D3" i="85"/>
  <c r="G1" i="85"/>
  <c r="F31" i="83"/>
  <c r="E31" i="83"/>
  <c r="E27" i="83"/>
  <c r="E24" i="83"/>
  <c r="E22" i="83"/>
  <c r="F17" i="83"/>
  <c r="E17" i="83"/>
  <c r="E13" i="83"/>
  <c r="E10" i="83"/>
  <c r="F26" i="80" s="1"/>
  <c r="E8" i="83"/>
  <c r="H3" i="83"/>
  <c r="D3" i="83"/>
  <c r="G1" i="83"/>
  <c r="G36" i="80"/>
  <c r="F36" i="80"/>
  <c r="G26" i="80"/>
  <c r="G23" i="80"/>
  <c r="F23" i="80"/>
  <c r="J18" i="80"/>
  <c r="S16" i="52" s="1"/>
  <c r="G13" i="80"/>
  <c r="F13" i="80"/>
  <c r="H3" i="80"/>
  <c r="D3" i="80"/>
  <c r="G1" i="80"/>
  <c r="G1" i="78"/>
  <c r="T177" i="84"/>
  <c r="O177" i="84"/>
  <c r="H177" i="84"/>
  <c r="C177" i="84"/>
  <c r="T176" i="84"/>
  <c r="O176" i="84"/>
  <c r="H176" i="84"/>
  <c r="C176" i="84"/>
  <c r="T175" i="84"/>
  <c r="O175" i="84"/>
  <c r="H175" i="84"/>
  <c r="C175" i="84"/>
  <c r="BF170" i="84"/>
  <c r="CD170" i="84" s="1"/>
  <c r="BE170" i="84"/>
  <c r="CC170" i="84" s="1"/>
  <c r="BC170" i="84"/>
  <c r="AY170" i="84"/>
  <c r="AW170" i="84"/>
  <c r="CB170" i="84" s="1"/>
  <c r="AV170" i="84"/>
  <c r="CA170" i="84" s="1"/>
  <c r="AP170" i="84"/>
  <c r="AV169" i="84" s="1"/>
  <c r="CA169" i="84" s="1"/>
  <c r="AN170" i="84"/>
  <c r="BY170" i="84" s="1"/>
  <c r="AM170" i="84"/>
  <c r="BX170" i="84" s="1"/>
  <c r="AK170" i="84"/>
  <c r="AG170" i="84"/>
  <c r="AM169" i="84" s="1"/>
  <c r="BX169" i="84" s="1"/>
  <c r="AE170" i="84"/>
  <c r="BW170" i="84" s="1"/>
  <c r="AD170" i="84"/>
  <c r="BV170" i="84" s="1"/>
  <c r="AB170" i="84"/>
  <c r="X170" i="84"/>
  <c r="R170" i="84"/>
  <c r="M170" i="84"/>
  <c r="F170" i="84"/>
  <c r="A170" i="84"/>
  <c r="BC169" i="84"/>
  <c r="AY169" i="84"/>
  <c r="AP169" i="84"/>
  <c r="AV168" i="84" s="1"/>
  <c r="CA168" i="84" s="1"/>
  <c r="AN169" i="84"/>
  <c r="BY169" i="84" s="1"/>
  <c r="AK169" i="84"/>
  <c r="AG169" i="84"/>
  <c r="AB169" i="84"/>
  <c r="X169" i="84"/>
  <c r="AD168" i="84" s="1"/>
  <c r="BV168" i="84" s="1"/>
  <c r="R169" i="84"/>
  <c r="M169" i="84"/>
  <c r="F169" i="84"/>
  <c r="A169" i="84"/>
  <c r="BC168" i="84"/>
  <c r="AY168" i="84"/>
  <c r="BE167" i="84" s="1"/>
  <c r="CC167" i="84" s="1"/>
  <c r="AW168" i="84"/>
  <c r="CB168" i="84" s="1"/>
  <c r="AP168" i="84"/>
  <c r="AK168" i="84"/>
  <c r="AG168" i="84"/>
  <c r="AM167" i="84" s="1"/>
  <c r="BX167" i="84" s="1"/>
  <c r="AE168" i="84"/>
  <c r="BW168" i="84" s="1"/>
  <c r="AB168" i="84"/>
  <c r="X168" i="84"/>
  <c r="R168" i="84"/>
  <c r="M168" i="84"/>
  <c r="F168" i="84"/>
  <c r="A168" i="84"/>
  <c r="BF167" i="84"/>
  <c r="CD167" i="84" s="1"/>
  <c r="BC167" i="84"/>
  <c r="AY167" i="84"/>
  <c r="AP167" i="84"/>
  <c r="AV166" i="84" s="1"/>
  <c r="CA166" i="84" s="1"/>
  <c r="AN167" i="84"/>
  <c r="BY167" i="84" s="1"/>
  <c r="AK167" i="84"/>
  <c r="AG167" i="84"/>
  <c r="AB167" i="84"/>
  <c r="X167" i="84"/>
  <c r="AD166" i="84" s="1"/>
  <c r="BV166" i="84" s="1"/>
  <c r="R167" i="84"/>
  <c r="M167" i="84"/>
  <c r="F167" i="84"/>
  <c r="A167" i="84"/>
  <c r="BC166" i="84"/>
  <c r="AY166" i="84"/>
  <c r="BE165" i="84" s="1"/>
  <c r="CC165" i="84" s="1"/>
  <c r="AW166" i="84"/>
  <c r="CB166" i="84" s="1"/>
  <c r="AP166" i="84"/>
  <c r="AV165" i="84" s="1"/>
  <c r="CA165" i="84" s="1"/>
  <c r="AK166" i="84"/>
  <c r="AG166" i="84"/>
  <c r="AM165" i="84" s="1"/>
  <c r="BX165" i="84" s="1"/>
  <c r="AE166" i="84"/>
  <c r="BW166" i="84" s="1"/>
  <c r="AB166" i="84"/>
  <c r="X166" i="84"/>
  <c r="AD165" i="84" s="1"/>
  <c r="BV165" i="84" s="1"/>
  <c r="V166" i="84"/>
  <c r="R166" i="84"/>
  <c r="Q166" i="84"/>
  <c r="Q170" i="84" s="1"/>
  <c r="M166" i="84"/>
  <c r="J166" i="84"/>
  <c r="F166" i="84"/>
  <c r="E166" i="84"/>
  <c r="E170" i="84" s="1"/>
  <c r="A166" i="84"/>
  <c r="BC165" i="84"/>
  <c r="AY165" i="84"/>
  <c r="BE164" i="84" s="1"/>
  <c r="CC164" i="84" s="1"/>
  <c r="AW165" i="84"/>
  <c r="CB165" i="84" s="1"/>
  <c r="AP165" i="84"/>
  <c r="AV164" i="84" s="1"/>
  <c r="CA164" i="84" s="1"/>
  <c r="AK165" i="84"/>
  <c r="AG165" i="84"/>
  <c r="AM164" i="84" s="1"/>
  <c r="BX164" i="84" s="1"/>
  <c r="AE165" i="84"/>
  <c r="BW165" i="84" s="1"/>
  <c r="AB165" i="84"/>
  <c r="X165" i="84"/>
  <c r="AD164" i="84" s="1"/>
  <c r="BV164" i="84" s="1"/>
  <c r="R165" i="84"/>
  <c r="M165" i="84"/>
  <c r="F165" i="84"/>
  <c r="A165" i="84"/>
  <c r="BC164" i="84"/>
  <c r="AY164" i="84"/>
  <c r="BE163" i="84" s="1"/>
  <c r="CC163" i="84" s="1"/>
  <c r="AW164" i="84"/>
  <c r="CB164" i="84" s="1"/>
  <c r="AP164" i="84"/>
  <c r="AV163" i="84" s="1"/>
  <c r="CA163" i="84" s="1"/>
  <c r="AK164" i="84"/>
  <c r="AG164" i="84"/>
  <c r="AM163" i="84" s="1"/>
  <c r="BX163" i="84" s="1"/>
  <c r="AB164" i="84"/>
  <c r="X164" i="84"/>
  <c r="AD163" i="84" s="1"/>
  <c r="BV163" i="84" s="1"/>
  <c r="R164" i="84"/>
  <c r="M164" i="84"/>
  <c r="F164" i="84"/>
  <c r="A164" i="84"/>
  <c r="BC163" i="84"/>
  <c r="AY163" i="84"/>
  <c r="BF162" i="84" s="1"/>
  <c r="CD162" i="84" s="1"/>
  <c r="AW163" i="84"/>
  <c r="CB163" i="84" s="1"/>
  <c r="AP163" i="84"/>
  <c r="AK163" i="84"/>
  <c r="AG163" i="84"/>
  <c r="AM162" i="84" s="1"/>
  <c r="BX162" i="84" s="1"/>
  <c r="AB163" i="84"/>
  <c r="X163" i="84"/>
  <c r="AE162" i="84" s="1"/>
  <c r="BW162" i="84" s="1"/>
  <c r="R163" i="84"/>
  <c r="M163" i="84"/>
  <c r="F163" i="84"/>
  <c r="A163" i="84"/>
  <c r="BE162" i="84"/>
  <c r="CC162" i="84" s="1"/>
  <c r="BC162" i="84"/>
  <c r="AY162" i="84"/>
  <c r="BF161" i="84" s="1"/>
  <c r="CD161" i="84" s="1"/>
  <c r="AP162" i="84"/>
  <c r="AW161" i="84" s="1"/>
  <c r="CB161" i="84" s="1"/>
  <c r="AN162" i="84"/>
  <c r="BY162" i="84" s="1"/>
  <c r="AK162" i="84"/>
  <c r="AG162" i="84"/>
  <c r="AM161" i="84" s="1"/>
  <c r="BX161" i="84" s="1"/>
  <c r="AB162" i="84"/>
  <c r="X162" i="84"/>
  <c r="AD161" i="84" s="1"/>
  <c r="BV161" i="84" s="1"/>
  <c r="R162" i="84"/>
  <c r="M162" i="84"/>
  <c r="F162" i="84"/>
  <c r="A162" i="84"/>
  <c r="BC161" i="84"/>
  <c r="BD161" i="84" s="1"/>
  <c r="AY161" i="84"/>
  <c r="BF160" i="84" s="1"/>
  <c r="CD160" i="84" s="1"/>
  <c r="AV161" i="84"/>
  <c r="CA161" i="84" s="1"/>
  <c r="AP161" i="84"/>
  <c r="AK161" i="84"/>
  <c r="AG161" i="84"/>
  <c r="AN160" i="84" s="1"/>
  <c r="BY160" i="84" s="1"/>
  <c r="AE161" i="84"/>
  <c r="BW161" i="84" s="1"/>
  <c r="AB161" i="84"/>
  <c r="X161" i="84"/>
  <c r="AD160" i="84" s="1"/>
  <c r="BV160" i="84" s="1"/>
  <c r="R161" i="84"/>
  <c r="M161" i="84"/>
  <c r="F161" i="84"/>
  <c r="A161" i="84"/>
  <c r="BC160" i="84"/>
  <c r="AY160" i="84"/>
  <c r="BE159" i="84" s="1"/>
  <c r="CC159" i="84" s="1"/>
  <c r="AW160" i="84"/>
  <c r="CB160" i="84" s="1"/>
  <c r="AV160" i="84"/>
  <c r="CA160" i="84" s="1"/>
  <c r="AP160" i="84"/>
  <c r="AV159" i="84" s="1"/>
  <c r="CA159" i="84" s="1"/>
  <c r="AK160" i="84"/>
  <c r="AG160" i="84"/>
  <c r="AN159" i="84" s="1"/>
  <c r="BY159" i="84" s="1"/>
  <c r="AB160" i="84"/>
  <c r="X160" i="84"/>
  <c r="AE159" i="84" s="1"/>
  <c r="BW159" i="84" s="1"/>
  <c r="R160" i="84"/>
  <c r="M160" i="84"/>
  <c r="F160" i="84"/>
  <c r="A160" i="84"/>
  <c r="BF159" i="84"/>
  <c r="CD159" i="84" s="1"/>
  <c r="BC159" i="84"/>
  <c r="AY159" i="84"/>
  <c r="BF158" i="84" s="1"/>
  <c r="CD158" i="84" s="1"/>
  <c r="AW159" i="84"/>
  <c r="CB159" i="84" s="1"/>
  <c r="AP159" i="84"/>
  <c r="AK159" i="84"/>
  <c r="AG159" i="84"/>
  <c r="AM158" i="84" s="1"/>
  <c r="BX158" i="84" s="1"/>
  <c r="AD159" i="84"/>
  <c r="BV159" i="84" s="1"/>
  <c r="AB159" i="84"/>
  <c r="X159" i="84"/>
  <c r="AD158" i="84" s="1"/>
  <c r="BV158" i="84" s="1"/>
  <c r="R159" i="84"/>
  <c r="M159" i="84"/>
  <c r="F159" i="84"/>
  <c r="A159" i="84"/>
  <c r="BC158" i="84"/>
  <c r="AY158" i="84"/>
  <c r="AW158" i="84"/>
  <c r="CB158" i="84" s="1"/>
  <c r="AV158" i="84"/>
  <c r="CA158" i="84" s="1"/>
  <c r="AP158" i="84"/>
  <c r="AN158" i="84"/>
  <c r="BY158" i="84" s="1"/>
  <c r="AK158" i="84"/>
  <c r="AG158" i="84"/>
  <c r="AB158" i="84"/>
  <c r="X158" i="84"/>
  <c r="R158" i="84"/>
  <c r="M158" i="84"/>
  <c r="F158" i="84"/>
  <c r="A158" i="84"/>
  <c r="BC157" i="84"/>
  <c r="AY157" i="84"/>
  <c r="AP157" i="84"/>
  <c r="AV156" i="84" s="1"/>
  <c r="CA156" i="84" s="1"/>
  <c r="AK157" i="84"/>
  <c r="AG157" i="84"/>
  <c r="AB157" i="84"/>
  <c r="X157" i="84"/>
  <c r="AD156" i="84" s="1"/>
  <c r="BV156" i="84" s="1"/>
  <c r="R157" i="84"/>
  <c r="M157" i="84"/>
  <c r="F157" i="84"/>
  <c r="A157" i="84"/>
  <c r="BC156" i="84"/>
  <c r="AY156" i="84"/>
  <c r="AP156" i="84"/>
  <c r="AV155" i="84" s="1"/>
  <c r="CA155" i="84" s="1"/>
  <c r="AK156" i="84"/>
  <c r="AG156" i="84"/>
  <c r="AB156" i="84"/>
  <c r="X156" i="84"/>
  <c r="AD155" i="84" s="1"/>
  <c r="BV155" i="84" s="1"/>
  <c r="R156" i="84"/>
  <c r="M156" i="84"/>
  <c r="F156" i="84"/>
  <c r="A156" i="84"/>
  <c r="BC155" i="84"/>
  <c r="AY155" i="84"/>
  <c r="AP155" i="84"/>
  <c r="AV154" i="84" s="1"/>
  <c r="CA154" i="84" s="1"/>
  <c r="AK155" i="84"/>
  <c r="AG155" i="84"/>
  <c r="AE155" i="84"/>
  <c r="BW155" i="84" s="1"/>
  <c r="AB155" i="84"/>
  <c r="X155" i="84"/>
  <c r="AD154" i="84" s="1"/>
  <c r="BV154" i="84" s="1"/>
  <c r="R155" i="84"/>
  <c r="M155" i="84"/>
  <c r="F155" i="84"/>
  <c r="A155" i="84"/>
  <c r="BC154" i="84"/>
  <c r="AY154" i="84"/>
  <c r="BE153" i="84" s="1"/>
  <c r="CC153" i="84" s="1"/>
  <c r="AW154" i="84"/>
  <c r="CB154" i="84" s="1"/>
  <c r="AP154" i="84"/>
  <c r="AV153" i="84" s="1"/>
  <c r="CA153" i="84" s="1"/>
  <c r="AN154" i="84"/>
  <c r="BY154" i="84" s="1"/>
  <c r="AM154" i="84"/>
  <c r="BX154" i="84" s="1"/>
  <c r="AK154" i="84"/>
  <c r="AG154" i="84"/>
  <c r="AN153" i="84" s="1"/>
  <c r="BY153" i="84" s="1"/>
  <c r="AB154" i="84"/>
  <c r="X154" i="84"/>
  <c r="R154" i="84"/>
  <c r="M154" i="84"/>
  <c r="F154" i="84"/>
  <c r="A154" i="84"/>
  <c r="BC153" i="84"/>
  <c r="AY153" i="84"/>
  <c r="BF152" i="84" s="1"/>
  <c r="CD152" i="84" s="1"/>
  <c r="AP153" i="84"/>
  <c r="AW152" i="84" s="1"/>
  <c r="CB152" i="84" s="1"/>
  <c r="AM153" i="84"/>
  <c r="BX153" i="84" s="1"/>
  <c r="AK153" i="84"/>
  <c r="AG153" i="84"/>
  <c r="AM152" i="84" s="1"/>
  <c r="BX152" i="84" s="1"/>
  <c r="AE153" i="84"/>
  <c r="BW153" i="84" s="1"/>
  <c r="AD153" i="84"/>
  <c r="BV153" i="84" s="1"/>
  <c r="AB153" i="84"/>
  <c r="X153" i="84"/>
  <c r="AE152" i="84" s="1"/>
  <c r="BW152" i="84" s="1"/>
  <c r="R153" i="84"/>
  <c r="M153" i="84"/>
  <c r="F153" i="84"/>
  <c r="A153" i="84"/>
  <c r="BC152" i="84"/>
  <c r="AY152" i="84"/>
  <c r="BF151" i="84" s="1"/>
  <c r="CD151" i="84" s="1"/>
  <c r="AP152" i="84"/>
  <c r="AN152" i="84"/>
  <c r="BY152" i="84" s="1"/>
  <c r="AK152" i="84"/>
  <c r="AG152" i="84"/>
  <c r="AD152" i="84"/>
  <c r="BV152" i="84" s="1"/>
  <c r="AB152" i="84"/>
  <c r="X152" i="84"/>
  <c r="AD151" i="84" s="1"/>
  <c r="BV151" i="84" s="1"/>
  <c r="R152" i="84"/>
  <c r="M152" i="84"/>
  <c r="F152" i="84"/>
  <c r="A152" i="84"/>
  <c r="BC151" i="84"/>
  <c r="AY151" i="84"/>
  <c r="AW151" i="84"/>
  <c r="CB151" i="84" s="1"/>
  <c r="AV151" i="84"/>
  <c r="CA151" i="84" s="1"/>
  <c r="AP151" i="84"/>
  <c r="AW150" i="84" s="1"/>
  <c r="CB150" i="84" s="1"/>
  <c r="AN151" i="84"/>
  <c r="BY151" i="84" s="1"/>
  <c r="AM151" i="84"/>
  <c r="BX151" i="84" s="1"/>
  <c r="AK151" i="84"/>
  <c r="AG151" i="84"/>
  <c r="AN150" i="84" s="1"/>
  <c r="BY150" i="84" s="1"/>
  <c r="AB151" i="84"/>
  <c r="X151" i="84"/>
  <c r="AD150" i="84" s="1"/>
  <c r="BV150" i="84" s="1"/>
  <c r="R151" i="84"/>
  <c r="M151" i="84"/>
  <c r="F151" i="84"/>
  <c r="A151" i="84"/>
  <c r="BF150" i="84"/>
  <c r="CD150" i="84" s="1"/>
  <c r="BE150" i="84"/>
  <c r="CC150" i="84" s="1"/>
  <c r="BC150" i="84"/>
  <c r="AY150" i="84"/>
  <c r="AV150" i="84"/>
  <c r="CA150" i="84" s="1"/>
  <c r="AP150" i="84"/>
  <c r="AK150" i="84"/>
  <c r="AG150" i="84"/>
  <c r="AE150" i="84"/>
  <c r="BW150" i="84" s="1"/>
  <c r="AB150" i="84"/>
  <c r="X150" i="84"/>
  <c r="R150" i="84"/>
  <c r="M150" i="84"/>
  <c r="F150" i="84"/>
  <c r="A150" i="84"/>
  <c r="BC149" i="84"/>
  <c r="AY149" i="84"/>
  <c r="BE148" i="84" s="1"/>
  <c r="CC148" i="84" s="1"/>
  <c r="AP149" i="84"/>
  <c r="AK149" i="84"/>
  <c r="AG149" i="84"/>
  <c r="AM148" i="84" s="1"/>
  <c r="BX148" i="84" s="1"/>
  <c r="AB149" i="84"/>
  <c r="X149" i="84"/>
  <c r="R149" i="84"/>
  <c r="M149" i="84"/>
  <c r="F149" i="84"/>
  <c r="A149" i="84"/>
  <c r="BC148" i="84"/>
  <c r="AY148" i="84"/>
  <c r="BE147" i="84" s="1"/>
  <c r="CC147" i="84" s="1"/>
  <c r="AP148" i="84"/>
  <c r="AV147" i="84" s="1"/>
  <c r="CA147" i="84" s="1"/>
  <c r="AK148" i="84"/>
  <c r="AG148" i="84"/>
  <c r="AM147" i="84" s="1"/>
  <c r="BX147" i="84" s="1"/>
  <c r="AB148" i="84"/>
  <c r="X148" i="84"/>
  <c r="AD147" i="84" s="1"/>
  <c r="BV147" i="84" s="1"/>
  <c r="R148" i="84"/>
  <c r="M148" i="84"/>
  <c r="F148" i="84"/>
  <c r="A148" i="84"/>
  <c r="BC147" i="84"/>
  <c r="AY147" i="84"/>
  <c r="BF146" i="84" s="1"/>
  <c r="CD146" i="84" s="1"/>
  <c r="AP147" i="84"/>
  <c r="AK147" i="84"/>
  <c r="AG147" i="84"/>
  <c r="AE147" i="84"/>
  <c r="BW147" i="84" s="1"/>
  <c r="AB147" i="84"/>
  <c r="X147" i="84"/>
  <c r="AE146" i="84" s="1"/>
  <c r="BW146" i="84" s="1"/>
  <c r="R147" i="84"/>
  <c r="M147" i="84"/>
  <c r="F147" i="84"/>
  <c r="A147" i="84"/>
  <c r="BC146" i="84"/>
  <c r="AY146" i="84"/>
  <c r="AW146" i="84"/>
  <c r="CB146" i="84" s="1"/>
  <c r="AV146" i="84"/>
  <c r="CA146" i="84" s="1"/>
  <c r="AP146" i="84"/>
  <c r="AW145" i="84" s="1"/>
  <c r="CB145" i="84" s="1"/>
  <c r="AK146" i="84"/>
  <c r="AG146" i="84"/>
  <c r="AM145" i="84" s="1"/>
  <c r="BX145" i="84" s="1"/>
  <c r="AB146" i="84"/>
  <c r="X146" i="84"/>
  <c r="AD145" i="84" s="1"/>
  <c r="BV145" i="84" s="1"/>
  <c r="R146" i="84"/>
  <c r="M146" i="84"/>
  <c r="F146" i="84"/>
  <c r="A146" i="84"/>
  <c r="BF145" i="84"/>
  <c r="CD145" i="84" s="1"/>
  <c r="BE145" i="84"/>
  <c r="CC145" i="84" s="1"/>
  <c r="BC145" i="84"/>
  <c r="AY145" i="84"/>
  <c r="BF144" i="84" s="1"/>
  <c r="CD144" i="84" s="1"/>
  <c r="AP145" i="84"/>
  <c r="AV144" i="84" s="1"/>
  <c r="CA144" i="84" s="1"/>
  <c r="AK145" i="84"/>
  <c r="AG145" i="84"/>
  <c r="AE145" i="84"/>
  <c r="BW145" i="84" s="1"/>
  <c r="AB145" i="84"/>
  <c r="X145" i="84"/>
  <c r="AD144" i="84" s="1"/>
  <c r="BV144" i="84" s="1"/>
  <c r="R145" i="84"/>
  <c r="M145" i="84"/>
  <c r="F145" i="84"/>
  <c r="A145" i="84"/>
  <c r="BC144" i="84"/>
  <c r="AY144" i="84"/>
  <c r="BE143" i="84" s="1"/>
  <c r="CC143" i="84" s="1"/>
  <c r="AP144" i="84"/>
  <c r="AW143" i="84" s="1"/>
  <c r="CB143" i="84" s="1"/>
  <c r="AK144" i="84"/>
  <c r="AG144" i="84"/>
  <c r="AB144" i="84"/>
  <c r="X144" i="84"/>
  <c r="R144" i="84"/>
  <c r="M144" i="84"/>
  <c r="BF143" i="84"/>
  <c r="CD143" i="84" s="1"/>
  <c r="BC143" i="84"/>
  <c r="AY143" i="84"/>
  <c r="BE142" i="84" s="1"/>
  <c r="CC142" i="84" s="1"/>
  <c r="AP143" i="84"/>
  <c r="AW142" i="84" s="1"/>
  <c r="CB142" i="84" s="1"/>
  <c r="AG143" i="84"/>
  <c r="AB143" i="84"/>
  <c r="X143" i="84"/>
  <c r="R143" i="84"/>
  <c r="M143" i="84"/>
  <c r="BC142" i="84"/>
  <c r="AY142" i="84"/>
  <c r="BE141" i="84" s="1"/>
  <c r="CC141" i="84" s="1"/>
  <c r="AV142" i="84"/>
  <c r="CA142" i="84" s="1"/>
  <c r="AP142" i="84"/>
  <c r="AW141" i="84" s="1"/>
  <c r="CB141" i="84" s="1"/>
  <c r="AK142" i="84"/>
  <c r="AG142" i="84"/>
  <c r="X142" i="84"/>
  <c r="R142" i="84"/>
  <c r="M142" i="84"/>
  <c r="BC141" i="84"/>
  <c r="AY141" i="84"/>
  <c r="AP141" i="84"/>
  <c r="AW140" i="84" s="1"/>
  <c r="CB140" i="84" s="1"/>
  <c r="AK141" i="84"/>
  <c r="AG141" i="84"/>
  <c r="AB141" i="84"/>
  <c r="AB142" i="84" s="1"/>
  <c r="X141" i="84"/>
  <c r="R141" i="84"/>
  <c r="M141" i="84"/>
  <c r="BF140" i="84"/>
  <c r="CD140" i="84" s="1"/>
  <c r="BE140" i="84"/>
  <c r="CC140" i="84" s="1"/>
  <c r="BC140" i="84"/>
  <c r="AY140" i="84"/>
  <c r="BF139" i="84" s="1"/>
  <c r="CD139" i="84" s="1"/>
  <c r="AV140" i="84"/>
  <c r="CA140" i="84" s="1"/>
  <c r="AP140" i="84"/>
  <c r="AV139" i="84" s="1"/>
  <c r="CA139" i="84" s="1"/>
  <c r="AK140" i="84"/>
  <c r="AG140" i="84"/>
  <c r="AM139" i="84" s="1"/>
  <c r="BX139" i="84" s="1"/>
  <c r="X140" i="84"/>
  <c r="R140" i="84"/>
  <c r="M140" i="84"/>
  <c r="BC139" i="84"/>
  <c r="AY139" i="84"/>
  <c r="BF138" i="84" s="1"/>
  <c r="CD138" i="84" s="1"/>
  <c r="AW139" i="84"/>
  <c r="CB139" i="84" s="1"/>
  <c r="AP139" i="84"/>
  <c r="AW138" i="84" s="1"/>
  <c r="CB138" i="84" s="1"/>
  <c r="AK139" i="84"/>
  <c r="AG139" i="84"/>
  <c r="AB139" i="84"/>
  <c r="X139" i="84"/>
  <c r="R139" i="84"/>
  <c r="M139" i="84"/>
  <c r="BC138" i="84"/>
  <c r="AY138" i="84"/>
  <c r="AP138" i="84"/>
  <c r="AK138" i="84"/>
  <c r="AG138" i="84"/>
  <c r="X138" i="84"/>
  <c r="R138" i="84"/>
  <c r="M138" i="84"/>
  <c r="BC137" i="84"/>
  <c r="AY137" i="84"/>
  <c r="AP137" i="84"/>
  <c r="AW136" i="84" s="1"/>
  <c r="CB136" i="84" s="1"/>
  <c r="AG137" i="84"/>
  <c r="AB137" i="84"/>
  <c r="AB138" i="84" s="1"/>
  <c r="AC137" i="84" s="1"/>
  <c r="X137" i="84"/>
  <c r="R137" i="84"/>
  <c r="M137" i="84"/>
  <c r="BC136" i="84"/>
  <c r="AY136" i="84"/>
  <c r="BF135" i="84" s="1"/>
  <c r="CD135" i="84" s="1"/>
  <c r="AP136" i="84"/>
  <c r="AW135" i="84" s="1"/>
  <c r="CB135" i="84" s="1"/>
  <c r="AK136" i="84"/>
  <c r="AK137" i="84" s="1"/>
  <c r="AG136" i="84"/>
  <c r="AB136" i="84"/>
  <c r="X136" i="84"/>
  <c r="R136" i="84"/>
  <c r="M136" i="84"/>
  <c r="BC135" i="84"/>
  <c r="AY135" i="84"/>
  <c r="BF134" i="84" s="1"/>
  <c r="CD134" i="84" s="1"/>
  <c r="AP135" i="84"/>
  <c r="AK135" i="84"/>
  <c r="AG135" i="84"/>
  <c r="AB135" i="84"/>
  <c r="X135" i="84"/>
  <c r="R135" i="84"/>
  <c r="BC134" i="84"/>
  <c r="AY134" i="84"/>
  <c r="BF133" i="84" s="1"/>
  <c r="CD133" i="84" s="1"/>
  <c r="AP134" i="84"/>
  <c r="AK134" i="84"/>
  <c r="AG134" i="84"/>
  <c r="X134" i="84"/>
  <c r="R134" i="84"/>
  <c r="BC133" i="84"/>
  <c r="AY133" i="84"/>
  <c r="BF132" i="84" s="1"/>
  <c r="CD132" i="84" s="1"/>
  <c r="AP133" i="84"/>
  <c r="AK133" i="84"/>
  <c r="AG133" i="84"/>
  <c r="AB133" i="84"/>
  <c r="AB134" i="84" s="1"/>
  <c r="X133" i="84"/>
  <c r="R133" i="84"/>
  <c r="BC132" i="84"/>
  <c r="AY132" i="84"/>
  <c r="BF131" i="84" s="1"/>
  <c r="CD131" i="84" s="1"/>
  <c r="AP132" i="84"/>
  <c r="AK132" i="84"/>
  <c r="AG132" i="84"/>
  <c r="X132" i="84"/>
  <c r="R132" i="84"/>
  <c r="BC131" i="84"/>
  <c r="AY131" i="84"/>
  <c r="BF130" i="84" s="1"/>
  <c r="CD130" i="84" s="1"/>
  <c r="AP131" i="84"/>
  <c r="AK131" i="84"/>
  <c r="AG131" i="84"/>
  <c r="AB131" i="84"/>
  <c r="AB132" i="84" s="1"/>
  <c r="X131" i="84"/>
  <c r="R131" i="84"/>
  <c r="BC130" i="84"/>
  <c r="AY130" i="84"/>
  <c r="BF129" i="84" s="1"/>
  <c r="CD129" i="84" s="1"/>
  <c r="AP130" i="84"/>
  <c r="AG130" i="84"/>
  <c r="X130" i="84"/>
  <c r="R130" i="84"/>
  <c r="AY129" i="84"/>
  <c r="AP129" i="84"/>
  <c r="AK129" i="84"/>
  <c r="AK130" i="84" s="1"/>
  <c r="AG129" i="84"/>
  <c r="AB129" i="84"/>
  <c r="AB130" i="84" s="1"/>
  <c r="X129" i="84"/>
  <c r="AY128" i="84"/>
  <c r="AU128" i="84"/>
  <c r="AP128" i="84"/>
  <c r="AG128" i="84"/>
  <c r="AB128" i="84"/>
  <c r="X128" i="84"/>
  <c r="AY127" i="84"/>
  <c r="AP127" i="84"/>
  <c r="AK127" i="84"/>
  <c r="AK128" i="84" s="1"/>
  <c r="AG127" i="84"/>
  <c r="AB127" i="84"/>
  <c r="X127" i="84"/>
  <c r="AY126" i="84"/>
  <c r="AP126" i="84"/>
  <c r="AG126" i="84"/>
  <c r="X126" i="84"/>
  <c r="AY125" i="84"/>
  <c r="AP125" i="84"/>
  <c r="AK125" i="84"/>
  <c r="AK126" i="84" s="1"/>
  <c r="AG125" i="84"/>
  <c r="X125" i="84"/>
  <c r="AY124" i="84"/>
  <c r="AP124" i="84"/>
  <c r="AG124" i="84"/>
  <c r="X124" i="84"/>
  <c r="AY123" i="84"/>
  <c r="AP123" i="84"/>
  <c r="AG123" i="84"/>
  <c r="X123" i="84"/>
  <c r="AY122" i="84"/>
  <c r="AP122" i="84"/>
  <c r="AG122" i="84"/>
  <c r="X122" i="84"/>
  <c r="AY121" i="84"/>
  <c r="AP121" i="84"/>
  <c r="AG121" i="84"/>
  <c r="X121" i="84"/>
  <c r="BC120" i="84"/>
  <c r="BC121" i="84" s="1"/>
  <c r="BC122" i="84" s="1"/>
  <c r="BC123" i="84" s="1"/>
  <c r="BC124" i="84" s="1"/>
  <c r="AY120" i="84"/>
  <c r="AP120" i="84"/>
  <c r="AG120" i="84"/>
  <c r="X120" i="84"/>
  <c r="BC119" i="84"/>
  <c r="AY119" i="84"/>
  <c r="AP119" i="84"/>
  <c r="AG119" i="84"/>
  <c r="X119" i="84"/>
  <c r="AY118" i="84"/>
  <c r="AP118" i="84"/>
  <c r="AG118" i="84"/>
  <c r="AB118" i="84"/>
  <c r="X118" i="84"/>
  <c r="BC117" i="84"/>
  <c r="BC118" i="84" s="1"/>
  <c r="AY117" i="84"/>
  <c r="AP117" i="84"/>
  <c r="AG117" i="84"/>
  <c r="X117" i="84"/>
  <c r="AY116" i="84"/>
  <c r="AP116" i="84"/>
  <c r="AG116" i="84"/>
  <c r="X116" i="84"/>
  <c r="AY115" i="84"/>
  <c r="AP115" i="84"/>
  <c r="AG115" i="84"/>
  <c r="X115" i="84"/>
  <c r="AY114" i="84"/>
  <c r="AU114" i="84"/>
  <c r="AP114" i="84"/>
  <c r="AG114" i="84"/>
  <c r="AB114" i="84"/>
  <c r="AB115" i="84" s="1"/>
  <c r="AC114" i="84" s="1"/>
  <c r="X114" i="84"/>
  <c r="AY113" i="84"/>
  <c r="AP113" i="84"/>
  <c r="AG113" i="84"/>
  <c r="X113" i="84"/>
  <c r="AY112" i="84"/>
  <c r="AP112" i="84"/>
  <c r="AK112" i="84"/>
  <c r="AK113" i="84" s="1"/>
  <c r="AG112" i="84"/>
  <c r="AB112" i="84"/>
  <c r="AB113" i="84" s="1"/>
  <c r="X112" i="84"/>
  <c r="BC111" i="84"/>
  <c r="BC112" i="84" s="1"/>
  <c r="AY111" i="84"/>
  <c r="AP111" i="84"/>
  <c r="AG111" i="84"/>
  <c r="X111" i="84"/>
  <c r="AY110" i="84"/>
  <c r="AP110" i="84"/>
  <c r="AK110" i="84"/>
  <c r="AK111" i="84" s="1"/>
  <c r="AG110" i="84"/>
  <c r="X110" i="84"/>
  <c r="BC109" i="84"/>
  <c r="BC110" i="84" s="1"/>
  <c r="AY109" i="84"/>
  <c r="AP109" i="84"/>
  <c r="AG109" i="84"/>
  <c r="X109" i="84"/>
  <c r="AY108" i="84"/>
  <c r="AP108" i="84"/>
  <c r="AK108" i="84"/>
  <c r="AK109" i="84" s="1"/>
  <c r="AG108" i="84"/>
  <c r="AB108" i="84"/>
  <c r="AB109" i="84" s="1"/>
  <c r="X108" i="84"/>
  <c r="AY107" i="84"/>
  <c r="AU106" i="84"/>
  <c r="AP107" i="84"/>
  <c r="AG107" i="84"/>
  <c r="AB107" i="84"/>
  <c r="X107" i="84"/>
  <c r="AY106" i="84"/>
  <c r="AP106" i="84"/>
  <c r="AG106" i="84"/>
  <c r="AB106" i="84"/>
  <c r="X106" i="84"/>
  <c r="AY105" i="84"/>
  <c r="AP105" i="84"/>
  <c r="AG105" i="84"/>
  <c r="X105" i="84"/>
  <c r="AY104" i="84"/>
  <c r="AP104" i="84"/>
  <c r="AG104" i="84"/>
  <c r="X104" i="84"/>
  <c r="AY103" i="84"/>
  <c r="AP103" i="84"/>
  <c r="AG103" i="84"/>
  <c r="X103" i="84"/>
  <c r="AY102" i="84"/>
  <c r="AP102" i="84"/>
  <c r="AG102" i="84"/>
  <c r="X102" i="84"/>
  <c r="AY101" i="84"/>
  <c r="AP101" i="84"/>
  <c r="AG101" i="84"/>
  <c r="X101" i="84"/>
  <c r="AY100" i="84"/>
  <c r="AP100" i="84"/>
  <c r="AG100" i="84"/>
  <c r="X100" i="84"/>
  <c r="AY99" i="84"/>
  <c r="AP99" i="84"/>
  <c r="AG99" i="84"/>
  <c r="X99" i="84"/>
  <c r="AY98" i="84"/>
  <c r="AP98" i="84"/>
  <c r="AG98" i="84"/>
  <c r="X98" i="84"/>
  <c r="AY97" i="84"/>
  <c r="AP97" i="84"/>
  <c r="AG97" i="84"/>
  <c r="X97" i="84"/>
  <c r="AY96" i="84"/>
  <c r="AU97" i="84"/>
  <c r="AW97" i="84" s="1"/>
  <c r="CB97" i="84" s="1"/>
  <c r="AP96" i="84"/>
  <c r="AG96" i="84"/>
  <c r="X96" i="84"/>
  <c r="BC95" i="84"/>
  <c r="AY95" i="84"/>
  <c r="AP95" i="84"/>
  <c r="AG95" i="84"/>
  <c r="AB95" i="84"/>
  <c r="X95" i="84"/>
  <c r="AY94" i="84"/>
  <c r="AP94" i="84"/>
  <c r="AG94" i="84"/>
  <c r="X94" i="84"/>
  <c r="BC93" i="84"/>
  <c r="BC94" i="84" s="1"/>
  <c r="BD93" i="84" s="1"/>
  <c r="AY93" i="84"/>
  <c r="AP93" i="84"/>
  <c r="AG93" i="84"/>
  <c r="X93" i="84"/>
  <c r="AY92" i="84"/>
  <c r="AP92" i="84"/>
  <c r="AG92" i="84"/>
  <c r="X92" i="84"/>
  <c r="AY91" i="84"/>
  <c r="AP91" i="84"/>
  <c r="AG91" i="84"/>
  <c r="X91" i="84"/>
  <c r="AY90" i="84"/>
  <c r="AP90" i="84"/>
  <c r="AG90" i="84"/>
  <c r="X90" i="84"/>
  <c r="AY89" i="84"/>
  <c r="AP89" i="84"/>
  <c r="AG89" i="84"/>
  <c r="X89" i="84"/>
  <c r="AY88" i="84"/>
  <c r="AP88" i="84"/>
  <c r="AG88" i="84"/>
  <c r="X88" i="84"/>
  <c r="AY87" i="84"/>
  <c r="AP87" i="84"/>
  <c r="AG87" i="84"/>
  <c r="X87" i="84"/>
  <c r="AY86" i="84"/>
  <c r="AP86" i="84"/>
  <c r="AG86" i="84"/>
  <c r="X86" i="84"/>
  <c r="AY85" i="84"/>
  <c r="AP85" i="84"/>
  <c r="AG85" i="84"/>
  <c r="X85" i="84"/>
  <c r="AY84" i="84"/>
  <c r="AP84" i="84"/>
  <c r="AG84" i="84"/>
  <c r="X84" i="84"/>
  <c r="AY83" i="84"/>
  <c r="AP83" i="84"/>
  <c r="AG83" i="84"/>
  <c r="X83" i="84"/>
  <c r="AY82" i="84"/>
  <c r="AP82" i="84"/>
  <c r="AG82" i="84"/>
  <c r="X82" i="84"/>
  <c r="AY81" i="84"/>
  <c r="AP81" i="84"/>
  <c r="AG81" i="84"/>
  <c r="X81" i="84"/>
  <c r="AY80" i="84"/>
  <c r="AP80" i="84"/>
  <c r="AG80" i="84"/>
  <c r="X80" i="84"/>
  <c r="AY79" i="84"/>
  <c r="AP79" i="84"/>
  <c r="AG79" i="84"/>
  <c r="X79" i="84"/>
  <c r="AY78" i="84"/>
  <c r="AU78" i="84"/>
  <c r="AP78" i="84"/>
  <c r="AG78" i="84"/>
  <c r="X78" i="84"/>
  <c r="AY77" i="84"/>
  <c r="AP77" i="84"/>
  <c r="AG77" i="84"/>
  <c r="X77" i="84"/>
  <c r="AY76" i="84"/>
  <c r="AP76" i="84"/>
  <c r="AG76" i="84"/>
  <c r="X76" i="84"/>
  <c r="AY75" i="84"/>
  <c r="AP75" i="84"/>
  <c r="AG75" i="84"/>
  <c r="X75" i="84"/>
  <c r="AY74" i="84"/>
  <c r="AP74" i="84"/>
  <c r="AG74" i="84"/>
  <c r="X74" i="84"/>
  <c r="AY73" i="84"/>
  <c r="AP73" i="84"/>
  <c r="AG73" i="84"/>
  <c r="X73" i="84"/>
  <c r="AY72" i="84"/>
  <c r="AP72" i="84"/>
  <c r="AG72" i="84"/>
  <c r="AB72" i="84"/>
  <c r="X72" i="84"/>
  <c r="AY71" i="84"/>
  <c r="AP71" i="84"/>
  <c r="AG71" i="84"/>
  <c r="X71" i="84"/>
  <c r="AY70" i="84"/>
  <c r="AP70" i="84"/>
  <c r="AG70" i="84"/>
  <c r="X70" i="84"/>
  <c r="BC69" i="84"/>
  <c r="BC70" i="84" s="1"/>
  <c r="BD69" i="84" s="1"/>
  <c r="AY69" i="84"/>
  <c r="AP69" i="84"/>
  <c r="AG69" i="84"/>
  <c r="X69" i="84"/>
  <c r="AY68" i="84"/>
  <c r="AP68" i="84"/>
  <c r="AG68" i="84"/>
  <c r="X68" i="84"/>
  <c r="BC67" i="84"/>
  <c r="BC68" i="84" s="1"/>
  <c r="AY67" i="84"/>
  <c r="AP67" i="84"/>
  <c r="AG67" i="84"/>
  <c r="X67" i="84"/>
  <c r="AY66" i="84"/>
  <c r="AP66" i="84"/>
  <c r="AG66" i="84"/>
  <c r="X66" i="84"/>
  <c r="AY65" i="84"/>
  <c r="AP65" i="84"/>
  <c r="AG65" i="84"/>
  <c r="X65" i="84"/>
  <c r="AY64" i="84"/>
  <c r="AP64" i="84"/>
  <c r="AG64" i="84"/>
  <c r="X64" i="84"/>
  <c r="AY63" i="84"/>
  <c r="AP63" i="84"/>
  <c r="AG63" i="84"/>
  <c r="X63" i="84"/>
  <c r="AY62" i="84"/>
  <c r="AP62" i="84"/>
  <c r="AG62" i="84"/>
  <c r="X62" i="84"/>
  <c r="AY61" i="84"/>
  <c r="AP61" i="84"/>
  <c r="AG61" i="84"/>
  <c r="X61" i="84"/>
  <c r="AY60" i="84"/>
  <c r="AP60" i="84"/>
  <c r="AG60" i="84"/>
  <c r="AB60" i="84"/>
  <c r="X60" i="84"/>
  <c r="AY59" i="84"/>
  <c r="AP59" i="84"/>
  <c r="AG59" i="84"/>
  <c r="X59" i="84"/>
  <c r="AY58" i="84"/>
  <c r="AP58" i="84"/>
  <c r="AG58" i="84"/>
  <c r="X58" i="84"/>
  <c r="AY57" i="84"/>
  <c r="AP57" i="84"/>
  <c r="AG57" i="84"/>
  <c r="X57" i="84"/>
  <c r="AY56" i="84"/>
  <c r="AP56" i="84"/>
  <c r="AG56" i="84"/>
  <c r="X56" i="84"/>
  <c r="AY55" i="84"/>
  <c r="AP55" i="84"/>
  <c r="AG55" i="84"/>
  <c r="X55" i="84"/>
  <c r="AY54" i="84"/>
  <c r="AP54" i="84"/>
  <c r="AG54" i="84"/>
  <c r="X54" i="84"/>
  <c r="AY53" i="84"/>
  <c r="AP53" i="84"/>
  <c r="AK53" i="84"/>
  <c r="AK54" i="84" s="1"/>
  <c r="AK55" i="84" s="1"/>
  <c r="AK56" i="84" s="1"/>
  <c r="AK57" i="84" s="1"/>
  <c r="AK58" i="84" s="1"/>
  <c r="AG53" i="84"/>
  <c r="AB53" i="84"/>
  <c r="AB54" i="84" s="1"/>
  <c r="AC53" i="84" s="1"/>
  <c r="X53" i="84"/>
  <c r="AY52" i="84"/>
  <c r="AP52" i="84"/>
  <c r="AG52" i="84"/>
  <c r="X52" i="84"/>
  <c r="AY51" i="84"/>
  <c r="AP51" i="84"/>
  <c r="AK51" i="84"/>
  <c r="AG51" i="84"/>
  <c r="AB51" i="84"/>
  <c r="AB52" i="84" s="1"/>
  <c r="X51" i="84"/>
  <c r="AY50" i="84"/>
  <c r="AP50" i="84"/>
  <c r="AG50" i="84"/>
  <c r="X50" i="84"/>
  <c r="AY49" i="84"/>
  <c r="AP49" i="84"/>
  <c r="AK49" i="84"/>
  <c r="AG49" i="84"/>
  <c r="X49" i="84"/>
  <c r="AY48" i="84"/>
  <c r="AP48" i="84"/>
  <c r="AG48" i="84"/>
  <c r="X48" i="84"/>
  <c r="AY47" i="84"/>
  <c r="AP47" i="84"/>
  <c r="AG47" i="84"/>
  <c r="X47" i="84"/>
  <c r="AY46" i="84"/>
  <c r="AP46" i="84"/>
  <c r="AG46" i="84"/>
  <c r="X46" i="84"/>
  <c r="CN45" i="84"/>
  <c r="CM45" i="84"/>
  <c r="CL45" i="84"/>
  <c r="CJ45" i="84"/>
  <c r="CI45" i="84"/>
  <c r="CH45" i="84"/>
  <c r="CG45" i="84"/>
  <c r="AY45" i="84"/>
  <c r="AP45" i="84"/>
  <c r="AG45" i="84"/>
  <c r="X45" i="84"/>
  <c r="AY44" i="84"/>
  <c r="AP44" i="84"/>
  <c r="AK44" i="84"/>
  <c r="AK45" i="84" s="1"/>
  <c r="AK46" i="84" s="1"/>
  <c r="AG44" i="84"/>
  <c r="X44" i="84"/>
  <c r="AY43" i="84"/>
  <c r="AP43" i="84"/>
  <c r="AG43" i="84"/>
  <c r="X43" i="84"/>
  <c r="AY42" i="84"/>
  <c r="AP42" i="84"/>
  <c r="AG42" i="84"/>
  <c r="X42" i="84"/>
  <c r="AY41" i="84"/>
  <c r="AP41" i="84"/>
  <c r="AG41" i="84"/>
  <c r="X41" i="84"/>
  <c r="AY40" i="84"/>
  <c r="AP40" i="84"/>
  <c r="AG40" i="84"/>
  <c r="X40" i="84"/>
  <c r="AY39" i="84"/>
  <c r="AP39" i="84"/>
  <c r="AG39" i="84"/>
  <c r="X39" i="84"/>
  <c r="AY38" i="84"/>
  <c r="AP38" i="84"/>
  <c r="AG38" i="84"/>
  <c r="X38" i="84"/>
  <c r="AY37" i="84"/>
  <c r="AP37" i="84"/>
  <c r="AG37" i="84"/>
  <c r="X37" i="84"/>
  <c r="AY36" i="84"/>
  <c r="AP36" i="84"/>
  <c r="AG36" i="84"/>
  <c r="X36" i="84"/>
  <c r="AY35" i="84"/>
  <c r="AP35" i="84"/>
  <c r="AG35" i="84"/>
  <c r="X35" i="84"/>
  <c r="AY34" i="84"/>
  <c r="AU33" i="84"/>
  <c r="AP34" i="84"/>
  <c r="AG34" i="84"/>
  <c r="X34" i="84"/>
  <c r="AY33" i="84"/>
  <c r="AP33" i="84"/>
  <c r="AK33" i="84"/>
  <c r="AK34" i="84" s="1"/>
  <c r="AK35" i="84" s="1"/>
  <c r="AK36" i="84" s="1"/>
  <c r="AK37" i="84" s="1"/>
  <c r="AK38" i="84" s="1"/>
  <c r="AK39" i="84" s="1"/>
  <c r="AG33" i="84"/>
  <c r="X33" i="84"/>
  <c r="AY32" i="84"/>
  <c r="AP32" i="84"/>
  <c r="AG32" i="84"/>
  <c r="X32" i="84"/>
  <c r="AY31" i="84"/>
  <c r="AP31" i="84"/>
  <c r="AK31" i="84"/>
  <c r="AK32" i="84" s="1"/>
  <c r="AG31" i="84"/>
  <c r="X31" i="84"/>
  <c r="AY30" i="84"/>
  <c r="AP30" i="84"/>
  <c r="AG30" i="84"/>
  <c r="X30" i="84"/>
  <c r="AY29" i="84"/>
  <c r="AP29" i="84"/>
  <c r="AK29" i="84"/>
  <c r="AK30" i="84" s="1"/>
  <c r="AG29" i="84"/>
  <c r="X29" i="84"/>
  <c r="AY28" i="84"/>
  <c r="AP28" i="84"/>
  <c r="AG28" i="84"/>
  <c r="X28" i="84"/>
  <c r="AY27" i="84"/>
  <c r="AP27" i="84"/>
  <c r="AK27" i="84"/>
  <c r="AK28" i="84" s="1"/>
  <c r="AL27" i="84" s="1"/>
  <c r="AG27" i="84"/>
  <c r="X27" i="84"/>
  <c r="AY26" i="84"/>
  <c r="AP26" i="84"/>
  <c r="AG26" i="84"/>
  <c r="X26" i="84"/>
  <c r="CP25" i="84"/>
  <c r="CP45" i="84" s="1"/>
  <c r="CO25" i="84"/>
  <c r="CO45" i="84" s="1"/>
  <c r="CK25" i="84"/>
  <c r="CK45" i="84" s="1"/>
  <c r="CJ25" i="84"/>
  <c r="AY25" i="84"/>
  <c r="AP25" i="84"/>
  <c r="AK25" i="84"/>
  <c r="AK26" i="84" s="1"/>
  <c r="AG25" i="84"/>
  <c r="X25" i="84"/>
  <c r="AY24" i="84"/>
  <c r="AP24" i="84"/>
  <c r="AG24" i="84"/>
  <c r="AB24" i="84"/>
  <c r="X24" i="84"/>
  <c r="AY23" i="84"/>
  <c r="AP23" i="84"/>
  <c r="AK23" i="84"/>
  <c r="AK24" i="84" s="1"/>
  <c r="AL23" i="84" s="1"/>
  <c r="AG23" i="84"/>
  <c r="X23" i="84"/>
  <c r="AY22" i="84"/>
  <c r="AP22" i="84"/>
  <c r="AG22" i="84"/>
  <c r="X22" i="84"/>
  <c r="AY21" i="84"/>
  <c r="AP21" i="84"/>
  <c r="AK21" i="84"/>
  <c r="AG21" i="84"/>
  <c r="X21" i="84"/>
  <c r="AY20" i="84"/>
  <c r="AP20" i="84"/>
  <c r="AG20" i="84"/>
  <c r="AB20" i="84"/>
  <c r="AB21" i="84" s="1"/>
  <c r="X20" i="84"/>
  <c r="AY19" i="84"/>
  <c r="AP19" i="84"/>
  <c r="AK19" i="84"/>
  <c r="AK20" i="84" s="1"/>
  <c r="AL19" i="84" s="1"/>
  <c r="AG19" i="84"/>
  <c r="X19" i="84"/>
  <c r="AY18" i="84"/>
  <c r="AP18" i="84"/>
  <c r="AG18" i="84"/>
  <c r="AB18" i="84"/>
  <c r="AB19" i="84" s="1"/>
  <c r="X18" i="84"/>
  <c r="AY17" i="84"/>
  <c r="AP17" i="84"/>
  <c r="AG17" i="84"/>
  <c r="X17" i="84"/>
  <c r="AY16" i="84"/>
  <c r="AP16" i="84"/>
  <c r="AG16" i="84"/>
  <c r="AB16" i="84"/>
  <c r="AB17" i="84" s="1"/>
  <c r="X16" i="84"/>
  <c r="AY15" i="84"/>
  <c r="AP15" i="84"/>
  <c r="AG15" i="84"/>
  <c r="X15" i="84"/>
  <c r="AY14" i="84"/>
  <c r="AP14" i="84"/>
  <c r="AG14" i="84"/>
  <c r="X14" i="84"/>
  <c r="CF33" i="84"/>
  <c r="AY13" i="84"/>
  <c r="AP13" i="84"/>
  <c r="AG13" i="84"/>
  <c r="X13" i="84"/>
  <c r="AY12" i="84"/>
  <c r="AP12" i="84"/>
  <c r="AG12" i="84"/>
  <c r="X12" i="84"/>
  <c r="R12" i="84"/>
  <c r="M12" i="84"/>
  <c r="F12" i="84"/>
  <c r="F13" i="84" s="1"/>
  <c r="F14" i="84" s="1"/>
  <c r="F15" i="84" s="1"/>
  <c r="F16" i="84" s="1"/>
  <c r="F17" i="84" s="1"/>
  <c r="F18" i="84" s="1"/>
  <c r="F19" i="84" s="1"/>
  <c r="F20" i="84" s="1"/>
  <c r="F21" i="84" s="1"/>
  <c r="F22" i="84" s="1"/>
  <c r="F23" i="84" s="1"/>
  <c r="F24" i="84" s="1"/>
  <c r="F25" i="84" s="1"/>
  <c r="F26" i="84" s="1"/>
  <c r="F27" i="84" s="1"/>
  <c r="F28" i="84" s="1"/>
  <c r="F29" i="84" s="1"/>
  <c r="F30" i="84" s="1"/>
  <c r="F31" i="84" s="1"/>
  <c r="F32" i="84" s="1"/>
  <c r="F33" i="84" s="1"/>
  <c r="F34" i="84" s="1"/>
  <c r="F35" i="84" s="1"/>
  <c r="F36" i="84" s="1"/>
  <c r="F37" i="84" s="1"/>
  <c r="F38" i="84" s="1"/>
  <c r="F39" i="84" s="1"/>
  <c r="F40" i="84" s="1"/>
  <c r="F41" i="84" s="1"/>
  <c r="F42" i="84" s="1"/>
  <c r="F43" i="84" s="1"/>
  <c r="F44" i="84" s="1"/>
  <c r="F45" i="84" s="1"/>
  <c r="F46" i="84" s="1"/>
  <c r="F47" i="84" s="1"/>
  <c r="F48" i="84" s="1"/>
  <c r="F49" i="84" s="1"/>
  <c r="F50" i="84" s="1"/>
  <c r="F51" i="84" s="1"/>
  <c r="F52" i="84" s="1"/>
  <c r="F53" i="84" s="1"/>
  <c r="F54" i="84" s="1"/>
  <c r="F55" i="84" s="1"/>
  <c r="F56" i="84" s="1"/>
  <c r="F57" i="84" s="1"/>
  <c r="F58" i="84" s="1"/>
  <c r="F59" i="84" s="1"/>
  <c r="F60" i="84" s="1"/>
  <c r="F61" i="84" s="1"/>
  <c r="F62" i="84" s="1"/>
  <c r="F63" i="84" s="1"/>
  <c r="F64" i="84" s="1"/>
  <c r="F65" i="84" s="1"/>
  <c r="F66" i="84" s="1"/>
  <c r="F67" i="84" s="1"/>
  <c r="F68" i="84" s="1"/>
  <c r="F69" i="84" s="1"/>
  <c r="F70" i="84" s="1"/>
  <c r="F71" i="84" s="1"/>
  <c r="F72" i="84" s="1"/>
  <c r="F73" i="84" s="1"/>
  <c r="F74" i="84" s="1"/>
  <c r="F75" i="84" s="1"/>
  <c r="F76" i="84" s="1"/>
  <c r="F77" i="84" s="1"/>
  <c r="F78" i="84" s="1"/>
  <c r="F79" i="84" s="1"/>
  <c r="F80" i="84" s="1"/>
  <c r="F81" i="84" s="1"/>
  <c r="F82" i="84" s="1"/>
  <c r="F83" i="84" s="1"/>
  <c r="F84" i="84" s="1"/>
  <c r="F85" i="84" s="1"/>
  <c r="F86" i="84" s="1"/>
  <c r="F87" i="84" s="1"/>
  <c r="F88" i="84" s="1"/>
  <c r="F89" i="84" s="1"/>
  <c r="F90" i="84" s="1"/>
  <c r="F91" i="84" s="1"/>
  <c r="F92" i="84" s="1"/>
  <c r="F93" i="84" s="1"/>
  <c r="F94" i="84" s="1"/>
  <c r="F95" i="84" s="1"/>
  <c r="F96" i="84" s="1"/>
  <c r="F97" i="84" s="1"/>
  <c r="F98" i="84" s="1"/>
  <c r="F99" i="84" s="1"/>
  <c r="F100" i="84" s="1"/>
  <c r="F101" i="84" s="1"/>
  <c r="F102" i="84" s="1"/>
  <c r="F103" i="84" s="1"/>
  <c r="F104" i="84" s="1"/>
  <c r="F105" i="84" s="1"/>
  <c r="F106" i="84" s="1"/>
  <c r="F107" i="84" s="1"/>
  <c r="F108" i="84" s="1"/>
  <c r="F109" i="84" s="1"/>
  <c r="F110" i="84" s="1"/>
  <c r="F111" i="84" s="1"/>
  <c r="F112" i="84" s="1"/>
  <c r="F113" i="84" s="1"/>
  <c r="F114" i="84" s="1"/>
  <c r="F115" i="84" s="1"/>
  <c r="F116" i="84" s="1"/>
  <c r="F117" i="84" s="1"/>
  <c r="F118" i="84" s="1"/>
  <c r="F119" i="84" s="1"/>
  <c r="F120" i="84" s="1"/>
  <c r="F121" i="84" s="1"/>
  <c r="F122" i="84" s="1"/>
  <c r="F123" i="84" s="1"/>
  <c r="F124" i="84" s="1"/>
  <c r="F125" i="84" s="1"/>
  <c r="F126" i="84" s="1"/>
  <c r="F127" i="84" s="1"/>
  <c r="F128" i="84" s="1"/>
  <c r="F129" i="84" s="1"/>
  <c r="F130" i="84" s="1"/>
  <c r="F131" i="84" s="1"/>
  <c r="F132" i="84" s="1"/>
  <c r="F133" i="84" s="1"/>
  <c r="F134" i="84" s="1"/>
  <c r="F135" i="84" s="1"/>
  <c r="F136" i="84" s="1"/>
  <c r="F137" i="84" s="1"/>
  <c r="F138" i="84" s="1"/>
  <c r="F139" i="84" s="1"/>
  <c r="F140" i="84" s="1"/>
  <c r="F141" i="84" s="1"/>
  <c r="F142" i="84" s="1"/>
  <c r="F143" i="84" s="1"/>
  <c r="F144" i="84" s="1"/>
  <c r="A12" i="84"/>
  <c r="BC11" i="84"/>
  <c r="BC12" i="84" s="1"/>
  <c r="BC13" i="84" s="1"/>
  <c r="BC14" i="84" s="1"/>
  <c r="AY11" i="84"/>
  <c r="AU11" i="84"/>
  <c r="AP11" i="84"/>
  <c r="AK11" i="84"/>
  <c r="AK12" i="84" s="1"/>
  <c r="AK13" i="84" s="1"/>
  <c r="AG11" i="84"/>
  <c r="AB11" i="84"/>
  <c r="AB12" i="84" s="1"/>
  <c r="AB13" i="84" s="1"/>
  <c r="AB14" i="84" s="1"/>
  <c r="AB15" i="84" s="1"/>
  <c r="X11" i="84"/>
  <c r="L11" i="84"/>
  <c r="K11" i="84"/>
  <c r="BC71" i="84" l="1"/>
  <c r="BC72" i="84" s="1"/>
  <c r="BD71" i="84" s="1"/>
  <c r="AL26" i="84"/>
  <c r="AB55" i="84"/>
  <c r="AB56" i="84" s="1"/>
  <c r="AB57" i="84" s="1"/>
  <c r="AB58" i="84" s="1"/>
  <c r="AB59" i="84" s="1"/>
  <c r="J168" i="84"/>
  <c r="J169" i="84"/>
  <c r="E13" i="90"/>
  <c r="E14" i="90"/>
  <c r="E15" i="90"/>
  <c r="BD13" i="84"/>
  <c r="BC15" i="84"/>
  <c r="BD14" i="84" s="1"/>
  <c r="BE14" i="84" s="1"/>
  <c r="CC14" i="84" s="1"/>
  <c r="BF142" i="84"/>
  <c r="CD142" i="84" s="1"/>
  <c r="BE144" i="84"/>
  <c r="CC144" i="84" s="1"/>
  <c r="AV136" i="84"/>
  <c r="CA136" i="84" s="1"/>
  <c r="AV143" i="84"/>
  <c r="CA143" i="84" s="1"/>
  <c r="AV152" i="84"/>
  <c r="CA152" i="84" s="1"/>
  <c r="AM160" i="84"/>
  <c r="BX160" i="84" s="1"/>
  <c r="AN161" i="84"/>
  <c r="BY161" i="84" s="1"/>
  <c r="AN148" i="84"/>
  <c r="BY148" i="84" s="1"/>
  <c r="AM159" i="84"/>
  <c r="BX159" i="84" s="1"/>
  <c r="AE151" i="84"/>
  <c r="BW151" i="84" s="1"/>
  <c r="AE154" i="84"/>
  <c r="BW154" i="84" s="1"/>
  <c r="AC158" i="84"/>
  <c r="AE160" i="84"/>
  <c r="BW160" i="84" s="1"/>
  <c r="V26" i="90"/>
  <c r="V13" i="90"/>
  <c r="Q31" i="90"/>
  <c r="Q13" i="90"/>
  <c r="BE134" i="84"/>
  <c r="CC134" i="84" s="1"/>
  <c r="BE151" i="84"/>
  <c r="CC151" i="84" s="1"/>
  <c r="BE152" i="84"/>
  <c r="CC152" i="84" s="1"/>
  <c r="BF153" i="84"/>
  <c r="CD153" i="84" s="1"/>
  <c r="BE158" i="84"/>
  <c r="CC158" i="84" s="1"/>
  <c r="BE131" i="84"/>
  <c r="CC131" i="84" s="1"/>
  <c r="BE139" i="84"/>
  <c r="CC139" i="84" s="1"/>
  <c r="BF141" i="84"/>
  <c r="CD141" i="84" s="1"/>
  <c r="BE129" i="84"/>
  <c r="CC129" i="84" s="1"/>
  <c r="BD160" i="84"/>
  <c r="BE161" i="84"/>
  <c r="CC161" i="84" s="1"/>
  <c r="AW153" i="84"/>
  <c r="CB153" i="84" s="1"/>
  <c r="AV138" i="84"/>
  <c r="CA138" i="84" s="1"/>
  <c r="AN23" i="84"/>
  <c r="BY23" i="84" s="1"/>
  <c r="AM150" i="84"/>
  <c r="BX150" i="84" s="1"/>
  <c r="AL140" i="84"/>
  <c r="AN140" i="84" s="1"/>
  <c r="BY140" i="84" s="1"/>
  <c r="AE158" i="84"/>
  <c r="BW158" i="84" s="1"/>
  <c r="AE163" i="84"/>
  <c r="BW163" i="84" s="1"/>
  <c r="G7" i="88"/>
  <c r="F7" i="79"/>
  <c r="U7" i="88"/>
  <c r="F41" i="79"/>
  <c r="P15" i="90"/>
  <c r="BE69" i="84"/>
  <c r="CC69" i="84" s="1"/>
  <c r="BE135" i="84"/>
  <c r="CC135" i="84" s="1"/>
  <c r="BE138" i="84"/>
  <c r="CC138" i="84" s="1"/>
  <c r="BE146" i="84"/>
  <c r="CC146" i="84" s="1"/>
  <c r="BE160" i="84"/>
  <c r="CC160" i="84" s="1"/>
  <c r="BF69" i="84"/>
  <c r="CD69" i="84" s="1"/>
  <c r="BF148" i="84"/>
  <c r="CD148" i="84" s="1"/>
  <c r="BD159" i="84"/>
  <c r="AW147" i="84"/>
  <c r="CB147" i="84" s="1"/>
  <c r="AV145" i="84"/>
  <c r="CA145" i="84" s="1"/>
  <c r="AW144" i="84"/>
  <c r="CB144" i="84" s="1"/>
  <c r="AW155" i="84"/>
  <c r="CB155" i="84" s="1"/>
  <c r="AW156" i="84"/>
  <c r="CB156" i="84" s="1"/>
  <c r="AL45" i="84"/>
  <c r="AM45" i="84" s="1"/>
  <c r="BX45" i="84" s="1"/>
  <c r="AK47" i="84"/>
  <c r="AK93" i="84"/>
  <c r="AK94" i="84" s="1"/>
  <c r="AK95" i="84" s="1"/>
  <c r="AL94" i="84" s="1"/>
  <c r="AM94" i="84" s="1"/>
  <c r="BX94" i="84" s="1"/>
  <c r="AK14" i="84"/>
  <c r="AK15" i="84" s="1"/>
  <c r="AM27" i="84"/>
  <c r="BX27" i="84" s="1"/>
  <c r="AN147" i="84"/>
  <c r="BY147" i="84" s="1"/>
  <c r="AB35" i="84"/>
  <c r="AB36" i="84" s="1"/>
  <c r="AB116" i="84"/>
  <c r="AB117" i="84" s="1"/>
  <c r="AC116" i="84" s="1"/>
  <c r="AD116" i="84" s="1"/>
  <c r="BV116" i="84" s="1"/>
  <c r="AC130" i="84"/>
  <c r="AC159" i="84"/>
  <c r="AB73" i="84"/>
  <c r="AC72" i="84" s="1"/>
  <c r="AE72" i="84" s="1"/>
  <c r="BW72" i="84" s="1"/>
  <c r="AE156" i="84"/>
  <c r="BW156" i="84" s="1"/>
  <c r="AD162" i="84"/>
  <c r="BV162" i="84" s="1"/>
  <c r="AE164" i="84"/>
  <c r="BW164" i="84" s="1"/>
  <c r="AU7" i="84"/>
  <c r="BD7" i="84" s="1"/>
  <c r="AU162" i="84"/>
  <c r="AU107" i="84"/>
  <c r="AW107" i="84" s="1"/>
  <c r="CB107" i="84" s="1"/>
  <c r="G15" i="90"/>
  <c r="BE133" i="84"/>
  <c r="CC133" i="84" s="1"/>
  <c r="BE93" i="84"/>
  <c r="CC93" i="84" s="1"/>
  <c r="BE130" i="84"/>
  <c r="CC130" i="84" s="1"/>
  <c r="BD118" i="84"/>
  <c r="BF118" i="84" s="1"/>
  <c r="CD118" i="84" s="1"/>
  <c r="BD109" i="84"/>
  <c r="BE109" i="84" s="1"/>
  <c r="CC109" i="84" s="1"/>
  <c r="BD117" i="84"/>
  <c r="BE132" i="84"/>
  <c r="CC132" i="84" s="1"/>
  <c r="BD138" i="84"/>
  <c r="BD142" i="84"/>
  <c r="BB169" i="84"/>
  <c r="BB165" i="84"/>
  <c r="BB161" i="84"/>
  <c r="BB157" i="84"/>
  <c r="BB153" i="84"/>
  <c r="BB149" i="84"/>
  <c r="BB145" i="84"/>
  <c r="BB141" i="84"/>
  <c r="BB137" i="84"/>
  <c r="BB133" i="84"/>
  <c r="BB129" i="84"/>
  <c r="BB125" i="84"/>
  <c r="BB121" i="84"/>
  <c r="BB117" i="84"/>
  <c r="BB113" i="84"/>
  <c r="BB109" i="84"/>
  <c r="BB105" i="84"/>
  <c r="BB101" i="84"/>
  <c r="BB97" i="84"/>
  <c r="BB93" i="84"/>
  <c r="BB89" i="84"/>
  <c r="BB85" i="84"/>
  <c r="BB81" i="84"/>
  <c r="BB77" i="84"/>
  <c r="BB73" i="84"/>
  <c r="BB69" i="84"/>
  <c r="BB65" i="84"/>
  <c r="BB61" i="84"/>
  <c r="BB57" i="84"/>
  <c r="BB53" i="84"/>
  <c r="BB49" i="84"/>
  <c r="BB45" i="84"/>
  <c r="BB41" i="84"/>
  <c r="BB37" i="84"/>
  <c r="BB33" i="84"/>
  <c r="BB29" i="84"/>
  <c r="BB25" i="84"/>
  <c r="BB21" i="84"/>
  <c r="BB17" i="84"/>
  <c r="BB13" i="84"/>
  <c r="AS168" i="84"/>
  <c r="AS164" i="84"/>
  <c r="AS160" i="84"/>
  <c r="AS156" i="84"/>
  <c r="AS152" i="84"/>
  <c r="AS148" i="84"/>
  <c r="AS144" i="84"/>
  <c r="AS140" i="84"/>
  <c r="AS136" i="84"/>
  <c r="AS132" i="84"/>
  <c r="AS128" i="84"/>
  <c r="AS124" i="84"/>
  <c r="AS120" i="84"/>
  <c r="AS116" i="84"/>
  <c r="AS112" i="84"/>
  <c r="AS108" i="84"/>
  <c r="AS104" i="84"/>
  <c r="AS100" i="84"/>
  <c r="AS96" i="84"/>
  <c r="AS92" i="84"/>
  <c r="AS88" i="84"/>
  <c r="AS84" i="84"/>
  <c r="AS80" i="84"/>
  <c r="AS76" i="84"/>
  <c r="AS72" i="84"/>
  <c r="AS68" i="84"/>
  <c r="AS64" i="84"/>
  <c r="AS60" i="84"/>
  <c r="AS56" i="84"/>
  <c r="AS52" i="84"/>
  <c r="AS48" i="84"/>
  <c r="AS44" i="84"/>
  <c r="AS40" i="84"/>
  <c r="AS36" i="84"/>
  <c r="AS32" i="84"/>
  <c r="AS28" i="84"/>
  <c r="AS24" i="84"/>
  <c r="AS20" i="84"/>
  <c r="AS16" i="84"/>
  <c r="AS12" i="84"/>
  <c r="BB168" i="84"/>
  <c r="BB164" i="84"/>
  <c r="BB160" i="84"/>
  <c r="BB156" i="84"/>
  <c r="BB152" i="84"/>
  <c r="BB148" i="84"/>
  <c r="BB144" i="84"/>
  <c r="BB140" i="84"/>
  <c r="BB136" i="84"/>
  <c r="BB132" i="84"/>
  <c r="BB128" i="84"/>
  <c r="BB124" i="84"/>
  <c r="BB120" i="84"/>
  <c r="BB116" i="84"/>
  <c r="BB112" i="84"/>
  <c r="BB108" i="84"/>
  <c r="BB104" i="84"/>
  <c r="BB100" i="84"/>
  <c r="BB96" i="84"/>
  <c r="BB92" i="84"/>
  <c r="BB88" i="84"/>
  <c r="BB84" i="84"/>
  <c r="BB80" i="84"/>
  <c r="BB76" i="84"/>
  <c r="BB72" i="84"/>
  <c r="BB68" i="84"/>
  <c r="BB64" i="84"/>
  <c r="BB60" i="84"/>
  <c r="BB56" i="84"/>
  <c r="BB52" i="84"/>
  <c r="BB48" i="84"/>
  <c r="BB44" i="84"/>
  <c r="BB40" i="84"/>
  <c r="BB36" i="84"/>
  <c r="BB32" i="84"/>
  <c r="BB28" i="84"/>
  <c r="BB24" i="84"/>
  <c r="BB20" i="84"/>
  <c r="BB16" i="84"/>
  <c r="BB12" i="84"/>
  <c r="AS167" i="84"/>
  <c r="AS163" i="84"/>
  <c r="AS159" i="84"/>
  <c r="AS155" i="84"/>
  <c r="AS151" i="84"/>
  <c r="AS147" i="84"/>
  <c r="AS143" i="84"/>
  <c r="AS139" i="84"/>
  <c r="AS135" i="84"/>
  <c r="AS131" i="84"/>
  <c r="AS127" i="84"/>
  <c r="AS123" i="84"/>
  <c r="AS119" i="84"/>
  <c r="AS115" i="84"/>
  <c r="AS111" i="84"/>
  <c r="AS107" i="84"/>
  <c r="AS103" i="84"/>
  <c r="AS99" i="84"/>
  <c r="AS95" i="84"/>
  <c r="AS91" i="84"/>
  <c r="AS87" i="84"/>
  <c r="AS83" i="84"/>
  <c r="AS79" i="84"/>
  <c r="AS75" i="84"/>
  <c r="AS71" i="84"/>
  <c r="AS67" i="84"/>
  <c r="AS63" i="84"/>
  <c r="AS59" i="84"/>
  <c r="AS55" i="84"/>
  <c r="AS51" i="84"/>
  <c r="AS47" i="84"/>
  <c r="AS43" i="84"/>
  <c r="AS39" i="84"/>
  <c r="AS35" i="84"/>
  <c r="AS31" i="84"/>
  <c r="AS27" i="84"/>
  <c r="AS23" i="84"/>
  <c r="AS19" i="84"/>
  <c r="AS15" i="84"/>
  <c r="BB11" i="84"/>
  <c r="BB167" i="84"/>
  <c r="BB163" i="84"/>
  <c r="BB159" i="84"/>
  <c r="BB155" i="84"/>
  <c r="BB151" i="84"/>
  <c r="BB166" i="84"/>
  <c r="BB150" i="84"/>
  <c r="BB142" i="84"/>
  <c r="BB134" i="84"/>
  <c r="BB126" i="84"/>
  <c r="BB118" i="84"/>
  <c r="BB110" i="84"/>
  <c r="BB102" i="84"/>
  <c r="BB94" i="84"/>
  <c r="BB86" i="84"/>
  <c r="BB78" i="84"/>
  <c r="BB70" i="84"/>
  <c r="BB62" i="84"/>
  <c r="BB46" i="84"/>
  <c r="BB30" i="84"/>
  <c r="AS157" i="84"/>
  <c r="BB158" i="84"/>
  <c r="BB146" i="84"/>
  <c r="BB138" i="84"/>
  <c r="BB130" i="84"/>
  <c r="BB122" i="84"/>
  <c r="BB114" i="84"/>
  <c r="BB106" i="84"/>
  <c r="BB98" i="84"/>
  <c r="BB90" i="84"/>
  <c r="BB82" i="84"/>
  <c r="BB74" i="84"/>
  <c r="BB66" i="84"/>
  <c r="BB58" i="84"/>
  <c r="BB50" i="84"/>
  <c r="BB42" i="84"/>
  <c r="BB34" i="84"/>
  <c r="BB26" i="84"/>
  <c r="BB18" i="84"/>
  <c r="AS169" i="84"/>
  <c r="AS161" i="84"/>
  <c r="AS153" i="84"/>
  <c r="AS145" i="84"/>
  <c r="AS137" i="84"/>
  <c r="AS129" i="84"/>
  <c r="AS121" i="84"/>
  <c r="AS113" i="84"/>
  <c r="AS105" i="84"/>
  <c r="AS97" i="84"/>
  <c r="AS89" i="84"/>
  <c r="AS81" i="84"/>
  <c r="AS73" i="84"/>
  <c r="AS65" i="84"/>
  <c r="AS57" i="84"/>
  <c r="AS49" i="84"/>
  <c r="AS41" i="84"/>
  <c r="AS33" i="84"/>
  <c r="AS25" i="84"/>
  <c r="AS17" i="84"/>
  <c r="BB170" i="84"/>
  <c r="BB154" i="84"/>
  <c r="BB143" i="84"/>
  <c r="BB135" i="84"/>
  <c r="BB127" i="84"/>
  <c r="BB119" i="84"/>
  <c r="BB111" i="84"/>
  <c r="BB103" i="84"/>
  <c r="BB95" i="84"/>
  <c r="BB87" i="84"/>
  <c r="BB79" i="84"/>
  <c r="BB71" i="84"/>
  <c r="BB63" i="84"/>
  <c r="BB55" i="84"/>
  <c r="BB47" i="84"/>
  <c r="BB39" i="84"/>
  <c r="BB31" i="84"/>
  <c r="BB23" i="84"/>
  <c r="BB15" i="84"/>
  <c r="AS166" i="84"/>
  <c r="AS158" i="84"/>
  <c r="AS150" i="84"/>
  <c r="AS142" i="84"/>
  <c r="AS134" i="84"/>
  <c r="AS126" i="84"/>
  <c r="AS118" i="84"/>
  <c r="AS110" i="84"/>
  <c r="AS102" i="84"/>
  <c r="AS94" i="84"/>
  <c r="AS86" i="84"/>
  <c r="AS78" i="84"/>
  <c r="AS70" i="84"/>
  <c r="AS62" i="84"/>
  <c r="AS54" i="84"/>
  <c r="AS46" i="84"/>
  <c r="AS38" i="84"/>
  <c r="AS30" i="84"/>
  <c r="AS22" i="84"/>
  <c r="AS14" i="84"/>
  <c r="BB54" i="84"/>
  <c r="BB38" i="84"/>
  <c r="BB22" i="84"/>
  <c r="BB14" i="84"/>
  <c r="AS165" i="84"/>
  <c r="AS149" i="84"/>
  <c r="AS141" i="84"/>
  <c r="AS133" i="84"/>
  <c r="AS58" i="84"/>
  <c r="BB139" i="84"/>
  <c r="BB107" i="84"/>
  <c r="BB75" i="84"/>
  <c r="BB43" i="84"/>
  <c r="AS170" i="84"/>
  <c r="AS138" i="84"/>
  <c r="AS117" i="84"/>
  <c r="AS101" i="84"/>
  <c r="AS85" i="84"/>
  <c r="AS69" i="84"/>
  <c r="AS53" i="84"/>
  <c r="AS37" i="84"/>
  <c r="AS21" i="84"/>
  <c r="BB131" i="84"/>
  <c r="BB99" i="84"/>
  <c r="BB67" i="84"/>
  <c r="BB35" i="84"/>
  <c r="AS162" i="84"/>
  <c r="AS130" i="84"/>
  <c r="AS114" i="84"/>
  <c r="AS98" i="84"/>
  <c r="AS82" i="84"/>
  <c r="AS66" i="84"/>
  <c r="AS50" i="84"/>
  <c r="AS34" i="84"/>
  <c r="AS18" i="84"/>
  <c r="BB162" i="84"/>
  <c r="BB123" i="84"/>
  <c r="BB91" i="84"/>
  <c r="BB59" i="84"/>
  <c r="BB27" i="84"/>
  <c r="AS154" i="84"/>
  <c r="AS125" i="84"/>
  <c r="AS109" i="84"/>
  <c r="AS93" i="84"/>
  <c r="AS77" i="84"/>
  <c r="AS61" i="84"/>
  <c r="AS45" i="84"/>
  <c r="AS29" i="84"/>
  <c r="AS13" i="84"/>
  <c r="BB147" i="84"/>
  <c r="BB115" i="84"/>
  <c r="BB83" i="84"/>
  <c r="BB51" i="84"/>
  <c r="BB19" i="84"/>
  <c r="AS146" i="84"/>
  <c r="AS122" i="84"/>
  <c r="AS106" i="84"/>
  <c r="AS90" i="84"/>
  <c r="AS74" i="84"/>
  <c r="AS42" i="84"/>
  <c r="AS26" i="84"/>
  <c r="AS11" i="84"/>
  <c r="AV128" i="84"/>
  <c r="CA128" i="84" s="1"/>
  <c r="AV135" i="84"/>
  <c r="CA135" i="84" s="1"/>
  <c r="AU138" i="84"/>
  <c r="AV141" i="84"/>
  <c r="CA141" i="84" s="1"/>
  <c r="AU136" i="84"/>
  <c r="AU28" i="84"/>
  <c r="AU39" i="84"/>
  <c r="AW39" i="84" s="1"/>
  <c r="CB39" i="84" s="1"/>
  <c r="AL139" i="84"/>
  <c r="AL53" i="84"/>
  <c r="AM53" i="84" s="1"/>
  <c r="BX53" i="84" s="1"/>
  <c r="AN145" i="84"/>
  <c r="BY145" i="84" s="1"/>
  <c r="AC59" i="84"/>
  <c r="AE59" i="84" s="1"/>
  <c r="BW59" i="84" s="1"/>
  <c r="AD146" i="84"/>
  <c r="BV146" i="84" s="1"/>
  <c r="AC160" i="84"/>
  <c r="AE114" i="84"/>
  <c r="BW114" i="84" s="1"/>
  <c r="AE144" i="84"/>
  <c r="BW144" i="84" s="1"/>
  <c r="AC142" i="84"/>
  <c r="AJ168" i="84"/>
  <c r="AJ164" i="84"/>
  <c r="AJ160" i="84"/>
  <c r="AJ156" i="84"/>
  <c r="AJ152" i="84"/>
  <c r="AJ148" i="84"/>
  <c r="AJ144" i="84"/>
  <c r="AJ140" i="84"/>
  <c r="AJ136" i="84"/>
  <c r="AJ132" i="84"/>
  <c r="AJ128" i="84"/>
  <c r="AJ124" i="84"/>
  <c r="AJ120" i="84"/>
  <c r="AJ116" i="84"/>
  <c r="AJ112" i="84"/>
  <c r="AJ108" i="84"/>
  <c r="AJ104" i="84"/>
  <c r="AJ100" i="84"/>
  <c r="AJ96" i="84"/>
  <c r="AJ92" i="84"/>
  <c r="AJ88" i="84"/>
  <c r="AJ84" i="84"/>
  <c r="AJ80" i="84"/>
  <c r="AJ76" i="84"/>
  <c r="AJ72" i="84"/>
  <c r="AJ68" i="84"/>
  <c r="AJ64" i="84"/>
  <c r="AJ60" i="84"/>
  <c r="AJ56" i="84"/>
  <c r="AJ52" i="84"/>
  <c r="AJ48" i="84"/>
  <c r="AJ44" i="84"/>
  <c r="AJ40" i="84"/>
  <c r="AJ36" i="84"/>
  <c r="AJ15" i="84"/>
  <c r="AJ19" i="84"/>
  <c r="AJ23" i="84"/>
  <c r="AJ27" i="84"/>
  <c r="AJ31" i="84"/>
  <c r="AJ35" i="84"/>
  <c r="AA13" i="84"/>
  <c r="AA17" i="84"/>
  <c r="AA21" i="84"/>
  <c r="AA25" i="84"/>
  <c r="AA29" i="84"/>
  <c r="AA33" i="84"/>
  <c r="AA37" i="84"/>
  <c r="AA41" i="84"/>
  <c r="AA45" i="84"/>
  <c r="AA49" i="84"/>
  <c r="AA53" i="84"/>
  <c r="AA57" i="84"/>
  <c r="AA61" i="84"/>
  <c r="AA65" i="84"/>
  <c r="AA69" i="84"/>
  <c r="AA73" i="84"/>
  <c r="AA77" i="84"/>
  <c r="AA81" i="84"/>
  <c r="AA85" i="84"/>
  <c r="AA89" i="84"/>
  <c r="AA93" i="84"/>
  <c r="AA97" i="84"/>
  <c r="AA101" i="84"/>
  <c r="AA105" i="84"/>
  <c r="AA109" i="84"/>
  <c r="AA113" i="84"/>
  <c r="AA117" i="84"/>
  <c r="AA121" i="84"/>
  <c r="AA125" i="84"/>
  <c r="AA129" i="84"/>
  <c r="AA133" i="84"/>
  <c r="AA137" i="84"/>
  <c r="AA141" i="84"/>
  <c r="AA145" i="84"/>
  <c r="AA149" i="84"/>
  <c r="AA153" i="84"/>
  <c r="AA157" i="84"/>
  <c r="AA161" i="84"/>
  <c r="AA165" i="84"/>
  <c r="AA169" i="84"/>
  <c r="AJ79" i="84"/>
  <c r="AJ59" i="84"/>
  <c r="AJ167" i="84"/>
  <c r="AJ163" i="84"/>
  <c r="AJ159" i="84"/>
  <c r="AJ155" i="84"/>
  <c r="AJ151" i="84"/>
  <c r="AJ147" i="84"/>
  <c r="AJ143" i="84"/>
  <c r="AJ139" i="84"/>
  <c r="AJ135" i="84"/>
  <c r="AJ131" i="84"/>
  <c r="AJ127" i="84"/>
  <c r="AJ123" i="84"/>
  <c r="AJ119" i="84"/>
  <c r="AJ115" i="84"/>
  <c r="AJ111" i="84"/>
  <c r="AJ107" i="84"/>
  <c r="AJ103" i="84"/>
  <c r="AJ99" i="84"/>
  <c r="AJ95" i="84"/>
  <c r="AJ91" i="84"/>
  <c r="AJ87" i="84"/>
  <c r="AJ83" i="84"/>
  <c r="AJ75" i="84"/>
  <c r="AJ71" i="84"/>
  <c r="AJ67" i="84"/>
  <c r="AJ63" i="84"/>
  <c r="AJ55" i="84"/>
  <c r="AJ169" i="84"/>
  <c r="AJ161" i="84"/>
  <c r="AJ153" i="84"/>
  <c r="AJ145" i="84"/>
  <c r="AJ137" i="84"/>
  <c r="AJ129" i="84"/>
  <c r="AJ121" i="84"/>
  <c r="AJ113" i="84"/>
  <c r="AJ105" i="84"/>
  <c r="AJ97" i="84"/>
  <c r="AJ89" i="84"/>
  <c r="AJ81" i="84"/>
  <c r="AJ73" i="84"/>
  <c r="AJ65" i="84"/>
  <c r="AJ57" i="84"/>
  <c r="AJ50" i="84"/>
  <c r="AJ45" i="84"/>
  <c r="AJ39" i="84"/>
  <c r="AJ13" i="84"/>
  <c r="AJ18" i="84"/>
  <c r="AJ24" i="84"/>
  <c r="AJ29" i="84"/>
  <c r="AJ34" i="84"/>
  <c r="AA14" i="84"/>
  <c r="AA19" i="84"/>
  <c r="AA24" i="84"/>
  <c r="AA30" i="84"/>
  <c r="AA35" i="84"/>
  <c r="AA40" i="84"/>
  <c r="AA46" i="84"/>
  <c r="AA51" i="84"/>
  <c r="AA56" i="84"/>
  <c r="AA62" i="84"/>
  <c r="AA67" i="84"/>
  <c r="AA72" i="84"/>
  <c r="AA78" i="84"/>
  <c r="AA83" i="84"/>
  <c r="AA88" i="84"/>
  <c r="AA94" i="84"/>
  <c r="AA99" i="84"/>
  <c r="AA104" i="84"/>
  <c r="AA110" i="84"/>
  <c r="AA115" i="84"/>
  <c r="AA120" i="84"/>
  <c r="AA126" i="84"/>
  <c r="AA131" i="84"/>
  <c r="AA136" i="84"/>
  <c r="AA142" i="84"/>
  <c r="AA147" i="84"/>
  <c r="AA152" i="84"/>
  <c r="AA158" i="84"/>
  <c r="AA163" i="84"/>
  <c r="AA168" i="84"/>
  <c r="AJ166" i="84"/>
  <c r="AJ158" i="84"/>
  <c r="AJ150" i="84"/>
  <c r="AJ142" i="84"/>
  <c r="AJ134" i="84"/>
  <c r="AJ126" i="84"/>
  <c r="AJ118" i="84"/>
  <c r="AJ110" i="84"/>
  <c r="AJ102" i="84"/>
  <c r="AJ94" i="84"/>
  <c r="AJ86" i="84"/>
  <c r="AJ78" i="84"/>
  <c r="AJ70" i="84"/>
  <c r="AJ62" i="84"/>
  <c r="AJ54" i="84"/>
  <c r="AJ49" i="84"/>
  <c r="AJ43" i="84"/>
  <c r="AJ38" i="84"/>
  <c r="AJ165" i="84"/>
  <c r="AJ157" i="84"/>
  <c r="AJ149" i="84"/>
  <c r="AJ141" i="84"/>
  <c r="AJ133" i="84"/>
  <c r="AJ125" i="84"/>
  <c r="AJ117" i="84"/>
  <c r="AJ109" i="84"/>
  <c r="AJ101" i="84"/>
  <c r="AJ93" i="84"/>
  <c r="AJ85" i="84"/>
  <c r="AJ77" i="84"/>
  <c r="AJ69" i="84"/>
  <c r="AJ61" i="84"/>
  <c r="AJ53" i="84"/>
  <c r="AJ47" i="84"/>
  <c r="AJ42" i="84"/>
  <c r="AJ37" i="84"/>
  <c r="AJ16" i="84"/>
  <c r="AJ21" i="84"/>
  <c r="AJ26" i="84"/>
  <c r="AJ32" i="84"/>
  <c r="AA170" i="84"/>
  <c r="AA16" i="84"/>
  <c r="AA22" i="84"/>
  <c r="AA27" i="84"/>
  <c r="AA32" i="84"/>
  <c r="AA38" i="84"/>
  <c r="AA43" i="84"/>
  <c r="AA48" i="84"/>
  <c r="AA54" i="84"/>
  <c r="AA59" i="84"/>
  <c r="AA64" i="84"/>
  <c r="AA70" i="84"/>
  <c r="AA75" i="84"/>
  <c r="AA80" i="84"/>
  <c r="AA86" i="84"/>
  <c r="AA91" i="84"/>
  <c r="AA96" i="84"/>
  <c r="AA102" i="84"/>
  <c r="AA107" i="84"/>
  <c r="AA112" i="84"/>
  <c r="AA118" i="84"/>
  <c r="AA123" i="84"/>
  <c r="AA128" i="84"/>
  <c r="AA134" i="84"/>
  <c r="AA139" i="84"/>
  <c r="AA144" i="84"/>
  <c r="AA150" i="84"/>
  <c r="AA155" i="84"/>
  <c r="AA160" i="84"/>
  <c r="AA166" i="84"/>
  <c r="AJ170" i="84"/>
  <c r="AJ162" i="84"/>
  <c r="AJ154" i="84"/>
  <c r="AJ146" i="84"/>
  <c r="AJ138" i="84"/>
  <c r="AJ130" i="84"/>
  <c r="AJ122" i="84"/>
  <c r="AJ114" i="84"/>
  <c r="AJ106" i="84"/>
  <c r="AJ98" i="84"/>
  <c r="AJ90" i="84"/>
  <c r="AJ82" i="84"/>
  <c r="AJ74" i="84"/>
  <c r="AJ66" i="84"/>
  <c r="AJ58" i="84"/>
  <c r="AJ51" i="84"/>
  <c r="AJ46" i="84"/>
  <c r="AJ41" i="84"/>
  <c r="AJ12" i="84"/>
  <c r="AJ17" i="84"/>
  <c r="AJ22" i="84"/>
  <c r="AJ28" i="84"/>
  <c r="AJ33" i="84"/>
  <c r="AA12" i="84"/>
  <c r="AA18" i="84"/>
  <c r="AA23" i="84"/>
  <c r="AA28" i="84"/>
  <c r="AA34" i="84"/>
  <c r="AA39" i="84"/>
  <c r="AA44" i="84"/>
  <c r="AA50" i="84"/>
  <c r="AJ20" i="84"/>
  <c r="AA15" i="84"/>
  <c r="AA36" i="84"/>
  <c r="AA55" i="84"/>
  <c r="AA66" i="84"/>
  <c r="AA76" i="84"/>
  <c r="AA87" i="84"/>
  <c r="AA98" i="84"/>
  <c r="AA108" i="84"/>
  <c r="AA119" i="84"/>
  <c r="AA130" i="84"/>
  <c r="AA140" i="84"/>
  <c r="AA151" i="84"/>
  <c r="AA162" i="84"/>
  <c r="AJ25" i="84"/>
  <c r="AA20" i="84"/>
  <c r="AA42" i="84"/>
  <c r="AA58" i="84"/>
  <c r="AA68" i="84"/>
  <c r="AA79" i="84"/>
  <c r="AA90" i="84"/>
  <c r="AA100" i="84"/>
  <c r="AA111" i="84"/>
  <c r="AA122" i="84"/>
  <c r="AA132" i="84"/>
  <c r="AA154" i="84"/>
  <c r="AJ30" i="84"/>
  <c r="AA26" i="84"/>
  <c r="AA47" i="84"/>
  <c r="AA60" i="84"/>
  <c r="AA71" i="84"/>
  <c r="AA82" i="84"/>
  <c r="AA92" i="84"/>
  <c r="AA103" i="84"/>
  <c r="AA114" i="84"/>
  <c r="AA124" i="84"/>
  <c r="AA135" i="84"/>
  <c r="AA146" i="84"/>
  <c r="AA156" i="84"/>
  <c r="AA167" i="84"/>
  <c r="AJ14" i="84"/>
  <c r="AJ11" i="84"/>
  <c r="AA31" i="84"/>
  <c r="AA52" i="84"/>
  <c r="AA63" i="84"/>
  <c r="AA74" i="84"/>
  <c r="AA84" i="84"/>
  <c r="AA95" i="84"/>
  <c r="AA106" i="84"/>
  <c r="AA116" i="84"/>
  <c r="AA127" i="84"/>
  <c r="AA138" i="84"/>
  <c r="AA148" i="84"/>
  <c r="AA159" i="84"/>
  <c r="AA11" i="84"/>
  <c r="AA143" i="84"/>
  <c r="AA164" i="84"/>
  <c r="V27" i="90"/>
  <c r="V28" i="90"/>
  <c r="V29" i="90"/>
  <c r="V30" i="90"/>
  <c r="V31" i="90"/>
  <c r="U15" i="90"/>
  <c r="Q26" i="90"/>
  <c r="Q27" i="90"/>
  <c r="Q28" i="90"/>
  <c r="Q29" i="90"/>
  <c r="Q30" i="90"/>
  <c r="J26" i="90"/>
  <c r="J27" i="90"/>
  <c r="J28" i="90"/>
  <c r="J29" i="90"/>
  <c r="J30" i="90"/>
  <c r="J13" i="90"/>
  <c r="I14" i="90"/>
  <c r="E26" i="90"/>
  <c r="E27" i="90"/>
  <c r="E28" i="90"/>
  <c r="E29" i="90"/>
  <c r="E30" i="90"/>
  <c r="E31" i="90"/>
  <c r="D14" i="90"/>
  <c r="BC113" i="84"/>
  <c r="BD111" i="84"/>
  <c r="BC22" i="84"/>
  <c r="BC23" i="84" s="1"/>
  <c r="BC24" i="84" s="1"/>
  <c r="BC25" i="84" s="1"/>
  <c r="BF117" i="84"/>
  <c r="CD117" i="84" s="1"/>
  <c r="BD123" i="84"/>
  <c r="BE123" i="84" s="1"/>
  <c r="CC123" i="84" s="1"/>
  <c r="BC125" i="84"/>
  <c r="BC126" i="84" s="1"/>
  <c r="BC127" i="84" s="1"/>
  <c r="BC128" i="84" s="1"/>
  <c r="BC129" i="84" s="1"/>
  <c r="BD129" i="84" s="1"/>
  <c r="BD156" i="84"/>
  <c r="BC32" i="84"/>
  <c r="BC33" i="84" s="1"/>
  <c r="BC34" i="84" s="1"/>
  <c r="BD154" i="84"/>
  <c r="BC73" i="84"/>
  <c r="BC74" i="84" s="1"/>
  <c r="BF123" i="84"/>
  <c r="CD123" i="84" s="1"/>
  <c r="BD143" i="84"/>
  <c r="AU44" i="84"/>
  <c r="AV44" i="84" s="1"/>
  <c r="CA44" i="84" s="1"/>
  <c r="AU47" i="84"/>
  <c r="AV47" i="84" s="1"/>
  <c r="CA47" i="84" s="1"/>
  <c r="AU119" i="84"/>
  <c r="AW119" i="84" s="1"/>
  <c r="CB119" i="84" s="1"/>
  <c r="AU132" i="84"/>
  <c r="AW132" i="84" s="1"/>
  <c r="CB132" i="84" s="1"/>
  <c r="AU58" i="84"/>
  <c r="AV58" i="84" s="1"/>
  <c r="CA58" i="84" s="1"/>
  <c r="AV78" i="84"/>
  <c r="CA78" i="84" s="1"/>
  <c r="AU130" i="84"/>
  <c r="AW128" i="84"/>
  <c r="CB128" i="84" s="1"/>
  <c r="AV132" i="84"/>
  <c r="CA132" i="84" s="1"/>
  <c r="AU152" i="84"/>
  <c r="AU154" i="84"/>
  <c r="AU160" i="84"/>
  <c r="AU32" i="84"/>
  <c r="AW32" i="84" s="1"/>
  <c r="CB32" i="84" s="1"/>
  <c r="AU109" i="84"/>
  <c r="AV109" i="84" s="1"/>
  <c r="CA109" i="84" s="1"/>
  <c r="AU127" i="84"/>
  <c r="AV127" i="84" s="1"/>
  <c r="CA127" i="84" s="1"/>
  <c r="AW129" i="84"/>
  <c r="CB129" i="84" s="1"/>
  <c r="AU142" i="84"/>
  <c r="AK85" i="84"/>
  <c r="AK86" i="84" s="1"/>
  <c r="AK87" i="84" s="1"/>
  <c r="AK88" i="84" s="1"/>
  <c r="AK63" i="84"/>
  <c r="AL132" i="84"/>
  <c r="AN132" i="84" s="1"/>
  <c r="BY132" i="84" s="1"/>
  <c r="AN139" i="84"/>
  <c r="BY139" i="84" s="1"/>
  <c r="AM140" i="84"/>
  <c r="BX140" i="84" s="1"/>
  <c r="AK70" i="84"/>
  <c r="AK72" i="84"/>
  <c r="AL130" i="84"/>
  <c r="AM130" i="84" s="1"/>
  <c r="BX130" i="84" s="1"/>
  <c r="AK143" i="84"/>
  <c r="AL142" i="84" s="1"/>
  <c r="AM144" i="84"/>
  <c r="BX144" i="84" s="1"/>
  <c r="AL146" i="84"/>
  <c r="AL159" i="84"/>
  <c r="AK114" i="84"/>
  <c r="AK115" i="84" s="1"/>
  <c r="AK116" i="84" s="1"/>
  <c r="AK117" i="84" s="1"/>
  <c r="AK118" i="84" s="1"/>
  <c r="AK119" i="84" s="1"/>
  <c r="AK120" i="84" s="1"/>
  <c r="AK121" i="84" s="1"/>
  <c r="AK106" i="84"/>
  <c r="AK107" i="84" s="1"/>
  <c r="AL106" i="84" s="1"/>
  <c r="AC108" i="84"/>
  <c r="AE108" i="84" s="1"/>
  <c r="BW108" i="84" s="1"/>
  <c r="AB110" i="84"/>
  <c r="AB111" i="84" s="1"/>
  <c r="AC110" i="84" s="1"/>
  <c r="AE110" i="84" s="1"/>
  <c r="BW110" i="84" s="1"/>
  <c r="AB119" i="84"/>
  <c r="AB120" i="84" s="1"/>
  <c r="AB121" i="84" s="1"/>
  <c r="AB122" i="84" s="1"/>
  <c r="AD130" i="84"/>
  <c r="BV130" i="84" s="1"/>
  <c r="AE142" i="84"/>
  <c r="BW142" i="84" s="1"/>
  <c r="AE19" i="84"/>
  <c r="BW19" i="84" s="1"/>
  <c r="AE137" i="84"/>
  <c r="BW137" i="84" s="1"/>
  <c r="AD142" i="84"/>
  <c r="BV142" i="84" s="1"/>
  <c r="AB25" i="84"/>
  <c r="AC24" i="84" s="1"/>
  <c r="AE24" i="84" s="1"/>
  <c r="BW24" i="84" s="1"/>
  <c r="AE135" i="84"/>
  <c r="BW135" i="84" s="1"/>
  <c r="AD137" i="84"/>
  <c r="BV137" i="84" s="1"/>
  <c r="AE130" i="84"/>
  <c r="BW130" i="84" s="1"/>
  <c r="AE131" i="84"/>
  <c r="BW131" i="84" s="1"/>
  <c r="AC19" i="84"/>
  <c r="AD19" i="84" s="1"/>
  <c r="BV19" i="84" s="1"/>
  <c r="AB29" i="84"/>
  <c r="AB31" i="84"/>
  <c r="AD110" i="84"/>
  <c r="BV110" i="84" s="1"/>
  <c r="AD114" i="84"/>
  <c r="BV114" i="84" s="1"/>
  <c r="AE132" i="84"/>
  <c r="BW132" i="84" s="1"/>
  <c r="AB140" i="84"/>
  <c r="AC139" i="84" s="1"/>
  <c r="AC148" i="84"/>
  <c r="P26" i="90"/>
  <c r="P27" i="90"/>
  <c r="P29" i="90"/>
  <c r="S15" i="90"/>
  <c r="U13" i="90"/>
  <c r="U14" i="90"/>
  <c r="L28" i="90"/>
  <c r="D13" i="90"/>
  <c r="D15" i="90"/>
  <c r="BD120" i="84"/>
  <c r="BD134" i="84"/>
  <c r="BD136" i="84"/>
  <c r="BD11" i="84"/>
  <c r="BF11" i="84" s="1"/>
  <c r="CD11" i="84" s="1"/>
  <c r="BD67" i="84"/>
  <c r="BE67" i="84" s="1"/>
  <c r="CC67" i="84" s="1"/>
  <c r="BD130" i="84"/>
  <c r="BD144" i="84"/>
  <c r="AU126" i="84"/>
  <c r="AW126" i="84" s="1"/>
  <c r="CB126" i="84" s="1"/>
  <c r="AV28" i="84"/>
  <c r="CA28" i="84" s="1"/>
  <c r="AU147" i="84"/>
  <c r="AU151" i="84"/>
  <c r="AU159" i="84"/>
  <c r="AU125" i="84"/>
  <c r="AW125" i="84" s="1"/>
  <c r="CB125" i="84" s="1"/>
  <c r="AU34" i="84"/>
  <c r="AW34" i="84" s="1"/>
  <c r="CB34" i="84" s="1"/>
  <c r="AU43" i="84"/>
  <c r="AW43" i="84" s="1"/>
  <c r="CB43" i="84" s="1"/>
  <c r="AU57" i="84"/>
  <c r="AW57" i="84" s="1"/>
  <c r="CB57" i="84" s="1"/>
  <c r="AU79" i="84"/>
  <c r="AW79" i="84" s="1"/>
  <c r="CB79" i="84" s="1"/>
  <c r="AV126" i="84"/>
  <c r="CA126" i="84" s="1"/>
  <c r="AU129" i="84"/>
  <c r="AV129" i="84" s="1"/>
  <c r="CA129" i="84" s="1"/>
  <c r="AL134" i="84"/>
  <c r="AM134" i="84" s="1"/>
  <c r="BX134" i="84" s="1"/>
  <c r="AL138" i="84"/>
  <c r="AM138" i="84" s="1"/>
  <c r="BX138" i="84" s="1"/>
  <c r="AL35" i="84"/>
  <c r="AM35" i="84" s="1"/>
  <c r="BX35" i="84" s="1"/>
  <c r="AL44" i="84"/>
  <c r="AN44" i="84" s="1"/>
  <c r="BY44" i="84" s="1"/>
  <c r="AL154" i="84"/>
  <c r="AL28" i="84"/>
  <c r="AM28" i="84" s="1"/>
  <c r="BX28" i="84" s="1"/>
  <c r="AL32" i="84"/>
  <c r="AN32" i="84" s="1"/>
  <c r="BY32" i="84" s="1"/>
  <c r="AL56" i="84"/>
  <c r="AN56" i="84" s="1"/>
  <c r="BY56" i="84" s="1"/>
  <c r="AL111" i="84"/>
  <c r="AL127" i="84"/>
  <c r="AL152" i="84"/>
  <c r="AL160" i="84"/>
  <c r="AL168" i="84"/>
  <c r="AC112" i="84"/>
  <c r="AE112" i="84" s="1"/>
  <c r="BW112" i="84" s="1"/>
  <c r="AC57" i="84"/>
  <c r="AE57" i="84" s="1"/>
  <c r="BW57" i="84" s="1"/>
  <c r="AC13" i="84"/>
  <c r="AE13" i="84" s="1"/>
  <c r="BW13" i="84" s="1"/>
  <c r="AC56" i="84"/>
  <c r="AE56" i="84" s="1"/>
  <c r="BW56" i="84" s="1"/>
  <c r="AC106" i="84"/>
  <c r="AD106" i="84" s="1"/>
  <c r="BV106" i="84" s="1"/>
  <c r="AC151" i="84"/>
  <c r="AC16" i="84"/>
  <c r="AD16" i="84" s="1"/>
  <c r="BV16" i="84" s="1"/>
  <c r="AE106" i="84"/>
  <c r="BW106" i="84" s="1"/>
  <c r="AC152" i="84"/>
  <c r="AC156" i="84"/>
  <c r="X27" i="90"/>
  <c r="X30" i="90"/>
  <c r="X15" i="90"/>
  <c r="S28" i="90"/>
  <c r="S30" i="90"/>
  <c r="P13" i="90"/>
  <c r="P14" i="90"/>
  <c r="I26" i="90"/>
  <c r="I27" i="90"/>
  <c r="I29" i="90"/>
  <c r="I30" i="90"/>
  <c r="I15" i="90"/>
  <c r="I13" i="90"/>
  <c r="D26" i="90"/>
  <c r="D27" i="90"/>
  <c r="D29" i="90"/>
  <c r="D30" i="90"/>
  <c r="D31" i="90"/>
  <c r="G14" i="90"/>
  <c r="BC102" i="84"/>
  <c r="BC103" i="84" s="1"/>
  <c r="BF71" i="84"/>
  <c r="CD71" i="84" s="1"/>
  <c r="BE71" i="84"/>
  <c r="CC71" i="84" s="1"/>
  <c r="BC96" i="84"/>
  <c r="BC97" i="84" s="1"/>
  <c r="BD94" i="84"/>
  <c r="BF111" i="84"/>
  <c r="CD111" i="84" s="1"/>
  <c r="V171" i="84"/>
  <c r="V169" i="84"/>
  <c r="BD139" i="84"/>
  <c r="BD140" i="84"/>
  <c r="V167" i="84"/>
  <c r="BD12" i="84"/>
  <c r="BF12" i="84" s="1"/>
  <c r="CD12" i="84" s="1"/>
  <c r="BC16" i="84"/>
  <c r="BF109" i="84"/>
  <c r="CD109" i="84" s="1"/>
  <c r="BD68" i="84"/>
  <c r="BF68" i="84" s="1"/>
  <c r="CD68" i="84" s="1"/>
  <c r="BF93" i="84"/>
  <c r="CD93" i="84" s="1"/>
  <c r="BC106" i="84"/>
  <c r="BE117" i="84"/>
  <c r="CC117" i="84" s="1"/>
  <c r="BD151" i="84"/>
  <c r="BD152" i="84"/>
  <c r="R13" i="84"/>
  <c r="R14" i="84" s="1"/>
  <c r="R15" i="84" s="1"/>
  <c r="R16" i="84" s="1"/>
  <c r="R17" i="84" s="1"/>
  <c r="R18" i="84" s="1"/>
  <c r="R19" i="84" s="1"/>
  <c r="R20" i="84" s="1"/>
  <c r="R21" i="84" s="1"/>
  <c r="R22" i="84" s="1"/>
  <c r="R23" i="84" s="1"/>
  <c r="R24" i="84" s="1"/>
  <c r="R25" i="84" s="1"/>
  <c r="R26" i="84" s="1"/>
  <c r="R27" i="84" s="1"/>
  <c r="R28" i="84" s="1"/>
  <c r="R29" i="84" s="1"/>
  <c r="R30" i="84" s="1"/>
  <c r="R31" i="84" s="1"/>
  <c r="R32" i="84" s="1"/>
  <c r="R33" i="84" s="1"/>
  <c r="R34" i="84" s="1"/>
  <c r="R35" i="84" s="1"/>
  <c r="R36" i="84" s="1"/>
  <c r="R37" i="84" s="1"/>
  <c r="R38" i="84" s="1"/>
  <c r="R39" i="84" s="1"/>
  <c r="R40" i="84" s="1"/>
  <c r="R41" i="84" s="1"/>
  <c r="R42" i="84" s="1"/>
  <c r="R43" i="84" s="1"/>
  <c r="R44" i="84" s="1"/>
  <c r="R45" i="84" s="1"/>
  <c r="R46" i="84" s="1"/>
  <c r="R47" i="84" s="1"/>
  <c r="R48" i="84" s="1"/>
  <c r="R49" i="84" s="1"/>
  <c r="R50" i="84" s="1"/>
  <c r="R51" i="84" s="1"/>
  <c r="R52" i="84" s="1"/>
  <c r="R53" i="84" s="1"/>
  <c r="R54" i="84" s="1"/>
  <c r="R55" i="84" s="1"/>
  <c r="R56" i="84" s="1"/>
  <c r="R57" i="84" s="1"/>
  <c r="R58" i="84" s="1"/>
  <c r="R59" i="84" s="1"/>
  <c r="R60" i="84" s="1"/>
  <c r="R61" i="84" s="1"/>
  <c r="R62" i="84" s="1"/>
  <c r="R63" i="84" s="1"/>
  <c r="R64" i="84" s="1"/>
  <c r="R65" i="84" s="1"/>
  <c r="R66" i="84" s="1"/>
  <c r="R67" i="84" s="1"/>
  <c r="R68" i="84" s="1"/>
  <c r="R69" i="84" s="1"/>
  <c r="R70" i="84" s="1"/>
  <c r="R71" i="84" s="1"/>
  <c r="R72" i="84" s="1"/>
  <c r="R73" i="84" s="1"/>
  <c r="R74" i="84" s="1"/>
  <c r="R75" i="84" s="1"/>
  <c r="R76" i="84" s="1"/>
  <c r="R77" i="84" s="1"/>
  <c r="R78" i="84" s="1"/>
  <c r="R79" i="84" s="1"/>
  <c r="R80" i="84" s="1"/>
  <c r="R81" i="84" s="1"/>
  <c r="R82" i="84" s="1"/>
  <c r="R83" i="84" s="1"/>
  <c r="R84" i="84" s="1"/>
  <c r="R85" i="84" s="1"/>
  <c r="R86" i="84" s="1"/>
  <c r="R87" i="84" s="1"/>
  <c r="R88" i="84" s="1"/>
  <c r="R89" i="84" s="1"/>
  <c r="R90" i="84" s="1"/>
  <c r="R91" i="84" s="1"/>
  <c r="R92" i="84" s="1"/>
  <c r="R93" i="84" s="1"/>
  <c r="R94" i="84" s="1"/>
  <c r="R95" i="84" s="1"/>
  <c r="R96" i="84" s="1"/>
  <c r="R97" i="84" s="1"/>
  <c r="R98" i="84" s="1"/>
  <c r="R99" i="84" s="1"/>
  <c r="R100" i="84" s="1"/>
  <c r="R101" i="84" s="1"/>
  <c r="R102" i="84" s="1"/>
  <c r="R103" i="84" s="1"/>
  <c r="R104" i="84" s="1"/>
  <c r="R105" i="84" s="1"/>
  <c r="R106" i="84" s="1"/>
  <c r="R107" i="84" s="1"/>
  <c r="R108" i="84" s="1"/>
  <c r="R109" i="84" s="1"/>
  <c r="R110" i="84" s="1"/>
  <c r="R111" i="84" s="1"/>
  <c r="R112" i="84" s="1"/>
  <c r="R113" i="84" s="1"/>
  <c r="R114" i="84" s="1"/>
  <c r="R115" i="84" s="1"/>
  <c r="R116" i="84" s="1"/>
  <c r="R117" i="84" s="1"/>
  <c r="R118" i="84" s="1"/>
  <c r="R119" i="84" s="1"/>
  <c r="R120" i="84" s="1"/>
  <c r="R121" i="84" s="1"/>
  <c r="R122" i="84" s="1"/>
  <c r="R123" i="84" s="1"/>
  <c r="R124" i="84" s="1"/>
  <c r="R125" i="84" s="1"/>
  <c r="R126" i="84" s="1"/>
  <c r="R127" i="84" s="1"/>
  <c r="R128" i="84" s="1"/>
  <c r="R129" i="84" s="1"/>
  <c r="BC49" i="84"/>
  <c r="BC50" i="84" s="1"/>
  <c r="BD70" i="84"/>
  <c r="BD110" i="84"/>
  <c r="BF110" i="84" s="1"/>
  <c r="CD110" i="84" s="1"/>
  <c r="BD119" i="84"/>
  <c r="BE119" i="84" s="1"/>
  <c r="CC119" i="84" s="1"/>
  <c r="BC51" i="84"/>
  <c r="BC52" i="84" s="1"/>
  <c r="BC53" i="84" s="1"/>
  <c r="BC54" i="84" s="1"/>
  <c r="BD121" i="84"/>
  <c r="BE121" i="84" s="1"/>
  <c r="CC121" i="84" s="1"/>
  <c r="BD132" i="84"/>
  <c r="BE111" i="84"/>
  <c r="CC111" i="84" s="1"/>
  <c r="BF126" i="84"/>
  <c r="CD126" i="84" s="1"/>
  <c r="BD145" i="84"/>
  <c r="BD153" i="84"/>
  <c r="BD158" i="84"/>
  <c r="BD162" i="84"/>
  <c r="BD166" i="84"/>
  <c r="BD147" i="84"/>
  <c r="BD168" i="84"/>
  <c r="AU29" i="84"/>
  <c r="AW29" i="84" s="1"/>
  <c r="CB29" i="84" s="1"/>
  <c r="AW106" i="84"/>
  <c r="CB106" i="84" s="1"/>
  <c r="AV106" i="84"/>
  <c r="CA106" i="84" s="1"/>
  <c r="AU31" i="84"/>
  <c r="AU30" i="84"/>
  <c r="AV30" i="84" s="1"/>
  <c r="CA30" i="84" s="1"/>
  <c r="AU70" i="84"/>
  <c r="AW70" i="84" s="1"/>
  <c r="CB70" i="84" s="1"/>
  <c r="AU105" i="84"/>
  <c r="AV105" i="84" s="1"/>
  <c r="CA105" i="84" s="1"/>
  <c r="AU102" i="84"/>
  <c r="AW102" i="84" s="1"/>
  <c r="CB102" i="84" s="1"/>
  <c r="AU53" i="84"/>
  <c r="AW53" i="84" s="1"/>
  <c r="CB53" i="84" s="1"/>
  <c r="AU54" i="84"/>
  <c r="AV54" i="84" s="1"/>
  <c r="CA54" i="84" s="1"/>
  <c r="AU12" i="84"/>
  <c r="AW12" i="84" s="1"/>
  <c r="CB12" i="84" s="1"/>
  <c r="AV33" i="84"/>
  <c r="CA33" i="84" s="1"/>
  <c r="AW33" i="84"/>
  <c r="CB33" i="84" s="1"/>
  <c r="AU42" i="84"/>
  <c r="AW42" i="84" s="1"/>
  <c r="CB42" i="84" s="1"/>
  <c r="AU69" i="84"/>
  <c r="AW69" i="84" s="1"/>
  <c r="CB69" i="84" s="1"/>
  <c r="AU66" i="84"/>
  <c r="AU89" i="84"/>
  <c r="AU140" i="84"/>
  <c r="AU139" i="84"/>
  <c r="AU27" i="84"/>
  <c r="AW78" i="84"/>
  <c r="CB78" i="84" s="1"/>
  <c r="AU84" i="84"/>
  <c r="AW84" i="84" s="1"/>
  <c r="CB84" i="84" s="1"/>
  <c r="AV107" i="84"/>
  <c r="CA107" i="84" s="1"/>
  <c r="AU143" i="84"/>
  <c r="AV57" i="84"/>
  <c r="CA57" i="84" s="1"/>
  <c r="M13" i="84"/>
  <c r="M14" i="84" s="1"/>
  <c r="M15" i="84" s="1"/>
  <c r="M16" i="84" s="1"/>
  <c r="M17" i="84" s="1"/>
  <c r="M18" i="84" s="1"/>
  <c r="M19" i="84" s="1"/>
  <c r="M20" i="84" s="1"/>
  <c r="M21" i="84" s="1"/>
  <c r="M22" i="84" s="1"/>
  <c r="M23" i="84" s="1"/>
  <c r="M24" i="84" s="1"/>
  <c r="M25" i="84" s="1"/>
  <c r="M26" i="84" s="1"/>
  <c r="M27" i="84" s="1"/>
  <c r="M28" i="84" s="1"/>
  <c r="M29" i="84" s="1"/>
  <c r="M30" i="84" s="1"/>
  <c r="M31" i="84" s="1"/>
  <c r="M32" i="84" s="1"/>
  <c r="M33" i="84" s="1"/>
  <c r="M34" i="84" s="1"/>
  <c r="M35" i="84" s="1"/>
  <c r="M36" i="84" s="1"/>
  <c r="M37" i="84" s="1"/>
  <c r="M38" i="84" s="1"/>
  <c r="M39" i="84" s="1"/>
  <c r="M40" i="84" s="1"/>
  <c r="M41" i="84" s="1"/>
  <c r="M42" i="84" s="1"/>
  <c r="M43" i="84" s="1"/>
  <c r="M44" i="84" s="1"/>
  <c r="M45" i="84" s="1"/>
  <c r="M46" i="84" s="1"/>
  <c r="M47" i="84" s="1"/>
  <c r="M48" i="84" s="1"/>
  <c r="M49" i="84" s="1"/>
  <c r="M50" i="84" s="1"/>
  <c r="M51" i="84" s="1"/>
  <c r="M52" i="84" s="1"/>
  <c r="M53" i="84" s="1"/>
  <c r="M54" i="84" s="1"/>
  <c r="M55" i="84" s="1"/>
  <c r="M56" i="84" s="1"/>
  <c r="M57" i="84" s="1"/>
  <c r="M58" i="84" s="1"/>
  <c r="M59" i="84" s="1"/>
  <c r="M60" i="84" s="1"/>
  <c r="M61" i="84" s="1"/>
  <c r="M62" i="84" s="1"/>
  <c r="M63" i="84" s="1"/>
  <c r="M64" i="84" s="1"/>
  <c r="M65" i="84" s="1"/>
  <c r="M66" i="84" s="1"/>
  <c r="M67" i="84" s="1"/>
  <c r="M68" i="84" s="1"/>
  <c r="M69" i="84" s="1"/>
  <c r="M70" i="84" s="1"/>
  <c r="M71" i="84" s="1"/>
  <c r="M72" i="84" s="1"/>
  <c r="M73" i="84" s="1"/>
  <c r="M74" i="84" s="1"/>
  <c r="M75" i="84" s="1"/>
  <c r="M76" i="84" s="1"/>
  <c r="M77" i="84" s="1"/>
  <c r="M78" i="84" s="1"/>
  <c r="M79" i="84" s="1"/>
  <c r="M80" i="84" s="1"/>
  <c r="M81" i="84" s="1"/>
  <c r="M82" i="84" s="1"/>
  <c r="M83" i="84" s="1"/>
  <c r="M84" i="84" s="1"/>
  <c r="M85" i="84" s="1"/>
  <c r="M86" i="84" s="1"/>
  <c r="M87" i="84" s="1"/>
  <c r="M88" i="84" s="1"/>
  <c r="M89" i="84" s="1"/>
  <c r="M90" i="84" s="1"/>
  <c r="M91" i="84" s="1"/>
  <c r="M92" i="84" s="1"/>
  <c r="M93" i="84" s="1"/>
  <c r="M94" i="84" s="1"/>
  <c r="M95" i="84" s="1"/>
  <c r="M96" i="84" s="1"/>
  <c r="M97" i="84" s="1"/>
  <c r="M98" i="84" s="1"/>
  <c r="M99" i="84" s="1"/>
  <c r="M100" i="84" s="1"/>
  <c r="M101" i="84" s="1"/>
  <c r="M102" i="84" s="1"/>
  <c r="M103" i="84" s="1"/>
  <c r="M104" i="84" s="1"/>
  <c r="M105" i="84" s="1"/>
  <c r="M106" i="84" s="1"/>
  <c r="M107" i="84" s="1"/>
  <c r="M108" i="84" s="1"/>
  <c r="M109" i="84" s="1"/>
  <c r="M110" i="84" s="1"/>
  <c r="M111" i="84" s="1"/>
  <c r="M112" i="84" s="1"/>
  <c r="M113" i="84" s="1"/>
  <c r="M114" i="84" s="1"/>
  <c r="M115" i="84" s="1"/>
  <c r="M116" i="84" s="1"/>
  <c r="M117" i="84" s="1"/>
  <c r="M118" i="84" s="1"/>
  <c r="M119" i="84" s="1"/>
  <c r="M120" i="84" s="1"/>
  <c r="M121" i="84" s="1"/>
  <c r="M122" i="84" s="1"/>
  <c r="M123" i="84" s="1"/>
  <c r="M124" i="84" s="1"/>
  <c r="M125" i="84" s="1"/>
  <c r="M126" i="84" s="1"/>
  <c r="M127" i="84" s="1"/>
  <c r="M128" i="84" s="1"/>
  <c r="M129" i="84" s="1"/>
  <c r="M130" i="84" s="1"/>
  <c r="M131" i="84" s="1"/>
  <c r="M132" i="84" s="1"/>
  <c r="M133" i="84" s="1"/>
  <c r="M134" i="84" s="1"/>
  <c r="M135" i="84" s="1"/>
  <c r="AU19" i="84"/>
  <c r="AV19" i="84" s="1"/>
  <c r="CA19" i="84" s="1"/>
  <c r="AW28" i="84"/>
  <c r="CB28" i="84" s="1"/>
  <c r="AU35" i="84"/>
  <c r="AW35" i="84" s="1"/>
  <c r="CB35" i="84" s="1"/>
  <c r="AV97" i="84"/>
  <c r="CA97" i="84" s="1"/>
  <c r="AU110" i="84"/>
  <c r="AV110" i="84" s="1"/>
  <c r="CA110" i="84" s="1"/>
  <c r="P176" i="84"/>
  <c r="AR153" i="84"/>
  <c r="I26" i="80"/>
  <c r="G14" i="80"/>
  <c r="BA168" i="84"/>
  <c r="AU74" i="84"/>
  <c r="M12" i="80"/>
  <c r="AU49" i="84"/>
  <c r="AW49" i="84" s="1"/>
  <c r="CB49" i="84" s="1"/>
  <c r="AU96" i="84"/>
  <c r="AW96" i="84" s="1"/>
  <c r="CB96" i="84" s="1"/>
  <c r="AW114" i="84"/>
  <c r="CB114" i="84" s="1"/>
  <c r="AV114" i="84"/>
  <c r="CA114" i="84" s="1"/>
  <c r="AU115" i="84"/>
  <c r="AU137" i="84"/>
  <c r="AU144" i="84"/>
  <c r="AU150" i="84"/>
  <c r="AU156" i="84"/>
  <c r="AU158" i="84"/>
  <c r="AU161" i="84"/>
  <c r="R17" i="88"/>
  <c r="R17" i="89"/>
  <c r="R19" i="88"/>
  <c r="R19" i="89"/>
  <c r="R21" i="88"/>
  <c r="R21" i="89"/>
  <c r="AU153" i="84"/>
  <c r="AU167" i="84"/>
  <c r="E25" i="83"/>
  <c r="BA20" i="84" s="1"/>
  <c r="AM19" i="84"/>
  <c r="BX19" i="84" s="1"/>
  <c r="AN19" i="84"/>
  <c r="BY19" i="84" s="1"/>
  <c r="AK40" i="84"/>
  <c r="AL38" i="84"/>
  <c r="AM26" i="84"/>
  <c r="BX26" i="84" s="1"/>
  <c r="AN26" i="84"/>
  <c r="BY26" i="84" s="1"/>
  <c r="AM32" i="84"/>
  <c r="BX32" i="84" s="1"/>
  <c r="AL29" i="84"/>
  <c r="AM29" i="84" s="1"/>
  <c r="BX29" i="84" s="1"/>
  <c r="AL30" i="84"/>
  <c r="AL34" i="84"/>
  <c r="AL33" i="84"/>
  <c r="AL11" i="84"/>
  <c r="AN11" i="84" s="1"/>
  <c r="AL12" i="84"/>
  <c r="AM12" i="84" s="1"/>
  <c r="BX12" i="84" s="1"/>
  <c r="AM23" i="84"/>
  <c r="BX23" i="84" s="1"/>
  <c r="AL24" i="84"/>
  <c r="AN27" i="84"/>
  <c r="BY27" i="84" s="1"/>
  <c r="AL31" i="84"/>
  <c r="AM31" i="84" s="1"/>
  <c r="BX31" i="84" s="1"/>
  <c r="AN53" i="84"/>
  <c r="BY53" i="84" s="1"/>
  <c r="AK59" i="84"/>
  <c r="AL108" i="84"/>
  <c r="AL109" i="84"/>
  <c r="AN109" i="84" s="1"/>
  <c r="BY109" i="84" s="1"/>
  <c r="AL158" i="84"/>
  <c r="AL157" i="84"/>
  <c r="K17" i="88"/>
  <c r="K17" i="89"/>
  <c r="K21" i="88"/>
  <c r="K21" i="89"/>
  <c r="AK65" i="84"/>
  <c r="F18" i="83"/>
  <c r="AL20" i="84"/>
  <c r="AK50" i="84"/>
  <c r="AL50" i="84" s="1"/>
  <c r="AM50" i="84" s="1"/>
  <c r="BX50" i="84" s="1"/>
  <c r="AK52" i="84"/>
  <c r="AL52" i="84" s="1"/>
  <c r="AN111" i="84"/>
  <c r="BY111" i="84" s="1"/>
  <c r="AM111" i="84"/>
  <c r="BX111" i="84" s="1"/>
  <c r="AL155" i="84"/>
  <c r="K19" i="88"/>
  <c r="K19" i="89"/>
  <c r="AL46" i="84"/>
  <c r="AM46" i="84" s="1"/>
  <c r="BX46" i="84" s="1"/>
  <c r="AL144" i="84"/>
  <c r="AN144" i="84" s="1"/>
  <c r="BY144" i="84" s="1"/>
  <c r="AL151" i="84"/>
  <c r="AK22" i="84"/>
  <c r="AL21" i="84" s="1"/>
  <c r="AK48" i="84"/>
  <c r="AL48" i="84" s="1"/>
  <c r="AN48" i="84" s="1"/>
  <c r="BY48" i="84" s="1"/>
  <c r="AM109" i="84"/>
  <c r="BX109" i="84" s="1"/>
  <c r="AL112" i="84"/>
  <c r="AN112" i="84" s="1"/>
  <c r="BY112" i="84" s="1"/>
  <c r="AL110" i="84"/>
  <c r="AL128" i="84"/>
  <c r="AN128" i="84" s="1"/>
  <c r="BY128" i="84" s="1"/>
  <c r="AL161" i="84"/>
  <c r="AL162" i="84"/>
  <c r="J171" i="84"/>
  <c r="J167" i="84"/>
  <c r="J170" i="84"/>
  <c r="F20" i="83"/>
  <c r="AL126" i="84"/>
  <c r="AM126" i="84" s="1"/>
  <c r="BX126" i="84" s="1"/>
  <c r="AL135" i="84"/>
  <c r="AL148" i="84"/>
  <c r="E11" i="83"/>
  <c r="AH37" i="84" s="1"/>
  <c r="Q18" i="89"/>
  <c r="Q20" i="89"/>
  <c r="AL131" i="84"/>
  <c r="AL153" i="84"/>
  <c r="AL166" i="84"/>
  <c r="AC12" i="84"/>
  <c r="AD12" i="84" s="1"/>
  <c r="BV12" i="84" s="1"/>
  <c r="AC11" i="84"/>
  <c r="AD11" i="84" s="1"/>
  <c r="AE53" i="84"/>
  <c r="BW53" i="84" s="1"/>
  <c r="AD53" i="84"/>
  <c r="BV53" i="84" s="1"/>
  <c r="AC14" i="84"/>
  <c r="AC15" i="84"/>
  <c r="AD15" i="84" s="1"/>
  <c r="BV15" i="84" s="1"/>
  <c r="AE116" i="84"/>
  <c r="BW116" i="84" s="1"/>
  <c r="AC153" i="84"/>
  <c r="AB40" i="84"/>
  <c r="AD72" i="84"/>
  <c r="BV72" i="84" s="1"/>
  <c r="AE117" i="84"/>
  <c r="BW117" i="84" s="1"/>
  <c r="AC138" i="84"/>
  <c r="AD138" i="84" s="1"/>
  <c r="BV138" i="84" s="1"/>
  <c r="AC143" i="84"/>
  <c r="AC144" i="84"/>
  <c r="AC54" i="84"/>
  <c r="AD54" i="84" s="1"/>
  <c r="BV54" i="84" s="1"/>
  <c r="AC167" i="84"/>
  <c r="AQ162" i="84"/>
  <c r="AI147" i="84"/>
  <c r="AZ40" i="84"/>
  <c r="AC20" i="84"/>
  <c r="AD20" i="84" s="1"/>
  <c r="BV20" i="84" s="1"/>
  <c r="AB22" i="84"/>
  <c r="AB26" i="84"/>
  <c r="AD59" i="84"/>
  <c r="BV59" i="84" s="1"/>
  <c r="AB80" i="84"/>
  <c r="AB88" i="84"/>
  <c r="AB96" i="84"/>
  <c r="AB104" i="84"/>
  <c r="AC107" i="84"/>
  <c r="AE107" i="84" s="1"/>
  <c r="BW107" i="84" s="1"/>
  <c r="AC113" i="84"/>
  <c r="AE113" i="84" s="1"/>
  <c r="BW113" i="84" s="1"/>
  <c r="AC115" i="84"/>
  <c r="AE115" i="84" s="1"/>
  <c r="BW115" i="84" s="1"/>
  <c r="AC161" i="84"/>
  <c r="AC162" i="84"/>
  <c r="AB61" i="84"/>
  <c r="AC134" i="84"/>
  <c r="AE134" i="84" s="1"/>
  <c r="BW134" i="84" s="1"/>
  <c r="AC145" i="84"/>
  <c r="F18" i="88"/>
  <c r="F18" i="89"/>
  <c r="J18" i="88"/>
  <c r="J18" i="89"/>
  <c r="F20" i="88"/>
  <c r="F20" i="89"/>
  <c r="F22" i="88"/>
  <c r="F22" i="89"/>
  <c r="F24" i="88"/>
  <c r="F24" i="89"/>
  <c r="X17" i="88"/>
  <c r="X17" i="89"/>
  <c r="V18" i="89"/>
  <c r="Q19" i="89"/>
  <c r="A13" i="84"/>
  <c r="A14" i="84" s="1"/>
  <c r="A15" i="84" s="1"/>
  <c r="A16" i="84" s="1"/>
  <c r="A17" i="84" s="1"/>
  <c r="A18" i="84" s="1"/>
  <c r="A19" i="84" s="1"/>
  <c r="A20" i="84" s="1"/>
  <c r="A21" i="84" s="1"/>
  <c r="A22" i="84" s="1"/>
  <c r="A23" i="84" s="1"/>
  <c r="A24" i="84" s="1"/>
  <c r="A25" i="84" s="1"/>
  <c r="A26" i="84" s="1"/>
  <c r="A27" i="84" s="1"/>
  <c r="A28" i="84" s="1"/>
  <c r="A29" i="84" s="1"/>
  <c r="A30" i="84" s="1"/>
  <c r="A31" i="84" s="1"/>
  <c r="A32" i="84" s="1"/>
  <c r="A33" i="84" s="1"/>
  <c r="A34" i="84" s="1"/>
  <c r="A35" i="84" s="1"/>
  <c r="A36" i="84" s="1"/>
  <c r="A37" i="84" s="1"/>
  <c r="A38" i="84" s="1"/>
  <c r="A39" i="84" s="1"/>
  <c r="A40" i="84" s="1"/>
  <c r="A41" i="84" s="1"/>
  <c r="A42" i="84" s="1"/>
  <c r="A43" i="84" s="1"/>
  <c r="A44" i="84" s="1"/>
  <c r="A45" i="84" s="1"/>
  <c r="A46" i="84" s="1"/>
  <c r="A47" i="84" s="1"/>
  <c r="A48" i="84" s="1"/>
  <c r="A49" i="84" s="1"/>
  <c r="A50" i="84" s="1"/>
  <c r="A51" i="84" s="1"/>
  <c r="A52" i="84" s="1"/>
  <c r="A53" i="84" s="1"/>
  <c r="A54" i="84" s="1"/>
  <c r="A55" i="84" s="1"/>
  <c r="A56" i="84" s="1"/>
  <c r="A57" i="84" s="1"/>
  <c r="A58" i="84" s="1"/>
  <c r="A59" i="84" s="1"/>
  <c r="A60" i="84" s="1"/>
  <c r="A61" i="84" s="1"/>
  <c r="A62" i="84" s="1"/>
  <c r="A63" i="84" s="1"/>
  <c r="A64" i="84" s="1"/>
  <c r="A65" i="84" s="1"/>
  <c r="A66" i="84" s="1"/>
  <c r="A67" i="84" s="1"/>
  <c r="A68" i="84" s="1"/>
  <c r="A69" i="84" s="1"/>
  <c r="A70" i="84" s="1"/>
  <c r="A71" i="84" s="1"/>
  <c r="A72" i="84" s="1"/>
  <c r="A73" i="84" s="1"/>
  <c r="A74" i="84" s="1"/>
  <c r="A75" i="84" s="1"/>
  <c r="A76" i="84" s="1"/>
  <c r="A77" i="84" s="1"/>
  <c r="A78" i="84" s="1"/>
  <c r="A79" i="84" s="1"/>
  <c r="A80" i="84" s="1"/>
  <c r="A81" i="84" s="1"/>
  <c r="A82" i="84" s="1"/>
  <c r="A83" i="84" s="1"/>
  <c r="A84" i="84" s="1"/>
  <c r="A85" i="84" s="1"/>
  <c r="A86" i="84" s="1"/>
  <c r="A87" i="84" s="1"/>
  <c r="A88" i="84" s="1"/>
  <c r="A89" i="84" s="1"/>
  <c r="A90" i="84" s="1"/>
  <c r="A91" i="84" s="1"/>
  <c r="A92" i="84" s="1"/>
  <c r="A93" i="84" s="1"/>
  <c r="A94" i="84" s="1"/>
  <c r="A95" i="84" s="1"/>
  <c r="A96" i="84" s="1"/>
  <c r="A97" i="84" s="1"/>
  <c r="A98" i="84" s="1"/>
  <c r="A99" i="84" s="1"/>
  <c r="A100" i="84" s="1"/>
  <c r="A101" i="84" s="1"/>
  <c r="A102" i="84" s="1"/>
  <c r="A103" i="84" s="1"/>
  <c r="A104" i="84" s="1"/>
  <c r="A105" i="84" s="1"/>
  <c r="A106" i="84" s="1"/>
  <c r="A107" i="84" s="1"/>
  <c r="A108" i="84" s="1"/>
  <c r="A109" i="84" s="1"/>
  <c r="A110" i="84" s="1"/>
  <c r="A111" i="84" s="1"/>
  <c r="A112" i="84" s="1"/>
  <c r="A113" i="84" s="1"/>
  <c r="A114" i="84" s="1"/>
  <c r="A115" i="84" s="1"/>
  <c r="A116" i="84" s="1"/>
  <c r="A117" i="84" s="1"/>
  <c r="A118" i="84" s="1"/>
  <c r="A119" i="84" s="1"/>
  <c r="A120" i="84" s="1"/>
  <c r="A121" i="84" s="1"/>
  <c r="A122" i="84" s="1"/>
  <c r="A123" i="84" s="1"/>
  <c r="A124" i="84" s="1"/>
  <c r="A125" i="84" s="1"/>
  <c r="A126" i="84" s="1"/>
  <c r="A127" i="84" s="1"/>
  <c r="A128" i="84" s="1"/>
  <c r="A129" i="84" s="1"/>
  <c r="A130" i="84" s="1"/>
  <c r="A131" i="84" s="1"/>
  <c r="A132" i="84" s="1"/>
  <c r="A133" i="84" s="1"/>
  <c r="A134" i="84" s="1"/>
  <c r="A135" i="84" s="1"/>
  <c r="A136" i="84" s="1"/>
  <c r="A137" i="84" s="1"/>
  <c r="A138" i="84" s="1"/>
  <c r="A139" i="84" s="1"/>
  <c r="A140" i="84" s="1"/>
  <c r="A141" i="84" s="1"/>
  <c r="A142" i="84" s="1"/>
  <c r="A143" i="84" s="1"/>
  <c r="A144" i="84" s="1"/>
  <c r="AB48" i="84"/>
  <c r="AE129" i="84"/>
  <c r="BW129" i="84" s="1"/>
  <c r="E17" i="88"/>
  <c r="E17" i="89"/>
  <c r="E19" i="88"/>
  <c r="E19" i="89"/>
  <c r="K24" i="88"/>
  <c r="K24" i="89"/>
  <c r="W18" i="88"/>
  <c r="W18" i="89"/>
  <c r="W20" i="88"/>
  <c r="W20" i="89"/>
  <c r="W22" i="88"/>
  <c r="W22" i="89"/>
  <c r="Q23" i="88"/>
  <c r="Q23" i="89"/>
  <c r="W24" i="88"/>
  <c r="W24" i="89"/>
  <c r="K18" i="89"/>
  <c r="R18" i="89"/>
  <c r="K20" i="89"/>
  <c r="R20" i="89"/>
  <c r="K22" i="89"/>
  <c r="R22" i="89"/>
  <c r="F25" i="88"/>
  <c r="F25" i="89"/>
  <c r="W17" i="89"/>
  <c r="E18" i="89"/>
  <c r="AC128" i="84"/>
  <c r="AE128" i="84" s="1"/>
  <c r="BW128" i="84" s="1"/>
  <c r="AC132" i="84"/>
  <c r="AD132" i="84" s="1"/>
  <c r="BV132" i="84" s="1"/>
  <c r="AC136" i="84"/>
  <c r="AD136" i="84" s="1"/>
  <c r="BV136" i="84" s="1"/>
  <c r="AC154" i="84"/>
  <c r="F16" i="83"/>
  <c r="W23" i="88"/>
  <c r="W23" i="89"/>
  <c r="F17" i="89"/>
  <c r="J17" i="89"/>
  <c r="F19" i="89"/>
  <c r="J19" i="89"/>
  <c r="F21" i="89"/>
  <c r="F23" i="89"/>
  <c r="K23" i="89"/>
  <c r="R23" i="89"/>
  <c r="K25" i="89"/>
  <c r="R25" i="89"/>
  <c r="S7" i="81"/>
  <c r="U7" i="87"/>
  <c r="U7" i="89"/>
  <c r="U7" i="95"/>
  <c r="U7" i="96"/>
  <c r="U7" i="97"/>
  <c r="U7" i="90"/>
  <c r="U7" i="92"/>
  <c r="U7" i="93"/>
  <c r="G7" i="96"/>
  <c r="G7" i="92"/>
  <c r="G7" i="87"/>
  <c r="G7" i="93"/>
  <c r="G7" i="95"/>
  <c r="G7" i="97"/>
  <c r="G7" i="81"/>
  <c r="G7" i="89"/>
  <c r="G7" i="90"/>
  <c r="CD5" i="84"/>
  <c r="D177" i="84"/>
  <c r="D176" i="84"/>
  <c r="D175" i="84"/>
  <c r="D174" i="84"/>
  <c r="E172" i="84" s="1"/>
  <c r="AI170" i="84"/>
  <c r="Y170" i="84"/>
  <c r="AI169" i="84"/>
  <c r="Y169" i="84"/>
  <c r="I177" i="84"/>
  <c r="I176" i="84"/>
  <c r="I175" i="84"/>
  <c r="I174" i="84"/>
  <c r="J172" i="84" s="1"/>
  <c r="AZ170" i="84"/>
  <c r="Z170" i="84"/>
  <c r="AZ169" i="84"/>
  <c r="Z169" i="84"/>
  <c r="AZ168" i="84"/>
  <c r="Z168" i="84"/>
  <c r="AZ167" i="84"/>
  <c r="Z167" i="84"/>
  <c r="AZ166" i="84"/>
  <c r="Z166" i="84"/>
  <c r="AZ165" i="84"/>
  <c r="Z165" i="84"/>
  <c r="AZ164" i="84"/>
  <c r="Z164" i="84"/>
  <c r="AZ163" i="84"/>
  <c r="Z163" i="84"/>
  <c r="AZ162" i="84"/>
  <c r="Z162" i="84"/>
  <c r="AZ161" i="84"/>
  <c r="Z161" i="84"/>
  <c r="AZ160" i="84"/>
  <c r="Z160" i="84"/>
  <c r="AZ159" i="84"/>
  <c r="Z159" i="84"/>
  <c r="D31" i="82"/>
  <c r="AQ170" i="84"/>
  <c r="AH167" i="84"/>
  <c r="AI166" i="84"/>
  <c r="AQ165" i="84"/>
  <c r="Y165" i="84"/>
  <c r="AH163" i="84"/>
  <c r="AI162" i="84"/>
  <c r="AQ161" i="84"/>
  <c r="Y161" i="84"/>
  <c r="AH159" i="84"/>
  <c r="AQ158" i="84"/>
  <c r="AQ157" i="84"/>
  <c r="AQ156" i="84"/>
  <c r="AQ155" i="84"/>
  <c r="AQ154" i="84"/>
  <c r="AQ153" i="84"/>
  <c r="AQ152" i="84"/>
  <c r="AQ151" i="84"/>
  <c r="AQ150" i="84"/>
  <c r="AQ149" i="84"/>
  <c r="AQ148" i="84"/>
  <c r="AQ147" i="84"/>
  <c r="AQ146" i="84"/>
  <c r="AQ145" i="84"/>
  <c r="AQ144" i="84"/>
  <c r="AQ143" i="84"/>
  <c r="AQ142" i="84"/>
  <c r="AQ141" i="84"/>
  <c r="AQ140" i="84"/>
  <c r="AQ139" i="84"/>
  <c r="AQ138" i="84"/>
  <c r="AQ137" i="84"/>
  <c r="AQ136" i="84"/>
  <c r="AH169" i="84"/>
  <c r="AQ168" i="84"/>
  <c r="AI167" i="84"/>
  <c r="AI164" i="84"/>
  <c r="Y162" i="84"/>
  <c r="AI161" i="84"/>
  <c r="AH160" i="84"/>
  <c r="Y159" i="84"/>
  <c r="Z158" i="84"/>
  <c r="AH157" i="84"/>
  <c r="AZ156" i="84"/>
  <c r="AI156" i="84"/>
  <c r="Y155" i="84"/>
  <c r="Z154" i="84"/>
  <c r="AH153" i="84"/>
  <c r="AZ152" i="84"/>
  <c r="AI152" i="84"/>
  <c r="Y151" i="84"/>
  <c r="Z150" i="84"/>
  <c r="AH149" i="84"/>
  <c r="AZ148" i="84"/>
  <c r="AI148" i="84"/>
  <c r="Y147" i="84"/>
  <c r="Z146" i="84"/>
  <c r="AH145" i="84"/>
  <c r="AZ144" i="84"/>
  <c r="Y143" i="84"/>
  <c r="AH141" i="84"/>
  <c r="AZ140" i="84"/>
  <c r="Y139" i="84"/>
  <c r="AH137" i="84"/>
  <c r="AZ136" i="84"/>
  <c r="AH170" i="84"/>
  <c r="AQ169" i="84"/>
  <c r="Y168" i="84"/>
  <c r="AQ167" i="84"/>
  <c r="AH166" i="84"/>
  <c r="AQ164" i="84"/>
  <c r="AI163" i="84"/>
  <c r="AI160" i="84"/>
  <c r="AH158" i="84"/>
  <c r="AZ157" i="84"/>
  <c r="AI157" i="84"/>
  <c r="Y156" i="84"/>
  <c r="Z155" i="84"/>
  <c r="AH154" i="84"/>
  <c r="AZ153" i="84"/>
  <c r="AI153" i="84"/>
  <c r="Y152" i="84"/>
  <c r="Z151" i="84"/>
  <c r="AH150" i="84"/>
  <c r="AZ149" i="84"/>
  <c r="AI149" i="84"/>
  <c r="Y148" i="84"/>
  <c r="Z147" i="84"/>
  <c r="AH146" i="84"/>
  <c r="AZ145" i="84"/>
  <c r="AH142" i="84"/>
  <c r="AZ141" i="84"/>
  <c r="AH138" i="84"/>
  <c r="AZ137" i="84"/>
  <c r="AH134" i="84"/>
  <c r="AZ133" i="84"/>
  <c r="AH130" i="84"/>
  <c r="AH126" i="84"/>
  <c r="AH118" i="84"/>
  <c r="AZ117" i="84"/>
  <c r="Y116" i="84"/>
  <c r="Y112" i="84"/>
  <c r="Y108" i="84"/>
  <c r="AH168" i="84"/>
  <c r="Y167" i="84"/>
  <c r="AQ163" i="84"/>
  <c r="AH162" i="84"/>
  <c r="AZ158" i="84"/>
  <c r="Y157" i="84"/>
  <c r="Z156" i="84"/>
  <c r="AH155" i="84"/>
  <c r="AI154" i="84"/>
  <c r="AZ150" i="84"/>
  <c r="Y149" i="84"/>
  <c r="Z148" i="84"/>
  <c r="AH147" i="84"/>
  <c r="AI146" i="84"/>
  <c r="AZ142" i="84"/>
  <c r="Y141" i="84"/>
  <c r="AH139" i="84"/>
  <c r="AZ130" i="84"/>
  <c r="Y129" i="84"/>
  <c r="AH127" i="84"/>
  <c r="Y126" i="84"/>
  <c r="AH124" i="84"/>
  <c r="Y123" i="84"/>
  <c r="AH113" i="84"/>
  <c r="AQ166" i="84"/>
  <c r="Y163" i="84"/>
  <c r="Y160" i="84"/>
  <c r="AH156" i="84"/>
  <c r="AI151" i="84"/>
  <c r="AI150" i="84"/>
  <c r="Z149" i="84"/>
  <c r="AZ147" i="84"/>
  <c r="AZ146" i="84"/>
  <c r="AH144" i="84"/>
  <c r="AH143" i="84"/>
  <c r="AZ131" i="84"/>
  <c r="Y127" i="84"/>
  <c r="AH119" i="84"/>
  <c r="AH114" i="84"/>
  <c r="AH109" i="84"/>
  <c r="AI168" i="84"/>
  <c r="AH165" i="84"/>
  <c r="AQ160" i="84"/>
  <c r="AI155" i="84"/>
  <c r="Y154" i="84"/>
  <c r="Y153" i="84"/>
  <c r="AZ151" i="84"/>
  <c r="AH148" i="84"/>
  <c r="AZ139" i="84"/>
  <c r="AZ138" i="84"/>
  <c r="AH136" i="84"/>
  <c r="AH135" i="84"/>
  <c r="AZ132" i="84"/>
  <c r="AH131" i="84"/>
  <c r="Y121" i="84"/>
  <c r="AH120" i="84"/>
  <c r="AH116" i="84"/>
  <c r="AH106" i="84"/>
  <c r="Y166" i="84"/>
  <c r="AQ159" i="84"/>
  <c r="Z157" i="84"/>
  <c r="AZ154" i="84"/>
  <c r="AH152" i="84"/>
  <c r="Y150" i="84"/>
  <c r="Z145" i="84"/>
  <c r="Y138" i="84"/>
  <c r="AZ135" i="84"/>
  <c r="Y134" i="84"/>
  <c r="AH129" i="84"/>
  <c r="AZ119" i="84"/>
  <c r="AH108" i="84"/>
  <c r="AH104" i="84"/>
  <c r="AH59" i="84"/>
  <c r="Y164" i="84"/>
  <c r="Y158" i="84"/>
  <c r="Z153" i="84"/>
  <c r="Y146" i="84"/>
  <c r="AZ143" i="84"/>
  <c r="AH128" i="84"/>
  <c r="AH117" i="84"/>
  <c r="AZ107" i="84"/>
  <c r="AH103" i="84"/>
  <c r="AH88" i="84"/>
  <c r="AZ55" i="84"/>
  <c r="AH161" i="84"/>
  <c r="AZ155" i="84"/>
  <c r="AH151" i="84"/>
  <c r="AH133" i="84"/>
  <c r="AH112" i="84"/>
  <c r="Y14" i="84"/>
  <c r="H26" i="80"/>
  <c r="AI158" i="84"/>
  <c r="AH125" i="84"/>
  <c r="AH99" i="84"/>
  <c r="AI165" i="84"/>
  <c r="AI159" i="84"/>
  <c r="Y145" i="84"/>
  <c r="AH140" i="84"/>
  <c r="AH132" i="84"/>
  <c r="AZ122" i="84"/>
  <c r="AH105" i="84"/>
  <c r="AH43" i="84"/>
  <c r="AZ33" i="84"/>
  <c r="Y16" i="84"/>
  <c r="F14" i="80"/>
  <c r="L12" i="80"/>
  <c r="AH164" i="84"/>
  <c r="AZ134" i="84"/>
  <c r="Y119" i="84"/>
  <c r="AH25" i="84"/>
  <c r="AZ41" i="84"/>
  <c r="Y76" i="84"/>
  <c r="AC7" i="91"/>
  <c r="T7" i="82"/>
  <c r="Q7" i="91"/>
  <c r="E7" i="82"/>
  <c r="E7" i="91"/>
  <c r="F7" i="94"/>
  <c r="AH107" i="84"/>
  <c r="Y118" i="84"/>
  <c r="Z152" i="84"/>
  <c r="AC7" i="84"/>
  <c r="AL7" i="84" s="1"/>
  <c r="BY5" i="84"/>
  <c r="F40" i="91"/>
  <c r="AF7" i="82"/>
  <c r="F41" i="94"/>
  <c r="L7" i="82"/>
  <c r="AR149" i="84"/>
  <c r="P177" i="84"/>
  <c r="P175" i="84"/>
  <c r="BA169" i="84"/>
  <c r="AR168" i="84"/>
  <c r="BA166" i="84"/>
  <c r="AR164" i="84"/>
  <c r="BA162" i="84"/>
  <c r="AR160" i="84"/>
  <c r="BA158" i="84"/>
  <c r="BA157" i="84"/>
  <c r="BA156" i="84"/>
  <c r="BA155" i="84"/>
  <c r="BA154" i="84"/>
  <c r="BA153" i="84"/>
  <c r="BA152" i="84"/>
  <c r="BA151" i="84"/>
  <c r="BA150" i="84"/>
  <c r="BA149" i="84"/>
  <c r="BA148" i="84"/>
  <c r="BA147" i="84"/>
  <c r="BA146" i="84"/>
  <c r="BA145" i="84"/>
  <c r="BA144" i="84"/>
  <c r="BA143" i="84"/>
  <c r="BA142" i="84"/>
  <c r="BA141" i="84"/>
  <c r="BA140" i="84"/>
  <c r="BA139" i="84"/>
  <c r="BA138" i="84"/>
  <c r="BA137" i="84"/>
  <c r="BA136" i="84"/>
  <c r="BA135" i="84"/>
  <c r="BA134" i="84"/>
  <c r="BA133" i="84"/>
  <c r="BA132" i="84"/>
  <c r="BA131" i="84"/>
  <c r="BA130" i="84"/>
  <c r="U176" i="84"/>
  <c r="P174" i="84"/>
  <c r="Q172" i="84" s="1"/>
  <c r="AR165" i="84"/>
  <c r="BA163" i="84"/>
  <c r="AR162" i="84"/>
  <c r="BA160" i="84"/>
  <c r="AR159" i="84"/>
  <c r="AR158" i="84"/>
  <c r="AR154" i="84"/>
  <c r="AR150" i="84"/>
  <c r="AR146" i="84"/>
  <c r="AR142" i="84"/>
  <c r="AR138" i="84"/>
  <c r="U177" i="84"/>
  <c r="U174" i="84"/>
  <c r="V172" i="84" s="1"/>
  <c r="AR161" i="84"/>
  <c r="BA159" i="84"/>
  <c r="AR155" i="84"/>
  <c r="AR151" i="84"/>
  <c r="AR147" i="84"/>
  <c r="AR143" i="84"/>
  <c r="AR139" i="84"/>
  <c r="U175" i="84"/>
  <c r="AR169" i="84"/>
  <c r="BA165" i="84"/>
  <c r="AR152" i="84"/>
  <c r="AR144" i="84"/>
  <c r="AR136" i="84"/>
  <c r="BA167" i="84"/>
  <c r="BA164" i="84"/>
  <c r="AR145" i="84"/>
  <c r="K31" i="82"/>
  <c r="AH13" i="82" s="1"/>
  <c r="AR170" i="84"/>
  <c r="AR166" i="84"/>
  <c r="AR163" i="84"/>
  <c r="BA161" i="84"/>
  <c r="AR157" i="84"/>
  <c r="AR156" i="84"/>
  <c r="AR137" i="84"/>
  <c r="AR140" i="84"/>
  <c r="BA170" i="84"/>
  <c r="AR148" i="84"/>
  <c r="AR141" i="84"/>
  <c r="AR167" i="84"/>
  <c r="BE12" i="84"/>
  <c r="CC12" i="84" s="1"/>
  <c r="AC18" i="84"/>
  <c r="AE18" i="84" s="1"/>
  <c r="BW18" i="84" s="1"/>
  <c r="AC17" i="84"/>
  <c r="AU52" i="84"/>
  <c r="AU51" i="84"/>
  <c r="AW51" i="84" s="1"/>
  <c r="CB51" i="84" s="1"/>
  <c r="AM128" i="84"/>
  <c r="BX128" i="84" s="1"/>
  <c r="AM132" i="84"/>
  <c r="BX132" i="84" s="1"/>
  <c r="AV148" i="84"/>
  <c r="CA148" i="84" s="1"/>
  <c r="AW148" i="84"/>
  <c r="CB148" i="84" s="1"/>
  <c r="AU148" i="84"/>
  <c r="AU149" i="84"/>
  <c r="AL37" i="84"/>
  <c r="AL36" i="84"/>
  <c r="AU56" i="84"/>
  <c r="AW56" i="84" s="1"/>
  <c r="CB56" i="84" s="1"/>
  <c r="AU55" i="84"/>
  <c r="AW55" i="84" s="1"/>
  <c r="CB55" i="84" s="1"/>
  <c r="BF121" i="84"/>
  <c r="CD121" i="84" s="1"/>
  <c r="AE11" i="84"/>
  <c r="AW11" i="84"/>
  <c r="CB11" i="84" s="1"/>
  <c r="AV11" i="84"/>
  <c r="CA11" i="84" s="1"/>
  <c r="AD13" i="84"/>
  <c r="BV13" i="84" s="1"/>
  <c r="BF13" i="84"/>
  <c r="CD13" i="84" s="1"/>
  <c r="BE13" i="84"/>
  <c r="CC13" i="84" s="1"/>
  <c r="AU18" i="84"/>
  <c r="AW18" i="84" s="1"/>
  <c r="CB18" i="84" s="1"/>
  <c r="AL54" i="84"/>
  <c r="AM54" i="84" s="1"/>
  <c r="BX54" i="84" s="1"/>
  <c r="AL25" i="84"/>
  <c r="AM25" i="84" s="1"/>
  <c r="BX25" i="84" s="1"/>
  <c r="AL55" i="84"/>
  <c r="AM55" i="84" s="1"/>
  <c r="BX55" i="84" s="1"/>
  <c r="AL57" i="84"/>
  <c r="AM57" i="84" s="1"/>
  <c r="BX57" i="84" s="1"/>
  <c r="AM124" i="84"/>
  <c r="BX124" i="84" s="1"/>
  <c r="AN126" i="84"/>
  <c r="BY126" i="84" s="1"/>
  <c r="AN130" i="84"/>
  <c r="BY130" i="84" s="1"/>
  <c r="AN134" i="84"/>
  <c r="BY134" i="84" s="1"/>
  <c r="BF136" i="84"/>
  <c r="CD136" i="84" s="1"/>
  <c r="BE136" i="84"/>
  <c r="CC136" i="84" s="1"/>
  <c r="AE149" i="84"/>
  <c r="BW149" i="84" s="1"/>
  <c r="AD149" i="84"/>
  <c r="BV149" i="84" s="1"/>
  <c r="AC150" i="84"/>
  <c r="AC149" i="84"/>
  <c r="AN127" i="84"/>
  <c r="BY127" i="84" s="1"/>
  <c r="AM127" i="84"/>
  <c r="BX127" i="84" s="1"/>
  <c r="AN131" i="84"/>
  <c r="BY131" i="84" s="1"/>
  <c r="AM131" i="84"/>
  <c r="BX131" i="84" s="1"/>
  <c r="AN135" i="84"/>
  <c r="BY135" i="84" s="1"/>
  <c r="AM135" i="84"/>
  <c r="BX135" i="84" s="1"/>
  <c r="AU41" i="84"/>
  <c r="AU40" i="84"/>
  <c r="AW40" i="84" s="1"/>
  <c r="CB40" i="84" s="1"/>
  <c r="AN50" i="84"/>
  <c r="BY50" i="84" s="1"/>
  <c r="AC55" i="84"/>
  <c r="AE55" i="84" s="1"/>
  <c r="BW55" i="84" s="1"/>
  <c r="AD57" i="84"/>
  <c r="BV57" i="84" s="1"/>
  <c r="AC58" i="84"/>
  <c r="AD58" i="84" s="1"/>
  <c r="BV58" i="84" s="1"/>
  <c r="AL125" i="84"/>
  <c r="AN125" i="84" s="1"/>
  <c r="BY125" i="84" s="1"/>
  <c r="AM129" i="84"/>
  <c r="BX129" i="84" s="1"/>
  <c r="AL129" i="84"/>
  <c r="AN129" i="84" s="1"/>
  <c r="BY129" i="84" s="1"/>
  <c r="AN133" i="84"/>
  <c r="BY133" i="84" s="1"/>
  <c r="AL133" i="84"/>
  <c r="AM133" i="84" s="1"/>
  <c r="BX133" i="84" s="1"/>
  <c r="AN136" i="84"/>
  <c r="BY136" i="84" s="1"/>
  <c r="AM136" i="84"/>
  <c r="BX136" i="84" s="1"/>
  <c r="AL136" i="84"/>
  <c r="AU59" i="84"/>
  <c r="AW59" i="84" s="1"/>
  <c r="CB59" i="84" s="1"/>
  <c r="BE169" i="84"/>
  <c r="CC169" i="84" s="1"/>
  <c r="BF169" i="84"/>
  <c r="CD169" i="84" s="1"/>
  <c r="BD170" i="84"/>
  <c r="BD169" i="84"/>
  <c r="AU46" i="84"/>
  <c r="AV46" i="84" s="1"/>
  <c r="CA46" i="84" s="1"/>
  <c r="AU50" i="84"/>
  <c r="AV50" i="84" s="1"/>
  <c r="CA50" i="84" s="1"/>
  <c r="AC52" i="84"/>
  <c r="AC51" i="84"/>
  <c r="AL137" i="84"/>
  <c r="AN137" i="84" s="1"/>
  <c r="BY137" i="84" s="1"/>
  <c r="AW137" i="84"/>
  <c r="CB137" i="84" s="1"/>
  <c r="AV137" i="84"/>
  <c r="CA137" i="84" s="1"/>
  <c r="BF137" i="84"/>
  <c r="CD137" i="84" s="1"/>
  <c r="BE137" i="84"/>
  <c r="CC137" i="84" s="1"/>
  <c r="BD137" i="84"/>
  <c r="AN149" i="84"/>
  <c r="BY149" i="84" s="1"/>
  <c r="AM149" i="84"/>
  <c r="BX149" i="84" s="1"/>
  <c r="AL149" i="84"/>
  <c r="AL150" i="84"/>
  <c r="AM155" i="84"/>
  <c r="BX155" i="84" s="1"/>
  <c r="AN155" i="84"/>
  <c r="BY155" i="84" s="1"/>
  <c r="AM146" i="84"/>
  <c r="BX146" i="84" s="1"/>
  <c r="AN146" i="84"/>
  <c r="BY146" i="84" s="1"/>
  <c r="BF149" i="84"/>
  <c r="CD149" i="84" s="1"/>
  <c r="BE149" i="84"/>
  <c r="CC149" i="84" s="1"/>
  <c r="BD149" i="84"/>
  <c r="BD150" i="84"/>
  <c r="BD122" i="84"/>
  <c r="BE122" i="84" s="1"/>
  <c r="CC122" i="84" s="1"/>
  <c r="AU124" i="84"/>
  <c r="AV124" i="84" s="1"/>
  <c r="CA124" i="84" s="1"/>
  <c r="AC127" i="84"/>
  <c r="AD127" i="84" s="1"/>
  <c r="BV127" i="84" s="1"/>
  <c r="AC129" i="84"/>
  <c r="AD129" i="84" s="1"/>
  <c r="BV129" i="84" s="1"/>
  <c r="AC131" i="84"/>
  <c r="AD131" i="84" s="1"/>
  <c r="BV131" i="84" s="1"/>
  <c r="BD131" i="84"/>
  <c r="AC133" i="84"/>
  <c r="AE133" i="84" s="1"/>
  <c r="BW133" i="84" s="1"/>
  <c r="BD133" i="84"/>
  <c r="AC135" i="84"/>
  <c r="AD135" i="84" s="1"/>
  <c r="BV135" i="84" s="1"/>
  <c r="BD135" i="84"/>
  <c r="AL147" i="84"/>
  <c r="AD148" i="84"/>
  <c r="BV148" i="84" s="1"/>
  <c r="AE148" i="84"/>
  <c r="BW148" i="84" s="1"/>
  <c r="AW149" i="84"/>
  <c r="CB149" i="84" s="1"/>
  <c r="AV149" i="84"/>
  <c r="CA149" i="84" s="1"/>
  <c r="BF147" i="84"/>
  <c r="CD147" i="84" s="1"/>
  <c r="BD148" i="84"/>
  <c r="BE155" i="84"/>
  <c r="CC155" i="84" s="1"/>
  <c r="BF155" i="84"/>
  <c r="CD155" i="84" s="1"/>
  <c r="BD155" i="84"/>
  <c r="AM156" i="84"/>
  <c r="BX156" i="84" s="1"/>
  <c r="AN156" i="84"/>
  <c r="BY156" i="84" s="1"/>
  <c r="AL156" i="84"/>
  <c r="BD157" i="84"/>
  <c r="AC146" i="84"/>
  <c r="AC147" i="84"/>
  <c r="BF154" i="84"/>
  <c r="CD154" i="84" s="1"/>
  <c r="BE154" i="84"/>
  <c r="CC154" i="84" s="1"/>
  <c r="BE156" i="84"/>
  <c r="CC156" i="84" s="1"/>
  <c r="BF156" i="84"/>
  <c r="CD156" i="84" s="1"/>
  <c r="AU145" i="84"/>
  <c r="BD146" i="84"/>
  <c r="AE157" i="84"/>
  <c r="BW157" i="84" s="1"/>
  <c r="AD157" i="84"/>
  <c r="BV157" i="84" s="1"/>
  <c r="AN157" i="84"/>
  <c r="BY157" i="84" s="1"/>
  <c r="AM157" i="84"/>
  <c r="BX157" i="84" s="1"/>
  <c r="AW157" i="84"/>
  <c r="CB157" i="84" s="1"/>
  <c r="AV157" i="84"/>
  <c r="CA157" i="84" s="1"/>
  <c r="BF157" i="84"/>
  <c r="CD157" i="84" s="1"/>
  <c r="BE157" i="84"/>
  <c r="CC157" i="84" s="1"/>
  <c r="AW162" i="84"/>
  <c r="CB162" i="84" s="1"/>
  <c r="AV162" i="84"/>
  <c r="CA162" i="84" s="1"/>
  <c r="AU163" i="84"/>
  <c r="AU164" i="84"/>
  <c r="AU165" i="84"/>
  <c r="BE166" i="84"/>
  <c r="CC166" i="84" s="1"/>
  <c r="BF166" i="84"/>
  <c r="CD166" i="84" s="1"/>
  <c r="AV167" i="84"/>
  <c r="CA167" i="84" s="1"/>
  <c r="AW167" i="84"/>
  <c r="CB167" i="84" s="1"/>
  <c r="BE168" i="84"/>
  <c r="CC168" i="84" s="1"/>
  <c r="BF168" i="84"/>
  <c r="CD168" i="84" s="1"/>
  <c r="AC141" i="84"/>
  <c r="AD141" i="84" s="1"/>
  <c r="BV141" i="84" s="1"/>
  <c r="AL141" i="84"/>
  <c r="AU141" i="84"/>
  <c r="BD141" i="84"/>
  <c r="AL145" i="84"/>
  <c r="AU146" i="84"/>
  <c r="AC155" i="84"/>
  <c r="AU155" i="84"/>
  <c r="AC157" i="84"/>
  <c r="AU157" i="84"/>
  <c r="AC163" i="84"/>
  <c r="AC164" i="84"/>
  <c r="AC165" i="84"/>
  <c r="AM166" i="84"/>
  <c r="BX166" i="84" s="1"/>
  <c r="AN166" i="84"/>
  <c r="BY166" i="84" s="1"/>
  <c r="AD167" i="84"/>
  <c r="BV167" i="84" s="1"/>
  <c r="AE167" i="84"/>
  <c r="BW167" i="84" s="1"/>
  <c r="AM168" i="84"/>
  <c r="BX168" i="84" s="1"/>
  <c r="AN168" i="84"/>
  <c r="BY168" i="84" s="1"/>
  <c r="AD169" i="84"/>
  <c r="BV169" i="84" s="1"/>
  <c r="AE169" i="84"/>
  <c r="BW169" i="84" s="1"/>
  <c r="AC170" i="84"/>
  <c r="AC169" i="84"/>
  <c r="AL163" i="84"/>
  <c r="BD163" i="84"/>
  <c r="AL164" i="84"/>
  <c r="BD164" i="84"/>
  <c r="AL165" i="84"/>
  <c r="BD165" i="84"/>
  <c r="AC166" i="84"/>
  <c r="AU166" i="84"/>
  <c r="AL167" i="84"/>
  <c r="BD167" i="84"/>
  <c r="AC168" i="84"/>
  <c r="AU168" i="84"/>
  <c r="AU170" i="84"/>
  <c r="AU169" i="84"/>
  <c r="AN163" i="84"/>
  <c r="BY163" i="84" s="1"/>
  <c r="BF163" i="84"/>
  <c r="CD163" i="84" s="1"/>
  <c r="AN164" i="84"/>
  <c r="BY164" i="84" s="1"/>
  <c r="BF164" i="84"/>
  <c r="CD164" i="84" s="1"/>
  <c r="AN165" i="84"/>
  <c r="BY165" i="84" s="1"/>
  <c r="BF165" i="84"/>
  <c r="CD165" i="84" s="1"/>
  <c r="V168" i="84"/>
  <c r="AW169" i="84"/>
  <c r="CB169" i="84" s="1"/>
  <c r="V170" i="84"/>
  <c r="AL170" i="84"/>
  <c r="AL169" i="84"/>
  <c r="E171" i="84"/>
  <c r="Q171" i="84"/>
  <c r="E167" i="84"/>
  <c r="Q167" i="84"/>
  <c r="E168" i="84"/>
  <c r="Q168" i="84"/>
  <c r="E169" i="84"/>
  <c r="Q169" i="84"/>
  <c r="AW58" i="84" l="1"/>
  <c r="CB58" i="84" s="1"/>
  <c r="AV119" i="84"/>
  <c r="CA119" i="84" s="1"/>
  <c r="AL87" i="84"/>
  <c r="AK89" i="84"/>
  <c r="AK90" i="84" s="1"/>
  <c r="AL39" i="84"/>
  <c r="AK41" i="84"/>
  <c r="AK42" i="84" s="1"/>
  <c r="AN45" i="84"/>
  <c r="BY45" i="84" s="1"/>
  <c r="AB30" i="84"/>
  <c r="AE12" i="84"/>
  <c r="BW12" i="84" s="1"/>
  <c r="Y58" i="84"/>
  <c r="Y104" i="84"/>
  <c r="AD108" i="84"/>
  <c r="BV108" i="84" s="1"/>
  <c r="Y110" i="84"/>
  <c r="AC31" i="84"/>
  <c r="AE31" i="84" s="1"/>
  <c r="BW31" i="84" s="1"/>
  <c r="AB32" i="84"/>
  <c r="AB33" i="84" s="1"/>
  <c r="BD22" i="84"/>
  <c r="BF22" i="84" s="1"/>
  <c r="CD22" i="84" s="1"/>
  <c r="AV12" i="84"/>
  <c r="CA12" i="84" s="1"/>
  <c r="AV55" i="84"/>
  <c r="CA55" i="84" s="1"/>
  <c r="AV39" i="84"/>
  <c r="CA39" i="84" s="1"/>
  <c r="AW44" i="84"/>
  <c r="CB44" i="84" s="1"/>
  <c r="AH21" i="84"/>
  <c r="AH24" i="84"/>
  <c r="AH57" i="84"/>
  <c r="BD124" i="84"/>
  <c r="BE124" i="84" s="1"/>
  <c r="CC124" i="84" s="1"/>
  <c r="BD126" i="84"/>
  <c r="BE126" i="84" s="1"/>
  <c r="CC126" i="84" s="1"/>
  <c r="AZ77" i="84"/>
  <c r="AZ81" i="84"/>
  <c r="AZ11" i="84"/>
  <c r="AZ47" i="84"/>
  <c r="AQ87" i="84"/>
  <c r="AH74" i="84"/>
  <c r="AH19" i="84"/>
  <c r="AH30" i="84"/>
  <c r="Y15" i="84"/>
  <c r="Y50" i="84"/>
  <c r="AH97" i="84"/>
  <c r="AH75" i="84"/>
  <c r="AH50" i="84"/>
  <c r="Q27" i="82"/>
  <c r="C27" i="87" s="1"/>
  <c r="AH77" i="84"/>
  <c r="Y43" i="84"/>
  <c r="Y32" i="84"/>
  <c r="AH78" i="84"/>
  <c r="Y31" i="84"/>
  <c r="AH89" i="84"/>
  <c r="Y42" i="84"/>
  <c r="AH52" i="84"/>
  <c r="AH68" i="84"/>
  <c r="AH79" i="84"/>
  <c r="Y100" i="84"/>
  <c r="AH46" i="84"/>
  <c r="AH65" i="84"/>
  <c r="Y34" i="84"/>
  <c r="AH60" i="84"/>
  <c r="Q30" i="82"/>
  <c r="C30" i="88" s="1"/>
  <c r="AH34" i="84"/>
  <c r="AH11" i="84"/>
  <c r="AH39" i="84"/>
  <c r="AH44" i="84"/>
  <c r="AH76" i="84"/>
  <c r="AH51" i="84"/>
  <c r="AH95" i="84"/>
  <c r="AH98" i="84"/>
  <c r="Y102" i="84"/>
  <c r="Y27" i="84"/>
  <c r="AZ53" i="84"/>
  <c r="BD128" i="84"/>
  <c r="BE128" i="84" s="1"/>
  <c r="CC128" i="84" s="1"/>
  <c r="BC98" i="84"/>
  <c r="BC99" i="84" s="1"/>
  <c r="BD50" i="84"/>
  <c r="BF67" i="84"/>
  <c r="CD67" i="84" s="1"/>
  <c r="AZ15" i="84"/>
  <c r="AZ35" i="84"/>
  <c r="AZ79" i="84"/>
  <c r="AZ64" i="84"/>
  <c r="AZ84" i="84"/>
  <c r="AZ23" i="84"/>
  <c r="AZ67" i="84"/>
  <c r="AZ87" i="84"/>
  <c r="AZ46" i="84"/>
  <c r="AQ23" i="84"/>
  <c r="AZ13" i="84"/>
  <c r="BD23" i="84"/>
  <c r="BF23" i="84" s="1"/>
  <c r="CD23" i="84" s="1"/>
  <c r="BD72" i="84"/>
  <c r="BF72" i="84" s="1"/>
  <c r="CD72" i="84" s="1"/>
  <c r="AV59" i="84"/>
  <c r="CA59" i="84" s="1"/>
  <c r="AV79" i="84"/>
  <c r="CA79" i="84" s="1"/>
  <c r="AV69" i="84"/>
  <c r="CA69" i="84" s="1"/>
  <c r="AK71" i="84"/>
  <c r="AL70" i="84" s="1"/>
  <c r="AH61" i="84"/>
  <c r="AH15" i="84"/>
  <c r="Y84" i="84"/>
  <c r="Y60" i="84"/>
  <c r="AH38" i="84"/>
  <c r="AH93" i="84"/>
  <c r="AH17" i="84"/>
  <c r="AH33" i="84"/>
  <c r="AH54" i="84"/>
  <c r="AH86" i="84"/>
  <c r="AH85" i="84"/>
  <c r="AH23" i="84"/>
  <c r="AH42" i="84"/>
  <c r="AH81" i="84"/>
  <c r="AH28" i="84"/>
  <c r="AH36" i="84"/>
  <c r="Y46" i="84"/>
  <c r="Y62" i="84"/>
  <c r="AH72" i="84"/>
  <c r="Y82" i="84"/>
  <c r="Y90" i="84"/>
  <c r="AH63" i="84"/>
  <c r="AH83" i="84"/>
  <c r="AL115" i="84"/>
  <c r="AK96" i="84"/>
  <c r="AK97" i="84" s="1"/>
  <c r="AL118" i="84"/>
  <c r="AN57" i="84"/>
  <c r="BY57" i="84" s="1"/>
  <c r="AN12" i="84"/>
  <c r="BY12" i="84" s="1"/>
  <c r="AH45" i="84"/>
  <c r="AH14" i="84"/>
  <c r="AH58" i="84"/>
  <c r="Y37" i="84"/>
  <c r="AH27" i="84"/>
  <c r="AH62" i="84"/>
  <c r="AH29" i="84"/>
  <c r="AH49" i="84"/>
  <c r="AH20" i="84"/>
  <c r="Y30" i="84"/>
  <c r="AH40" i="84"/>
  <c r="AH56" i="84"/>
  <c r="Y66" i="84"/>
  <c r="Y74" i="84"/>
  <c r="AH84" i="84"/>
  <c r="AH92" i="84"/>
  <c r="AH47" i="84"/>
  <c r="AH71" i="84"/>
  <c r="AH91" i="84"/>
  <c r="AL143" i="84"/>
  <c r="AL71" i="84"/>
  <c r="AN71" i="84" s="1"/>
  <c r="BY71" i="84" s="1"/>
  <c r="AK73" i="84"/>
  <c r="Y24" i="84"/>
  <c r="Y29" i="84"/>
  <c r="Y18" i="84"/>
  <c r="Y26" i="84"/>
  <c r="Y78" i="84"/>
  <c r="Y94" i="84"/>
  <c r="AB74" i="84"/>
  <c r="AB75" i="84" s="1"/>
  <c r="AB76" i="84" s="1"/>
  <c r="AB77" i="84" s="1"/>
  <c r="AC118" i="84"/>
  <c r="BD127" i="84"/>
  <c r="BE127" i="84" s="1"/>
  <c r="CC127" i="84" s="1"/>
  <c r="BD125" i="84"/>
  <c r="BE125" i="84" s="1"/>
  <c r="CC125" i="84" s="1"/>
  <c r="BD51" i="84"/>
  <c r="BF51" i="84" s="1"/>
  <c r="CD51" i="84" s="1"/>
  <c r="BD49" i="84"/>
  <c r="BF49" i="84" s="1"/>
  <c r="CD49" i="84" s="1"/>
  <c r="BA13" i="84"/>
  <c r="BA14" i="84"/>
  <c r="T13" i="90"/>
  <c r="T13" i="89"/>
  <c r="T13" i="95"/>
  <c r="T13" i="97"/>
  <c r="T13" i="87"/>
  <c r="T13" i="92"/>
  <c r="T13" i="96"/>
  <c r="T13" i="88"/>
  <c r="AL40" i="84"/>
  <c r="AN40" i="84" s="1"/>
  <c r="BY40" i="84" s="1"/>
  <c r="AL51" i="84"/>
  <c r="AN51" i="84" s="1"/>
  <c r="BY51" i="84" s="1"/>
  <c r="AL107" i="84"/>
  <c r="C27" i="88"/>
  <c r="C27" i="92"/>
  <c r="C30" i="97"/>
  <c r="C30" i="96"/>
  <c r="AC109" i="84"/>
  <c r="AE109" i="84" s="1"/>
  <c r="BW109" i="84" s="1"/>
  <c r="AC117" i="84"/>
  <c r="AD117" i="84" s="1"/>
  <c r="BV117" i="84" s="1"/>
  <c r="BC35" i="84"/>
  <c r="BC36" i="84" s="1"/>
  <c r="AZ20" i="84"/>
  <c r="AZ29" i="84"/>
  <c r="AZ75" i="84"/>
  <c r="AZ86" i="84"/>
  <c r="AZ34" i="84"/>
  <c r="BC90" i="84"/>
  <c r="BD52" i="84"/>
  <c r="BF52" i="84" s="1"/>
  <c r="CD52" i="84" s="1"/>
  <c r="BE11" i="84"/>
  <c r="CC11" i="84" s="1"/>
  <c r="AZ112" i="84"/>
  <c r="AZ45" i="84"/>
  <c r="AZ65" i="84"/>
  <c r="AZ101" i="84"/>
  <c r="AZ68" i="84"/>
  <c r="AZ105" i="84"/>
  <c r="AZ19" i="84"/>
  <c r="AZ31" i="84"/>
  <c r="AZ39" i="84"/>
  <c r="AZ51" i="84"/>
  <c r="AZ63" i="84"/>
  <c r="AZ71" i="84"/>
  <c r="AZ83" i="84"/>
  <c r="AZ95" i="84"/>
  <c r="AQ101" i="84"/>
  <c r="AZ78" i="84"/>
  <c r="AQ55" i="84"/>
  <c r="AZ98" i="84"/>
  <c r="AZ120" i="84"/>
  <c r="AZ125" i="84"/>
  <c r="AZ21" i="84"/>
  <c r="AZ69" i="84"/>
  <c r="AZ56" i="84"/>
  <c r="BC104" i="84"/>
  <c r="BD35" i="84"/>
  <c r="BE35" i="84" s="1"/>
  <c r="CC35" i="84" s="1"/>
  <c r="BE118" i="84"/>
  <c r="CC118" i="84" s="1"/>
  <c r="AZ22" i="84"/>
  <c r="AZ30" i="84"/>
  <c r="AZ43" i="84"/>
  <c r="AZ99" i="84"/>
  <c r="AZ62" i="84"/>
  <c r="AZ103" i="84"/>
  <c r="AQ39" i="84"/>
  <c r="AZ113" i="84"/>
  <c r="AZ25" i="84"/>
  <c r="AZ61" i="84"/>
  <c r="AZ80" i="84"/>
  <c r="AZ49" i="84"/>
  <c r="AZ32" i="84"/>
  <c r="AZ52" i="84"/>
  <c r="AZ27" i="84"/>
  <c r="AZ59" i="84"/>
  <c r="AZ91" i="84"/>
  <c r="AZ96" i="84"/>
  <c r="AZ54" i="84"/>
  <c r="AZ70" i="84"/>
  <c r="AZ94" i="84"/>
  <c r="AQ71" i="84"/>
  <c r="AZ102" i="84"/>
  <c r="AZ109" i="84"/>
  <c r="AZ85" i="84"/>
  <c r="BD53" i="84"/>
  <c r="BF53" i="84" s="1"/>
  <c r="CD53" i="84" s="1"/>
  <c r="BC55" i="84"/>
  <c r="BD33" i="84"/>
  <c r="BF33" i="84" s="1"/>
  <c r="CD33" i="84" s="1"/>
  <c r="BC81" i="84"/>
  <c r="BC82" i="84" s="1"/>
  <c r="BC83" i="84" s="1"/>
  <c r="AR13" i="84"/>
  <c r="AQ19" i="84"/>
  <c r="AQ35" i="84"/>
  <c r="AQ51" i="84"/>
  <c r="AQ67" i="84"/>
  <c r="AQ83" i="84"/>
  <c r="AQ112" i="84"/>
  <c r="AV29" i="84"/>
  <c r="CA29" i="84" s="1"/>
  <c r="AV34" i="84"/>
  <c r="CA34" i="84" s="1"/>
  <c r="AC28" i="82"/>
  <c r="O28" i="81" s="1"/>
  <c r="AC26" i="82"/>
  <c r="O26" i="81" s="1"/>
  <c r="AV51" i="84"/>
  <c r="CA51" i="84" s="1"/>
  <c r="AQ14" i="84"/>
  <c r="AQ27" i="84"/>
  <c r="AQ43" i="84"/>
  <c r="AQ59" i="84"/>
  <c r="AQ75" i="84"/>
  <c r="AQ91" i="84"/>
  <c r="AR12" i="84"/>
  <c r="AQ15" i="84"/>
  <c r="AQ31" i="84"/>
  <c r="AQ47" i="84"/>
  <c r="AQ63" i="84"/>
  <c r="AQ79" i="84"/>
  <c r="AQ95" i="84"/>
  <c r="AQ104" i="84"/>
  <c r="AV43" i="84"/>
  <c r="CA43" i="84" s="1"/>
  <c r="AW54" i="84"/>
  <c r="CB54" i="84" s="1"/>
  <c r="AV70" i="84"/>
  <c r="CA70" i="84" s="1"/>
  <c r="AN106" i="84"/>
  <c r="BY106" i="84" s="1"/>
  <c r="AM106" i="84"/>
  <c r="BX106" i="84" s="1"/>
  <c r="AK66" i="84"/>
  <c r="AK67" i="84" s="1"/>
  <c r="AN29" i="84"/>
  <c r="BY29" i="84" s="1"/>
  <c r="AM44" i="84"/>
  <c r="BX44" i="84" s="1"/>
  <c r="AL120" i="84"/>
  <c r="AK122" i="84"/>
  <c r="AL116" i="84"/>
  <c r="AL14" i="84"/>
  <c r="AK16" i="84"/>
  <c r="AM11" i="84"/>
  <c r="AH70" i="84"/>
  <c r="AH94" i="84"/>
  <c r="AH12" i="84"/>
  <c r="AH26" i="84"/>
  <c r="AH73" i="84"/>
  <c r="AH16" i="84"/>
  <c r="Y22" i="84"/>
  <c r="AH32" i="84"/>
  <c r="Y38" i="84"/>
  <c r="AH48" i="84"/>
  <c r="Y54" i="84"/>
  <c r="AH64" i="84"/>
  <c r="Y70" i="84"/>
  <c r="AH80" i="84"/>
  <c r="Y86" i="84"/>
  <c r="AH96" i="84"/>
  <c r="AH100" i="84"/>
  <c r="AH111" i="84"/>
  <c r="AH55" i="84"/>
  <c r="AH67" i="84"/>
  <c r="AH87" i="84"/>
  <c r="AH101" i="84"/>
  <c r="AH115" i="84"/>
  <c r="AH102" i="84"/>
  <c r="AH110" i="84"/>
  <c r="AH123" i="84"/>
  <c r="AH121" i="84"/>
  <c r="Y98" i="84"/>
  <c r="Y106" i="84"/>
  <c r="Y114" i="84"/>
  <c r="AH122" i="84"/>
  <c r="AH22" i="84"/>
  <c r="I171" i="84"/>
  <c r="V31" i="82" s="1"/>
  <c r="AK76" i="84"/>
  <c r="AK77" i="84" s="1"/>
  <c r="AK78" i="84" s="1"/>
  <c r="AL117" i="84"/>
  <c r="AL93" i="84"/>
  <c r="AL113" i="84"/>
  <c r="AM113" i="84" s="1"/>
  <c r="BX113" i="84" s="1"/>
  <c r="AK64" i="84"/>
  <c r="AL63" i="84" s="1"/>
  <c r="AM63" i="84" s="1"/>
  <c r="BX63" i="84" s="1"/>
  <c r="AN55" i="84"/>
  <c r="BY55" i="84" s="1"/>
  <c r="AN46" i="84"/>
  <c r="BY46" i="84" s="1"/>
  <c r="AL22" i="84"/>
  <c r="AL119" i="84"/>
  <c r="AM119" i="84" s="1"/>
  <c r="BX119" i="84" s="1"/>
  <c r="AN94" i="84"/>
  <c r="BY94" i="84" s="1"/>
  <c r="AL114" i="84"/>
  <c r="AL13" i="84"/>
  <c r="AB89" i="84"/>
  <c r="AB64" i="84"/>
  <c r="AB65" i="84" s="1"/>
  <c r="AC95" i="84"/>
  <c r="AE95" i="84" s="1"/>
  <c r="BW95" i="84" s="1"/>
  <c r="AB97" i="84"/>
  <c r="AD55" i="84"/>
  <c r="BV55" i="84" s="1"/>
  <c r="AD56" i="84"/>
  <c r="BV56" i="84" s="1"/>
  <c r="AE16" i="84"/>
  <c r="BW16" i="84" s="1"/>
  <c r="AC30" i="84"/>
  <c r="AE30" i="84" s="1"/>
  <c r="BW30" i="84" s="1"/>
  <c r="AB93" i="84"/>
  <c r="AB94" i="84" s="1"/>
  <c r="AC35" i="84"/>
  <c r="AB37" i="84"/>
  <c r="AB62" i="84"/>
  <c r="AB105" i="84"/>
  <c r="AC105" i="84" s="1"/>
  <c r="AE105" i="84" s="1"/>
  <c r="BW105" i="84" s="1"/>
  <c r="AB81" i="84"/>
  <c r="AB82" i="84" s="1"/>
  <c r="AC81" i="84" s="1"/>
  <c r="AD115" i="84"/>
  <c r="BV115" i="84" s="1"/>
  <c r="AD107" i="84"/>
  <c r="BV107" i="84" s="1"/>
  <c r="AU98" i="84"/>
  <c r="AW98" i="84" s="1"/>
  <c r="CB98" i="84" s="1"/>
  <c r="AU90" i="84"/>
  <c r="AW90" i="84" s="1"/>
  <c r="CB90" i="84" s="1"/>
  <c r="AU48" i="84"/>
  <c r="AW48" i="84" s="1"/>
  <c r="CB48" i="84" s="1"/>
  <c r="BA22" i="84"/>
  <c r="E18" i="83"/>
  <c r="AC111" i="84"/>
  <c r="AE111" i="84" s="1"/>
  <c r="BW111" i="84" s="1"/>
  <c r="AH82" i="84"/>
  <c r="AC120" i="84"/>
  <c r="AE120" i="84" s="1"/>
  <c r="BW120" i="84" s="1"/>
  <c r="V26" i="82"/>
  <c r="AH41" i="84"/>
  <c r="AC119" i="84"/>
  <c r="AD119" i="84" s="1"/>
  <c r="BV119" i="84" s="1"/>
  <c r="BA18" i="84"/>
  <c r="AZ37" i="84"/>
  <c r="AZ24" i="84"/>
  <c r="AZ28" i="84"/>
  <c r="AZ88" i="84"/>
  <c r="AZ73" i="84"/>
  <c r="AZ111" i="84"/>
  <c r="AZ26" i="84"/>
  <c r="AZ44" i="84"/>
  <c r="AZ76" i="84"/>
  <c r="AQ97" i="84"/>
  <c r="AZ108" i="84"/>
  <c r="AZ123" i="84"/>
  <c r="AQ12" i="84"/>
  <c r="AZ115" i="84"/>
  <c r="AZ126" i="84"/>
  <c r="AZ58" i="84"/>
  <c r="AZ74" i="84"/>
  <c r="AZ90" i="84"/>
  <c r="AQ99" i="84"/>
  <c r="AQ102" i="84"/>
  <c r="AQ17" i="84"/>
  <c r="AQ25" i="84"/>
  <c r="AQ33" i="84"/>
  <c r="AQ41" i="84"/>
  <c r="AQ49" i="84"/>
  <c r="AQ57" i="84"/>
  <c r="AQ65" i="84"/>
  <c r="AQ73" i="84"/>
  <c r="AQ81" i="84"/>
  <c r="AQ89" i="84"/>
  <c r="AZ116" i="84"/>
  <c r="AZ124" i="84"/>
  <c r="AZ127" i="84"/>
  <c r="AZ129" i="84"/>
  <c r="AQ119" i="84"/>
  <c r="AQ121" i="84"/>
  <c r="AQ123" i="84"/>
  <c r="AQ125" i="84"/>
  <c r="AQ127" i="84"/>
  <c r="AQ129" i="84"/>
  <c r="AQ131" i="84"/>
  <c r="AQ133" i="84"/>
  <c r="AQ135" i="84"/>
  <c r="AZ72" i="84"/>
  <c r="AZ38" i="84"/>
  <c r="AZ93" i="84"/>
  <c r="AZ104" i="84"/>
  <c r="AZ48" i="84"/>
  <c r="AZ18" i="84"/>
  <c r="AZ12" i="84"/>
  <c r="AZ14" i="84"/>
  <c r="AZ17" i="84"/>
  <c r="AZ36" i="84"/>
  <c r="AZ57" i="84"/>
  <c r="AZ89" i="84"/>
  <c r="AQ106" i="84"/>
  <c r="AZ16" i="84"/>
  <c r="AZ42" i="84"/>
  <c r="AZ60" i="84"/>
  <c r="AZ92" i="84"/>
  <c r="AZ114" i="84"/>
  <c r="AZ118" i="84"/>
  <c r="AZ50" i="84"/>
  <c r="AZ66" i="84"/>
  <c r="AZ82" i="84"/>
  <c r="AZ97" i="84"/>
  <c r="AZ100" i="84"/>
  <c r="AQ21" i="84"/>
  <c r="AQ29" i="84"/>
  <c r="AQ37" i="84"/>
  <c r="AQ45" i="84"/>
  <c r="AQ53" i="84"/>
  <c r="AQ61" i="84"/>
  <c r="AQ69" i="84"/>
  <c r="AQ77" i="84"/>
  <c r="AQ85" i="84"/>
  <c r="AQ93" i="84"/>
  <c r="AZ106" i="84"/>
  <c r="AZ110" i="84"/>
  <c r="AZ128" i="84"/>
  <c r="AZ121" i="84"/>
  <c r="AQ120" i="84"/>
  <c r="AQ122" i="84"/>
  <c r="AQ124" i="84"/>
  <c r="AQ126" i="84"/>
  <c r="AQ128" i="84"/>
  <c r="AQ130" i="84"/>
  <c r="AQ132" i="84"/>
  <c r="AQ134" i="84"/>
  <c r="BC37" i="84"/>
  <c r="BC38" i="84" s="1"/>
  <c r="BC39" i="84" s="1"/>
  <c r="BF14" i="84"/>
  <c r="CD14" i="84" s="1"/>
  <c r="BF125" i="84"/>
  <c r="CD125" i="84" s="1"/>
  <c r="BD73" i="84"/>
  <c r="BC75" i="84"/>
  <c r="BD112" i="84"/>
  <c r="BC114" i="84"/>
  <c r="BE110" i="84"/>
  <c r="CC110" i="84" s="1"/>
  <c r="BD15" i="84"/>
  <c r="BC17" i="84"/>
  <c r="BC18" i="84" s="1"/>
  <c r="BD32" i="84"/>
  <c r="BF35" i="84"/>
  <c r="CD35" i="84" s="1"/>
  <c r="BF124" i="84"/>
  <c r="CD124" i="84" s="1"/>
  <c r="BF128" i="84"/>
  <c r="CD128" i="84" s="1"/>
  <c r="BF122" i="84"/>
  <c r="CD122" i="84" s="1"/>
  <c r="BD24" i="84"/>
  <c r="BC26" i="84"/>
  <c r="BC27" i="84" s="1"/>
  <c r="BC28" i="84" s="1"/>
  <c r="BF120" i="84"/>
  <c r="CD120" i="84" s="1"/>
  <c r="BE120" i="84"/>
  <c r="CC120" i="84" s="1"/>
  <c r="BF127" i="84"/>
  <c r="CD127" i="84" s="1"/>
  <c r="BF119" i="84"/>
  <c r="CD119" i="84" s="1"/>
  <c r="AW89" i="84"/>
  <c r="CB89" i="84" s="1"/>
  <c r="AV89" i="84"/>
  <c r="CA89" i="84" s="1"/>
  <c r="AV130" i="84"/>
  <c r="CA130" i="84" s="1"/>
  <c r="AW130" i="84"/>
  <c r="CB130" i="84" s="1"/>
  <c r="AU20" i="84"/>
  <c r="AV20" i="84" s="1"/>
  <c r="CA20" i="84" s="1"/>
  <c r="AW124" i="84"/>
  <c r="CB124" i="84" s="1"/>
  <c r="AW47" i="84"/>
  <c r="CB47" i="84" s="1"/>
  <c r="AU85" i="84"/>
  <c r="AW85" i="84" s="1"/>
  <c r="CB85" i="84" s="1"/>
  <c r="AU87" i="84"/>
  <c r="AW109" i="84"/>
  <c r="CB109" i="84" s="1"/>
  <c r="AV90" i="84"/>
  <c r="CA90" i="84" s="1"/>
  <c r="AU131" i="84"/>
  <c r="AW105" i="84"/>
  <c r="CB105" i="84" s="1"/>
  <c r="AU120" i="84"/>
  <c r="AV53" i="84"/>
  <c r="CA53" i="84" s="1"/>
  <c r="AU45" i="84"/>
  <c r="AV102" i="84"/>
  <c r="CA102" i="84" s="1"/>
  <c r="AW30" i="84"/>
  <c r="CB30" i="84" s="1"/>
  <c r="AV32" i="84"/>
  <c r="CA32" i="84" s="1"/>
  <c r="AU108" i="84"/>
  <c r="AV125" i="84"/>
  <c r="CA125" i="84" s="1"/>
  <c r="AU14" i="84"/>
  <c r="AU99" i="84"/>
  <c r="AU133" i="84"/>
  <c r="AV96" i="84"/>
  <c r="CA96" i="84" s="1"/>
  <c r="AU36" i="84"/>
  <c r="AW36" i="84" s="1"/>
  <c r="CB36" i="84" s="1"/>
  <c r="AU38" i="84"/>
  <c r="AC27" i="82"/>
  <c r="AC30" i="82"/>
  <c r="AU116" i="84"/>
  <c r="AV116" i="84" s="1"/>
  <c r="CA116" i="84" s="1"/>
  <c r="AU118" i="84"/>
  <c r="AU111" i="84"/>
  <c r="AW111" i="84" s="1"/>
  <c r="CB111" i="84" s="1"/>
  <c r="E30" i="83"/>
  <c r="AU13" i="84"/>
  <c r="AW127" i="84"/>
  <c r="CB127" i="84" s="1"/>
  <c r="AU80" i="84"/>
  <c r="AU81" i="84"/>
  <c r="AU91" i="84"/>
  <c r="AN142" i="84"/>
  <c r="BY142" i="84" s="1"/>
  <c r="AM142" i="84"/>
  <c r="BX142" i="84" s="1"/>
  <c r="AL95" i="84"/>
  <c r="AM137" i="84"/>
  <c r="BX137" i="84" s="1"/>
  <c r="AL47" i="84"/>
  <c r="AM125" i="84"/>
  <c r="BX125" i="84" s="1"/>
  <c r="F19" i="83"/>
  <c r="D29" i="82" s="1"/>
  <c r="AN119" i="84"/>
  <c r="BY119" i="84" s="1"/>
  <c r="AN143" i="84"/>
  <c r="BY143" i="84" s="1"/>
  <c r="AM143" i="84"/>
  <c r="BX143" i="84" s="1"/>
  <c r="AM118" i="84"/>
  <c r="BX118" i="84" s="1"/>
  <c r="AN118" i="84"/>
  <c r="BY118" i="84" s="1"/>
  <c r="AM56" i="84"/>
  <c r="BX56" i="84" s="1"/>
  <c r="AN35" i="84"/>
  <c r="BY35" i="84" s="1"/>
  <c r="AN141" i="84"/>
  <c r="BY141" i="84" s="1"/>
  <c r="AM141" i="84"/>
  <c r="BX141" i="84" s="1"/>
  <c r="AL88" i="84"/>
  <c r="AN28" i="84"/>
  <c r="BY28" i="84" s="1"/>
  <c r="AH90" i="84"/>
  <c r="AH31" i="84"/>
  <c r="AH66" i="84"/>
  <c r="AM48" i="84"/>
  <c r="BX48" i="84" s="1"/>
  <c r="AH53" i="84"/>
  <c r="AL58" i="84"/>
  <c r="AN58" i="84" s="1"/>
  <c r="BY58" i="84" s="1"/>
  <c r="AK60" i="84"/>
  <c r="AK61" i="84" s="1"/>
  <c r="AK62" i="84" s="1"/>
  <c r="AL61" i="84" s="1"/>
  <c r="AN31" i="84"/>
  <c r="BY31" i="84" s="1"/>
  <c r="AN138" i="84"/>
  <c r="BY138" i="84" s="1"/>
  <c r="AD139" i="84"/>
  <c r="BV139" i="84" s="1"/>
  <c r="AE139" i="84"/>
  <c r="BW139" i="84" s="1"/>
  <c r="Y21" i="84"/>
  <c r="AD128" i="84"/>
  <c r="BV128" i="84" s="1"/>
  <c r="AD118" i="84"/>
  <c r="BV118" i="84" s="1"/>
  <c r="AE118" i="84"/>
  <c r="BW118" i="84" s="1"/>
  <c r="AD112" i="84"/>
  <c r="BV112" i="84" s="1"/>
  <c r="AD134" i="84"/>
  <c r="BV134" i="84" s="1"/>
  <c r="AE141" i="84"/>
  <c r="BW141" i="84" s="1"/>
  <c r="Y39" i="84"/>
  <c r="Y33" i="84"/>
  <c r="Y20" i="84"/>
  <c r="Y92" i="84"/>
  <c r="Y11" i="84"/>
  <c r="Y13" i="84"/>
  <c r="Y19" i="84"/>
  <c r="Y35" i="84"/>
  <c r="Y25" i="84"/>
  <c r="Y28" i="84"/>
  <c r="Y41" i="84"/>
  <c r="Y44" i="84"/>
  <c r="Y51" i="84"/>
  <c r="Y59" i="84"/>
  <c r="Y67" i="84"/>
  <c r="Y75" i="84"/>
  <c r="Y83" i="84"/>
  <c r="Y91" i="84"/>
  <c r="Y130" i="84"/>
  <c r="Y133" i="84"/>
  <c r="Y45" i="84"/>
  <c r="Y49" i="84"/>
  <c r="Y53" i="84"/>
  <c r="Y57" i="84"/>
  <c r="Y61" i="84"/>
  <c r="Y65" i="84"/>
  <c r="Y69" i="84"/>
  <c r="Y73" i="84"/>
  <c r="Y77" i="84"/>
  <c r="Y81" i="84"/>
  <c r="Y85" i="84"/>
  <c r="Y89" i="84"/>
  <c r="Y93" i="84"/>
  <c r="Y117" i="84"/>
  <c r="Y99" i="84"/>
  <c r="Y103" i="84"/>
  <c r="Y107" i="84"/>
  <c r="Y111" i="84"/>
  <c r="Y115" i="84"/>
  <c r="Y124" i="84"/>
  <c r="Y132" i="84"/>
  <c r="Y140" i="84"/>
  <c r="AE54" i="84"/>
  <c r="BW54" i="84" s="1"/>
  <c r="AC140" i="84"/>
  <c r="AB83" i="84"/>
  <c r="AB84" i="84" s="1"/>
  <c r="Y68" i="84"/>
  <c r="Y23" i="84"/>
  <c r="Y55" i="84"/>
  <c r="AD113" i="84"/>
  <c r="BV113" i="84" s="1"/>
  <c r="AD105" i="84"/>
  <c r="BV105" i="84" s="1"/>
  <c r="AC29" i="84"/>
  <c r="AE127" i="84"/>
  <c r="BW127" i="84" s="1"/>
  <c r="AD120" i="84"/>
  <c r="BV120" i="84" s="1"/>
  <c r="AD133" i="84"/>
  <c r="BV133" i="84" s="1"/>
  <c r="AB27" i="84"/>
  <c r="AE143" i="84"/>
  <c r="BW143" i="84" s="1"/>
  <c r="AD143" i="84"/>
  <c r="BV143" i="84" s="1"/>
  <c r="AB41" i="84"/>
  <c r="AB42" i="84" s="1"/>
  <c r="AB43" i="84" s="1"/>
  <c r="AB44" i="84" s="1"/>
  <c r="Y79" i="84"/>
  <c r="Y63" i="84"/>
  <c r="Y47" i="84"/>
  <c r="Y87" i="84"/>
  <c r="Y95" i="84"/>
  <c r="Y48" i="84"/>
  <c r="Y56" i="84"/>
  <c r="Y64" i="84"/>
  <c r="Y72" i="84"/>
  <c r="Y80" i="84"/>
  <c r="Y88" i="84"/>
  <c r="Y96" i="84"/>
  <c r="Y137" i="84"/>
  <c r="Y122" i="84"/>
  <c r="Y125" i="84"/>
  <c r="Y131" i="84"/>
  <c r="Y135" i="84"/>
  <c r="Y142" i="84"/>
  <c r="Y97" i="84"/>
  <c r="Y101" i="84"/>
  <c r="Y105" i="84"/>
  <c r="Y109" i="84"/>
  <c r="Y113" i="84"/>
  <c r="Y120" i="84"/>
  <c r="Y128" i="84"/>
  <c r="Y136" i="84"/>
  <c r="Y144" i="84"/>
  <c r="AB49" i="84"/>
  <c r="AD30" i="84"/>
  <c r="BV30" i="84" s="1"/>
  <c r="AB23" i="84"/>
  <c r="AC23" i="84" s="1"/>
  <c r="Z11" i="84"/>
  <c r="Y36" i="84"/>
  <c r="Y40" i="84"/>
  <c r="Y52" i="84"/>
  <c r="Y17" i="84"/>
  <c r="Y71" i="84"/>
  <c r="AD24" i="84"/>
  <c r="BV24" i="84" s="1"/>
  <c r="AE136" i="84"/>
  <c r="BW136" i="84" s="1"/>
  <c r="AE138" i="84"/>
  <c r="BW138" i="84" s="1"/>
  <c r="AC121" i="84"/>
  <c r="AB123" i="84"/>
  <c r="AH29" i="82"/>
  <c r="BA15" i="84"/>
  <c r="BA23" i="84"/>
  <c r="AH27" i="82"/>
  <c r="BA12" i="84"/>
  <c r="BA17" i="84"/>
  <c r="BA21" i="84"/>
  <c r="AU75" i="84"/>
  <c r="AV75" i="84" s="1"/>
  <c r="CA75" i="84" s="1"/>
  <c r="BA19" i="84"/>
  <c r="BA11" i="84"/>
  <c r="BA16" i="84"/>
  <c r="AU60" i="84"/>
  <c r="AV60" i="84" s="1"/>
  <c r="CA60" i="84" s="1"/>
  <c r="AL49" i="84"/>
  <c r="AC60" i="84"/>
  <c r="AE60" i="84" s="1"/>
  <c r="BW60" i="84" s="1"/>
  <c r="I172" i="84"/>
  <c r="E20" i="83"/>
  <c r="AH69" i="84"/>
  <c r="AH13" i="84"/>
  <c r="AH18" i="84"/>
  <c r="AH35" i="84"/>
  <c r="AC21" i="84"/>
  <c r="T13" i="93"/>
  <c r="T13" i="81"/>
  <c r="M48" i="79"/>
  <c r="H48" i="91"/>
  <c r="Q48" i="94"/>
  <c r="T48" i="91"/>
  <c r="BE49" i="84"/>
  <c r="CC49" i="84" s="1"/>
  <c r="BE22" i="84"/>
  <c r="CC22" i="84" s="1"/>
  <c r="AH26" i="82"/>
  <c r="BE23" i="84"/>
  <c r="CC23" i="84" s="1"/>
  <c r="BD102" i="84"/>
  <c r="BF70" i="84"/>
  <c r="CD70" i="84" s="1"/>
  <c r="BE70" i="84"/>
  <c r="CC70" i="84" s="1"/>
  <c r="F34" i="83"/>
  <c r="BE68" i="84"/>
  <c r="CC68" i="84" s="1"/>
  <c r="BE33" i="84"/>
  <c r="CC33" i="84" s="1"/>
  <c r="AH28" i="82"/>
  <c r="F32" i="83"/>
  <c r="BD96" i="84"/>
  <c r="BD95" i="84"/>
  <c r="BF50" i="84"/>
  <c r="CD50" i="84" s="1"/>
  <c r="BE50" i="84"/>
  <c r="CC50" i="84" s="1"/>
  <c r="AC29" i="82"/>
  <c r="AH14" i="82"/>
  <c r="AH15" i="82"/>
  <c r="F30" i="83"/>
  <c r="BC107" i="84"/>
  <c r="BC108" i="84" s="1"/>
  <c r="BD108" i="84" s="1"/>
  <c r="AH30" i="82"/>
  <c r="BF94" i="84"/>
  <c r="CD94" i="84" s="1"/>
  <c r="BE94" i="84"/>
  <c r="CC94" i="84" s="1"/>
  <c r="AW74" i="84"/>
  <c r="CB74" i="84" s="1"/>
  <c r="AV74" i="84"/>
  <c r="CA74" i="84" s="1"/>
  <c r="AV49" i="84"/>
  <c r="CA49" i="84" s="1"/>
  <c r="AR11" i="84"/>
  <c r="AU76" i="84"/>
  <c r="AU77" i="84"/>
  <c r="AV56" i="84"/>
  <c r="CA56" i="84" s="1"/>
  <c r="AU88" i="84"/>
  <c r="AU67" i="84"/>
  <c r="AU68" i="84"/>
  <c r="AW19" i="84"/>
  <c r="CB19" i="84" s="1"/>
  <c r="AV18" i="84"/>
  <c r="CA18" i="84" s="1"/>
  <c r="AR23" i="84"/>
  <c r="AV66" i="84"/>
  <c r="CA66" i="84" s="1"/>
  <c r="AW66" i="84"/>
  <c r="CB66" i="84" s="1"/>
  <c r="AR19" i="84"/>
  <c r="AQ113" i="84"/>
  <c r="AQ110" i="84"/>
  <c r="AQ109" i="84"/>
  <c r="AR21" i="84"/>
  <c r="AR16" i="84"/>
  <c r="AQ103" i="84"/>
  <c r="AQ11" i="84"/>
  <c r="AQ13" i="84"/>
  <c r="AQ114" i="84"/>
  <c r="AQ16" i="84"/>
  <c r="AQ18" i="84"/>
  <c r="AQ20" i="84"/>
  <c r="AQ22" i="84"/>
  <c r="AQ24" i="84"/>
  <c r="AQ26" i="84"/>
  <c r="AQ28" i="84"/>
  <c r="AQ30" i="84"/>
  <c r="AQ32" i="84"/>
  <c r="AQ34" i="84"/>
  <c r="AQ36" i="84"/>
  <c r="AQ38" i="84"/>
  <c r="AQ40" i="84"/>
  <c r="AQ42" i="84"/>
  <c r="AQ44" i="84"/>
  <c r="AQ46" i="84"/>
  <c r="AQ48" i="84"/>
  <c r="AQ50" i="84"/>
  <c r="AQ52" i="84"/>
  <c r="AQ54" i="84"/>
  <c r="AQ56" i="84"/>
  <c r="AQ58" i="84"/>
  <c r="AQ60" i="84"/>
  <c r="AQ62" i="84"/>
  <c r="AQ64" i="84"/>
  <c r="AQ66" i="84"/>
  <c r="AQ68" i="84"/>
  <c r="AQ70" i="84"/>
  <c r="AQ72" i="84"/>
  <c r="AQ74" i="84"/>
  <c r="AQ76" i="84"/>
  <c r="AQ78" i="84"/>
  <c r="AQ80" i="84"/>
  <c r="AQ82" i="84"/>
  <c r="AQ84" i="84"/>
  <c r="AQ86" i="84"/>
  <c r="AQ88" i="84"/>
  <c r="AQ90" i="84"/>
  <c r="AQ92" i="84"/>
  <c r="AQ94" i="84"/>
  <c r="AQ96" i="84"/>
  <c r="AQ107" i="84"/>
  <c r="AR14" i="84"/>
  <c r="AV111" i="84"/>
  <c r="CA111" i="84" s="1"/>
  <c r="AW46" i="84"/>
  <c r="CB46" i="84" s="1"/>
  <c r="AV84" i="84"/>
  <c r="CA84" i="84" s="1"/>
  <c r="AW75" i="84"/>
  <c r="CB75" i="84" s="1"/>
  <c r="E32" i="83"/>
  <c r="AV35" i="84"/>
  <c r="CA35" i="84" s="1"/>
  <c r="AW50" i="84"/>
  <c r="CB50" i="84" s="1"/>
  <c r="AU71" i="84"/>
  <c r="AR20" i="84"/>
  <c r="AV27" i="84"/>
  <c r="CA27" i="84" s="1"/>
  <c r="AW27" i="84"/>
  <c r="CB27" i="84" s="1"/>
  <c r="AU104" i="84"/>
  <c r="AU103" i="84"/>
  <c r="AV31" i="84"/>
  <c r="CA31" i="84" s="1"/>
  <c r="AW31" i="84"/>
  <c r="CB31" i="84" s="1"/>
  <c r="AW41" i="84"/>
  <c r="CB41" i="84" s="1"/>
  <c r="AV41" i="84"/>
  <c r="CA41" i="84" s="1"/>
  <c r="AR18" i="84"/>
  <c r="AQ98" i="84"/>
  <c r="AQ108" i="84"/>
  <c r="AQ117" i="84"/>
  <c r="AW52" i="84"/>
  <c r="CB52" i="84" s="1"/>
  <c r="AV52" i="84"/>
  <c r="CA52" i="84" s="1"/>
  <c r="AR15" i="84"/>
  <c r="AR17" i="84"/>
  <c r="AC14" i="82"/>
  <c r="AC15" i="82"/>
  <c r="AC13" i="82"/>
  <c r="AR22" i="84"/>
  <c r="AQ105" i="84"/>
  <c r="AQ100" i="84"/>
  <c r="AQ111" i="84"/>
  <c r="AQ115" i="84"/>
  <c r="AQ116" i="84"/>
  <c r="AQ118" i="84"/>
  <c r="AV115" i="84"/>
  <c r="CA115" i="84" s="1"/>
  <c r="AW115" i="84"/>
  <c r="CB115" i="84" s="1"/>
  <c r="AW110" i="84"/>
  <c r="CB110" i="84" s="1"/>
  <c r="AV42" i="84"/>
  <c r="CA42" i="84" s="1"/>
  <c r="AR24" i="84"/>
  <c r="AU83" i="84"/>
  <c r="AV40" i="84"/>
  <c r="CA40" i="84" s="1"/>
  <c r="E34" i="83"/>
  <c r="AN107" i="84"/>
  <c r="BY107" i="84" s="1"/>
  <c r="AM107" i="84"/>
  <c r="BX107" i="84" s="1"/>
  <c r="AM49" i="84"/>
  <c r="BX49" i="84" s="1"/>
  <c r="AM51" i="84"/>
  <c r="BX51" i="84" s="1"/>
  <c r="AN36" i="84"/>
  <c r="BY36" i="84" s="1"/>
  <c r="AM36" i="84"/>
  <c r="BX36" i="84" s="1"/>
  <c r="AN22" i="84"/>
  <c r="BY22" i="84" s="1"/>
  <c r="AM22" i="84"/>
  <c r="BX22" i="84" s="1"/>
  <c r="AM37" i="84"/>
  <c r="BX37" i="84" s="1"/>
  <c r="AN37" i="84"/>
  <c r="BY37" i="84" s="1"/>
  <c r="AN21" i="84"/>
  <c r="BY21" i="84" s="1"/>
  <c r="AM21" i="84"/>
  <c r="BX21" i="84" s="1"/>
  <c r="AL85" i="84"/>
  <c r="AL86" i="84"/>
  <c r="AN87" i="84"/>
  <c r="BY87" i="84" s="1"/>
  <c r="AM87" i="84"/>
  <c r="BX87" i="84" s="1"/>
  <c r="AN33" i="84"/>
  <c r="BY33" i="84" s="1"/>
  <c r="AM33" i="84"/>
  <c r="BX33" i="84" s="1"/>
  <c r="AM38" i="84"/>
  <c r="BX38" i="84" s="1"/>
  <c r="AN38" i="84"/>
  <c r="BY38" i="84" s="1"/>
  <c r="Q29" i="82"/>
  <c r="V15" i="82"/>
  <c r="V27" i="82"/>
  <c r="V14" i="82"/>
  <c r="AN52" i="84"/>
  <c r="BY52" i="84" s="1"/>
  <c r="AM52" i="84"/>
  <c r="BX52" i="84" s="1"/>
  <c r="V29" i="82"/>
  <c r="AM115" i="84"/>
  <c r="BX115" i="84" s="1"/>
  <c r="AN115" i="84"/>
  <c r="BY115" i="84" s="1"/>
  <c r="AM112" i="84"/>
  <c r="BX112" i="84" s="1"/>
  <c r="V13" i="82"/>
  <c r="AN30" i="84"/>
  <c r="BY30" i="84" s="1"/>
  <c r="AM30" i="84"/>
  <c r="BX30" i="84" s="1"/>
  <c r="V30" i="82"/>
  <c r="AN34" i="84"/>
  <c r="BY34" i="84" s="1"/>
  <c r="AM34" i="84"/>
  <c r="BX34" i="84" s="1"/>
  <c r="Q28" i="82"/>
  <c r="Q26" i="82"/>
  <c r="V28" i="82"/>
  <c r="AM110" i="84"/>
  <c r="BX110" i="84" s="1"/>
  <c r="AN110" i="84"/>
  <c r="BY110" i="84" s="1"/>
  <c r="AN54" i="84"/>
  <c r="BY54" i="84" s="1"/>
  <c r="Y12" i="84"/>
  <c r="AM20" i="84"/>
  <c r="BX20" i="84" s="1"/>
  <c r="AN20" i="84"/>
  <c r="BY20" i="84" s="1"/>
  <c r="AM108" i="84"/>
  <c r="BX108" i="84" s="1"/>
  <c r="AN108" i="84"/>
  <c r="BY108" i="84" s="1"/>
  <c r="AM24" i="84"/>
  <c r="BX24" i="84" s="1"/>
  <c r="AN24" i="84"/>
  <c r="BY24" i="84" s="1"/>
  <c r="AN25" i="84"/>
  <c r="BY25" i="84" s="1"/>
  <c r="AD17" i="84"/>
  <c r="BV17" i="84" s="1"/>
  <c r="AE17" i="84"/>
  <c r="BW17" i="84" s="1"/>
  <c r="AE51" i="84"/>
  <c r="BW51" i="84" s="1"/>
  <c r="AD51" i="84"/>
  <c r="BV51" i="84" s="1"/>
  <c r="C31" i="79"/>
  <c r="C28" i="79"/>
  <c r="L171" i="84"/>
  <c r="AE58" i="84"/>
  <c r="BW58" i="84" s="1"/>
  <c r="AD52" i="84"/>
  <c r="BV52" i="84" s="1"/>
  <c r="AE52" i="84"/>
  <c r="BW52" i="84" s="1"/>
  <c r="AC25" i="84"/>
  <c r="E16" i="83"/>
  <c r="AD109" i="84"/>
  <c r="BV109" i="84" s="1"/>
  <c r="AD18" i="84"/>
  <c r="BV18" i="84" s="1"/>
  <c r="AE20" i="84"/>
  <c r="BW20" i="84" s="1"/>
  <c r="AE14" i="84"/>
  <c r="AD14" i="84"/>
  <c r="BV14" i="84" s="1"/>
  <c r="Q15" i="82"/>
  <c r="Q14" i="82"/>
  <c r="Q13" i="82"/>
  <c r="AE15" i="84"/>
  <c r="BW15" i="84" s="1"/>
  <c r="K10" i="84"/>
  <c r="L10" i="84"/>
  <c r="K171" i="84"/>
  <c r="BW11" i="84"/>
  <c r="BV11" i="84"/>
  <c r="BY11" i="84"/>
  <c r="BD104" i="84" l="1"/>
  <c r="BC105" i="84"/>
  <c r="BD105" i="84" s="1"/>
  <c r="BC84" i="84"/>
  <c r="BD82" i="84"/>
  <c r="BD34" i="84"/>
  <c r="BD97" i="84"/>
  <c r="BD18" i="84"/>
  <c r="BC19" i="84"/>
  <c r="BC20" i="84" s="1"/>
  <c r="BC29" i="84"/>
  <c r="BD27" i="84"/>
  <c r="AW116" i="84"/>
  <c r="CB116" i="84" s="1"/>
  <c r="AK43" i="84"/>
  <c r="AL41" i="84"/>
  <c r="AM40" i="84"/>
  <c r="BX40" i="84" s="1"/>
  <c r="AM61" i="84"/>
  <c r="BX61" i="84" s="1"/>
  <c r="AN61" i="84"/>
  <c r="BY61" i="84" s="1"/>
  <c r="AL62" i="84"/>
  <c r="AM39" i="84"/>
  <c r="BX39" i="84" s="1"/>
  <c r="AN39" i="84"/>
  <c r="BY39" i="84" s="1"/>
  <c r="AK79" i="84"/>
  <c r="AK80" i="84" s="1"/>
  <c r="AK91" i="84"/>
  <c r="AL89" i="84"/>
  <c r="AM71" i="84"/>
  <c r="BX71" i="84" s="1"/>
  <c r="AB28" i="84"/>
  <c r="AC28" i="84" s="1"/>
  <c r="AD31" i="84"/>
  <c r="BV31" i="84" s="1"/>
  <c r="C30" i="89"/>
  <c r="C30" i="93"/>
  <c r="C27" i="90"/>
  <c r="AB78" i="84"/>
  <c r="AC76" i="84"/>
  <c r="C31" i="94"/>
  <c r="AD95" i="84"/>
  <c r="BV95" i="84" s="1"/>
  <c r="AD60" i="84"/>
  <c r="BV60" i="84" s="1"/>
  <c r="C28" i="94"/>
  <c r="C30" i="87"/>
  <c r="C27" i="95"/>
  <c r="AB34" i="84"/>
  <c r="AC32" i="84"/>
  <c r="AV48" i="84"/>
  <c r="CA48" i="84" s="1"/>
  <c r="C31" i="91"/>
  <c r="C28" i="91"/>
  <c r="C30" i="92"/>
  <c r="C30" i="95"/>
  <c r="C27" i="96"/>
  <c r="C27" i="97"/>
  <c r="C27" i="93"/>
  <c r="C30" i="81"/>
  <c r="C27" i="81"/>
  <c r="C30" i="90"/>
  <c r="C27" i="89"/>
  <c r="E19" i="83"/>
  <c r="AC104" i="84"/>
  <c r="AE104" i="84" s="1"/>
  <c r="BW104" i="84" s="1"/>
  <c r="BD54" i="84"/>
  <c r="BE54" i="84" s="1"/>
  <c r="CC54" i="84" s="1"/>
  <c r="BC56" i="84"/>
  <c r="BE52" i="84"/>
  <c r="CC52" i="84" s="1"/>
  <c r="BE51" i="84"/>
  <c r="CC51" i="84" s="1"/>
  <c r="BE72" i="84"/>
  <c r="CC72" i="84" s="1"/>
  <c r="BC40" i="84"/>
  <c r="BD38" i="84"/>
  <c r="BC91" i="84"/>
  <c r="BC92" i="84" s="1"/>
  <c r="BD98" i="84"/>
  <c r="BC100" i="84"/>
  <c r="AW60" i="84"/>
  <c r="CB60" i="84" s="1"/>
  <c r="AV36" i="84"/>
  <c r="CA36" i="84" s="1"/>
  <c r="AL15" i="84"/>
  <c r="AN15" i="84" s="1"/>
  <c r="BY15" i="84" s="1"/>
  <c r="AK17" i="84"/>
  <c r="AK18" i="84" s="1"/>
  <c r="AL18" i="84" s="1"/>
  <c r="AN18" i="84" s="1"/>
  <c r="BY18" i="84" s="1"/>
  <c r="AL64" i="84"/>
  <c r="AN64" i="84" s="1"/>
  <c r="AL75" i="84"/>
  <c r="AM75" i="84" s="1"/>
  <c r="BX75" i="84" s="1"/>
  <c r="AN63" i="84"/>
  <c r="BY63" i="84" s="1"/>
  <c r="AK74" i="84"/>
  <c r="AK75" i="84" s="1"/>
  <c r="AL72" i="84"/>
  <c r="AE81" i="84"/>
  <c r="BW81" i="84" s="1"/>
  <c r="AD81" i="84"/>
  <c r="BV81" i="84" s="1"/>
  <c r="AC97" i="84"/>
  <c r="AD97" i="84" s="1"/>
  <c r="BV97" i="84" s="1"/>
  <c r="AB98" i="84"/>
  <c r="AB99" i="84" s="1"/>
  <c r="AB100" i="84" s="1"/>
  <c r="AC99" i="84" s="1"/>
  <c r="AC88" i="84"/>
  <c r="AB90" i="84"/>
  <c r="AB91" i="84" s="1"/>
  <c r="AC73" i="84"/>
  <c r="AB50" i="84"/>
  <c r="AC50" i="84" s="1"/>
  <c r="AB63" i="84"/>
  <c r="AC62" i="84" s="1"/>
  <c r="AC75" i="84"/>
  <c r="AC74" i="84"/>
  <c r="T26" i="93"/>
  <c r="T26" i="95"/>
  <c r="T26" i="92"/>
  <c r="T26" i="96"/>
  <c r="T26" i="90"/>
  <c r="T26" i="89"/>
  <c r="T26" i="88"/>
  <c r="T26" i="97"/>
  <c r="T26" i="87"/>
  <c r="T29" i="90"/>
  <c r="T29" i="89"/>
  <c r="T29" i="97"/>
  <c r="T29" i="87"/>
  <c r="T29" i="95"/>
  <c r="T29" i="92"/>
  <c r="T29" i="96"/>
  <c r="T29" i="88"/>
  <c r="O30" i="92"/>
  <c r="O30" i="95"/>
  <c r="O30" i="88"/>
  <c r="O30" i="87"/>
  <c r="O30" i="90"/>
  <c r="O30" i="96"/>
  <c r="O30" i="97"/>
  <c r="O30" i="89"/>
  <c r="O61" i="91"/>
  <c r="O26" i="92"/>
  <c r="O26" i="95"/>
  <c r="O26" i="88"/>
  <c r="O26" i="90"/>
  <c r="O26" i="87"/>
  <c r="O26" i="96"/>
  <c r="O26" i="97"/>
  <c r="O26" i="89"/>
  <c r="O15" i="96"/>
  <c r="O15" i="92"/>
  <c r="O15" i="95"/>
  <c r="O15" i="88"/>
  <c r="O15" i="87"/>
  <c r="O15" i="97"/>
  <c r="O15" i="89"/>
  <c r="O15" i="90"/>
  <c r="AA61" i="91"/>
  <c r="T30" i="93"/>
  <c r="T30" i="95"/>
  <c r="T30" i="90"/>
  <c r="T30" i="89"/>
  <c r="T30" i="92"/>
  <c r="T30" i="96"/>
  <c r="T30" i="88"/>
  <c r="T30" i="97"/>
  <c r="T30" i="87"/>
  <c r="O28" i="97"/>
  <c r="O28" i="89"/>
  <c r="O28" i="96"/>
  <c r="O28" i="90"/>
  <c r="O28" i="92"/>
  <c r="O28" i="95"/>
  <c r="O28" i="88"/>
  <c r="O28" i="87"/>
  <c r="O14" i="92"/>
  <c r="O14" i="95"/>
  <c r="O14" i="88"/>
  <c r="O14" i="90"/>
  <c r="O14" i="96"/>
  <c r="O14" i="87"/>
  <c r="O14" i="97"/>
  <c r="O14" i="89"/>
  <c r="E33" i="83"/>
  <c r="P173" i="84" s="1"/>
  <c r="N171" i="84" s="1"/>
  <c r="T14" i="95"/>
  <c r="T14" i="87"/>
  <c r="T14" i="90"/>
  <c r="T14" i="89"/>
  <c r="T14" i="92"/>
  <c r="T14" i="96"/>
  <c r="T14" i="88"/>
  <c r="T14" i="97"/>
  <c r="O13" i="90"/>
  <c r="O13" i="97"/>
  <c r="O13" i="89"/>
  <c r="O13" i="92"/>
  <c r="O13" i="95"/>
  <c r="O13" i="88"/>
  <c r="O13" i="96"/>
  <c r="O13" i="87"/>
  <c r="T15" i="92"/>
  <c r="T15" i="96"/>
  <c r="T15" i="88"/>
  <c r="T15" i="95"/>
  <c r="T15" i="87"/>
  <c r="T15" i="97"/>
  <c r="T15" i="90"/>
  <c r="T15" i="89"/>
  <c r="T27" i="92"/>
  <c r="T27" i="96"/>
  <c r="T27" i="88"/>
  <c r="T27" i="95"/>
  <c r="T27" i="97"/>
  <c r="T27" i="87"/>
  <c r="T27" i="90"/>
  <c r="T27" i="89"/>
  <c r="O27" i="96"/>
  <c r="O27" i="92"/>
  <c r="O27" i="95"/>
  <c r="O27" i="88"/>
  <c r="O27" i="87"/>
  <c r="O27" i="97"/>
  <c r="O27" i="89"/>
  <c r="O27" i="90"/>
  <c r="C61" i="91"/>
  <c r="O29" i="90"/>
  <c r="O29" i="97"/>
  <c r="O29" i="89"/>
  <c r="O29" i="92"/>
  <c r="O29" i="95"/>
  <c r="O29" i="88"/>
  <c r="O29" i="87"/>
  <c r="O29" i="96"/>
  <c r="T28" i="93"/>
  <c r="T28" i="97"/>
  <c r="T28" i="92"/>
  <c r="T28" i="96"/>
  <c r="T28" i="88"/>
  <c r="T28" i="87"/>
  <c r="T28" i="90"/>
  <c r="T28" i="89"/>
  <c r="T28" i="95"/>
  <c r="H31" i="90"/>
  <c r="H31" i="92"/>
  <c r="H31" i="96"/>
  <c r="H31" i="88"/>
  <c r="H31" i="97"/>
  <c r="H31" i="95"/>
  <c r="H31" i="87"/>
  <c r="H31" i="89"/>
  <c r="C13" i="96"/>
  <c r="C13" i="97"/>
  <c r="C13" i="88"/>
  <c r="C13" i="92"/>
  <c r="C13" i="95"/>
  <c r="C13" i="89"/>
  <c r="C13" i="90"/>
  <c r="H30" i="93"/>
  <c r="H30" i="97"/>
  <c r="H30" i="90"/>
  <c r="H30" i="92"/>
  <c r="H30" i="96"/>
  <c r="H30" i="89"/>
  <c r="H30" i="88"/>
  <c r="H30" i="95"/>
  <c r="H30" i="87"/>
  <c r="H15" i="90"/>
  <c r="H15" i="87"/>
  <c r="H15" i="95"/>
  <c r="H15" i="92"/>
  <c r="H15" i="96"/>
  <c r="H15" i="89"/>
  <c r="H15" i="97"/>
  <c r="H15" i="88"/>
  <c r="AC22" i="84"/>
  <c r="C15" i="90"/>
  <c r="C15" i="88"/>
  <c r="C15" i="95"/>
  <c r="C15" i="89"/>
  <c r="C15" i="97"/>
  <c r="C15" i="92"/>
  <c r="C15" i="96"/>
  <c r="C26" i="97"/>
  <c r="C26" i="92"/>
  <c r="C26" i="89"/>
  <c r="C26" i="96"/>
  <c r="C26" i="87"/>
  <c r="C26" i="90"/>
  <c r="C26" i="88"/>
  <c r="C26" i="95"/>
  <c r="H14" i="97"/>
  <c r="H14" i="88"/>
  <c r="H14" i="92"/>
  <c r="H14" i="96"/>
  <c r="H14" i="89"/>
  <c r="H14" i="90"/>
  <c r="H14" i="87"/>
  <c r="H14" i="95"/>
  <c r="C28" i="92"/>
  <c r="C28" i="95"/>
  <c r="C28" i="89"/>
  <c r="C28" i="87"/>
  <c r="C28" i="97"/>
  <c r="C28" i="90"/>
  <c r="C28" i="88"/>
  <c r="C28" i="96"/>
  <c r="H13" i="92"/>
  <c r="H13" i="96"/>
  <c r="H13" i="89"/>
  <c r="H13" i="97"/>
  <c r="H13" i="90"/>
  <c r="H13" i="95"/>
  <c r="H13" i="88"/>
  <c r="H13" i="87"/>
  <c r="H29" i="93"/>
  <c r="H29" i="92"/>
  <c r="H29" i="96"/>
  <c r="H29" i="89"/>
  <c r="H29" i="88"/>
  <c r="H29" i="97"/>
  <c r="H29" i="95"/>
  <c r="H29" i="87"/>
  <c r="H29" i="90"/>
  <c r="H27" i="93"/>
  <c r="H27" i="90"/>
  <c r="H27" i="95"/>
  <c r="H27" i="87"/>
  <c r="H27" i="89"/>
  <c r="H27" i="97"/>
  <c r="H27" i="92"/>
  <c r="H27" i="96"/>
  <c r="H27" i="88"/>
  <c r="H26" i="97"/>
  <c r="H26" i="95"/>
  <c r="H26" i="87"/>
  <c r="H26" i="92"/>
  <c r="H26" i="96"/>
  <c r="H26" i="89"/>
  <c r="H26" i="88"/>
  <c r="H26" i="90"/>
  <c r="C14" i="97"/>
  <c r="C14" i="90"/>
  <c r="C14" i="88"/>
  <c r="C14" i="95"/>
  <c r="C14" i="96"/>
  <c r="C14" i="92"/>
  <c r="C14" i="89"/>
  <c r="AC98" i="84"/>
  <c r="AD98" i="84" s="1"/>
  <c r="BV98" i="84" s="1"/>
  <c r="AC80" i="84"/>
  <c r="H28" i="93"/>
  <c r="H28" i="95"/>
  <c r="H28" i="87"/>
  <c r="H28" i="88"/>
  <c r="H28" i="90"/>
  <c r="H28" i="92"/>
  <c r="H28" i="96"/>
  <c r="H28" i="89"/>
  <c r="H28" i="97"/>
  <c r="C29" i="96"/>
  <c r="C29" i="87"/>
  <c r="C29" i="90"/>
  <c r="C29" i="92"/>
  <c r="C29" i="95"/>
  <c r="C29" i="89"/>
  <c r="C29" i="97"/>
  <c r="C29" i="88"/>
  <c r="BD81" i="84"/>
  <c r="BF104" i="84"/>
  <c r="CD104" i="84" s="1"/>
  <c r="BE104" i="84"/>
  <c r="CC104" i="84" s="1"/>
  <c r="C61" i="94"/>
  <c r="BE53" i="84"/>
  <c r="CC53" i="84" s="1"/>
  <c r="BD103" i="84"/>
  <c r="BF108" i="84"/>
  <c r="CD108" i="84" s="1"/>
  <c r="BE108" i="84"/>
  <c r="CC108" i="84" s="1"/>
  <c r="C65" i="94"/>
  <c r="O30" i="93"/>
  <c r="C65" i="79"/>
  <c r="O28" i="93"/>
  <c r="C63" i="79"/>
  <c r="C63" i="91"/>
  <c r="AA63" i="91"/>
  <c r="C62" i="91"/>
  <c r="O27" i="93"/>
  <c r="C62" i="79"/>
  <c r="O63" i="91"/>
  <c r="M64" i="79"/>
  <c r="T29" i="93"/>
  <c r="AW20" i="84"/>
  <c r="CB20" i="84" s="1"/>
  <c r="AV85" i="84"/>
  <c r="CA85" i="84" s="1"/>
  <c r="C63" i="94"/>
  <c r="O29" i="81"/>
  <c r="O29" i="93"/>
  <c r="C64" i="79"/>
  <c r="T27" i="81"/>
  <c r="T27" i="93"/>
  <c r="AV98" i="84"/>
  <c r="CA98" i="84" s="1"/>
  <c r="O26" i="93"/>
  <c r="C61" i="79"/>
  <c r="AN114" i="84"/>
  <c r="BY114" i="84" s="1"/>
  <c r="AM114" i="84"/>
  <c r="BX114" i="84" s="1"/>
  <c r="AL66" i="84"/>
  <c r="AK68" i="84"/>
  <c r="AK69" i="84" s="1"/>
  <c r="AL69" i="84" s="1"/>
  <c r="BX11" i="84"/>
  <c r="AN13" i="84"/>
  <c r="AM13" i="84"/>
  <c r="AN93" i="84"/>
  <c r="BY93" i="84" s="1"/>
  <c r="AM93" i="84"/>
  <c r="BX93" i="84" s="1"/>
  <c r="AL65" i="84"/>
  <c r="AM18" i="84"/>
  <c r="BX18" i="84" s="1"/>
  <c r="AM58" i="84"/>
  <c r="BX58" i="84" s="1"/>
  <c r="AL16" i="84"/>
  <c r="AM16" i="84" s="1"/>
  <c r="AN117" i="84"/>
  <c r="BY117" i="84" s="1"/>
  <c r="AM117" i="84"/>
  <c r="BX117" i="84" s="1"/>
  <c r="AM14" i="84"/>
  <c r="BX14" i="84" s="1"/>
  <c r="AN14" i="84"/>
  <c r="BY14" i="84" s="1"/>
  <c r="AL121" i="84"/>
  <c r="AK123" i="84"/>
  <c r="AL77" i="84"/>
  <c r="AL76" i="84"/>
  <c r="AM120" i="84"/>
  <c r="BX120" i="84" s="1"/>
  <c r="AN120" i="84"/>
  <c r="BY120" i="84" s="1"/>
  <c r="AN113" i="84"/>
  <c r="BY113" i="84" s="1"/>
  <c r="AN116" i="84"/>
  <c r="BY116" i="84" s="1"/>
  <c r="AM116" i="84"/>
  <c r="BX116" i="84" s="1"/>
  <c r="AE97" i="84"/>
  <c r="BW97" i="84" s="1"/>
  <c r="C30" i="91"/>
  <c r="C29" i="93"/>
  <c r="AB45" i="84"/>
  <c r="AB46" i="84" s="1"/>
  <c r="AC43" i="84"/>
  <c r="Q32" i="94"/>
  <c r="AD111" i="84"/>
  <c r="BV111" i="84" s="1"/>
  <c r="AC93" i="84"/>
  <c r="AC94" i="84"/>
  <c r="AC96" i="84"/>
  <c r="AE96" i="84" s="1"/>
  <c r="BW96" i="84" s="1"/>
  <c r="AE119" i="84"/>
  <c r="BW119" i="84" s="1"/>
  <c r="AC89" i="84"/>
  <c r="AC61" i="84"/>
  <c r="AB66" i="84"/>
  <c r="AC64" i="84"/>
  <c r="AB101" i="84"/>
  <c r="AB102" i="84" s="1"/>
  <c r="AB103" i="84" s="1"/>
  <c r="C27" i="91"/>
  <c r="C26" i="93"/>
  <c r="AD35" i="84"/>
  <c r="BV35" i="84" s="1"/>
  <c r="AE35" i="84"/>
  <c r="BW35" i="84" s="1"/>
  <c r="C29" i="94"/>
  <c r="C28" i="93"/>
  <c r="AC40" i="84"/>
  <c r="AC26" i="84"/>
  <c r="AE26" i="84" s="1"/>
  <c r="BW26" i="84" s="1"/>
  <c r="AC83" i="84"/>
  <c r="AE83" i="84" s="1"/>
  <c r="BW83" i="84" s="1"/>
  <c r="AB85" i="84"/>
  <c r="M27" i="79"/>
  <c r="H26" i="93"/>
  <c r="AB38" i="84"/>
  <c r="AC36" i="84"/>
  <c r="AU117" i="84"/>
  <c r="C65" i="91"/>
  <c r="O65" i="91"/>
  <c r="AA65" i="91"/>
  <c r="AU86" i="84"/>
  <c r="AW86" i="84" s="1"/>
  <c r="CB86" i="84" s="1"/>
  <c r="AU21" i="84"/>
  <c r="O30" i="81"/>
  <c r="AU61" i="84"/>
  <c r="AV61" i="84" s="1"/>
  <c r="CA61" i="84" s="1"/>
  <c r="H26" i="81"/>
  <c r="H31" i="81"/>
  <c r="AL17" i="84"/>
  <c r="D173" i="84"/>
  <c r="B171" i="84" s="1"/>
  <c r="H32" i="91"/>
  <c r="H31" i="93"/>
  <c r="H27" i="91"/>
  <c r="Q27" i="94"/>
  <c r="M32" i="79"/>
  <c r="C29" i="91"/>
  <c r="BE32" i="84"/>
  <c r="CC32" i="84" s="1"/>
  <c r="BF32" i="84"/>
  <c r="CD32" i="84" s="1"/>
  <c r="BF15" i="84"/>
  <c r="CD15" i="84" s="1"/>
  <c r="BE15" i="84"/>
  <c r="CC15" i="84" s="1"/>
  <c r="BE112" i="84"/>
  <c r="CC112" i="84" s="1"/>
  <c r="BF112" i="84"/>
  <c r="CD112" i="84" s="1"/>
  <c r="BD37" i="84"/>
  <c r="BD36" i="84"/>
  <c r="BD26" i="84"/>
  <c r="BD25" i="84"/>
  <c r="BC76" i="84"/>
  <c r="BD74" i="84"/>
  <c r="AA62" i="91"/>
  <c r="BF24" i="84"/>
  <c r="CD24" i="84" s="1"/>
  <c r="BE24" i="84"/>
  <c r="CC24" i="84" s="1"/>
  <c r="BD17" i="84"/>
  <c r="BD16" i="84"/>
  <c r="BC115" i="84"/>
  <c r="BC116" i="84" s="1"/>
  <c r="BD116" i="84" s="1"/>
  <c r="BD113" i="84"/>
  <c r="BF73" i="84"/>
  <c r="CD73" i="84" s="1"/>
  <c r="BE73" i="84"/>
  <c r="CC73" i="84" s="1"/>
  <c r="AW91" i="84"/>
  <c r="CB91" i="84" s="1"/>
  <c r="AV91" i="84"/>
  <c r="CA91" i="84" s="1"/>
  <c r="AW13" i="84"/>
  <c r="AV13" i="84"/>
  <c r="AU134" i="84"/>
  <c r="AU135" i="84"/>
  <c r="AW14" i="84"/>
  <c r="CB14" i="84" s="1"/>
  <c r="AV14" i="84"/>
  <c r="CA14" i="84" s="1"/>
  <c r="AW81" i="84"/>
  <c r="CB81" i="84" s="1"/>
  <c r="AV81" i="84"/>
  <c r="CA81" i="84" s="1"/>
  <c r="AV118" i="84"/>
  <c r="CA118" i="84" s="1"/>
  <c r="AW118" i="84"/>
  <c r="CB118" i="84" s="1"/>
  <c r="AV38" i="84"/>
  <c r="CA38" i="84" s="1"/>
  <c r="AW38" i="84"/>
  <c r="CB38" i="84" s="1"/>
  <c r="AV133" i="84"/>
  <c r="CA133" i="84" s="1"/>
  <c r="AW133" i="84"/>
  <c r="CB133" i="84" s="1"/>
  <c r="AU15" i="84"/>
  <c r="AV131" i="84"/>
  <c r="CA131" i="84" s="1"/>
  <c r="AW131" i="84"/>
  <c r="CB131" i="84" s="1"/>
  <c r="AU82" i="84"/>
  <c r="AW82" i="84" s="1"/>
  <c r="CB82" i="84" s="1"/>
  <c r="C62" i="94"/>
  <c r="O27" i="81"/>
  <c r="M62" i="79"/>
  <c r="AW80" i="84"/>
  <c r="CB80" i="84" s="1"/>
  <c r="AV80" i="84"/>
  <c r="CA80" i="84" s="1"/>
  <c r="AU100" i="84"/>
  <c r="AU101" i="84"/>
  <c r="AU121" i="84"/>
  <c r="AU62" i="84"/>
  <c r="AU22" i="84"/>
  <c r="O62" i="91"/>
  <c r="T62" i="91"/>
  <c r="AU37" i="84"/>
  <c r="AU92" i="84"/>
  <c r="AU112" i="84"/>
  <c r="AU113" i="84"/>
  <c r="AV99" i="84"/>
  <c r="CA99" i="84" s="1"/>
  <c r="AW99" i="84"/>
  <c r="CB99" i="84" s="1"/>
  <c r="AV108" i="84"/>
  <c r="CA108" i="84" s="1"/>
  <c r="AW108" i="84"/>
  <c r="CB108" i="84" s="1"/>
  <c r="AV45" i="84"/>
  <c r="CA45" i="84" s="1"/>
  <c r="AW45" i="84"/>
  <c r="CB45" i="84" s="1"/>
  <c r="AW120" i="84"/>
  <c r="CB120" i="84" s="1"/>
  <c r="AV120" i="84"/>
  <c r="CA120" i="84" s="1"/>
  <c r="AW61" i="84"/>
  <c r="CB61" i="84" s="1"/>
  <c r="AN88" i="84"/>
  <c r="BY88" i="84" s="1"/>
  <c r="AM88" i="84"/>
  <c r="BX88" i="84" s="1"/>
  <c r="C30" i="79"/>
  <c r="AN49" i="84"/>
  <c r="BY49" i="84" s="1"/>
  <c r="AL60" i="84"/>
  <c r="AL59" i="84"/>
  <c r="AK98" i="84"/>
  <c r="AL96" i="84"/>
  <c r="C29" i="79"/>
  <c r="AN70" i="84"/>
  <c r="BY70" i="84" s="1"/>
  <c r="AM70" i="84"/>
  <c r="BX70" i="84" s="1"/>
  <c r="AN47" i="84"/>
  <c r="BY47" i="84" s="1"/>
  <c r="AM47" i="84"/>
  <c r="BX47" i="84" s="1"/>
  <c r="AN95" i="84"/>
  <c r="BY95" i="84" s="1"/>
  <c r="AM95" i="84"/>
  <c r="BX95" i="84" s="1"/>
  <c r="AD21" i="84"/>
  <c r="BV21" i="84" s="1"/>
  <c r="AE21" i="84"/>
  <c r="AC82" i="84"/>
  <c r="AE29" i="84"/>
  <c r="BW29" i="84" s="1"/>
  <c r="AD29" i="84"/>
  <c r="BV29" i="84" s="1"/>
  <c r="AB124" i="84"/>
  <c r="AC122" i="84"/>
  <c r="AE140" i="84"/>
  <c r="BW140" i="84" s="1"/>
  <c r="AD140" i="84"/>
  <c r="BV140" i="84" s="1"/>
  <c r="AD96" i="84"/>
  <c r="BV96" i="84" s="1"/>
  <c r="AD121" i="84"/>
  <c r="BV121" i="84" s="1"/>
  <c r="AE121" i="84"/>
  <c r="BW121" i="84" s="1"/>
  <c r="AE23" i="84"/>
  <c r="BW23" i="84" s="1"/>
  <c r="AD23" i="84"/>
  <c r="BV23" i="84" s="1"/>
  <c r="AC48" i="84"/>
  <c r="AC42" i="84"/>
  <c r="AC41" i="84"/>
  <c r="C64" i="94"/>
  <c r="AA64" i="91"/>
  <c r="T64" i="91"/>
  <c r="C64" i="91"/>
  <c r="Q62" i="94"/>
  <c r="O64" i="91"/>
  <c r="H62" i="91"/>
  <c r="H64" i="91"/>
  <c r="T29" i="81"/>
  <c r="Q64" i="94"/>
  <c r="C26" i="81"/>
  <c r="C27" i="94"/>
  <c r="C27" i="79"/>
  <c r="C28" i="81"/>
  <c r="D172" i="84"/>
  <c r="D171" i="84"/>
  <c r="Q31" i="82" s="1"/>
  <c r="U171" i="84"/>
  <c r="AH31" i="82" s="1"/>
  <c r="U172" i="84"/>
  <c r="BD106" i="84"/>
  <c r="BD107" i="84"/>
  <c r="T15" i="93"/>
  <c r="T15" i="81"/>
  <c r="T50" i="91"/>
  <c r="M50" i="79"/>
  <c r="Q50" i="94"/>
  <c r="H50" i="91"/>
  <c r="Q63" i="94"/>
  <c r="T63" i="91"/>
  <c r="M63" i="79"/>
  <c r="H63" i="91"/>
  <c r="T28" i="81"/>
  <c r="T61" i="91"/>
  <c r="Q61" i="94"/>
  <c r="H61" i="91"/>
  <c r="M61" i="79"/>
  <c r="T26" i="81"/>
  <c r="T65" i="91"/>
  <c r="Q65" i="94"/>
  <c r="M65" i="79"/>
  <c r="T30" i="81"/>
  <c r="H65" i="91"/>
  <c r="BF105" i="84"/>
  <c r="CD105" i="84" s="1"/>
  <c r="BE105" i="84"/>
  <c r="CC105" i="84" s="1"/>
  <c r="T14" i="81"/>
  <c r="H49" i="91"/>
  <c r="M49" i="79"/>
  <c r="T49" i="91"/>
  <c r="T14" i="93"/>
  <c r="Q49" i="94"/>
  <c r="BF95" i="84"/>
  <c r="CD95" i="84" s="1"/>
  <c r="BE95" i="84"/>
  <c r="CC95" i="84" s="1"/>
  <c r="F33" i="83"/>
  <c r="BE96" i="84"/>
  <c r="CC96" i="84" s="1"/>
  <c r="BF96" i="84"/>
  <c r="CD96" i="84" s="1"/>
  <c r="BF102" i="84"/>
  <c r="CD102" i="84" s="1"/>
  <c r="BE102" i="84"/>
  <c r="CC102" i="84" s="1"/>
  <c r="O14" i="81"/>
  <c r="O14" i="93"/>
  <c r="AA49" i="91"/>
  <c r="C49" i="94"/>
  <c r="C49" i="91"/>
  <c r="O49" i="91"/>
  <c r="C49" i="79"/>
  <c r="AV86" i="84"/>
  <c r="CA86" i="84" s="1"/>
  <c r="AW87" i="84"/>
  <c r="CB87" i="84" s="1"/>
  <c r="AV87" i="84"/>
  <c r="CA87" i="84" s="1"/>
  <c r="AW83" i="84"/>
  <c r="CB83" i="84" s="1"/>
  <c r="AV83" i="84"/>
  <c r="CA83" i="84" s="1"/>
  <c r="AW71" i="84"/>
  <c r="CB71" i="84" s="1"/>
  <c r="AV71" i="84"/>
  <c r="CA71" i="84" s="1"/>
  <c r="AW117" i="84"/>
  <c r="CB117" i="84" s="1"/>
  <c r="AV117" i="84"/>
  <c r="CA117" i="84" s="1"/>
  <c r="AW88" i="84"/>
  <c r="CB88" i="84" s="1"/>
  <c r="AV88" i="84"/>
  <c r="CA88" i="84" s="1"/>
  <c r="O13" i="81"/>
  <c r="O13" i="93"/>
  <c r="O48" i="91"/>
  <c r="C48" i="94"/>
  <c r="AA48" i="91"/>
  <c r="C48" i="79"/>
  <c r="C48" i="91"/>
  <c r="AV103" i="84"/>
  <c r="CA103" i="84" s="1"/>
  <c r="AW103" i="84"/>
  <c r="CB103" i="84" s="1"/>
  <c r="AU72" i="84"/>
  <c r="AU73" i="84"/>
  <c r="AW68" i="84"/>
  <c r="CB68" i="84" s="1"/>
  <c r="AV68" i="84"/>
  <c r="CA68" i="84" s="1"/>
  <c r="AW77" i="84"/>
  <c r="CB77" i="84" s="1"/>
  <c r="AV77" i="84"/>
  <c r="CA77" i="84" s="1"/>
  <c r="P172" i="84"/>
  <c r="P171" i="84"/>
  <c r="AC31" i="82" s="1"/>
  <c r="C50" i="91"/>
  <c r="O15" i="81"/>
  <c r="O15" i="93"/>
  <c r="O50" i="91"/>
  <c r="C50" i="94"/>
  <c r="C50" i="79"/>
  <c r="AA50" i="91"/>
  <c r="AW104" i="84"/>
  <c r="CB104" i="84" s="1"/>
  <c r="AV104" i="84"/>
  <c r="CA104" i="84" s="1"/>
  <c r="AV67" i="84"/>
  <c r="CA67" i="84" s="1"/>
  <c r="AW67" i="84"/>
  <c r="CB67" i="84" s="1"/>
  <c r="AW76" i="84"/>
  <c r="CB76" i="84" s="1"/>
  <c r="AV76" i="84"/>
  <c r="CA76" i="84" s="1"/>
  <c r="H13" i="93"/>
  <c r="H13" i="81"/>
  <c r="H14" i="91"/>
  <c r="M14" i="79"/>
  <c r="Q14" i="94"/>
  <c r="H14" i="93"/>
  <c r="Q15" i="94"/>
  <c r="M15" i="79"/>
  <c r="H15" i="91"/>
  <c r="H14" i="81"/>
  <c r="C29" i="81"/>
  <c r="H27" i="81"/>
  <c r="H28" i="91"/>
  <c r="M28" i="79"/>
  <c r="Q28" i="94"/>
  <c r="AM85" i="84"/>
  <c r="BX85" i="84" s="1"/>
  <c r="AN85" i="84"/>
  <c r="BY85" i="84" s="1"/>
  <c r="H30" i="81"/>
  <c r="H31" i="91"/>
  <c r="Q31" i="94"/>
  <c r="M31" i="79"/>
  <c r="C30" i="94"/>
  <c r="H30" i="91"/>
  <c r="M30" i="79"/>
  <c r="H29" i="81"/>
  <c r="Q30" i="94"/>
  <c r="AM86" i="84"/>
  <c r="BX86" i="84" s="1"/>
  <c r="AN86" i="84"/>
  <c r="BY86" i="84" s="1"/>
  <c r="H28" i="81"/>
  <c r="H29" i="91"/>
  <c r="Q29" i="94"/>
  <c r="M29" i="79"/>
  <c r="H15" i="93"/>
  <c r="H16" i="91"/>
  <c r="Q16" i="94"/>
  <c r="H15" i="81"/>
  <c r="M16" i="79"/>
  <c r="C14" i="79"/>
  <c r="C14" i="94"/>
  <c r="C13" i="81"/>
  <c r="C13" i="87"/>
  <c r="C13" i="93"/>
  <c r="C14" i="91"/>
  <c r="BW14" i="84"/>
  <c r="I173" i="84"/>
  <c r="E29" i="82"/>
  <c r="AE25" i="84"/>
  <c r="AD25" i="84"/>
  <c r="C16" i="79"/>
  <c r="C15" i="87"/>
  <c r="C15" i="81"/>
  <c r="C16" i="94"/>
  <c r="C15" i="93"/>
  <c r="C16" i="91"/>
  <c r="AE88" i="84"/>
  <c r="BW88" i="84" s="1"/>
  <c r="AD88" i="84"/>
  <c r="BV88" i="84" s="1"/>
  <c r="C15" i="94"/>
  <c r="C15" i="91"/>
  <c r="C15" i="79"/>
  <c r="C14" i="81"/>
  <c r="C14" i="87"/>
  <c r="C14" i="93"/>
  <c r="AE80" i="84"/>
  <c r="BW80" i="84" s="1"/>
  <c r="AD80" i="84"/>
  <c r="BV80" i="84" s="1"/>
  <c r="BF82" i="84" l="1"/>
  <c r="CD82" i="84" s="1"/>
  <c r="BE82" i="84"/>
  <c r="CC82" i="84" s="1"/>
  <c r="BE116" i="84"/>
  <c r="CC116" i="84" s="1"/>
  <c r="BF116" i="84"/>
  <c r="CD116" i="84" s="1"/>
  <c r="BF27" i="84"/>
  <c r="CD27" i="84" s="1"/>
  <c r="BE27" i="84"/>
  <c r="CC27" i="84" s="1"/>
  <c r="BF97" i="84"/>
  <c r="CD97" i="84" s="1"/>
  <c r="BE97" i="84"/>
  <c r="CC97" i="84" s="1"/>
  <c r="BC85" i="84"/>
  <c r="BD83" i="84"/>
  <c r="BF54" i="84"/>
  <c r="CD54" i="84" s="1"/>
  <c r="BC30" i="84"/>
  <c r="BD28" i="84"/>
  <c r="BF34" i="84"/>
  <c r="CD34" i="84" s="1"/>
  <c r="BE34" i="84"/>
  <c r="CC34" i="84" s="1"/>
  <c r="BE18" i="84"/>
  <c r="CC18" i="84" s="1"/>
  <c r="BF18" i="84"/>
  <c r="CD18" i="84" s="1"/>
  <c r="BD56" i="84"/>
  <c r="BC57" i="84"/>
  <c r="BC58" i="84" s="1"/>
  <c r="BC21" i="84"/>
  <c r="BD19" i="84"/>
  <c r="AM89" i="84"/>
  <c r="BX89" i="84" s="1"/>
  <c r="AN89" i="84"/>
  <c r="BY89" i="84" s="1"/>
  <c r="AN16" i="84"/>
  <c r="AK92" i="84"/>
  <c r="AL90" i="84"/>
  <c r="AK81" i="84"/>
  <c r="AL79" i="84"/>
  <c r="AN62" i="84"/>
  <c r="BY62" i="84" s="1"/>
  <c r="AM62" i="84"/>
  <c r="BX62" i="84" s="1"/>
  <c r="AN41" i="84"/>
  <c r="BY41" i="84" s="1"/>
  <c r="AM41" i="84"/>
  <c r="BX41" i="84" s="1"/>
  <c r="AN69" i="84"/>
  <c r="BY69" i="84" s="1"/>
  <c r="AM69" i="84"/>
  <c r="BX69" i="84" s="1"/>
  <c r="AL78" i="84"/>
  <c r="AL43" i="84"/>
  <c r="AL42" i="84"/>
  <c r="AE32" i="84"/>
  <c r="BW32" i="84" s="1"/>
  <c r="AD32" i="84"/>
  <c r="BV32" i="84" s="1"/>
  <c r="AE76" i="84"/>
  <c r="BW76" i="84" s="1"/>
  <c r="AD76" i="84"/>
  <c r="BV76" i="84" s="1"/>
  <c r="AE98" i="84"/>
  <c r="BW98" i="84" s="1"/>
  <c r="AC85" i="84"/>
  <c r="AE85" i="84" s="1"/>
  <c r="BW85" i="84" s="1"/>
  <c r="AB86" i="84"/>
  <c r="AB87" i="84" s="1"/>
  <c r="AC33" i="84"/>
  <c r="AC34" i="84"/>
  <c r="AB79" i="84"/>
  <c r="AC77" i="84"/>
  <c r="AC46" i="84"/>
  <c r="AE46" i="84" s="1"/>
  <c r="BW46" i="84" s="1"/>
  <c r="AB47" i="84"/>
  <c r="AC47" i="84" s="1"/>
  <c r="AD104" i="84"/>
  <c r="BV104" i="84" s="1"/>
  <c r="AC90" i="84"/>
  <c r="AB92" i="84"/>
  <c r="AC92" i="84" s="1"/>
  <c r="AE28" i="84"/>
  <c r="BW28" i="84" s="1"/>
  <c r="AD28" i="84"/>
  <c r="BV28" i="84" s="1"/>
  <c r="AC27" i="84"/>
  <c r="BD55" i="84"/>
  <c r="AC49" i="84"/>
  <c r="AE49" i="84" s="1"/>
  <c r="BW49" i="84" s="1"/>
  <c r="AC84" i="84"/>
  <c r="N172" i="84"/>
  <c r="BC101" i="84"/>
  <c r="BD99" i="84"/>
  <c r="BF38" i="84"/>
  <c r="CD38" i="84" s="1"/>
  <c r="BE38" i="84"/>
  <c r="CC38" i="84" s="1"/>
  <c r="BC41" i="84"/>
  <c r="BD39" i="84"/>
  <c r="BD91" i="84"/>
  <c r="BD92" i="84"/>
  <c r="BF98" i="84"/>
  <c r="CD98" i="84" s="1"/>
  <c r="BE98" i="84"/>
  <c r="CC98" i="84" s="1"/>
  <c r="BD90" i="84"/>
  <c r="AV82" i="84"/>
  <c r="CA82" i="84" s="1"/>
  <c r="L29" i="82"/>
  <c r="AM15" i="84"/>
  <c r="BX13" i="84"/>
  <c r="AM72" i="84"/>
  <c r="BX72" i="84" s="1"/>
  <c r="AN72" i="84"/>
  <c r="BY72" i="84" s="1"/>
  <c r="AM64" i="84"/>
  <c r="BX64" i="84" s="1"/>
  <c r="AN75" i="84"/>
  <c r="BY75" i="84" s="1"/>
  <c r="AL73" i="84"/>
  <c r="AL74" i="84"/>
  <c r="AE62" i="84"/>
  <c r="BW62" i="84" s="1"/>
  <c r="AD62" i="84"/>
  <c r="BV62" i="84" s="1"/>
  <c r="AC63" i="84"/>
  <c r="AD46" i="84"/>
  <c r="BV46" i="84" s="1"/>
  <c r="AE22" i="84"/>
  <c r="AD22" i="84"/>
  <c r="BV22" i="84" s="1"/>
  <c r="AE74" i="84"/>
  <c r="BW74" i="84" s="1"/>
  <c r="AD74" i="84"/>
  <c r="BV74" i="84" s="1"/>
  <c r="AD50" i="84"/>
  <c r="BV50" i="84" s="1"/>
  <c r="AE50" i="84"/>
  <c r="BW50" i="84" s="1"/>
  <c r="AE73" i="84"/>
  <c r="BW73" i="84" s="1"/>
  <c r="AD73" i="84"/>
  <c r="BV73" i="84" s="1"/>
  <c r="AC102" i="84"/>
  <c r="AC103" i="84"/>
  <c r="AE75" i="84"/>
  <c r="BW75" i="84" s="1"/>
  <c r="AD75" i="84"/>
  <c r="BV75" i="84" s="1"/>
  <c r="AD49" i="84"/>
  <c r="BV49" i="84" s="1"/>
  <c r="C66" i="79"/>
  <c r="O31" i="96"/>
  <c r="O31" i="92"/>
  <c r="O31" i="95"/>
  <c r="O31" i="88"/>
  <c r="O31" i="87"/>
  <c r="O31" i="97"/>
  <c r="O31" i="89"/>
  <c r="O31" i="90"/>
  <c r="T31" i="92"/>
  <c r="T31" i="96"/>
  <c r="T31" i="88"/>
  <c r="T31" i="95"/>
  <c r="T31" i="97"/>
  <c r="T31" i="87"/>
  <c r="T31" i="90"/>
  <c r="T31" i="89"/>
  <c r="C31" i="90"/>
  <c r="C31" i="88"/>
  <c r="C31" i="95"/>
  <c r="C31" i="89"/>
  <c r="C31" i="96"/>
  <c r="C31" i="97"/>
  <c r="C31" i="92"/>
  <c r="BE103" i="84"/>
  <c r="CC103" i="84" s="1"/>
  <c r="BF103" i="84"/>
  <c r="CD103" i="84" s="1"/>
  <c r="BE81" i="84"/>
  <c r="CC81" i="84" s="1"/>
  <c r="BF81" i="84"/>
  <c r="CD81" i="84" s="1"/>
  <c r="AW21" i="84"/>
  <c r="CB21" i="84" s="1"/>
  <c r="AV21" i="84"/>
  <c r="CA21" i="84" s="1"/>
  <c r="AN76" i="84"/>
  <c r="BY76" i="84" s="1"/>
  <c r="AM76" i="84"/>
  <c r="BX76" i="84" s="1"/>
  <c r="AM77" i="84"/>
  <c r="BX77" i="84" s="1"/>
  <c r="AN77" i="84"/>
  <c r="BY77" i="84" s="1"/>
  <c r="AK124" i="84"/>
  <c r="AL122" i="84"/>
  <c r="AL67" i="84"/>
  <c r="AL68" i="84"/>
  <c r="AM17" i="84"/>
  <c r="BX17" i="84" s="1"/>
  <c r="AN17" i="84"/>
  <c r="AN121" i="84"/>
  <c r="BY121" i="84" s="1"/>
  <c r="AM121" i="84"/>
  <c r="BX121" i="84" s="1"/>
  <c r="AN65" i="84"/>
  <c r="BY65" i="84" s="1"/>
  <c r="AM65" i="84"/>
  <c r="BX65" i="84" s="1"/>
  <c r="BY13" i="84"/>
  <c r="CL138" i="84"/>
  <c r="AM66" i="84"/>
  <c r="BX66" i="84" s="1"/>
  <c r="AN66" i="84"/>
  <c r="BY66" i="84" s="1"/>
  <c r="BW21" i="84"/>
  <c r="AE36" i="84"/>
  <c r="BW36" i="84" s="1"/>
  <c r="AD36" i="84"/>
  <c r="BV36" i="84" s="1"/>
  <c r="AB39" i="84"/>
  <c r="AC37" i="84"/>
  <c r="AE64" i="84"/>
  <c r="BW64" i="84" s="1"/>
  <c r="AD64" i="84"/>
  <c r="BV64" i="84" s="1"/>
  <c r="AE94" i="84"/>
  <c r="BW94" i="84" s="1"/>
  <c r="AD94" i="84"/>
  <c r="BV94" i="84" s="1"/>
  <c r="AE43" i="84"/>
  <c r="BW43" i="84" s="1"/>
  <c r="AD43" i="84"/>
  <c r="BV43" i="84" s="1"/>
  <c r="AD26" i="84"/>
  <c r="BV26" i="84" s="1"/>
  <c r="AD83" i="84"/>
  <c r="BV83" i="84" s="1"/>
  <c r="AD40" i="84"/>
  <c r="BV40" i="84" s="1"/>
  <c r="AE40" i="84"/>
  <c r="BW40" i="84" s="1"/>
  <c r="AC65" i="84"/>
  <c r="AB67" i="84"/>
  <c r="AE93" i="84"/>
  <c r="BW93" i="84" s="1"/>
  <c r="AD93" i="84"/>
  <c r="BV93" i="84" s="1"/>
  <c r="AC45" i="84"/>
  <c r="AC44" i="84"/>
  <c r="AE89" i="84"/>
  <c r="BW89" i="84" s="1"/>
  <c r="AD89" i="84"/>
  <c r="BV89" i="84" s="1"/>
  <c r="AE99" i="84"/>
  <c r="BW99" i="84" s="1"/>
  <c r="AD99" i="84"/>
  <c r="BV99" i="84" s="1"/>
  <c r="AC100" i="84"/>
  <c r="AC101" i="84"/>
  <c r="AE61" i="84"/>
  <c r="BW61" i="84" s="1"/>
  <c r="AD61" i="84"/>
  <c r="BV61" i="84" s="1"/>
  <c r="B172" i="84"/>
  <c r="AU23" i="84"/>
  <c r="AW23" i="84" s="1"/>
  <c r="CB23" i="84" s="1"/>
  <c r="G171" i="84"/>
  <c r="G172" i="84"/>
  <c r="BE113" i="84"/>
  <c r="CC113" i="84" s="1"/>
  <c r="BF113" i="84"/>
  <c r="CD113" i="84" s="1"/>
  <c r="BF26" i="84"/>
  <c r="CD26" i="84" s="1"/>
  <c r="BE26" i="84"/>
  <c r="CC26" i="84" s="1"/>
  <c r="BD115" i="84"/>
  <c r="BD114" i="84"/>
  <c r="BF74" i="84"/>
  <c r="CD74" i="84" s="1"/>
  <c r="BE74" i="84"/>
  <c r="CC74" i="84" s="1"/>
  <c r="BF17" i="84"/>
  <c r="CD17" i="84" s="1"/>
  <c r="BE17" i="84"/>
  <c r="CC17" i="84" s="1"/>
  <c r="BF25" i="84"/>
  <c r="CD25" i="84" s="1"/>
  <c r="BE25" i="84"/>
  <c r="CC25" i="84" s="1"/>
  <c r="BF36" i="84"/>
  <c r="CD36" i="84" s="1"/>
  <c r="BE36" i="84"/>
  <c r="CC36" i="84" s="1"/>
  <c r="BF37" i="84"/>
  <c r="CD37" i="84" s="1"/>
  <c r="BE37" i="84"/>
  <c r="CC37" i="84" s="1"/>
  <c r="BE16" i="84"/>
  <c r="BF16" i="84"/>
  <c r="CL34" i="84" s="1"/>
  <c r="BF56" i="84"/>
  <c r="CD56" i="84" s="1"/>
  <c r="BE56" i="84"/>
  <c r="CC56" i="84" s="1"/>
  <c r="BC77" i="84"/>
  <c r="BD75" i="84"/>
  <c r="AV92" i="84"/>
  <c r="CA92" i="84" s="1"/>
  <c r="AW92" i="84"/>
  <c r="CB92" i="84" s="1"/>
  <c r="AU93" i="84"/>
  <c r="AW22" i="84"/>
  <c r="CB22" i="84" s="1"/>
  <c r="AV22" i="84"/>
  <c r="CA22" i="84" s="1"/>
  <c r="AV62" i="84"/>
  <c r="CA62" i="84" s="1"/>
  <c r="AW62" i="84"/>
  <c r="CB62" i="84" s="1"/>
  <c r="AV100" i="84"/>
  <c r="CA100" i="84" s="1"/>
  <c r="AW100" i="84"/>
  <c r="CB100" i="84" s="1"/>
  <c r="CA13" i="84"/>
  <c r="AW113" i="84"/>
  <c r="CB113" i="84" s="1"/>
  <c r="AV113" i="84"/>
  <c r="CA113" i="84" s="1"/>
  <c r="AW37" i="84"/>
  <c r="CB37" i="84" s="1"/>
  <c r="AV37" i="84"/>
  <c r="CA37" i="84" s="1"/>
  <c r="AU24" i="84"/>
  <c r="AU123" i="84"/>
  <c r="AU122" i="84"/>
  <c r="AW15" i="84"/>
  <c r="AV15" i="84"/>
  <c r="CB13" i="84"/>
  <c r="AU63" i="84"/>
  <c r="AV101" i="84"/>
  <c r="CA101" i="84" s="1"/>
  <c r="AW101" i="84"/>
  <c r="CB101" i="84" s="1"/>
  <c r="AV112" i="84"/>
  <c r="CA112" i="84" s="1"/>
  <c r="AW112" i="84"/>
  <c r="CB112" i="84" s="1"/>
  <c r="AW121" i="84"/>
  <c r="CB121" i="84" s="1"/>
  <c r="AV121" i="84"/>
  <c r="CA121" i="84" s="1"/>
  <c r="AU16" i="84"/>
  <c r="AU17" i="84"/>
  <c r="AV134" i="84"/>
  <c r="CA134" i="84" s="1"/>
  <c r="AW134" i="84"/>
  <c r="CB134" i="84" s="1"/>
  <c r="AN96" i="84"/>
  <c r="BY96" i="84" s="1"/>
  <c r="AM96" i="84"/>
  <c r="BX96" i="84" s="1"/>
  <c r="AL97" i="84"/>
  <c r="AK99" i="84"/>
  <c r="AM59" i="84"/>
  <c r="AN59" i="84"/>
  <c r="BY16" i="84"/>
  <c r="AM60" i="84"/>
  <c r="BX60" i="84" s="1"/>
  <c r="AN60" i="84"/>
  <c r="BY60" i="84" s="1"/>
  <c r="BX16" i="84"/>
  <c r="AE41" i="84"/>
  <c r="BW41" i="84" s="1"/>
  <c r="AD41" i="84"/>
  <c r="BV41" i="84" s="1"/>
  <c r="AD42" i="84"/>
  <c r="BV42" i="84" s="1"/>
  <c r="AE42" i="84"/>
  <c r="BW42" i="84" s="1"/>
  <c r="AE84" i="84"/>
  <c r="BW84" i="84" s="1"/>
  <c r="AD84" i="84"/>
  <c r="BV84" i="84" s="1"/>
  <c r="AB125" i="84"/>
  <c r="AC123" i="84"/>
  <c r="AE48" i="84"/>
  <c r="BW48" i="84" s="1"/>
  <c r="AD48" i="84"/>
  <c r="BV48" i="84" s="1"/>
  <c r="AD122" i="84"/>
  <c r="BV122" i="84" s="1"/>
  <c r="AE122" i="84"/>
  <c r="BW122" i="84" s="1"/>
  <c r="AE82" i="84"/>
  <c r="BW82" i="84" s="1"/>
  <c r="AD82" i="84"/>
  <c r="BV82" i="84" s="1"/>
  <c r="C32" i="94"/>
  <c r="C31" i="93"/>
  <c r="C31" i="81"/>
  <c r="C32" i="79"/>
  <c r="C31" i="87"/>
  <c r="C32" i="91"/>
  <c r="BE107" i="84"/>
  <c r="CC107" i="84" s="1"/>
  <c r="BF107" i="84"/>
  <c r="CD107" i="84" s="1"/>
  <c r="M66" i="79"/>
  <c r="T31" i="93"/>
  <c r="T31" i="81"/>
  <c r="Q66" i="94"/>
  <c r="H66" i="91"/>
  <c r="T66" i="91"/>
  <c r="U173" i="84"/>
  <c r="K29" i="82"/>
  <c r="BF106" i="84"/>
  <c r="BE106" i="84"/>
  <c r="AV73" i="84"/>
  <c r="CA73" i="84" s="1"/>
  <c r="AW73" i="84"/>
  <c r="CB73" i="84" s="1"/>
  <c r="O31" i="93"/>
  <c r="O31" i="81"/>
  <c r="C66" i="91"/>
  <c r="O66" i="91"/>
  <c r="AA66" i="91"/>
  <c r="C66" i="94"/>
  <c r="AW72" i="84"/>
  <c r="CB72" i="84" s="1"/>
  <c r="AV72" i="84"/>
  <c r="BY64" i="84"/>
  <c r="BW25" i="84"/>
  <c r="BV25" i="84"/>
  <c r="BD20" i="84" l="1"/>
  <c r="BD21" i="84"/>
  <c r="BC31" i="84"/>
  <c r="BD29" i="84"/>
  <c r="BE55" i="84"/>
  <c r="CC55" i="84" s="1"/>
  <c r="BF55" i="84"/>
  <c r="CD55" i="84" s="1"/>
  <c r="BD57" i="84"/>
  <c r="BC59" i="84"/>
  <c r="BE83" i="84"/>
  <c r="CC83" i="84" s="1"/>
  <c r="BF83" i="84"/>
  <c r="CD83" i="84" s="1"/>
  <c r="BF19" i="84"/>
  <c r="CD19" i="84" s="1"/>
  <c r="BE19" i="84"/>
  <c r="CC19" i="84" s="1"/>
  <c r="BE28" i="84"/>
  <c r="CC28" i="84" s="1"/>
  <c r="BF28" i="84"/>
  <c r="CD28" i="84" s="1"/>
  <c r="BC86" i="84"/>
  <c r="BD84" i="84"/>
  <c r="AK82" i="84"/>
  <c r="AL80" i="84"/>
  <c r="AM42" i="84"/>
  <c r="BX42" i="84" s="1"/>
  <c r="AN42" i="84"/>
  <c r="BY42" i="84" s="1"/>
  <c r="AL91" i="84"/>
  <c r="AL92" i="84"/>
  <c r="AM43" i="84"/>
  <c r="BX43" i="84" s="1"/>
  <c r="AN43" i="84"/>
  <c r="BY43" i="84" s="1"/>
  <c r="AM79" i="84"/>
  <c r="BX79" i="84" s="1"/>
  <c r="AN79" i="84"/>
  <c r="BY79" i="84" s="1"/>
  <c r="AM78" i="84"/>
  <c r="BX78" i="84" s="1"/>
  <c r="AN78" i="84"/>
  <c r="BY78" i="84" s="1"/>
  <c r="AN90" i="84"/>
  <c r="BY90" i="84" s="1"/>
  <c r="AM90" i="84"/>
  <c r="BX90" i="84" s="1"/>
  <c r="AD85" i="84"/>
  <c r="BV85" i="84" s="1"/>
  <c r="AD92" i="84"/>
  <c r="BV92" i="84" s="1"/>
  <c r="AE92" i="84"/>
  <c r="BW92" i="84" s="1"/>
  <c r="AD33" i="84"/>
  <c r="BV33" i="84" s="1"/>
  <c r="AE33" i="84"/>
  <c r="BW33" i="84" s="1"/>
  <c r="AC91" i="84"/>
  <c r="AD27" i="84"/>
  <c r="BV27" i="84" s="1"/>
  <c r="AE27" i="84"/>
  <c r="BW27" i="84" s="1"/>
  <c r="AD90" i="84"/>
  <c r="BV90" i="84" s="1"/>
  <c r="AE90" i="84"/>
  <c r="BW90" i="84" s="1"/>
  <c r="AE77" i="84"/>
  <c r="BW77" i="84" s="1"/>
  <c r="AD77" i="84"/>
  <c r="BV77" i="84" s="1"/>
  <c r="AC86" i="84"/>
  <c r="AC87" i="84"/>
  <c r="AE103" i="84"/>
  <c r="BW103" i="84" s="1"/>
  <c r="AD103" i="84"/>
  <c r="BV103" i="84" s="1"/>
  <c r="AC78" i="84"/>
  <c r="AC79" i="84"/>
  <c r="AE47" i="84"/>
  <c r="BW47" i="84" s="1"/>
  <c r="AD47" i="84"/>
  <c r="BV47" i="84" s="1"/>
  <c r="AE34" i="84"/>
  <c r="BW34" i="84" s="1"/>
  <c r="AD34" i="84"/>
  <c r="BV34" i="84" s="1"/>
  <c r="AV23" i="84"/>
  <c r="CA23" i="84" s="1"/>
  <c r="BF90" i="84"/>
  <c r="CD90" i="84" s="1"/>
  <c r="BE90" i="84"/>
  <c r="CC90" i="84" s="1"/>
  <c r="BF91" i="84"/>
  <c r="CD91" i="84" s="1"/>
  <c r="BE91" i="84"/>
  <c r="CC91" i="84" s="1"/>
  <c r="BE99" i="84"/>
  <c r="CC99" i="84" s="1"/>
  <c r="BF99" i="84"/>
  <c r="CD99" i="84" s="1"/>
  <c r="BE92" i="84"/>
  <c r="CC92" i="84" s="1"/>
  <c r="BF92" i="84"/>
  <c r="CD92" i="84" s="1"/>
  <c r="BE39" i="84"/>
  <c r="CC39" i="84" s="1"/>
  <c r="BF39" i="84"/>
  <c r="CD39" i="84" s="1"/>
  <c r="BC42" i="84"/>
  <c r="BD40" i="84"/>
  <c r="BD100" i="84"/>
  <c r="BD101" i="84"/>
  <c r="CA15" i="84"/>
  <c r="BX15" i="84"/>
  <c r="CL14" i="84"/>
  <c r="CL13" i="84"/>
  <c r="CL140" i="84"/>
  <c r="CL15" i="84"/>
  <c r="AN74" i="84"/>
  <c r="BY74" i="84" s="1"/>
  <c r="AM74" i="84"/>
  <c r="BX74" i="84" s="1"/>
  <c r="CM13" i="84"/>
  <c r="CL142" i="84"/>
  <c r="AN73" i="84"/>
  <c r="BY73" i="84" s="1"/>
  <c r="AM73" i="84"/>
  <c r="BX73" i="84" s="1"/>
  <c r="AD63" i="84"/>
  <c r="BV63" i="84" s="1"/>
  <c r="AE63" i="84"/>
  <c r="BW63" i="84" s="1"/>
  <c r="BW22" i="84"/>
  <c r="AE102" i="84"/>
  <c r="BW102" i="84" s="1"/>
  <c r="AD102" i="84"/>
  <c r="BV102" i="84" s="1"/>
  <c r="CL35" i="84"/>
  <c r="CM138" i="84"/>
  <c r="AL123" i="84"/>
  <c r="AL124" i="84"/>
  <c r="AN124" i="84" s="1"/>
  <c r="BY124" i="84" s="1"/>
  <c r="AN68" i="84"/>
  <c r="BY68" i="84" s="1"/>
  <c r="AM68" i="84"/>
  <c r="BX68" i="84" s="1"/>
  <c r="AN67" i="84"/>
  <c r="BY67" i="84" s="1"/>
  <c r="AM67" i="84"/>
  <c r="BX67" i="84" s="1"/>
  <c r="BY17" i="84"/>
  <c r="AM122" i="84"/>
  <c r="BX122" i="84" s="1"/>
  <c r="AN122" i="84"/>
  <c r="BY122" i="84" s="1"/>
  <c r="AE101" i="84"/>
  <c r="BW101" i="84" s="1"/>
  <c r="AD101" i="84"/>
  <c r="BV101" i="84" s="1"/>
  <c r="AE100" i="84"/>
  <c r="BW100" i="84" s="1"/>
  <c r="AD100" i="84"/>
  <c r="BV100" i="84" s="1"/>
  <c r="AD44" i="84"/>
  <c r="BV44" i="84" s="1"/>
  <c r="AE44" i="84"/>
  <c r="BW44" i="84" s="1"/>
  <c r="AB68" i="84"/>
  <c r="AC66" i="84"/>
  <c r="AC38" i="84"/>
  <c r="AC39" i="84"/>
  <c r="AD45" i="84"/>
  <c r="BV45" i="84" s="1"/>
  <c r="AE45" i="84"/>
  <c r="BW45" i="84" s="1"/>
  <c r="AD65" i="84"/>
  <c r="BV65" i="84" s="1"/>
  <c r="AE65" i="84"/>
  <c r="BW65" i="84" s="1"/>
  <c r="AE37" i="84"/>
  <c r="AD37" i="84"/>
  <c r="BF75" i="84"/>
  <c r="CD75" i="84" s="1"/>
  <c r="BE75" i="84"/>
  <c r="CC75" i="84" s="1"/>
  <c r="CD16" i="84"/>
  <c r="BC78" i="84"/>
  <c r="BC79" i="84" s="1"/>
  <c r="BD76" i="84"/>
  <c r="CC16" i="84"/>
  <c r="BE114" i="84"/>
  <c r="CC114" i="84" s="1"/>
  <c r="BF114" i="84"/>
  <c r="CD114" i="84" s="1"/>
  <c r="BF115" i="84"/>
  <c r="CD115" i="84" s="1"/>
  <c r="BE115" i="84"/>
  <c r="CC115" i="84" s="1"/>
  <c r="AW63" i="84"/>
  <c r="CB63" i="84" s="1"/>
  <c r="AV63" i="84"/>
  <c r="CA63" i="84" s="1"/>
  <c r="AU25" i="84"/>
  <c r="AU26" i="84"/>
  <c r="AV17" i="84"/>
  <c r="CA17" i="84" s="1"/>
  <c r="AW17" i="84"/>
  <c r="CB17" i="84" s="1"/>
  <c r="AU64" i="84"/>
  <c r="AU65" i="84"/>
  <c r="CB15" i="84"/>
  <c r="AV24" i="84"/>
  <c r="CA24" i="84" s="1"/>
  <c r="AW24" i="84"/>
  <c r="CB24" i="84" s="1"/>
  <c r="AW16" i="84"/>
  <c r="CG138" i="84" s="1"/>
  <c r="CQ138" i="84" s="1"/>
  <c r="AV16" i="84"/>
  <c r="CG14" i="84" s="1"/>
  <c r="AV122" i="84"/>
  <c r="CA122" i="84" s="1"/>
  <c r="AW122" i="84"/>
  <c r="CB122" i="84" s="1"/>
  <c r="AV93" i="84"/>
  <c r="CA93" i="84" s="1"/>
  <c r="AW93" i="84"/>
  <c r="CB93" i="84" s="1"/>
  <c r="AW123" i="84"/>
  <c r="CB123" i="84" s="1"/>
  <c r="AV123" i="84"/>
  <c r="CA123" i="84" s="1"/>
  <c r="AU95" i="84"/>
  <c r="AU94" i="84"/>
  <c r="AN97" i="84"/>
  <c r="AM97" i="84"/>
  <c r="BX97" i="84" s="1"/>
  <c r="BY59" i="84"/>
  <c r="AK100" i="84"/>
  <c r="AL98" i="84"/>
  <c r="BX59" i="84"/>
  <c r="AB126" i="84"/>
  <c r="AC124" i="84"/>
  <c r="AD123" i="84"/>
  <c r="AE123" i="84"/>
  <c r="CD106" i="84"/>
  <c r="S171" i="84"/>
  <c r="S172" i="84"/>
  <c r="CC106" i="84"/>
  <c r="CA72" i="84"/>
  <c r="BF84" i="84" l="1"/>
  <c r="CD84" i="84" s="1"/>
  <c r="BE84" i="84"/>
  <c r="CC84" i="84" s="1"/>
  <c r="BC60" i="84"/>
  <c r="BD58" i="84"/>
  <c r="BF29" i="84"/>
  <c r="CD29" i="84" s="1"/>
  <c r="BE29" i="84"/>
  <c r="CC29" i="84" s="1"/>
  <c r="BD79" i="84"/>
  <c r="BE79" i="84" s="1"/>
  <c r="CC79" i="84" s="1"/>
  <c r="BC80" i="84"/>
  <c r="BD80" i="84" s="1"/>
  <c r="CM15" i="84"/>
  <c r="BC87" i="84"/>
  <c r="BD85" i="84"/>
  <c r="BE57" i="84"/>
  <c r="CC57" i="84" s="1"/>
  <c r="BF57" i="84"/>
  <c r="CD57" i="84" s="1"/>
  <c r="BD30" i="84"/>
  <c r="BD31" i="84"/>
  <c r="BF21" i="84"/>
  <c r="CD21" i="84" s="1"/>
  <c r="BE21" i="84"/>
  <c r="CC21" i="84" s="1"/>
  <c r="BE101" i="84"/>
  <c r="CC101" i="84" s="1"/>
  <c r="BF101" i="84"/>
  <c r="CD101" i="84" s="1"/>
  <c r="BF20" i="84"/>
  <c r="BE20" i="84"/>
  <c r="AM92" i="84"/>
  <c r="BX92" i="84" s="1"/>
  <c r="AN92" i="84"/>
  <c r="BY92" i="84" s="1"/>
  <c r="AM80" i="84"/>
  <c r="BX80" i="84" s="1"/>
  <c r="AN80" i="84"/>
  <c r="BY80" i="84" s="1"/>
  <c r="AM91" i="84"/>
  <c r="BX91" i="84" s="1"/>
  <c r="AN91" i="84"/>
  <c r="BY91" i="84" s="1"/>
  <c r="AL81" i="84"/>
  <c r="AK83" i="84"/>
  <c r="AE79" i="84"/>
  <c r="BW79" i="84" s="1"/>
  <c r="AD79" i="84"/>
  <c r="BV79" i="84" s="1"/>
  <c r="AE87" i="84"/>
  <c r="BW87" i="84" s="1"/>
  <c r="AD87" i="84"/>
  <c r="BV87" i="84" s="1"/>
  <c r="AE91" i="84"/>
  <c r="BW91" i="84" s="1"/>
  <c r="AD91" i="84"/>
  <c r="BV91" i="84" s="1"/>
  <c r="AD78" i="84"/>
  <c r="BV78" i="84" s="1"/>
  <c r="AE78" i="84"/>
  <c r="BW78" i="84" s="1"/>
  <c r="AE86" i="84"/>
  <c r="BW86" i="84" s="1"/>
  <c r="AD86" i="84"/>
  <c r="BV86" i="84" s="1"/>
  <c r="BF79" i="84"/>
  <c r="CD79" i="84" s="1"/>
  <c r="BC43" i="84"/>
  <c r="BD41" i="84"/>
  <c r="BE40" i="84"/>
  <c r="CC40" i="84" s="1"/>
  <c r="BF40" i="84"/>
  <c r="CD40" i="84" s="1"/>
  <c r="BE100" i="84"/>
  <c r="CC100" i="84" s="1"/>
  <c r="BF100" i="84"/>
  <c r="CD100" i="84" s="1"/>
  <c r="CG13" i="84"/>
  <c r="CG33" i="84" s="1"/>
  <c r="CG15" i="84"/>
  <c r="CQ15" i="84" s="1"/>
  <c r="CQ14" i="84"/>
  <c r="CM14" i="84"/>
  <c r="CM33" i="84"/>
  <c r="CL33" i="84"/>
  <c r="BW37" i="84"/>
  <c r="BV37" i="84"/>
  <c r="BC64" i="84"/>
  <c r="CG144" i="84"/>
  <c r="CG16" i="84"/>
  <c r="CG35" i="84"/>
  <c r="CQ35" i="84" s="1"/>
  <c r="CG36" i="84"/>
  <c r="CG140" i="84"/>
  <c r="CQ140" i="84" s="1"/>
  <c r="CG142" i="84"/>
  <c r="CQ142" i="84" s="1"/>
  <c r="CG34" i="84"/>
  <c r="CQ34" i="84" s="1"/>
  <c r="CM35" i="84"/>
  <c r="AK101" i="84"/>
  <c r="CM140" i="84"/>
  <c r="AM123" i="84"/>
  <c r="BX123" i="84" s="1"/>
  <c r="AN123" i="84"/>
  <c r="BY123" i="84" s="1"/>
  <c r="CM34" i="84"/>
  <c r="CM142" i="84"/>
  <c r="AD39" i="84"/>
  <c r="BV39" i="84" s="1"/>
  <c r="AE39" i="84"/>
  <c r="BW39" i="84" s="1"/>
  <c r="AD38" i="84"/>
  <c r="AE38" i="84"/>
  <c r="BW38" i="84" s="1"/>
  <c r="AE66" i="84"/>
  <c r="BW66" i="84" s="1"/>
  <c r="AD66" i="84"/>
  <c r="BV66" i="84" s="1"/>
  <c r="AB69" i="84"/>
  <c r="AC67" i="84"/>
  <c r="AL99" i="84"/>
  <c r="AM99" i="84" s="1"/>
  <c r="BX99" i="84" s="1"/>
  <c r="BE76" i="84"/>
  <c r="CC76" i="84" s="1"/>
  <c r="BF76" i="84"/>
  <c r="CD76" i="84" s="1"/>
  <c r="BD77" i="84"/>
  <c r="BD78" i="84"/>
  <c r="AW95" i="84"/>
  <c r="CB95" i="84" s="1"/>
  <c r="AV95" i="84"/>
  <c r="CA95" i="84" s="1"/>
  <c r="AQ179" i="84"/>
  <c r="AW65" i="84"/>
  <c r="CB65" i="84" s="1"/>
  <c r="AV65" i="84"/>
  <c r="CA65" i="84" s="1"/>
  <c r="AW25" i="84"/>
  <c r="AV25" i="84"/>
  <c r="AQ177" i="84"/>
  <c r="AQ176" i="84"/>
  <c r="CA16" i="84"/>
  <c r="CH15" i="84" s="1"/>
  <c r="AV64" i="84"/>
  <c r="CA64" i="84" s="1"/>
  <c r="AW64" i="84"/>
  <c r="CB64" i="84" s="1"/>
  <c r="AQ178" i="84"/>
  <c r="CB16" i="84"/>
  <c r="CH144" i="84" s="1"/>
  <c r="AQ172" i="84"/>
  <c r="AW94" i="84"/>
  <c r="CB94" i="84" s="1"/>
  <c r="AV94" i="84"/>
  <c r="CA94" i="84" s="1"/>
  <c r="AV26" i="84"/>
  <c r="CA26" i="84" s="1"/>
  <c r="AW26" i="84"/>
  <c r="CB26" i="84" s="1"/>
  <c r="AQ175" i="84"/>
  <c r="AN99" i="84"/>
  <c r="BY99" i="84" s="1"/>
  <c r="BY97" i="84"/>
  <c r="AM98" i="84"/>
  <c r="AN98" i="84"/>
  <c r="AE124" i="84"/>
  <c r="AD124" i="84"/>
  <c r="AC126" i="84"/>
  <c r="AC125" i="84"/>
  <c r="BW123" i="84"/>
  <c r="BV123" i="84"/>
  <c r="CC20" i="84" l="1"/>
  <c r="CL16" i="84"/>
  <c r="CQ16" i="84" s="1"/>
  <c r="BC61" i="84"/>
  <c r="BD59" i="84"/>
  <c r="CD20" i="84"/>
  <c r="CL150" i="84"/>
  <c r="CL37" i="84"/>
  <c r="CL146" i="84"/>
  <c r="CL36" i="84"/>
  <c r="CQ36" i="84" s="1"/>
  <c r="CL144" i="84"/>
  <c r="CQ144" i="84" s="1"/>
  <c r="CL148" i="84"/>
  <c r="CL38" i="84"/>
  <c r="CL39" i="84"/>
  <c r="BF31" i="84"/>
  <c r="CD31" i="84" s="1"/>
  <c r="BE31" i="84"/>
  <c r="CC31" i="84" s="1"/>
  <c r="BF85" i="84"/>
  <c r="CD85" i="84" s="1"/>
  <c r="BE85" i="84"/>
  <c r="CC85" i="84" s="1"/>
  <c r="BE80" i="84"/>
  <c r="CC80" i="84" s="1"/>
  <c r="BF80" i="84"/>
  <c r="CD80" i="84" s="1"/>
  <c r="BE30" i="84"/>
  <c r="CC30" i="84" s="1"/>
  <c r="BF30" i="84"/>
  <c r="CD30" i="84" s="1"/>
  <c r="BC88" i="84"/>
  <c r="BD86" i="84"/>
  <c r="CL17" i="84"/>
  <c r="CL18" i="84"/>
  <c r="BF58" i="84"/>
  <c r="CD58" i="84" s="1"/>
  <c r="BE58" i="84"/>
  <c r="CC58" i="84" s="1"/>
  <c r="AK102" i="84"/>
  <c r="AK103" i="84" s="1"/>
  <c r="AK84" i="84"/>
  <c r="AL82" i="84"/>
  <c r="AM81" i="84"/>
  <c r="BX81" i="84" s="1"/>
  <c r="AN81" i="84"/>
  <c r="BY81" i="84" s="1"/>
  <c r="CG37" i="84"/>
  <c r="CQ13" i="84"/>
  <c r="CQ33" i="84" s="1"/>
  <c r="BC44" i="84"/>
  <c r="BD42" i="84"/>
  <c r="BF41" i="84"/>
  <c r="CD41" i="84" s="1"/>
  <c r="BE41" i="84"/>
  <c r="CC41" i="84" s="1"/>
  <c r="CG19" i="84"/>
  <c r="CH14" i="84"/>
  <c r="CR14" i="84" s="1"/>
  <c r="CH34" i="84"/>
  <c r="CR34" i="84" s="1"/>
  <c r="CH138" i="84"/>
  <c r="CR138" i="84" s="1"/>
  <c r="CG17" i="84"/>
  <c r="CG146" i="84"/>
  <c r="CQ146" i="84" s="1"/>
  <c r="CH35" i="84"/>
  <c r="CR35" i="84" s="1"/>
  <c r="CH13" i="84"/>
  <c r="AB70" i="84"/>
  <c r="AB71" i="84" s="1"/>
  <c r="BV38" i="84"/>
  <c r="BC65" i="84"/>
  <c r="CG18" i="84"/>
  <c r="CQ18" i="84" s="1"/>
  <c r="CR15" i="84"/>
  <c r="CH16" i="84"/>
  <c r="CH36" i="84"/>
  <c r="CH140" i="84"/>
  <c r="CR140" i="84" s="1"/>
  <c r="CH142" i="84"/>
  <c r="CR142" i="84" s="1"/>
  <c r="AL100" i="84"/>
  <c r="AC68" i="84"/>
  <c r="AD67" i="84"/>
  <c r="BV67" i="84" s="1"/>
  <c r="AE67" i="84"/>
  <c r="BW67" i="84" s="1"/>
  <c r="BE78" i="84"/>
  <c r="CC78" i="84" s="1"/>
  <c r="BF78" i="84"/>
  <c r="CD78" i="84" s="1"/>
  <c r="BE77" i="84"/>
  <c r="CC77" i="84" s="1"/>
  <c r="BF77" i="84"/>
  <c r="CD77" i="84" s="1"/>
  <c r="AR178" i="84"/>
  <c r="AR179" i="84"/>
  <c r="AR176" i="84"/>
  <c r="AR177" i="84"/>
  <c r="AR175" i="84"/>
  <c r="CG152" i="84"/>
  <c r="CG148" i="84"/>
  <c r="CA25" i="84"/>
  <c r="CH18" i="84" s="1"/>
  <c r="CB25" i="84"/>
  <c r="CH146" i="84" s="1"/>
  <c r="CG20" i="84"/>
  <c r="CG39" i="84"/>
  <c r="CG38" i="84"/>
  <c r="CQ38" i="84" s="1"/>
  <c r="CG150" i="84"/>
  <c r="CQ150" i="84" s="1"/>
  <c r="BY98" i="84"/>
  <c r="BX98" i="84"/>
  <c r="BW124" i="84"/>
  <c r="AD125" i="84"/>
  <c r="AE125" i="84"/>
  <c r="AD126" i="84"/>
  <c r="BV126" i="84" s="1"/>
  <c r="AE126" i="84"/>
  <c r="BV124" i="84"/>
  <c r="CM36" i="84" l="1"/>
  <c r="CR36" i="84" s="1"/>
  <c r="CM38" i="84"/>
  <c r="CM37" i="84"/>
  <c r="CM144" i="84"/>
  <c r="CR144" i="84" s="1"/>
  <c r="CM146" i="84"/>
  <c r="CM39" i="84"/>
  <c r="CM150" i="84"/>
  <c r="CM148" i="84"/>
  <c r="CR146" i="84"/>
  <c r="CQ37" i="84"/>
  <c r="CL19" i="84"/>
  <c r="CR18" i="84"/>
  <c r="BF86" i="84"/>
  <c r="CD86" i="84" s="1"/>
  <c r="BE86" i="84"/>
  <c r="CC86" i="84" s="1"/>
  <c r="BF59" i="84"/>
  <c r="CD59" i="84" s="1"/>
  <c r="BE59" i="84"/>
  <c r="CC59" i="84" s="1"/>
  <c r="CM19" i="84"/>
  <c r="CM17" i="84"/>
  <c r="CM18" i="84"/>
  <c r="CM16" i="84"/>
  <c r="CR16" i="84" s="1"/>
  <c r="CQ39" i="84"/>
  <c r="CQ148" i="84"/>
  <c r="CQ17" i="84"/>
  <c r="CQ19" i="84"/>
  <c r="BD87" i="84"/>
  <c r="BC89" i="84"/>
  <c r="BC62" i="84"/>
  <c r="BD60" i="84"/>
  <c r="AN82" i="84"/>
  <c r="BY82" i="84" s="1"/>
  <c r="AM82" i="84"/>
  <c r="BX82" i="84" s="1"/>
  <c r="AL83" i="84"/>
  <c r="AL84" i="84"/>
  <c r="AK104" i="84"/>
  <c r="AL102" i="84"/>
  <c r="AL101" i="84"/>
  <c r="BE42" i="84"/>
  <c r="CC42" i="84" s="1"/>
  <c r="BF42" i="84"/>
  <c r="CD42" i="84" s="1"/>
  <c r="BC45" i="84"/>
  <c r="BD43" i="84"/>
  <c r="CH37" i="84"/>
  <c r="CR37" i="84" s="1"/>
  <c r="CH148" i="84"/>
  <c r="CR148" i="84" s="1"/>
  <c r="CH33" i="84"/>
  <c r="CR13" i="84"/>
  <c r="CR33" i="84" s="1"/>
  <c r="AC71" i="84"/>
  <c r="AC70" i="84"/>
  <c r="BW126" i="84"/>
  <c r="AC69" i="84"/>
  <c r="BI18" i="84" s="1"/>
  <c r="BC66" i="84"/>
  <c r="BD64" i="84"/>
  <c r="CH17" i="84"/>
  <c r="AM100" i="84"/>
  <c r="AN100" i="84"/>
  <c r="AE68" i="84"/>
  <c r="AD68" i="84"/>
  <c r="BL19" i="84"/>
  <c r="CH40" i="84"/>
  <c r="CG41" i="84"/>
  <c r="CG40" i="84"/>
  <c r="CH20" i="84"/>
  <c r="CH19" i="84"/>
  <c r="CR19" i="84" s="1"/>
  <c r="CH39" i="84"/>
  <c r="CR39" i="84" s="1"/>
  <c r="CH150" i="84"/>
  <c r="CH152" i="84"/>
  <c r="CH38" i="84"/>
  <c r="CR38" i="84" s="1"/>
  <c r="BV125" i="84"/>
  <c r="BW125" i="84"/>
  <c r="BD88" i="84" l="1"/>
  <c r="BD89" i="84"/>
  <c r="BE87" i="84"/>
  <c r="CC87" i="84" s="1"/>
  <c r="BF87" i="84"/>
  <c r="CD87" i="84" s="1"/>
  <c r="CR150" i="84"/>
  <c r="CR17" i="84"/>
  <c r="BF60" i="84"/>
  <c r="CD60" i="84" s="1"/>
  <c r="BE60" i="84"/>
  <c r="CC60" i="84" s="1"/>
  <c r="BD61" i="84"/>
  <c r="BC63" i="84"/>
  <c r="AN102" i="84"/>
  <c r="BY102" i="84" s="1"/>
  <c r="AM102" i="84"/>
  <c r="BX102" i="84" s="1"/>
  <c r="AM101" i="84"/>
  <c r="BX101" i="84" s="1"/>
  <c r="AN101" i="84"/>
  <c r="BY101" i="84" s="1"/>
  <c r="AM83" i="84"/>
  <c r="BX83" i="84" s="1"/>
  <c r="AN83" i="84"/>
  <c r="BY83" i="84" s="1"/>
  <c r="AK105" i="84"/>
  <c r="AL103" i="84"/>
  <c r="AN84" i="84"/>
  <c r="BY84" i="84" s="1"/>
  <c r="AM84" i="84"/>
  <c r="BX84" i="84" s="1"/>
  <c r="BK17" i="84"/>
  <c r="BL16" i="84"/>
  <c r="Y175" i="84"/>
  <c r="BF43" i="84"/>
  <c r="CD43" i="84" s="1"/>
  <c r="BE43" i="84"/>
  <c r="CC43" i="84" s="1"/>
  <c r="BD44" i="84"/>
  <c r="BC46" i="84"/>
  <c r="BC47" i="84" s="1"/>
  <c r="BC48" i="84" s="1"/>
  <c r="BJ23" i="84"/>
  <c r="Y179" i="84"/>
  <c r="BL18" i="84"/>
  <c r="BI20" i="84"/>
  <c r="BI22" i="84"/>
  <c r="AE69" i="84"/>
  <c r="BI21" i="84"/>
  <c r="BL20" i="84"/>
  <c r="BJ14" i="84"/>
  <c r="BI14" i="84"/>
  <c r="BJ21" i="84"/>
  <c r="BK21" i="84"/>
  <c r="Y177" i="84"/>
  <c r="BJ15" i="84"/>
  <c r="BL15" i="84"/>
  <c r="BL17" i="84"/>
  <c r="BJ20" i="84"/>
  <c r="BI15" i="84"/>
  <c r="BK15" i="84"/>
  <c r="BJ24" i="84"/>
  <c r="Y172" i="84"/>
  <c r="BI17" i="84"/>
  <c r="AD69" i="84"/>
  <c r="CG22" i="84" s="1"/>
  <c r="BJ19" i="84"/>
  <c r="BK16" i="84"/>
  <c r="BK18" i="84"/>
  <c r="Y178" i="84"/>
  <c r="BL21" i="84"/>
  <c r="BI16" i="84"/>
  <c r="BI23" i="84"/>
  <c r="BI19" i="84"/>
  <c r="BK24" i="84"/>
  <c r="BJ22" i="84"/>
  <c r="BK23" i="84"/>
  <c r="BK19" i="84"/>
  <c r="BK22" i="84"/>
  <c r="BL23" i="84"/>
  <c r="BL24" i="84"/>
  <c r="Y176" i="84"/>
  <c r="AD70" i="84"/>
  <c r="BV70" i="84" s="1"/>
  <c r="AE70" i="84"/>
  <c r="BW70" i="84" s="1"/>
  <c r="BJ18" i="84"/>
  <c r="BI24" i="84"/>
  <c r="BJ17" i="84"/>
  <c r="BK20" i="84"/>
  <c r="BJ16" i="84"/>
  <c r="BL22" i="84"/>
  <c r="AE71" i="84"/>
  <c r="BW71" i="84" s="1"/>
  <c r="AD71" i="84"/>
  <c r="BV71" i="84" s="1"/>
  <c r="BL14" i="84"/>
  <c r="BK14" i="84"/>
  <c r="BF64" i="84"/>
  <c r="BE64" i="84"/>
  <c r="BD65" i="84"/>
  <c r="BD66" i="84"/>
  <c r="BY100" i="84"/>
  <c r="BX100" i="84"/>
  <c r="CI43" i="84"/>
  <c r="BV68" i="84"/>
  <c r="CG21" i="84"/>
  <c r="BW68" i="84"/>
  <c r="CG154" i="84"/>
  <c r="CG42" i="84"/>
  <c r="CI148" i="84"/>
  <c r="CJ148" i="84" s="1"/>
  <c r="CK148" i="84" s="1"/>
  <c r="BD62" i="84" l="1"/>
  <c r="BD63" i="84"/>
  <c r="BF89" i="84"/>
  <c r="CD89" i="84" s="1"/>
  <c r="BE89" i="84"/>
  <c r="CC89" i="84" s="1"/>
  <c r="BD47" i="84"/>
  <c r="BD48" i="84"/>
  <c r="BF61" i="84"/>
  <c r="CD61" i="84" s="1"/>
  <c r="BE61" i="84"/>
  <c r="CC61" i="84" s="1"/>
  <c r="BE88" i="84"/>
  <c r="CC88" i="84" s="1"/>
  <c r="BF88" i="84"/>
  <c r="CD88" i="84" s="1"/>
  <c r="AM103" i="84"/>
  <c r="BX103" i="84" s="1"/>
  <c r="AN103" i="84"/>
  <c r="BY103" i="84" s="1"/>
  <c r="AH178" i="84"/>
  <c r="AL105" i="84"/>
  <c r="AL104" i="84"/>
  <c r="AH177" i="84" s="1"/>
  <c r="CI42" i="84"/>
  <c r="CI146" i="84"/>
  <c r="CJ146" i="84" s="1"/>
  <c r="CK146" i="84" s="1"/>
  <c r="CI142" i="84"/>
  <c r="CJ142" i="84" s="1"/>
  <c r="CK142" i="84" s="1"/>
  <c r="CI140" i="84"/>
  <c r="CJ140" i="84" s="1"/>
  <c r="CK140" i="84" s="1"/>
  <c r="BD46" i="84"/>
  <c r="BD45" i="84"/>
  <c r="BM17" i="84" s="1"/>
  <c r="BQ17" i="84" s="1"/>
  <c r="BE44" i="84"/>
  <c r="BF44" i="84"/>
  <c r="CG24" i="84"/>
  <c r="CI36" i="84"/>
  <c r="CJ36" i="84" s="1"/>
  <c r="CK36" i="84" s="1"/>
  <c r="CI34" i="84"/>
  <c r="CJ34" i="84" s="1"/>
  <c r="CK34" i="84" s="1"/>
  <c r="CI21" i="84"/>
  <c r="CJ21" i="84" s="1"/>
  <c r="CI14" i="84"/>
  <c r="CI23" i="84"/>
  <c r="Z176" i="84"/>
  <c r="Z179" i="84"/>
  <c r="Z177" i="84"/>
  <c r="Z178" i="84"/>
  <c r="CI41" i="84"/>
  <c r="CJ41" i="84" s="1"/>
  <c r="CI152" i="84"/>
  <c r="CJ152" i="84" s="1"/>
  <c r="CK152" i="84" s="1"/>
  <c r="CI44" i="84"/>
  <c r="CG23" i="84"/>
  <c r="CI158" i="84"/>
  <c r="CI35" i="84"/>
  <c r="CJ35" i="84" s="1"/>
  <c r="CK35" i="84" s="1"/>
  <c r="CI39" i="84"/>
  <c r="CJ39" i="84" s="1"/>
  <c r="CK39" i="84" s="1"/>
  <c r="CG160" i="84"/>
  <c r="CI15" i="84"/>
  <c r="CJ15" i="84" s="1"/>
  <c r="CK15" i="84" s="1"/>
  <c r="CI37" i="84"/>
  <c r="CJ37" i="84" s="1"/>
  <c r="CK37" i="84" s="1"/>
  <c r="CI144" i="84"/>
  <c r="CJ144" i="84" s="1"/>
  <c r="CK144" i="84" s="1"/>
  <c r="CI18" i="84"/>
  <c r="CJ18" i="84" s="1"/>
  <c r="CK18" i="84" s="1"/>
  <c r="BW69" i="84"/>
  <c r="CI38" i="84"/>
  <c r="CJ38" i="84" s="1"/>
  <c r="CK38" i="84" s="1"/>
  <c r="CI154" i="84"/>
  <c r="CJ154" i="84" s="1"/>
  <c r="CG43" i="84"/>
  <c r="CJ43" i="84" s="1"/>
  <c r="CG158" i="84"/>
  <c r="CI40" i="84"/>
  <c r="CJ40" i="84" s="1"/>
  <c r="CK40" i="84" s="1"/>
  <c r="CI150" i="84"/>
  <c r="CI138" i="84"/>
  <c r="CJ138" i="84" s="1"/>
  <c r="CK138" i="84" s="1"/>
  <c r="CI13" i="84"/>
  <c r="CI24" i="84"/>
  <c r="CI160" i="84"/>
  <c r="CI156" i="84"/>
  <c r="CG156" i="84"/>
  <c r="CI17" i="84"/>
  <c r="CJ17" i="84" s="1"/>
  <c r="CK17" i="84" s="1"/>
  <c r="Z175" i="84"/>
  <c r="CI20" i="84"/>
  <c r="CJ20" i="84" s="1"/>
  <c r="CK20" i="84" s="1"/>
  <c r="CG44" i="84"/>
  <c r="BV69" i="84"/>
  <c r="CH23" i="84" s="1"/>
  <c r="CI19" i="84"/>
  <c r="CJ19" i="84" s="1"/>
  <c r="CK19" i="84" s="1"/>
  <c r="CI22" i="84"/>
  <c r="CJ22" i="84" s="1"/>
  <c r="CI16" i="84"/>
  <c r="CJ16" i="84" s="1"/>
  <c r="CK16" i="84" s="1"/>
  <c r="BF66" i="84"/>
  <c r="CD66" i="84" s="1"/>
  <c r="BE66" i="84"/>
  <c r="CC66" i="84" s="1"/>
  <c r="BP17" i="84"/>
  <c r="BT17" i="84" s="1"/>
  <c r="CC64" i="84"/>
  <c r="BE65" i="84"/>
  <c r="BF65" i="84"/>
  <c r="BN21" i="84"/>
  <c r="BR21" i="84" s="1"/>
  <c r="CD64" i="84"/>
  <c r="CH156" i="84"/>
  <c r="CH43" i="84"/>
  <c r="CH41" i="84"/>
  <c r="CH154" i="84"/>
  <c r="CH42" i="84"/>
  <c r="CH44" i="84"/>
  <c r="CH21" i="84"/>
  <c r="CJ42" i="84"/>
  <c r="AE15" i="55"/>
  <c r="AE14" i="55"/>
  <c r="AE13" i="55"/>
  <c r="S15" i="55"/>
  <c r="S14" i="55"/>
  <c r="Q14" i="55"/>
  <c r="D16" i="55"/>
  <c r="AL37" i="54"/>
  <c r="AL36" i="54"/>
  <c r="AE26" i="54"/>
  <c r="AE27" i="54"/>
  <c r="R19" i="54"/>
  <c r="R18" i="54"/>
  <c r="R17" i="54"/>
  <c r="M17" i="54"/>
  <c r="AI15" i="70"/>
  <c r="AI14" i="70"/>
  <c r="AO15" i="70"/>
  <c r="AO14" i="70"/>
  <c r="AD13" i="70"/>
  <c r="T23" i="70"/>
  <c r="T22" i="70"/>
  <c r="T21" i="70"/>
  <c r="T20" i="70"/>
  <c r="T19" i="70"/>
  <c r="T18" i="70"/>
  <c r="T17" i="70"/>
  <c r="T16" i="70"/>
  <c r="T15" i="70"/>
  <c r="T14" i="70"/>
  <c r="L23" i="70"/>
  <c r="L22" i="70"/>
  <c r="L21" i="70"/>
  <c r="L20" i="70"/>
  <c r="L19" i="70"/>
  <c r="L18" i="70"/>
  <c r="L17" i="70"/>
  <c r="L16" i="70"/>
  <c r="L15" i="70"/>
  <c r="L14" i="70"/>
  <c r="D16" i="52"/>
  <c r="D15" i="52"/>
  <c r="D14" i="52"/>
  <c r="D13" i="52" s="1"/>
  <c r="D16" i="51"/>
  <c r="D15" i="51"/>
  <c r="D14" i="51"/>
  <c r="D13" i="51" s="1"/>
  <c r="D13" i="49"/>
  <c r="B53" i="93"/>
  <c r="B52" i="93"/>
  <c r="B51" i="93"/>
  <c r="B50" i="93"/>
  <c r="B49" i="93"/>
  <c r="B44" i="93"/>
  <c r="A30" i="93"/>
  <c r="A29" i="93"/>
  <c r="A28" i="93"/>
  <c r="A27" i="93"/>
  <c r="A26" i="93"/>
  <c r="B48" i="93"/>
  <c r="A25" i="93"/>
  <c r="B47" i="93"/>
  <c r="A22" i="93"/>
  <c r="B45" i="93"/>
  <c r="A21" i="93"/>
  <c r="B43" i="93"/>
  <c r="B42" i="93"/>
  <c r="A19" i="93"/>
  <c r="B41" i="93"/>
  <c r="B40" i="93"/>
  <c r="B36" i="93"/>
  <c r="D36" i="93" s="1"/>
  <c r="A16" i="93"/>
  <c r="B35" i="93"/>
  <c r="F41" i="93"/>
  <c r="B1" i="93"/>
  <c r="B53" i="92"/>
  <c r="B52" i="92"/>
  <c r="B51" i="92"/>
  <c r="B50" i="92"/>
  <c r="B49" i="92"/>
  <c r="B41" i="92"/>
  <c r="A30" i="92"/>
  <c r="M29" i="92"/>
  <c r="A29" i="92"/>
  <c r="A28" i="92"/>
  <c r="A27" i="92"/>
  <c r="A26" i="92"/>
  <c r="A24" i="92"/>
  <c r="M24" i="92"/>
  <c r="B47" i="92"/>
  <c r="A23" i="92"/>
  <c r="M23" i="92"/>
  <c r="B46" i="92"/>
  <c r="B45" i="92"/>
  <c r="B44" i="92"/>
  <c r="A21" i="92"/>
  <c r="B43" i="92"/>
  <c r="B42" i="92"/>
  <c r="A18" i="92"/>
  <c r="M18" i="92"/>
  <c r="M17" i="92"/>
  <c r="B36" i="92"/>
  <c r="D36" i="92" s="1"/>
  <c r="B35" i="92"/>
  <c r="A13" i="92"/>
  <c r="F39" i="92"/>
  <c r="B1" i="92"/>
  <c r="T32" i="91"/>
  <c r="AF32" i="91" s="1"/>
  <c r="O32" i="91"/>
  <c r="AA32" i="91" s="1"/>
  <c r="T31" i="91"/>
  <c r="AF31" i="91" s="1"/>
  <c r="O31" i="91"/>
  <c r="AA31" i="91" s="1"/>
  <c r="T30" i="91"/>
  <c r="AF30" i="91" s="1"/>
  <c r="O30" i="91"/>
  <c r="AA30" i="91" s="1"/>
  <c r="O29" i="91"/>
  <c r="AA29" i="91" s="1"/>
  <c r="T29" i="91"/>
  <c r="AF29" i="91" s="1"/>
  <c r="T28" i="91"/>
  <c r="AF28" i="91" s="1"/>
  <c r="O28" i="91"/>
  <c r="AA28" i="91" s="1"/>
  <c r="T27" i="91"/>
  <c r="AF27" i="91" s="1"/>
  <c r="O27" i="91"/>
  <c r="AA27" i="91" s="1"/>
  <c r="AF26" i="91"/>
  <c r="O26" i="91"/>
  <c r="O25" i="91"/>
  <c r="AF25" i="91"/>
  <c r="AA25" i="91"/>
  <c r="O24" i="91"/>
  <c r="AF23" i="91"/>
  <c r="AF22" i="91"/>
  <c r="O22" i="91"/>
  <c r="O21" i="91"/>
  <c r="AF21" i="91"/>
  <c r="AA21" i="91"/>
  <c r="T20" i="91"/>
  <c r="AF20" i="91"/>
  <c r="O20" i="91"/>
  <c r="AF19" i="91"/>
  <c r="AF18" i="91"/>
  <c r="O18" i="91"/>
  <c r="O17" i="91"/>
  <c r="T17" i="91"/>
  <c r="AA17" i="91"/>
  <c r="O16" i="91"/>
  <c r="AF15" i="91"/>
  <c r="AF14" i="91"/>
  <c r="O14" i="91"/>
  <c r="B53" i="90"/>
  <c r="B52" i="90"/>
  <c r="B51" i="90"/>
  <c r="B50" i="90"/>
  <c r="B49" i="90"/>
  <c r="B47" i="90"/>
  <c r="B44" i="90"/>
  <c r="A31" i="90"/>
  <c r="Y30" i="90"/>
  <c r="M30" i="90"/>
  <c r="A30" i="90"/>
  <c r="A29" i="90"/>
  <c r="A28" i="90"/>
  <c r="A27" i="90"/>
  <c r="Y26" i="90"/>
  <c r="M26" i="90"/>
  <c r="A26" i="90"/>
  <c r="A23" i="90"/>
  <c r="B46" i="90"/>
  <c r="B45" i="90"/>
  <c r="A20" i="90"/>
  <c r="B43" i="90"/>
  <c r="B42" i="90"/>
  <c r="A19" i="90"/>
  <c r="B41" i="90"/>
  <c r="B36" i="90"/>
  <c r="D36" i="90" s="1"/>
  <c r="B35" i="90"/>
  <c r="D35" i="90" s="1"/>
  <c r="Y14" i="90"/>
  <c r="F49" i="90"/>
  <c r="B53" i="97"/>
  <c r="B52" i="97"/>
  <c r="B51" i="97"/>
  <c r="B50" i="97"/>
  <c r="B49" i="97"/>
  <c r="M31" i="97"/>
  <c r="A30" i="97"/>
  <c r="A29" i="97"/>
  <c r="A28" i="97"/>
  <c r="Y27" i="97"/>
  <c r="M27" i="97"/>
  <c r="A27" i="97"/>
  <c r="A26" i="97"/>
  <c r="B48" i="97"/>
  <c r="B47" i="97"/>
  <c r="A23" i="97"/>
  <c r="B46" i="97"/>
  <c r="B45" i="97"/>
  <c r="B44" i="97"/>
  <c r="A20" i="97"/>
  <c r="B41" i="97"/>
  <c r="B40" i="97"/>
  <c r="B36" i="97"/>
  <c r="D36" i="97" s="1"/>
  <c r="M14" i="97"/>
  <c r="B37" i="97"/>
  <c r="B53" i="96"/>
  <c r="B52" i="96"/>
  <c r="B51" i="96"/>
  <c r="B50" i="96"/>
  <c r="B49" i="96"/>
  <c r="F41" i="96"/>
  <c r="A31" i="96"/>
  <c r="A30" i="96"/>
  <c r="A29" i="96"/>
  <c r="M28" i="96"/>
  <c r="A28" i="96"/>
  <c r="A27" i="96"/>
  <c r="A26" i="96"/>
  <c r="B47" i="96"/>
  <c r="B46" i="96"/>
  <c r="A23" i="96"/>
  <c r="B45" i="96"/>
  <c r="B44" i="96"/>
  <c r="B43" i="96"/>
  <c r="B41" i="96"/>
  <c r="B36" i="96"/>
  <c r="D36" i="96" s="1"/>
  <c r="B35" i="96"/>
  <c r="D35" i="96" s="1"/>
  <c r="A14" i="96"/>
  <c r="A13" i="96"/>
  <c r="F45" i="96"/>
  <c r="B53" i="95"/>
  <c r="B52" i="95"/>
  <c r="B51" i="95"/>
  <c r="B50" i="95"/>
  <c r="B49" i="95"/>
  <c r="B46" i="95"/>
  <c r="B44" i="95"/>
  <c r="Y31" i="95"/>
  <c r="Y30" i="95"/>
  <c r="M30" i="95"/>
  <c r="A30" i="95"/>
  <c r="A29" i="95"/>
  <c r="A28" i="95"/>
  <c r="A27" i="95"/>
  <c r="A26" i="95"/>
  <c r="A23" i="95"/>
  <c r="A21" i="95"/>
  <c r="A20" i="95"/>
  <c r="B43" i="95"/>
  <c r="A19" i="95"/>
  <c r="B42" i="95"/>
  <c r="B40" i="95"/>
  <c r="Y16" i="95"/>
  <c r="B36" i="95"/>
  <c r="D36" i="95" s="1"/>
  <c r="A14" i="95"/>
  <c r="B38" i="95"/>
  <c r="F57" i="95"/>
  <c r="B53" i="89"/>
  <c r="B52" i="89"/>
  <c r="B51" i="89"/>
  <c r="B50" i="89"/>
  <c r="B49" i="89"/>
  <c r="B41" i="89"/>
  <c r="A30" i="89"/>
  <c r="A29" i="89"/>
  <c r="Y28" i="89"/>
  <c r="M28" i="89"/>
  <c r="A28" i="89"/>
  <c r="A27" i="89"/>
  <c r="A26" i="89"/>
  <c r="B48" i="89"/>
  <c r="B46" i="89"/>
  <c r="B45" i="89"/>
  <c r="A22" i="89"/>
  <c r="B44" i="89"/>
  <c r="B43" i="89"/>
  <c r="A18" i="89"/>
  <c r="B40" i="89"/>
  <c r="B36" i="89"/>
  <c r="D36" i="89" s="1"/>
  <c r="B35" i="89"/>
  <c r="D35" i="89" s="1"/>
  <c r="A14" i="89"/>
  <c r="M13" i="89"/>
  <c r="F45" i="89"/>
  <c r="B1" i="89"/>
  <c r="AZ178" i="84" l="1"/>
  <c r="BF48" i="84"/>
  <c r="CD48" i="84" s="1"/>
  <c r="BE48" i="84"/>
  <c r="CC48" i="84" s="1"/>
  <c r="BP21" i="84"/>
  <c r="BT21" i="84" s="1"/>
  <c r="BO17" i="84"/>
  <c r="BS17" i="84" s="1"/>
  <c r="BP19" i="84"/>
  <c r="BT19" i="84" s="1"/>
  <c r="BF63" i="84"/>
  <c r="CD63" i="84" s="1"/>
  <c r="BE63" i="84"/>
  <c r="CC63" i="84" s="1"/>
  <c r="BN20" i="84"/>
  <c r="BR20" i="84" s="1"/>
  <c r="BF47" i="84"/>
  <c r="CD47" i="84" s="1"/>
  <c r="BE47" i="84"/>
  <c r="CC47" i="84" s="1"/>
  <c r="BF62" i="84"/>
  <c r="CD62" i="84" s="1"/>
  <c r="BE62" i="84"/>
  <c r="CC62" i="84" s="1"/>
  <c r="BP24" i="84"/>
  <c r="BT24" i="84" s="1"/>
  <c r="BP16" i="84"/>
  <c r="BT16" i="84" s="1"/>
  <c r="AM104" i="84"/>
  <c r="BX104" i="84" s="1"/>
  <c r="AN104" i="84"/>
  <c r="BY104" i="84" s="1"/>
  <c r="AH176" i="84"/>
  <c r="AH175" i="84"/>
  <c r="AH172" i="84"/>
  <c r="AH179" i="84"/>
  <c r="BM24" i="84"/>
  <c r="BQ24" i="84" s="1"/>
  <c r="BO24" i="84"/>
  <c r="BS24" i="84" s="1"/>
  <c r="BP22" i="84"/>
  <c r="BT22" i="84" s="1"/>
  <c r="AN105" i="84"/>
  <c r="BY105" i="84" s="1"/>
  <c r="AM105" i="84"/>
  <c r="BX105" i="84" s="1"/>
  <c r="BO16" i="84"/>
  <c r="BS16" i="84" s="1"/>
  <c r="BM23" i="84"/>
  <c r="BQ23" i="84" s="1"/>
  <c r="AZ179" i="84"/>
  <c r="BO21" i="84"/>
  <c r="BS21" i="84" s="1"/>
  <c r="AZ175" i="84"/>
  <c r="BN18" i="84"/>
  <c r="BR18" i="84" s="1"/>
  <c r="BO23" i="84"/>
  <c r="BS23" i="84" s="1"/>
  <c r="BM19" i="84"/>
  <c r="BQ19" i="84" s="1"/>
  <c r="BN22" i="84"/>
  <c r="BR22" i="84" s="1"/>
  <c r="BO15" i="84"/>
  <c r="BS15" i="84" s="1"/>
  <c r="BO19" i="84"/>
  <c r="BS19" i="84" s="1"/>
  <c r="AZ177" i="84"/>
  <c r="BO22" i="84"/>
  <c r="BS22" i="84" s="1"/>
  <c r="BN17" i="84"/>
  <c r="BR17" i="84" s="1"/>
  <c r="BN24" i="84"/>
  <c r="BR24" i="84" s="1"/>
  <c r="BM21" i="84"/>
  <c r="BQ21" i="84" s="1"/>
  <c r="BH38" i="84" s="1"/>
  <c r="BN15" i="84"/>
  <c r="BR15" i="84" s="1"/>
  <c r="BP20" i="84"/>
  <c r="BT20" i="84" s="1"/>
  <c r="BM15" i="84"/>
  <c r="BQ15" i="84" s="1"/>
  <c r="BP23" i="84"/>
  <c r="BT23" i="84" s="1"/>
  <c r="BN23" i="84"/>
  <c r="BR23" i="84" s="1"/>
  <c r="BO18" i="84"/>
  <c r="BS18" i="84" s="1"/>
  <c r="BP15" i="84"/>
  <c r="BT15" i="84" s="1"/>
  <c r="BN16" i="84"/>
  <c r="BR16" i="84" s="1"/>
  <c r="BO20" i="84"/>
  <c r="BS20" i="84" s="1"/>
  <c r="BM18" i="84"/>
  <c r="BQ18" i="84" s="1"/>
  <c r="BM22" i="84"/>
  <c r="BQ22" i="84" s="1"/>
  <c r="BP18" i="84"/>
  <c r="BT18" i="84" s="1"/>
  <c r="AZ176" i="84"/>
  <c r="BN19" i="84"/>
  <c r="BR19" i="84" s="1"/>
  <c r="BM20" i="84"/>
  <c r="BQ20" i="84" s="1"/>
  <c r="AZ172" i="84"/>
  <c r="BA179" i="84" s="1"/>
  <c r="CJ24" i="84"/>
  <c r="CC44" i="84"/>
  <c r="CM20" i="84" s="1"/>
  <c r="CR20" i="84" s="1"/>
  <c r="CJ156" i="84"/>
  <c r="CK156" i="84" s="1"/>
  <c r="CJ160" i="84"/>
  <c r="CJ162" i="84" s="1"/>
  <c r="BF45" i="84"/>
  <c r="BE45" i="84"/>
  <c r="CC45" i="84" s="1"/>
  <c r="BN14" i="84"/>
  <c r="BR14" i="84" s="1"/>
  <c r="BM14" i="84"/>
  <c r="BQ14" i="84" s="1"/>
  <c r="BM16" i="84"/>
  <c r="BQ16" i="84" s="1"/>
  <c r="BO14" i="84"/>
  <c r="BS14" i="84" s="1"/>
  <c r="BP14" i="84"/>
  <c r="BT14" i="84" s="1"/>
  <c r="CD44" i="84"/>
  <c r="BF46" i="84"/>
  <c r="CD46" i="84" s="1"/>
  <c r="BE46" i="84"/>
  <c r="CC46" i="84" s="1"/>
  <c r="CJ158" i="84"/>
  <c r="CK154" i="84"/>
  <c r="CH24" i="84"/>
  <c r="CJ150" i="84"/>
  <c r="CK150" i="84" s="1"/>
  <c r="CK43" i="84"/>
  <c r="CJ44" i="84"/>
  <c r="CK44" i="84" s="1"/>
  <c r="CJ14" i="84"/>
  <c r="CK14" i="84" s="1"/>
  <c r="CJ23" i="84"/>
  <c r="CK23" i="84" s="1"/>
  <c r="CH22" i="84"/>
  <c r="CK22" i="84" s="1"/>
  <c r="CJ13" i="84"/>
  <c r="CJ33" i="84" s="1"/>
  <c r="CI33" i="84"/>
  <c r="CH158" i="84"/>
  <c r="CH160" i="84"/>
  <c r="BH34" i="84"/>
  <c r="CD65" i="84"/>
  <c r="CC65" i="84"/>
  <c r="CL21" i="84"/>
  <c r="CQ21" i="84" s="1"/>
  <c r="CK42" i="84"/>
  <c r="CK21" i="84"/>
  <c r="CK41" i="84"/>
  <c r="M16" i="93"/>
  <c r="M20" i="93"/>
  <c r="M24" i="93"/>
  <c r="M30" i="93"/>
  <c r="M17" i="93"/>
  <c r="M19" i="93"/>
  <c r="AF16" i="91"/>
  <c r="T16" i="91"/>
  <c r="B42" i="89"/>
  <c r="A19" i="89"/>
  <c r="B46" i="93"/>
  <c r="A23" i="93"/>
  <c r="B42" i="97"/>
  <c r="A19" i="97"/>
  <c r="B37" i="89"/>
  <c r="A13" i="89"/>
  <c r="B54" i="90"/>
  <c r="AF24" i="91"/>
  <c r="T24" i="91"/>
  <c r="B48" i="92"/>
  <c r="A25" i="92"/>
  <c r="Y13" i="89"/>
  <c r="Y15" i="89"/>
  <c r="Y29" i="89"/>
  <c r="B39" i="95"/>
  <c r="A15" i="95"/>
  <c r="M31" i="96"/>
  <c r="A21" i="97"/>
  <c r="Y28" i="97"/>
  <c r="Y31" i="90"/>
  <c r="AA15" i="91"/>
  <c r="O15" i="91"/>
  <c r="M25" i="92"/>
  <c r="M30" i="92"/>
  <c r="Y16" i="89"/>
  <c r="A25" i="89"/>
  <c r="B54" i="89"/>
  <c r="M29" i="96"/>
  <c r="Y29" i="96"/>
  <c r="A13" i="97"/>
  <c r="Y14" i="97"/>
  <c r="M16" i="97"/>
  <c r="M13" i="90"/>
  <c r="B37" i="90"/>
  <c r="B40" i="92"/>
  <c r="A17" i="92"/>
  <c r="A19" i="92"/>
  <c r="A15" i="93"/>
  <c r="A17" i="93"/>
  <c r="M29" i="89"/>
  <c r="Y31" i="89"/>
  <c r="B42" i="96"/>
  <c r="A19" i="96"/>
  <c r="M28" i="97"/>
  <c r="B38" i="90"/>
  <c r="A14" i="90"/>
  <c r="A24" i="90"/>
  <c r="AA23" i="91"/>
  <c r="O23" i="91"/>
  <c r="M26" i="92"/>
  <c r="A24" i="93"/>
  <c r="F55" i="89"/>
  <c r="F39" i="89"/>
  <c r="M15" i="89"/>
  <c r="M16" i="89"/>
  <c r="M27" i="89"/>
  <c r="M14" i="95"/>
  <c r="B47" i="95"/>
  <c r="A24" i="95"/>
  <c r="Y29" i="95"/>
  <c r="B37" i="96"/>
  <c r="Y13" i="96"/>
  <c r="Y14" i="96"/>
  <c r="Y15" i="96"/>
  <c r="A31" i="97"/>
  <c r="Y31" i="97"/>
  <c r="AA19" i="91"/>
  <c r="O19" i="91"/>
  <c r="M15" i="92"/>
  <c r="A15" i="92"/>
  <c r="M16" i="92"/>
  <c r="A16" i="92"/>
  <c r="A13" i="93"/>
  <c r="A14" i="93"/>
  <c r="A31" i="93"/>
  <c r="B37" i="95"/>
  <c r="Y13" i="95"/>
  <c r="Y27" i="95"/>
  <c r="M31" i="95"/>
  <c r="A31" i="95"/>
  <c r="B38" i="96"/>
  <c r="Y16" i="96"/>
  <c r="A20" i="96"/>
  <c r="Y26" i="96"/>
  <c r="Y30" i="96"/>
  <c r="F55" i="96"/>
  <c r="Y13" i="97"/>
  <c r="B38" i="97"/>
  <c r="B39" i="97"/>
  <c r="Y15" i="97"/>
  <c r="Y16" i="97"/>
  <c r="M29" i="97"/>
  <c r="Y29" i="97"/>
  <c r="M14" i="90"/>
  <c r="M15" i="90"/>
  <c r="A15" i="90"/>
  <c r="M16" i="90"/>
  <c r="M28" i="90"/>
  <c r="B38" i="92"/>
  <c r="M19" i="92"/>
  <c r="M20" i="92"/>
  <c r="A20" i="92"/>
  <c r="M27" i="92"/>
  <c r="B39" i="93"/>
  <c r="A18" i="93"/>
  <c r="M13" i="95"/>
  <c r="A13" i="95"/>
  <c r="Y15" i="95"/>
  <c r="A17" i="95"/>
  <c r="M28" i="95"/>
  <c r="Y28" i="95"/>
  <c r="M13" i="96"/>
  <c r="M27" i="96"/>
  <c r="Y27" i="96"/>
  <c r="B54" i="96"/>
  <c r="Y31" i="96"/>
  <c r="M13" i="97"/>
  <c r="M15" i="97"/>
  <c r="A15" i="97"/>
  <c r="A16" i="97"/>
  <c r="A17" i="97"/>
  <c r="A25" i="97"/>
  <c r="M26" i="97"/>
  <c r="Y26" i="97"/>
  <c r="M30" i="97"/>
  <c r="Y30" i="97"/>
  <c r="A13" i="90"/>
  <c r="Y13" i="90"/>
  <c r="M29" i="90"/>
  <c r="Y29" i="90"/>
  <c r="M31" i="90"/>
  <c r="T14" i="91"/>
  <c r="T18" i="91"/>
  <c r="T22" i="91"/>
  <c r="T26" i="91"/>
  <c r="M13" i="92"/>
  <c r="BO13" i="54"/>
  <c r="BL13" i="54"/>
  <c r="M14" i="92"/>
  <c r="A14" i="92"/>
  <c r="B39" i="92"/>
  <c r="M21" i="92"/>
  <c r="M22" i="92"/>
  <c r="A22" i="92"/>
  <c r="M28" i="92"/>
  <c r="M31" i="92"/>
  <c r="B37" i="93"/>
  <c r="B38" i="93"/>
  <c r="A20" i="93"/>
  <c r="BI13" i="54"/>
  <c r="BB13" i="54"/>
  <c r="D35" i="93"/>
  <c r="B54" i="93"/>
  <c r="F57" i="93"/>
  <c r="F49" i="93"/>
  <c r="F45" i="93"/>
  <c r="F39" i="93"/>
  <c r="F55" i="93"/>
  <c r="D35" i="92"/>
  <c r="B37" i="92"/>
  <c r="F55" i="92"/>
  <c r="F45" i="92"/>
  <c r="B54" i="92"/>
  <c r="A31" i="92"/>
  <c r="F57" i="92"/>
  <c r="F49" i="92"/>
  <c r="F41" i="92"/>
  <c r="AF17" i="91"/>
  <c r="AA16" i="91"/>
  <c r="AA18" i="91"/>
  <c r="AA20" i="91"/>
  <c r="AA22" i="91"/>
  <c r="AA24" i="91"/>
  <c r="AA26" i="91"/>
  <c r="T15" i="91"/>
  <c r="T19" i="91"/>
  <c r="T21" i="91"/>
  <c r="T23" i="91"/>
  <c r="T25" i="91"/>
  <c r="AA14" i="91"/>
  <c r="Y15" i="90"/>
  <c r="Y28" i="90"/>
  <c r="Y16" i="90"/>
  <c r="F45" i="90"/>
  <c r="F39" i="90"/>
  <c r="B40" i="90"/>
  <c r="A17" i="90"/>
  <c r="B48" i="90"/>
  <c r="A25" i="90"/>
  <c r="M27" i="90"/>
  <c r="Y27" i="90"/>
  <c r="F41" i="90"/>
  <c r="F55" i="90"/>
  <c r="A21" i="90"/>
  <c r="B39" i="90"/>
  <c r="A16" i="90"/>
  <c r="F57" i="90"/>
  <c r="A18" i="90"/>
  <c r="A22" i="90"/>
  <c r="A18" i="97"/>
  <c r="A22" i="97"/>
  <c r="B54" i="97"/>
  <c r="B35" i="97"/>
  <c r="F55" i="97"/>
  <c r="F45" i="97"/>
  <c r="F39" i="97"/>
  <c r="B43" i="97"/>
  <c r="F57" i="97"/>
  <c r="F41" i="97"/>
  <c r="F49" i="97"/>
  <c r="A14" i="97"/>
  <c r="A24" i="97"/>
  <c r="B40" i="96"/>
  <c r="A17" i="96"/>
  <c r="B39" i="96"/>
  <c r="A15" i="96"/>
  <c r="M15" i="96"/>
  <c r="M16" i="96"/>
  <c r="A21" i="96"/>
  <c r="M26" i="96"/>
  <c r="Y28" i="96"/>
  <c r="M30" i="96"/>
  <c r="B48" i="96"/>
  <c r="A25" i="96"/>
  <c r="F49" i="96"/>
  <c r="F57" i="96"/>
  <c r="M14" i="96"/>
  <c r="A16" i="96"/>
  <c r="A24" i="96"/>
  <c r="A18" i="96"/>
  <c r="A22" i="96"/>
  <c r="F39" i="96"/>
  <c r="B48" i="95"/>
  <c r="A25" i="95"/>
  <c r="B35" i="95"/>
  <c r="A16" i="95"/>
  <c r="A22" i="95"/>
  <c r="B45" i="95"/>
  <c r="M29" i="95"/>
  <c r="F45" i="95"/>
  <c r="F39" i="95"/>
  <c r="F55" i="95"/>
  <c r="Y14" i="95"/>
  <c r="M26" i="95"/>
  <c r="Y26" i="95"/>
  <c r="M16" i="95"/>
  <c r="M15" i="95"/>
  <c r="B41" i="95"/>
  <c r="A18" i="95"/>
  <c r="F41" i="95"/>
  <c r="F49" i="95"/>
  <c r="M27" i="95"/>
  <c r="B54" i="95"/>
  <c r="Y27" i="89"/>
  <c r="M31" i="89"/>
  <c r="F49" i="89"/>
  <c r="F57" i="89"/>
  <c r="B38" i="89"/>
  <c r="A15" i="89"/>
  <c r="B39" i="89"/>
  <c r="A23" i="89"/>
  <c r="F41" i="89"/>
  <c r="Y14" i="89"/>
  <c r="A20" i="89"/>
  <c r="M14" i="89"/>
  <c r="A16" i="89"/>
  <c r="A24" i="89"/>
  <c r="B47" i="89"/>
  <c r="M26" i="89"/>
  <c r="Y26" i="89"/>
  <c r="M30" i="89"/>
  <c r="Y30" i="89"/>
  <c r="A31" i="89"/>
  <c r="A17" i="89"/>
  <c r="A21" i="89"/>
  <c r="BA176" i="84" l="1"/>
  <c r="CL20" i="84"/>
  <c r="CQ20" i="84" s="1"/>
  <c r="CM22" i="84"/>
  <c r="CL40" i="84"/>
  <c r="CQ40" i="84" s="1"/>
  <c r="CL160" i="84"/>
  <c r="CQ160" i="84" s="1"/>
  <c r="CN38" i="84"/>
  <c r="CS38" i="84" s="1"/>
  <c r="CT38" i="84" s="1"/>
  <c r="CU38" i="84" s="1"/>
  <c r="CN138" i="84"/>
  <c r="CL44" i="84"/>
  <c r="CQ44" i="84" s="1"/>
  <c r="CL22" i="84"/>
  <c r="CQ22" i="84" s="1"/>
  <c r="BH40" i="84"/>
  <c r="BH39" i="84"/>
  <c r="AI176" i="84"/>
  <c r="AI177" i="84"/>
  <c r="CN23" i="84"/>
  <c r="BH37" i="84"/>
  <c r="BH41" i="84"/>
  <c r="AI175" i="84"/>
  <c r="CN20" i="84"/>
  <c r="CS20" i="84" s="1"/>
  <c r="CT20" i="84" s="1"/>
  <c r="CU20" i="84" s="1"/>
  <c r="AI179" i="84"/>
  <c r="AI178" i="84"/>
  <c r="BH32" i="84"/>
  <c r="BH35" i="84"/>
  <c r="BH36" i="84"/>
  <c r="BA175" i="84"/>
  <c r="BA177" i="84"/>
  <c r="BA178" i="84"/>
  <c r="CN18" i="84"/>
  <c r="CO18" i="84" s="1"/>
  <c r="CP18" i="84" s="1"/>
  <c r="CN17" i="84"/>
  <c r="CO17" i="84" s="1"/>
  <c r="CP17" i="84" s="1"/>
  <c r="CN34" i="84"/>
  <c r="CO34" i="84" s="1"/>
  <c r="CP34" i="84" s="1"/>
  <c r="CN22" i="84"/>
  <c r="CS22" i="84" s="1"/>
  <c r="CT22" i="84" s="1"/>
  <c r="CN16" i="84"/>
  <c r="CO16" i="84" s="1"/>
  <c r="CP16" i="84" s="1"/>
  <c r="BH33" i="84"/>
  <c r="CN15" i="84"/>
  <c r="CO15" i="84" s="1"/>
  <c r="CP15" i="84" s="1"/>
  <c r="CN43" i="84"/>
  <c r="CS43" i="84" s="1"/>
  <c r="CN24" i="84"/>
  <c r="CK24" i="84"/>
  <c r="BH31" i="84"/>
  <c r="CK158" i="84"/>
  <c r="CD45" i="84"/>
  <c r="CM158" i="84" s="1"/>
  <c r="CN150" i="84"/>
  <c r="CN146" i="84"/>
  <c r="CL41" i="84"/>
  <c r="CQ41" i="84" s="1"/>
  <c r="CN41" i="84"/>
  <c r="CN37" i="84"/>
  <c r="CN144" i="84"/>
  <c r="CN39" i="84"/>
  <c r="CS39" i="84" s="1"/>
  <c r="CT39" i="84" s="1"/>
  <c r="CU39" i="84" s="1"/>
  <c r="CL158" i="84"/>
  <c r="CQ158" i="84" s="1"/>
  <c r="CN158" i="84"/>
  <c r="CS158" i="84" s="1"/>
  <c r="CN35" i="84"/>
  <c r="CN140" i="84"/>
  <c r="CO140" i="84" s="1"/>
  <c r="CP140" i="84" s="1"/>
  <c r="CL154" i="84"/>
  <c r="CQ154" i="84" s="1"/>
  <c r="CN152" i="84"/>
  <c r="CS152" i="84" s="1"/>
  <c r="CN14" i="84"/>
  <c r="CS14" i="84" s="1"/>
  <c r="CT14" i="84" s="1"/>
  <c r="CU14" i="84" s="1"/>
  <c r="CL42" i="84"/>
  <c r="CQ42" i="84" s="1"/>
  <c r="CN148" i="84"/>
  <c r="CS148" i="84" s="1"/>
  <c r="CT148" i="84" s="1"/>
  <c r="CU148" i="84" s="1"/>
  <c r="CN36" i="84"/>
  <c r="CL156" i="84"/>
  <c r="CQ156" i="84" s="1"/>
  <c r="CL43" i="84"/>
  <c r="CQ43" i="84" s="1"/>
  <c r="CT43" i="84" s="1"/>
  <c r="CN156" i="84"/>
  <c r="CS156" i="84" s="1"/>
  <c r="CL152" i="84"/>
  <c r="CQ152" i="84" s="1"/>
  <c r="CN160" i="84"/>
  <c r="CO160" i="84" s="1"/>
  <c r="CO162" i="84" s="1"/>
  <c r="CT162" i="84" s="1"/>
  <c r="CN44" i="84"/>
  <c r="CO44" i="84" s="1"/>
  <c r="CN19" i="84"/>
  <c r="CS19" i="84" s="1"/>
  <c r="CT19" i="84" s="1"/>
  <c r="CU19" i="84" s="1"/>
  <c r="CL23" i="84"/>
  <c r="CQ23" i="84" s="1"/>
  <c r="CN154" i="84"/>
  <c r="CS154" i="84" s="1"/>
  <c r="CN42" i="84"/>
  <c r="CN40" i="84"/>
  <c r="CO40" i="84" s="1"/>
  <c r="CN21" i="84"/>
  <c r="CS21" i="84" s="1"/>
  <c r="CT21" i="84" s="1"/>
  <c r="CK160" i="84"/>
  <c r="CN142" i="84"/>
  <c r="CO142" i="84" s="1"/>
  <c r="CP142" i="84" s="1"/>
  <c r="CL24" i="84"/>
  <c r="CQ24" i="84" s="1"/>
  <c r="CN13" i="84"/>
  <c r="CK13" i="84"/>
  <c r="CK33" i="84" s="1"/>
  <c r="D49" i="95"/>
  <c r="D49" i="96"/>
  <c r="D52" i="92"/>
  <c r="D51" i="92"/>
  <c r="D49" i="92"/>
  <c r="D50" i="92"/>
  <c r="D53" i="92"/>
  <c r="D53" i="90"/>
  <c r="D52" i="97"/>
  <c r="D52" i="90"/>
  <c r="D53" i="97"/>
  <c r="D51" i="97"/>
  <c r="D53" i="95"/>
  <c r="D49" i="90"/>
  <c r="D50" i="90"/>
  <c r="D51" i="90"/>
  <c r="D50" i="97"/>
  <c r="D49" i="97"/>
  <c r="D52" i="96"/>
  <c r="D50" i="96"/>
  <c r="D53" i="96"/>
  <c r="D51" i="96"/>
  <c r="D50" i="95"/>
  <c r="D52" i="95"/>
  <c r="D51" i="95"/>
  <c r="D50" i="89"/>
  <c r="D51" i="89"/>
  <c r="D49" i="89"/>
  <c r="D53" i="89"/>
  <c r="D52" i="89"/>
  <c r="CO38" i="84"/>
  <c r="CP38" i="84" s="1"/>
  <c r="D49" i="93"/>
  <c r="CM23" i="84"/>
  <c r="CS24" i="84"/>
  <c r="CS18" i="84"/>
  <c r="CT18" i="84" s="1"/>
  <c r="CU18" i="84" s="1"/>
  <c r="CO138" i="84"/>
  <c r="CP138" i="84" s="1"/>
  <c r="CS138" i="84"/>
  <c r="CT138" i="84" s="1"/>
  <c r="CU138" i="84" s="1"/>
  <c r="CR22" i="84"/>
  <c r="CM21" i="84"/>
  <c r="CR21" i="84" s="1"/>
  <c r="CS23" i="84"/>
  <c r="CM43" i="84"/>
  <c r="CM160" i="84"/>
  <c r="CR160" i="84" s="1"/>
  <c r="CM44" i="84"/>
  <c r="CR44" i="84" s="1"/>
  <c r="CM24" i="84"/>
  <c r="D53" i="93"/>
  <c r="D52" i="93"/>
  <c r="D51" i="93"/>
  <c r="D50" i="93"/>
  <c r="M31" i="93"/>
  <c r="M23" i="93"/>
  <c r="AO13" i="54"/>
  <c r="AY13" i="54" s="1"/>
  <c r="M27" i="93"/>
  <c r="M26" i="93"/>
  <c r="M15" i="93"/>
  <c r="M18" i="93"/>
  <c r="M14" i="93"/>
  <c r="D37" i="89"/>
  <c r="D39" i="96"/>
  <c r="M21" i="93"/>
  <c r="AU13" i="54"/>
  <c r="BE13" i="54" s="1"/>
  <c r="M22" i="93"/>
  <c r="M29" i="93"/>
  <c r="M25" i="93"/>
  <c r="M28" i="93"/>
  <c r="M13" i="93"/>
  <c r="Z15" i="97"/>
  <c r="Z15" i="95"/>
  <c r="Z15" i="89"/>
  <c r="Z15" i="90"/>
  <c r="D37" i="92"/>
  <c r="D37" i="93"/>
  <c r="D54" i="89"/>
  <c r="D39" i="90"/>
  <c r="D39" i="97"/>
  <c r="D37" i="95"/>
  <c r="D40" i="96"/>
  <c r="D54" i="96"/>
  <c r="D38" i="96"/>
  <c r="D37" i="96"/>
  <c r="D37" i="90"/>
  <c r="D39" i="89"/>
  <c r="D54" i="95"/>
  <c r="D39" i="93"/>
  <c r="D38" i="90"/>
  <c r="D54" i="93"/>
  <c r="D39" i="92"/>
  <c r="D38" i="92"/>
  <c r="D37" i="97"/>
  <c r="D38" i="89"/>
  <c r="D54" i="97"/>
  <c r="D54" i="92"/>
  <c r="D41" i="93"/>
  <c r="D44" i="93"/>
  <c r="D38" i="93"/>
  <c r="D38" i="97"/>
  <c r="D39" i="95"/>
  <c r="D54" i="90"/>
  <c r="D38" i="95"/>
  <c r="D47" i="95"/>
  <c r="D40" i="93"/>
  <c r="D40" i="90"/>
  <c r="D46" i="92"/>
  <c r="D40" i="95"/>
  <c r="Z15" i="96"/>
  <c r="D44" i="97"/>
  <c r="D43" i="95"/>
  <c r="D46" i="93"/>
  <c r="D45" i="95"/>
  <c r="D43" i="97"/>
  <c r="D42" i="97"/>
  <c r="D45" i="97"/>
  <c r="D47" i="93"/>
  <c r="D48" i="93"/>
  <c r="D43" i="93"/>
  <c r="D45" i="93"/>
  <c r="D42" i="93"/>
  <c r="D42" i="92"/>
  <c r="D40" i="92"/>
  <c r="D45" i="92"/>
  <c r="D44" i="92"/>
  <c r="D43" i="92"/>
  <c r="D48" i="92"/>
  <c r="D47" i="92"/>
  <c r="D41" i="92"/>
  <c r="D45" i="90"/>
  <c r="D48" i="90"/>
  <c r="D44" i="90"/>
  <c r="D46" i="90"/>
  <c r="D47" i="90"/>
  <c r="D41" i="90"/>
  <c r="D42" i="90"/>
  <c r="D43" i="90"/>
  <c r="D41" i="97"/>
  <c r="D35" i="97"/>
  <c r="D48" i="97"/>
  <c r="D40" i="97"/>
  <c r="D47" i="97"/>
  <c r="D46" i="97"/>
  <c r="D47" i="96"/>
  <c r="D46" i="96"/>
  <c r="D48" i="96"/>
  <c r="D44" i="96"/>
  <c r="D45" i="96"/>
  <c r="D41" i="96"/>
  <c r="D42" i="96"/>
  <c r="D43" i="96"/>
  <c r="D44" i="95"/>
  <c r="D41" i="95"/>
  <c r="D42" i="95"/>
  <c r="D46" i="95"/>
  <c r="D35" i="95"/>
  <c r="D48" i="95"/>
  <c r="D46" i="89"/>
  <c r="D48" i="89"/>
  <c r="D40" i="89"/>
  <c r="D47" i="89"/>
  <c r="D42" i="89"/>
  <c r="D45" i="89"/>
  <c r="D44" i="89"/>
  <c r="D41" i="89"/>
  <c r="D43" i="89"/>
  <c r="CO20" i="84" l="1"/>
  <c r="CP20" i="84" s="1"/>
  <c r="CM156" i="84"/>
  <c r="CR156" i="84" s="1"/>
  <c r="BI38" i="84"/>
  <c r="CS34" i="84"/>
  <c r="CT34" i="84" s="1"/>
  <c r="CU34" i="84" s="1"/>
  <c r="CS15" i="84"/>
  <c r="CT15" i="84" s="1"/>
  <c r="CU15" i="84" s="1"/>
  <c r="BI33" i="84"/>
  <c r="CO22" i="84"/>
  <c r="CP22" i="84" s="1"/>
  <c r="BI40" i="84"/>
  <c r="CS17" i="84"/>
  <c r="CT17" i="84" s="1"/>
  <c r="CU17" i="84" s="1"/>
  <c r="CS16" i="84"/>
  <c r="CT16" i="84" s="1"/>
  <c r="CU16" i="84" s="1"/>
  <c r="BI39" i="84"/>
  <c r="BI30" i="84"/>
  <c r="CO148" i="84"/>
  <c r="CP148" i="84" s="1"/>
  <c r="CS142" i="84"/>
  <c r="CT142" i="84" s="1"/>
  <c r="CU142" i="84" s="1"/>
  <c r="BI35" i="84"/>
  <c r="BI42" i="84"/>
  <c r="BI36" i="84"/>
  <c r="BI41" i="84"/>
  <c r="BI37" i="84"/>
  <c r="BI34" i="84"/>
  <c r="BI32" i="84"/>
  <c r="BI31" i="84"/>
  <c r="AA15" i="97"/>
  <c r="AC15" i="55" s="1"/>
  <c r="AA15" i="96"/>
  <c r="AC14" i="55" s="1"/>
  <c r="CT24" i="84"/>
  <c r="CO23" i="84"/>
  <c r="CP23" i="84" s="1"/>
  <c r="CO39" i="84"/>
  <c r="CP39" i="84" s="1"/>
  <c r="CO21" i="84"/>
  <c r="CP21" i="84" s="1"/>
  <c r="CT156" i="84"/>
  <c r="CU22" i="84"/>
  <c r="CT152" i="84"/>
  <c r="CO154" i="84"/>
  <c r="CO24" i="84"/>
  <c r="CP24" i="84" s="1"/>
  <c r="CS140" i="84"/>
  <c r="CT140" i="84" s="1"/>
  <c r="CU140" i="84" s="1"/>
  <c r="CO152" i="84"/>
  <c r="CS40" i="84"/>
  <c r="CT40" i="84" s="1"/>
  <c r="CO42" i="84"/>
  <c r="CO43" i="84"/>
  <c r="CP43" i="84" s="1"/>
  <c r="CS44" i="84"/>
  <c r="CT44" i="84" s="1"/>
  <c r="CO19" i="84"/>
  <c r="CP19" i="84" s="1"/>
  <c r="CS160" i="84"/>
  <c r="CT160" i="84" s="1"/>
  <c r="CU160" i="84" s="1"/>
  <c r="CO37" i="84"/>
  <c r="CP37" i="84" s="1"/>
  <c r="CS37" i="84"/>
  <c r="CT37" i="84" s="1"/>
  <c r="CU37" i="84" s="1"/>
  <c r="CT158" i="84"/>
  <c r="CO35" i="84"/>
  <c r="CP35" i="84" s="1"/>
  <c r="CS35" i="84"/>
  <c r="CT35" i="84" s="1"/>
  <c r="CU35" i="84" s="1"/>
  <c r="CS144" i="84"/>
  <c r="CT144" i="84" s="1"/>
  <c r="CU144" i="84" s="1"/>
  <c r="CO144" i="84"/>
  <c r="CP144" i="84" s="1"/>
  <c r="CO146" i="84"/>
  <c r="CP146" i="84" s="1"/>
  <c r="CS146" i="84"/>
  <c r="CT146" i="84" s="1"/>
  <c r="CU146" i="84" s="1"/>
  <c r="CS150" i="84"/>
  <c r="CO150" i="84"/>
  <c r="CP150" i="84" s="1"/>
  <c r="CS42" i="84"/>
  <c r="CT42" i="84" s="1"/>
  <c r="CO41" i="84"/>
  <c r="CS41" i="84"/>
  <c r="CT41" i="84" s="1"/>
  <c r="CM40" i="84"/>
  <c r="CR40" i="84" s="1"/>
  <c r="CM41" i="84"/>
  <c r="CM154" i="84"/>
  <c r="CR154" i="84" s="1"/>
  <c r="CM42" i="84"/>
  <c r="CR42" i="84" s="1"/>
  <c r="CO156" i="84"/>
  <c r="CP156" i="84" s="1"/>
  <c r="CO158" i="84"/>
  <c r="CP158" i="84" s="1"/>
  <c r="CN33" i="84"/>
  <c r="CO13" i="84"/>
  <c r="CO33" i="84" s="1"/>
  <c r="CS13" i="84"/>
  <c r="CO36" i="84"/>
  <c r="CP36" i="84" s="1"/>
  <c r="CS36" i="84"/>
  <c r="CT36" i="84" s="1"/>
  <c r="CU36" i="84" s="1"/>
  <c r="CO14" i="84"/>
  <c r="CP14" i="84" s="1"/>
  <c r="CM152" i="84"/>
  <c r="CR152" i="84" s="1"/>
  <c r="CU21" i="84"/>
  <c r="CP44" i="84"/>
  <c r="CP160" i="84"/>
  <c r="CR158" i="84"/>
  <c r="CT23" i="84"/>
  <c r="CT154" i="84"/>
  <c r="CR24" i="84"/>
  <c r="CR23" i="84"/>
  <c r="CR43" i="84"/>
  <c r="CU43" i="84" s="1"/>
  <c r="AA15" i="95"/>
  <c r="AC13" i="55" s="1"/>
  <c r="C49" i="92"/>
  <c r="V36" i="92" s="1"/>
  <c r="V47" i="92" s="1"/>
  <c r="C42" i="96"/>
  <c r="O36" i="96" s="1"/>
  <c r="O46" i="96" s="1"/>
  <c r="C49" i="90"/>
  <c r="V36" i="90" s="1"/>
  <c r="C46" i="90"/>
  <c r="S36" i="90" s="1"/>
  <c r="C54" i="93"/>
  <c r="AA36" i="93" s="1"/>
  <c r="AA45" i="93" s="1"/>
  <c r="C40" i="89"/>
  <c r="M36" i="89" s="1"/>
  <c r="M48" i="89" s="1"/>
  <c r="C50" i="89"/>
  <c r="W36" i="89" s="1"/>
  <c r="W48" i="89" s="1"/>
  <c r="C46" i="89"/>
  <c r="S36" i="89" s="1"/>
  <c r="C53" i="90"/>
  <c r="Z36" i="90" s="1"/>
  <c r="Z55" i="90" s="1"/>
  <c r="C38" i="93"/>
  <c r="K36" i="93" s="1"/>
  <c r="K58" i="93" s="1"/>
  <c r="C54" i="96"/>
  <c r="AA36" i="96" s="1"/>
  <c r="AA50" i="96" s="1"/>
  <c r="C50" i="90"/>
  <c r="W36" i="90" s="1"/>
  <c r="C48" i="96"/>
  <c r="U36" i="96" s="1"/>
  <c r="U50" i="96" s="1"/>
  <c r="C37" i="90"/>
  <c r="J36" i="90" s="1"/>
  <c r="J50" i="90" s="1"/>
  <c r="C53" i="92"/>
  <c r="Z36" i="92" s="1"/>
  <c r="Z47" i="92" s="1"/>
  <c r="C47" i="93"/>
  <c r="T36" i="93" s="1"/>
  <c r="T57" i="93" s="1"/>
  <c r="C51" i="89"/>
  <c r="X36" i="89" s="1"/>
  <c r="X50" i="89" s="1"/>
  <c r="C52" i="89"/>
  <c r="Y36" i="89" s="1"/>
  <c r="Y58" i="89" s="1"/>
  <c r="C47" i="90"/>
  <c r="T36" i="90" s="1"/>
  <c r="C46" i="93"/>
  <c r="S36" i="93" s="1"/>
  <c r="S45" i="93" s="1"/>
  <c r="C42" i="90"/>
  <c r="O36" i="90" s="1"/>
  <c r="C52" i="92"/>
  <c r="Y36" i="92" s="1"/>
  <c r="Y57" i="92" s="1"/>
  <c r="C49" i="93"/>
  <c r="V36" i="93" s="1"/>
  <c r="V48" i="93" s="1"/>
  <c r="C43" i="93"/>
  <c r="P36" i="93" s="1"/>
  <c r="P46" i="93" s="1"/>
  <c r="AA50" i="93"/>
  <c r="C35" i="93"/>
  <c r="H36" i="93" s="1"/>
  <c r="C42" i="93"/>
  <c r="O36" i="93" s="1"/>
  <c r="C37" i="93"/>
  <c r="J36" i="93" s="1"/>
  <c r="C52" i="93"/>
  <c r="Y36" i="93" s="1"/>
  <c r="C48" i="93"/>
  <c r="U36" i="93" s="1"/>
  <c r="C41" i="93"/>
  <c r="N36" i="93" s="1"/>
  <c r="C36" i="93"/>
  <c r="I36" i="93" s="1"/>
  <c r="C39" i="93"/>
  <c r="L36" i="93" s="1"/>
  <c r="C45" i="93"/>
  <c r="R36" i="93" s="1"/>
  <c r="C53" i="93"/>
  <c r="Z36" i="93" s="1"/>
  <c r="C51" i="93"/>
  <c r="X36" i="93" s="1"/>
  <c r="C40" i="93"/>
  <c r="M36" i="93" s="1"/>
  <c r="C44" i="93"/>
  <c r="Q36" i="93" s="1"/>
  <c r="C50" i="93"/>
  <c r="W36" i="93" s="1"/>
  <c r="C39" i="92"/>
  <c r="L36" i="92" s="1"/>
  <c r="C54" i="92"/>
  <c r="AA36" i="92" s="1"/>
  <c r="C51" i="92"/>
  <c r="X36" i="92" s="1"/>
  <c r="C46" i="92"/>
  <c r="S36" i="92" s="1"/>
  <c r="C50" i="92"/>
  <c r="W36" i="92" s="1"/>
  <c r="C42" i="92"/>
  <c r="O36" i="92" s="1"/>
  <c r="C45" i="92"/>
  <c r="R36" i="92" s="1"/>
  <c r="C41" i="92"/>
  <c r="N36" i="92" s="1"/>
  <c r="C37" i="92"/>
  <c r="J36" i="92" s="1"/>
  <c r="C36" i="92"/>
  <c r="I36" i="92" s="1"/>
  <c r="C38" i="92"/>
  <c r="K36" i="92" s="1"/>
  <c r="C43" i="92"/>
  <c r="P36" i="92" s="1"/>
  <c r="C47" i="92"/>
  <c r="T36" i="92" s="1"/>
  <c r="C40" i="92"/>
  <c r="M36" i="92" s="1"/>
  <c r="C35" i="92"/>
  <c r="H36" i="92" s="1"/>
  <c r="C44" i="92"/>
  <c r="Q36" i="92" s="1"/>
  <c r="C48" i="92"/>
  <c r="U36" i="92" s="1"/>
  <c r="C45" i="90"/>
  <c r="R36" i="90" s="1"/>
  <c r="C52" i="90"/>
  <c r="Y36" i="90" s="1"/>
  <c r="C38" i="90"/>
  <c r="K36" i="90" s="1"/>
  <c r="C36" i="90"/>
  <c r="I36" i="90" s="1"/>
  <c r="C40" i="90"/>
  <c r="M36" i="90" s="1"/>
  <c r="C51" i="90"/>
  <c r="X36" i="90" s="1"/>
  <c r="C41" i="90"/>
  <c r="N36" i="90" s="1"/>
  <c r="C39" i="90"/>
  <c r="L36" i="90" s="1"/>
  <c r="C54" i="90"/>
  <c r="AA36" i="90" s="1"/>
  <c r="C48" i="90"/>
  <c r="U36" i="90" s="1"/>
  <c r="C35" i="90"/>
  <c r="H36" i="90" s="1"/>
  <c r="C43" i="90"/>
  <c r="P36" i="90" s="1"/>
  <c r="C44" i="90"/>
  <c r="Q36" i="90" s="1"/>
  <c r="C53" i="97"/>
  <c r="Z36" i="97" s="1"/>
  <c r="C48" i="97"/>
  <c r="U36" i="97" s="1"/>
  <c r="C43" i="97"/>
  <c r="P36" i="97" s="1"/>
  <c r="C54" i="97"/>
  <c r="AA36" i="97" s="1"/>
  <c r="C50" i="97"/>
  <c r="W36" i="97" s="1"/>
  <c r="C45" i="97"/>
  <c r="R36" i="97" s="1"/>
  <c r="C42" i="97"/>
  <c r="O36" i="97" s="1"/>
  <c r="C52" i="97"/>
  <c r="Y36" i="97" s="1"/>
  <c r="C47" i="97"/>
  <c r="T36" i="97" s="1"/>
  <c r="C44" i="97"/>
  <c r="Q36" i="97" s="1"/>
  <c r="C49" i="97"/>
  <c r="V36" i="97" s="1"/>
  <c r="C46" i="97"/>
  <c r="S36" i="97" s="1"/>
  <c r="C41" i="97"/>
  <c r="N36" i="97" s="1"/>
  <c r="C40" i="97"/>
  <c r="M36" i="97" s="1"/>
  <c r="C39" i="97"/>
  <c r="L36" i="97" s="1"/>
  <c r="C51" i="97"/>
  <c r="X36" i="97" s="1"/>
  <c r="C36" i="97"/>
  <c r="I36" i="97" s="1"/>
  <c r="C35" i="97"/>
  <c r="H36" i="97" s="1"/>
  <c r="C37" i="97"/>
  <c r="J36" i="97" s="1"/>
  <c r="C38" i="97"/>
  <c r="K36" i="97" s="1"/>
  <c r="C39" i="96"/>
  <c r="L36" i="96" s="1"/>
  <c r="C35" i="96"/>
  <c r="H36" i="96" s="1"/>
  <c r="C41" i="96"/>
  <c r="N36" i="96" s="1"/>
  <c r="C53" i="96"/>
  <c r="Z36" i="96" s="1"/>
  <c r="C52" i="96"/>
  <c r="Y36" i="96" s="1"/>
  <c r="C36" i="96"/>
  <c r="I36" i="96" s="1"/>
  <c r="C46" i="96"/>
  <c r="S36" i="96" s="1"/>
  <c r="C50" i="96"/>
  <c r="W36" i="96" s="1"/>
  <c r="C44" i="96"/>
  <c r="Q36" i="96" s="1"/>
  <c r="C49" i="96"/>
  <c r="V36" i="96" s="1"/>
  <c r="C51" i="96"/>
  <c r="X36" i="96" s="1"/>
  <c r="C38" i="96"/>
  <c r="K36" i="96" s="1"/>
  <c r="C45" i="96"/>
  <c r="R36" i="96" s="1"/>
  <c r="C37" i="96"/>
  <c r="J36" i="96" s="1"/>
  <c r="C47" i="96"/>
  <c r="T36" i="96" s="1"/>
  <c r="C43" i="96"/>
  <c r="P36" i="96" s="1"/>
  <c r="C40" i="96"/>
  <c r="M36" i="96" s="1"/>
  <c r="C54" i="95"/>
  <c r="AA36" i="95" s="1"/>
  <c r="C53" i="95"/>
  <c r="Z36" i="95" s="1"/>
  <c r="C48" i="95"/>
  <c r="U36" i="95" s="1"/>
  <c r="C43" i="95"/>
  <c r="P36" i="95" s="1"/>
  <c r="C37" i="95"/>
  <c r="J36" i="95" s="1"/>
  <c r="C50" i="95"/>
  <c r="W36" i="95" s="1"/>
  <c r="C45" i="95"/>
  <c r="R36" i="95" s="1"/>
  <c r="C49" i="95"/>
  <c r="V36" i="95" s="1"/>
  <c r="C39" i="95"/>
  <c r="L36" i="95" s="1"/>
  <c r="C36" i="95"/>
  <c r="I36" i="95" s="1"/>
  <c r="C51" i="95"/>
  <c r="X36" i="95" s="1"/>
  <c r="C38" i="95"/>
  <c r="K36" i="95" s="1"/>
  <c r="C47" i="95"/>
  <c r="T36" i="95" s="1"/>
  <c r="C52" i="95"/>
  <c r="Y36" i="95" s="1"/>
  <c r="C46" i="95"/>
  <c r="S36" i="95" s="1"/>
  <c r="C42" i="95"/>
  <c r="O36" i="95" s="1"/>
  <c r="C35" i="95"/>
  <c r="H36" i="95" s="1"/>
  <c r="C44" i="95"/>
  <c r="Q36" i="95" s="1"/>
  <c r="C41" i="95"/>
  <c r="N36" i="95" s="1"/>
  <c r="C40" i="95"/>
  <c r="M36" i="95" s="1"/>
  <c r="C43" i="89"/>
  <c r="P36" i="89" s="1"/>
  <c r="C53" i="89"/>
  <c r="Z36" i="89" s="1"/>
  <c r="C41" i="89"/>
  <c r="N36" i="89" s="1"/>
  <c r="C42" i="89"/>
  <c r="O36" i="89" s="1"/>
  <c r="C49" i="89"/>
  <c r="V36" i="89" s="1"/>
  <c r="C37" i="89"/>
  <c r="J36" i="89" s="1"/>
  <c r="C35" i="89"/>
  <c r="H36" i="89" s="1"/>
  <c r="C47" i="89"/>
  <c r="T36" i="89" s="1"/>
  <c r="C45" i="89"/>
  <c r="R36" i="89" s="1"/>
  <c r="C44" i="89"/>
  <c r="Q36" i="89" s="1"/>
  <c r="C39" i="89"/>
  <c r="L36" i="89" s="1"/>
  <c r="C38" i="89"/>
  <c r="K36" i="89" s="1"/>
  <c r="C36" i="89"/>
  <c r="I36" i="89" s="1"/>
  <c r="C48" i="89"/>
  <c r="U36" i="89" s="1"/>
  <c r="C54" i="89"/>
  <c r="AA36" i="89" s="1"/>
  <c r="CU24" i="84" l="1"/>
  <c r="CF52" i="84"/>
  <c r="CF60" i="84"/>
  <c r="AF21" i="54" s="1"/>
  <c r="CF56" i="84"/>
  <c r="AF17" i="54" s="1"/>
  <c r="BK33" i="84"/>
  <c r="Z16" i="54" s="1"/>
  <c r="CF53" i="84"/>
  <c r="CJ53" i="84" s="1"/>
  <c r="AJ14" i="54" s="1"/>
  <c r="BK30" i="84"/>
  <c r="BL30" i="84" s="1"/>
  <c r="BM30" i="84" s="1"/>
  <c r="BN30" i="84" s="1"/>
  <c r="BO30" i="84" s="1"/>
  <c r="BK40" i="84"/>
  <c r="BL40" i="84" s="1"/>
  <c r="BK32" i="84"/>
  <c r="BL32" i="84" s="1"/>
  <c r="CF58" i="84"/>
  <c r="CG58" i="84" s="1"/>
  <c r="AG19" i="54" s="1"/>
  <c r="BK35" i="84"/>
  <c r="BL35" i="84" s="1"/>
  <c r="BK37" i="84"/>
  <c r="Z20" i="54" s="1"/>
  <c r="CF64" i="84"/>
  <c r="CH64" i="84" s="1"/>
  <c r="CF62" i="84"/>
  <c r="CI62" i="84" s="1"/>
  <c r="AI23" i="54" s="1"/>
  <c r="CF57" i="84"/>
  <c r="CH57" i="84" s="1"/>
  <c r="AH18" i="54" s="1"/>
  <c r="BK42" i="84"/>
  <c r="BL42" i="84" s="1"/>
  <c r="BM42" i="84" s="1"/>
  <c r="BN42" i="84" s="1"/>
  <c r="BO42" i="84" s="1"/>
  <c r="BK36" i="84"/>
  <c r="Z19" i="54" s="1"/>
  <c r="BK34" i="84"/>
  <c r="Z17" i="54" s="1"/>
  <c r="CF54" i="84"/>
  <c r="CJ54" i="84" s="1"/>
  <c r="AJ15" i="54" s="1"/>
  <c r="CF63" i="84"/>
  <c r="CG63" i="84" s="1"/>
  <c r="BK31" i="84"/>
  <c r="Z14" i="54" s="1"/>
  <c r="CF55" i="84"/>
  <c r="CH55" i="84" s="1"/>
  <c r="AH16" i="54" s="1"/>
  <c r="BK38" i="84"/>
  <c r="Z21" i="54" s="1"/>
  <c r="CF61" i="84"/>
  <c r="CH61" i="84" s="1"/>
  <c r="AH22" i="54" s="1"/>
  <c r="BK41" i="84"/>
  <c r="BL41" i="84" s="1"/>
  <c r="BM41" i="84" s="1"/>
  <c r="BN41" i="84" s="1"/>
  <c r="BO41" i="84" s="1"/>
  <c r="BK39" i="84"/>
  <c r="BL39" i="84" s="1"/>
  <c r="BM39" i="84" s="1"/>
  <c r="BN39" i="84" s="1"/>
  <c r="BO39" i="84" s="1"/>
  <c r="CF59" i="84"/>
  <c r="CI59" i="84" s="1"/>
  <c r="AI20" i="54" s="1"/>
  <c r="CU152" i="84"/>
  <c r="CP42" i="84"/>
  <c r="CU156" i="84"/>
  <c r="CU44" i="84"/>
  <c r="CP13" i="84"/>
  <c r="CP33" i="84" s="1"/>
  <c r="CU40" i="84"/>
  <c r="CU158" i="84"/>
  <c r="CU42" i="84"/>
  <c r="CP41" i="84"/>
  <c r="CR41" i="84"/>
  <c r="CU41" i="84" s="1"/>
  <c r="CP152" i="84"/>
  <c r="CP154" i="84"/>
  <c r="CU154" i="84"/>
  <c r="CT13" i="84"/>
  <c r="CT33" i="84" s="1"/>
  <c r="CS33" i="84"/>
  <c r="CT150" i="84"/>
  <c r="CU150" i="84" s="1"/>
  <c r="CP40" i="84"/>
  <c r="CU23" i="84"/>
  <c r="Z51" i="92"/>
  <c r="Z52" i="92"/>
  <c r="AA55" i="96"/>
  <c r="AA46" i="96"/>
  <c r="W46" i="89"/>
  <c r="W58" i="89"/>
  <c r="BL33" i="84"/>
  <c r="Z15" i="54"/>
  <c r="CJ64" i="84"/>
  <c r="AF15" i="54"/>
  <c r="W52" i="89"/>
  <c r="AA42" i="96"/>
  <c r="Z58" i="92"/>
  <c r="W56" i="89"/>
  <c r="AA45" i="96"/>
  <c r="Z45" i="92"/>
  <c r="W41" i="89"/>
  <c r="W42" i="89"/>
  <c r="AA58" i="96"/>
  <c r="AA57" i="96"/>
  <c r="Z48" i="92"/>
  <c r="Z56" i="92"/>
  <c r="AA40" i="96"/>
  <c r="AA56" i="96"/>
  <c r="Z41" i="92"/>
  <c r="Z42" i="92"/>
  <c r="V42" i="93"/>
  <c r="V46" i="93"/>
  <c r="V55" i="93"/>
  <c r="W39" i="89"/>
  <c r="W50" i="89"/>
  <c r="W55" i="89"/>
  <c r="AA51" i="96"/>
  <c r="AA49" i="96"/>
  <c r="AA47" i="96"/>
  <c r="AA52" i="96"/>
  <c r="T48" i="90"/>
  <c r="T46" i="90"/>
  <c r="V45" i="92"/>
  <c r="Z40" i="92"/>
  <c r="Z50" i="92"/>
  <c r="Z57" i="92"/>
  <c r="Z55" i="92"/>
  <c r="V40" i="93"/>
  <c r="V50" i="93"/>
  <c r="W40" i="89"/>
  <c r="W57" i="89"/>
  <c r="AA41" i="96"/>
  <c r="AA39" i="96"/>
  <c r="AA48" i="96"/>
  <c r="T50" i="90"/>
  <c r="Z46" i="92"/>
  <c r="Z39" i="92"/>
  <c r="Z49" i="92"/>
  <c r="V47" i="93"/>
  <c r="V56" i="93"/>
  <c r="V58" i="92"/>
  <c r="T48" i="93"/>
  <c r="V52" i="92"/>
  <c r="K56" i="93"/>
  <c r="V55" i="92"/>
  <c r="V41" i="93"/>
  <c r="V58" i="93"/>
  <c r="V45" i="93"/>
  <c r="V52" i="93"/>
  <c r="V49" i="93"/>
  <c r="V50" i="92"/>
  <c r="V56" i="92"/>
  <c r="V41" i="92"/>
  <c r="V49" i="92"/>
  <c r="P41" i="93"/>
  <c r="V40" i="92"/>
  <c r="V46" i="92"/>
  <c r="V57" i="92"/>
  <c r="V42" i="92"/>
  <c r="V51" i="92"/>
  <c r="V39" i="92"/>
  <c r="V48" i="92"/>
  <c r="S48" i="93"/>
  <c r="Y45" i="92"/>
  <c r="Y56" i="89"/>
  <c r="Y41" i="92"/>
  <c r="X40" i="89"/>
  <c r="K46" i="93"/>
  <c r="Z47" i="90"/>
  <c r="V39" i="90"/>
  <c r="X48" i="89"/>
  <c r="U58" i="96"/>
  <c r="W39" i="90"/>
  <c r="V52" i="90"/>
  <c r="S39" i="93"/>
  <c r="AA41" i="93"/>
  <c r="AA40" i="93"/>
  <c r="X58" i="89"/>
  <c r="Z39" i="90"/>
  <c r="T50" i="93"/>
  <c r="P39" i="93"/>
  <c r="AA42" i="93"/>
  <c r="W50" i="90"/>
  <c r="T42" i="93"/>
  <c r="T51" i="93"/>
  <c r="P42" i="93"/>
  <c r="P55" i="93"/>
  <c r="S47" i="93"/>
  <c r="S46" i="93"/>
  <c r="S48" i="89"/>
  <c r="W41" i="90"/>
  <c r="W48" i="90"/>
  <c r="T47" i="93"/>
  <c r="T56" i="93"/>
  <c r="P50" i="93"/>
  <c r="P51" i="93"/>
  <c r="S52" i="93"/>
  <c r="S50" i="93"/>
  <c r="W58" i="90"/>
  <c r="T49" i="93"/>
  <c r="T41" i="93"/>
  <c r="P58" i="93"/>
  <c r="P45" i="93"/>
  <c r="S57" i="93"/>
  <c r="S51" i="93"/>
  <c r="M47" i="89"/>
  <c r="O48" i="96"/>
  <c r="O50" i="96"/>
  <c r="S48" i="90"/>
  <c r="W52" i="90"/>
  <c r="W57" i="90"/>
  <c r="W55" i="90"/>
  <c r="W46" i="90"/>
  <c r="Y49" i="92"/>
  <c r="T52" i="93"/>
  <c r="T55" i="93"/>
  <c r="T58" i="93"/>
  <c r="T46" i="93"/>
  <c r="P56" i="93"/>
  <c r="P52" i="93"/>
  <c r="P40" i="93"/>
  <c r="P57" i="93"/>
  <c r="S42" i="93"/>
  <c r="S40" i="93"/>
  <c r="S49" i="93"/>
  <c r="S58" i="93"/>
  <c r="K45" i="93"/>
  <c r="S46" i="90"/>
  <c r="W40" i="90"/>
  <c r="Y56" i="92"/>
  <c r="T39" i="93"/>
  <c r="T45" i="93"/>
  <c r="T40" i="93"/>
  <c r="P49" i="93"/>
  <c r="P47" i="93"/>
  <c r="P48" i="93"/>
  <c r="S41" i="93"/>
  <c r="S55" i="93"/>
  <c r="S56" i="93"/>
  <c r="K57" i="93"/>
  <c r="U55" i="96"/>
  <c r="U46" i="96"/>
  <c r="Z40" i="90"/>
  <c r="Z58" i="90"/>
  <c r="V48" i="90"/>
  <c r="V50" i="90"/>
  <c r="V51" i="93"/>
  <c r="V39" i="93"/>
  <c r="V57" i="93"/>
  <c r="AA49" i="93"/>
  <c r="AA46" i="93"/>
  <c r="AA47" i="93"/>
  <c r="AA48" i="93"/>
  <c r="U56" i="96"/>
  <c r="Z48" i="90"/>
  <c r="Z51" i="90"/>
  <c r="V46" i="90"/>
  <c r="V42" i="90"/>
  <c r="V56" i="90"/>
  <c r="AA51" i="93"/>
  <c r="AA57" i="93"/>
  <c r="AA52" i="93"/>
  <c r="AA39" i="93"/>
  <c r="U42" i="96"/>
  <c r="U57" i="96"/>
  <c r="Z41" i="90"/>
  <c r="Z46" i="90"/>
  <c r="O48" i="90"/>
  <c r="AA55" i="93"/>
  <c r="AA58" i="93"/>
  <c r="AA56" i="93"/>
  <c r="Y46" i="89"/>
  <c r="M50" i="89"/>
  <c r="M49" i="89"/>
  <c r="Y48" i="89"/>
  <c r="M46" i="89"/>
  <c r="X55" i="89"/>
  <c r="Y52" i="89"/>
  <c r="M45" i="89"/>
  <c r="S46" i="89"/>
  <c r="X46" i="89"/>
  <c r="X56" i="89"/>
  <c r="Y50" i="89"/>
  <c r="J46" i="90"/>
  <c r="Y42" i="92"/>
  <c r="Y40" i="89"/>
  <c r="Y57" i="89"/>
  <c r="Y41" i="89"/>
  <c r="Y55" i="89"/>
  <c r="X42" i="89"/>
  <c r="X52" i="89"/>
  <c r="X57" i="89"/>
  <c r="U48" i="96"/>
  <c r="U52" i="96"/>
  <c r="Z49" i="90"/>
  <c r="Z42" i="90"/>
  <c r="Z57" i="90"/>
  <c r="Z50" i="90"/>
  <c r="O46" i="90"/>
  <c r="J52" i="90"/>
  <c r="J48" i="90"/>
  <c r="Y48" i="92"/>
  <c r="Y40" i="92"/>
  <c r="Y55" i="92"/>
  <c r="Y58" i="92"/>
  <c r="K55" i="93"/>
  <c r="K49" i="93"/>
  <c r="K52" i="93"/>
  <c r="K39" i="93"/>
  <c r="Y42" i="89"/>
  <c r="Y39" i="92"/>
  <c r="Y46" i="92"/>
  <c r="Y52" i="92"/>
  <c r="K40" i="93"/>
  <c r="K41" i="93"/>
  <c r="K48" i="93"/>
  <c r="K50" i="93"/>
  <c r="Y39" i="89"/>
  <c r="X41" i="89"/>
  <c r="X39" i="89"/>
  <c r="U39" i="96"/>
  <c r="U40" i="96"/>
  <c r="Z45" i="90"/>
  <c r="Z52" i="90"/>
  <c r="Z56" i="90"/>
  <c r="O50" i="90"/>
  <c r="Y50" i="92"/>
  <c r="Y47" i="92"/>
  <c r="Y51" i="92"/>
  <c r="K42" i="93"/>
  <c r="K51" i="93"/>
  <c r="K47" i="93"/>
  <c r="I56" i="93"/>
  <c r="I55" i="93"/>
  <c r="I58" i="93"/>
  <c r="I57" i="93"/>
  <c r="I52" i="93"/>
  <c r="I47" i="93"/>
  <c r="I42" i="93"/>
  <c r="I46" i="93"/>
  <c r="I51" i="93"/>
  <c r="I48" i="93"/>
  <c r="I45" i="93"/>
  <c r="I40" i="93"/>
  <c r="I41" i="93"/>
  <c r="I50" i="93"/>
  <c r="I39" i="93"/>
  <c r="I49" i="93"/>
  <c r="W58" i="93"/>
  <c r="W50" i="93"/>
  <c r="W45" i="93"/>
  <c r="W39" i="93"/>
  <c r="W57" i="93"/>
  <c r="W52" i="93"/>
  <c r="W47" i="93"/>
  <c r="W55" i="93"/>
  <c r="W49" i="93"/>
  <c r="W46" i="93"/>
  <c r="W51" i="93"/>
  <c r="W48" i="93"/>
  <c r="W56" i="93"/>
  <c r="W42" i="93"/>
  <c r="W41" i="93"/>
  <c r="W40" i="93"/>
  <c r="N58" i="93"/>
  <c r="N56" i="93"/>
  <c r="N55" i="93"/>
  <c r="N49" i="93"/>
  <c r="N48" i="93"/>
  <c r="N46" i="93"/>
  <c r="N57" i="93"/>
  <c r="N51" i="93"/>
  <c r="N45" i="93"/>
  <c r="N40" i="93"/>
  <c r="N39" i="93"/>
  <c r="N52" i="93"/>
  <c r="N50" i="93"/>
  <c r="N47" i="93"/>
  <c r="N42" i="93"/>
  <c r="N41" i="93"/>
  <c r="M58" i="93"/>
  <c r="M56" i="93"/>
  <c r="M55" i="93"/>
  <c r="M57" i="93"/>
  <c r="M52" i="93"/>
  <c r="M47" i="93"/>
  <c r="M42" i="93"/>
  <c r="M49" i="93"/>
  <c r="M46" i="93"/>
  <c r="M51" i="93"/>
  <c r="M48" i="93"/>
  <c r="M40" i="93"/>
  <c r="M45" i="93"/>
  <c r="M41" i="93"/>
  <c r="M39" i="93"/>
  <c r="M50" i="93"/>
  <c r="L58" i="93"/>
  <c r="L57" i="93"/>
  <c r="L51" i="93"/>
  <c r="L46" i="93"/>
  <c r="L41" i="93"/>
  <c r="L40" i="93"/>
  <c r="L56" i="93"/>
  <c r="L52" i="93"/>
  <c r="L50" i="93"/>
  <c r="L47" i="93"/>
  <c r="L49" i="93"/>
  <c r="L42" i="93"/>
  <c r="L39" i="93"/>
  <c r="L45" i="93"/>
  <c r="L48" i="93"/>
  <c r="L55" i="93"/>
  <c r="Y58" i="93"/>
  <c r="Y56" i="93"/>
  <c r="Y55" i="93"/>
  <c r="Y57" i="93"/>
  <c r="Y52" i="93"/>
  <c r="Y47" i="93"/>
  <c r="Y42" i="93"/>
  <c r="Y46" i="93"/>
  <c r="Y51" i="93"/>
  <c r="Y48" i="93"/>
  <c r="Y45" i="93"/>
  <c r="Y40" i="93"/>
  <c r="Y41" i="93"/>
  <c r="Y50" i="93"/>
  <c r="Y49" i="93"/>
  <c r="Y39" i="93"/>
  <c r="X57" i="93"/>
  <c r="X58" i="93"/>
  <c r="X51" i="93"/>
  <c r="X46" i="93"/>
  <c r="X41" i="93"/>
  <c r="X40" i="93"/>
  <c r="X55" i="93"/>
  <c r="X49" i="93"/>
  <c r="X48" i="93"/>
  <c r="X42" i="93"/>
  <c r="X47" i="93"/>
  <c r="X52" i="93"/>
  <c r="X39" i="93"/>
  <c r="X56" i="93"/>
  <c r="X50" i="93"/>
  <c r="X45" i="93"/>
  <c r="J56" i="93"/>
  <c r="J55" i="93"/>
  <c r="J49" i="93"/>
  <c r="J48" i="93"/>
  <c r="J51" i="93"/>
  <c r="J45" i="93"/>
  <c r="J58" i="93"/>
  <c r="J50" i="93"/>
  <c r="J42" i="93"/>
  <c r="J39" i="93"/>
  <c r="J41" i="93"/>
  <c r="J57" i="93"/>
  <c r="J52" i="93"/>
  <c r="J46" i="93"/>
  <c r="J47" i="93"/>
  <c r="J40" i="93"/>
  <c r="Z56" i="93"/>
  <c r="Z55" i="93"/>
  <c r="Z49" i="93"/>
  <c r="Z48" i="93"/>
  <c r="Z51" i="93"/>
  <c r="Z45" i="93"/>
  <c r="Z50" i="93"/>
  <c r="Z42" i="93"/>
  <c r="Z39" i="93"/>
  <c r="Z47" i="93"/>
  <c r="Z58" i="93"/>
  <c r="Z57" i="93"/>
  <c r="Z52" i="93"/>
  <c r="Z46" i="93"/>
  <c r="Z41" i="93"/>
  <c r="Z40" i="93"/>
  <c r="O50" i="93"/>
  <c r="O45" i="93"/>
  <c r="O39" i="93"/>
  <c r="O57" i="93"/>
  <c r="O51" i="93"/>
  <c r="O55" i="93"/>
  <c r="O48" i="93"/>
  <c r="O42" i="93"/>
  <c r="O47" i="93"/>
  <c r="O52" i="93"/>
  <c r="O58" i="93"/>
  <c r="O49" i="93"/>
  <c r="O40" i="93"/>
  <c r="O56" i="93"/>
  <c r="O46" i="93"/>
  <c r="O41" i="93"/>
  <c r="Q58" i="93"/>
  <c r="Q56" i="93"/>
  <c r="Q55" i="93"/>
  <c r="Q57" i="93"/>
  <c r="Q52" i="93"/>
  <c r="Q47" i="93"/>
  <c r="Q42" i="93"/>
  <c r="Q50" i="93"/>
  <c r="Q49" i="93"/>
  <c r="Q41" i="93"/>
  <c r="Q46" i="93"/>
  <c r="Q51" i="93"/>
  <c r="Q48" i="93"/>
  <c r="Q39" i="93"/>
  <c r="Q45" i="93"/>
  <c r="Q40" i="93"/>
  <c r="R58" i="93"/>
  <c r="R56" i="93"/>
  <c r="R55" i="93"/>
  <c r="R49" i="93"/>
  <c r="R48" i="93"/>
  <c r="R52" i="93"/>
  <c r="R47" i="93"/>
  <c r="R46" i="93"/>
  <c r="R50" i="93"/>
  <c r="R45" i="93"/>
  <c r="R41" i="93"/>
  <c r="R57" i="93"/>
  <c r="R42" i="93"/>
  <c r="R40" i="93"/>
  <c r="R51" i="93"/>
  <c r="R39" i="93"/>
  <c r="U58" i="93"/>
  <c r="U56" i="93"/>
  <c r="U55" i="93"/>
  <c r="U57" i="93"/>
  <c r="U52" i="93"/>
  <c r="U47" i="93"/>
  <c r="U42" i="93"/>
  <c r="U51" i="93"/>
  <c r="U48" i="93"/>
  <c r="U45" i="93"/>
  <c r="U50" i="93"/>
  <c r="U39" i="93"/>
  <c r="U49" i="93"/>
  <c r="U40" i="93"/>
  <c r="U46" i="93"/>
  <c r="U41" i="93"/>
  <c r="H58" i="93"/>
  <c r="H57" i="93"/>
  <c r="H51" i="93"/>
  <c r="H46" i="93"/>
  <c r="H41" i="93"/>
  <c r="H40" i="93"/>
  <c r="H55" i="93"/>
  <c r="H49" i="93"/>
  <c r="H52" i="93"/>
  <c r="H50" i="93"/>
  <c r="H45" i="93"/>
  <c r="H42" i="93"/>
  <c r="H39" i="93"/>
  <c r="H56" i="93"/>
  <c r="H48" i="93"/>
  <c r="H47" i="93"/>
  <c r="Q58" i="92"/>
  <c r="Q57" i="92"/>
  <c r="Q52" i="92"/>
  <c r="Q56" i="92"/>
  <c r="Q55" i="92"/>
  <c r="Q51" i="92"/>
  <c r="Q46" i="92"/>
  <c r="Q41" i="92"/>
  <c r="Q40" i="92"/>
  <c r="Q47" i="92"/>
  <c r="Q42" i="92"/>
  <c r="Q49" i="92"/>
  <c r="Q48" i="92"/>
  <c r="Q45" i="92"/>
  <c r="Q50" i="92"/>
  <c r="Q39" i="92"/>
  <c r="P58" i="92"/>
  <c r="P57" i="92"/>
  <c r="P56" i="92"/>
  <c r="P55" i="92"/>
  <c r="P50" i="92"/>
  <c r="P45" i="92"/>
  <c r="P51" i="92"/>
  <c r="P46" i="92"/>
  <c r="P41" i="92"/>
  <c r="P52" i="92"/>
  <c r="P47" i="92"/>
  <c r="P42" i="92"/>
  <c r="P49" i="92"/>
  <c r="P40" i="92"/>
  <c r="P48" i="92"/>
  <c r="P39" i="92"/>
  <c r="H58" i="92"/>
  <c r="H57" i="92"/>
  <c r="H56" i="92"/>
  <c r="H55" i="92"/>
  <c r="H50" i="92"/>
  <c r="H45" i="92"/>
  <c r="H51" i="92"/>
  <c r="H46" i="92"/>
  <c r="H47" i="92"/>
  <c r="H42" i="92"/>
  <c r="H48" i="92"/>
  <c r="H41" i="92"/>
  <c r="H40" i="92"/>
  <c r="H39" i="92"/>
  <c r="H49" i="92"/>
  <c r="H52" i="92"/>
  <c r="K58" i="92"/>
  <c r="K57" i="92"/>
  <c r="K52" i="92"/>
  <c r="K49" i="92"/>
  <c r="K48" i="92"/>
  <c r="K50" i="92"/>
  <c r="K45" i="92"/>
  <c r="K56" i="92"/>
  <c r="K51" i="92"/>
  <c r="K46" i="92"/>
  <c r="K41" i="92"/>
  <c r="K40" i="92"/>
  <c r="K55" i="92"/>
  <c r="K47" i="92"/>
  <c r="K39" i="92"/>
  <c r="K42" i="92"/>
  <c r="R56" i="92"/>
  <c r="R55" i="92"/>
  <c r="R47" i="92"/>
  <c r="R42" i="92"/>
  <c r="R52" i="92"/>
  <c r="R49" i="92"/>
  <c r="R48" i="92"/>
  <c r="R58" i="92"/>
  <c r="R50" i="92"/>
  <c r="R45" i="92"/>
  <c r="R39" i="92"/>
  <c r="R40" i="92"/>
  <c r="R57" i="92"/>
  <c r="R46" i="92"/>
  <c r="R41" i="92"/>
  <c r="R51" i="92"/>
  <c r="X58" i="92"/>
  <c r="X57" i="92"/>
  <c r="X56" i="92"/>
  <c r="X55" i="92"/>
  <c r="X50" i="92"/>
  <c r="X45" i="92"/>
  <c r="X51" i="92"/>
  <c r="X46" i="92"/>
  <c r="X41" i="92"/>
  <c r="X52" i="92"/>
  <c r="X47" i="92"/>
  <c r="X42" i="92"/>
  <c r="X48" i="92"/>
  <c r="X40" i="92"/>
  <c r="X39" i="92"/>
  <c r="X49" i="92"/>
  <c r="S58" i="92"/>
  <c r="S57" i="92"/>
  <c r="S52" i="92"/>
  <c r="S56" i="92"/>
  <c r="S49" i="92"/>
  <c r="S48" i="92"/>
  <c r="S55" i="92"/>
  <c r="S50" i="92"/>
  <c r="S45" i="92"/>
  <c r="S51" i="92"/>
  <c r="S46" i="92"/>
  <c r="S41" i="92"/>
  <c r="S40" i="92"/>
  <c r="S42" i="92"/>
  <c r="S39" i="92"/>
  <c r="S47" i="92"/>
  <c r="M58" i="92"/>
  <c r="M57" i="92"/>
  <c r="M52" i="92"/>
  <c r="M56" i="92"/>
  <c r="M55" i="92"/>
  <c r="M51" i="92"/>
  <c r="M46" i="92"/>
  <c r="M41" i="92"/>
  <c r="M40" i="92"/>
  <c r="M47" i="92"/>
  <c r="M42" i="92"/>
  <c r="M49" i="92"/>
  <c r="M48" i="92"/>
  <c r="M45" i="92"/>
  <c r="M50" i="92"/>
  <c r="M39" i="92"/>
  <c r="I58" i="92"/>
  <c r="I57" i="92"/>
  <c r="I56" i="92"/>
  <c r="I55" i="92"/>
  <c r="I51" i="92"/>
  <c r="I46" i="92"/>
  <c r="I41" i="92"/>
  <c r="I40" i="92"/>
  <c r="I47" i="92"/>
  <c r="I42" i="92"/>
  <c r="I52" i="92"/>
  <c r="I49" i="92"/>
  <c r="I48" i="92"/>
  <c r="I50" i="92"/>
  <c r="I39" i="92"/>
  <c r="I45" i="92"/>
  <c r="O58" i="92"/>
  <c r="O57" i="92"/>
  <c r="O52" i="92"/>
  <c r="O49" i="92"/>
  <c r="O48" i="92"/>
  <c r="O56" i="92"/>
  <c r="O50" i="92"/>
  <c r="O45" i="92"/>
  <c r="O55" i="92"/>
  <c r="O51" i="92"/>
  <c r="O46" i="92"/>
  <c r="O41" i="92"/>
  <c r="O40" i="92"/>
  <c r="O47" i="92"/>
  <c r="O39" i="92"/>
  <c r="O42" i="92"/>
  <c r="AA58" i="92"/>
  <c r="AA57" i="92"/>
  <c r="AA52" i="92"/>
  <c r="AA49" i="92"/>
  <c r="AA48" i="92"/>
  <c r="AA50" i="92"/>
  <c r="AA45" i="92"/>
  <c r="AA56" i="92"/>
  <c r="AA51" i="92"/>
  <c r="AA46" i="92"/>
  <c r="AA41" i="92"/>
  <c r="AA40" i="92"/>
  <c r="AA47" i="92"/>
  <c r="AA39" i="92"/>
  <c r="AA42" i="92"/>
  <c r="AA55" i="92"/>
  <c r="N56" i="92"/>
  <c r="N55" i="92"/>
  <c r="N57" i="92"/>
  <c r="N47" i="92"/>
  <c r="N42" i="92"/>
  <c r="N49" i="92"/>
  <c r="N48" i="92"/>
  <c r="N50" i="92"/>
  <c r="N45" i="92"/>
  <c r="N39" i="92"/>
  <c r="N58" i="92"/>
  <c r="N51" i="92"/>
  <c r="N41" i="92"/>
  <c r="N52" i="92"/>
  <c r="N46" i="92"/>
  <c r="N40" i="92"/>
  <c r="U58" i="92"/>
  <c r="U57" i="92"/>
  <c r="U52" i="92"/>
  <c r="U56" i="92"/>
  <c r="U55" i="92"/>
  <c r="U51" i="92"/>
  <c r="U46" i="92"/>
  <c r="U41" i="92"/>
  <c r="U40" i="92"/>
  <c r="U47" i="92"/>
  <c r="U42" i="92"/>
  <c r="U49" i="92"/>
  <c r="U48" i="92"/>
  <c r="U39" i="92"/>
  <c r="U50" i="92"/>
  <c r="U45" i="92"/>
  <c r="T58" i="92"/>
  <c r="T57" i="92"/>
  <c r="T56" i="92"/>
  <c r="T55" i="92"/>
  <c r="T52" i="92"/>
  <c r="T50" i="92"/>
  <c r="T45" i="92"/>
  <c r="T51" i="92"/>
  <c r="T46" i="92"/>
  <c r="T41" i="92"/>
  <c r="T47" i="92"/>
  <c r="T42" i="92"/>
  <c r="T39" i="92"/>
  <c r="T40" i="92"/>
  <c r="T48" i="92"/>
  <c r="T49" i="92"/>
  <c r="J56" i="92"/>
  <c r="J55" i="92"/>
  <c r="J58" i="92"/>
  <c r="J47" i="92"/>
  <c r="J42" i="92"/>
  <c r="J57" i="92"/>
  <c r="J52" i="92"/>
  <c r="J49" i="92"/>
  <c r="J48" i="92"/>
  <c r="J50" i="92"/>
  <c r="J45" i="92"/>
  <c r="J39" i="92"/>
  <c r="J41" i="92"/>
  <c r="J40" i="92"/>
  <c r="J51" i="92"/>
  <c r="J46" i="92"/>
  <c r="W58" i="92"/>
  <c r="W57" i="92"/>
  <c r="W52" i="92"/>
  <c r="W55" i="92"/>
  <c r="W49" i="92"/>
  <c r="W48" i="92"/>
  <c r="W50" i="92"/>
  <c r="W45" i="92"/>
  <c r="W51" i="92"/>
  <c r="W46" i="92"/>
  <c r="W41" i="92"/>
  <c r="W40" i="92"/>
  <c r="W56" i="92"/>
  <c r="W47" i="92"/>
  <c r="W39" i="92"/>
  <c r="W42" i="92"/>
  <c r="L58" i="92"/>
  <c r="L57" i="92"/>
  <c r="L56" i="92"/>
  <c r="L55" i="92"/>
  <c r="L52" i="92"/>
  <c r="L50" i="92"/>
  <c r="L45" i="92"/>
  <c r="L51" i="92"/>
  <c r="L46" i="92"/>
  <c r="L41" i="92"/>
  <c r="L47" i="92"/>
  <c r="L42" i="92"/>
  <c r="L49" i="92"/>
  <c r="L48" i="92"/>
  <c r="L39" i="92"/>
  <c r="L40" i="92"/>
  <c r="P52" i="90"/>
  <c r="P48" i="90"/>
  <c r="P46" i="90"/>
  <c r="P50" i="90"/>
  <c r="I48" i="90"/>
  <c r="I52" i="90"/>
  <c r="I46" i="90"/>
  <c r="I58" i="90"/>
  <c r="I50" i="90"/>
  <c r="H58" i="90"/>
  <c r="H52" i="90"/>
  <c r="H48" i="90"/>
  <c r="H46" i="90"/>
  <c r="H50" i="90"/>
  <c r="N50" i="90"/>
  <c r="N52" i="90"/>
  <c r="N49" i="90"/>
  <c r="N46" i="90"/>
  <c r="N48" i="90"/>
  <c r="K51" i="90"/>
  <c r="K48" i="90"/>
  <c r="K50" i="90"/>
  <c r="K45" i="90"/>
  <c r="K52" i="90"/>
  <c r="K49" i="90"/>
  <c r="K46" i="90"/>
  <c r="K47" i="90"/>
  <c r="U58" i="90"/>
  <c r="U55" i="90"/>
  <c r="U48" i="90"/>
  <c r="U46" i="90"/>
  <c r="U40" i="90"/>
  <c r="U52" i="90"/>
  <c r="U57" i="90"/>
  <c r="U50" i="90"/>
  <c r="X52" i="90"/>
  <c r="X55" i="90"/>
  <c r="X48" i="90"/>
  <c r="X39" i="90"/>
  <c r="X56" i="90"/>
  <c r="X41" i="90"/>
  <c r="X40" i="90"/>
  <c r="X50" i="90"/>
  <c r="X42" i="90"/>
  <c r="X46" i="90"/>
  <c r="Y58" i="90"/>
  <c r="Y56" i="90"/>
  <c r="Y55" i="90"/>
  <c r="Y48" i="90"/>
  <c r="Y52" i="90"/>
  <c r="Y41" i="90"/>
  <c r="Y40" i="90"/>
  <c r="Y57" i="90"/>
  <c r="Y50" i="90"/>
  <c r="Y46" i="90"/>
  <c r="Y42" i="90"/>
  <c r="Y39" i="90"/>
  <c r="L50" i="90"/>
  <c r="L46" i="90"/>
  <c r="L48" i="90"/>
  <c r="Q49" i="90"/>
  <c r="Q48" i="90"/>
  <c r="Q50" i="90"/>
  <c r="Q46" i="90"/>
  <c r="Q52" i="90"/>
  <c r="AA51" i="90"/>
  <c r="AA46" i="90"/>
  <c r="AA57" i="90"/>
  <c r="AA56" i="90"/>
  <c r="AA48" i="90"/>
  <c r="AA50" i="90"/>
  <c r="AA52" i="90"/>
  <c r="AA49" i="90"/>
  <c r="AA45" i="90"/>
  <c r="AA39" i="90"/>
  <c r="AA47" i="90"/>
  <c r="AA40" i="90"/>
  <c r="AA42" i="90"/>
  <c r="AA41" i="90"/>
  <c r="AA58" i="90"/>
  <c r="AA55" i="90"/>
  <c r="M49" i="90"/>
  <c r="M48" i="90"/>
  <c r="M50" i="90"/>
  <c r="M46" i="90"/>
  <c r="M47" i="90"/>
  <c r="M45" i="90"/>
  <c r="R48" i="90"/>
  <c r="R52" i="90"/>
  <c r="R46" i="90"/>
  <c r="AA58" i="97"/>
  <c r="AA57" i="97"/>
  <c r="AA56" i="97"/>
  <c r="AA55" i="97"/>
  <c r="AA50" i="97"/>
  <c r="AA45" i="97"/>
  <c r="AA48" i="97"/>
  <c r="AA42" i="97"/>
  <c r="AA39" i="97"/>
  <c r="AA47" i="97"/>
  <c r="AA41" i="97"/>
  <c r="AA49" i="97"/>
  <c r="AA46" i="97"/>
  <c r="AA51" i="97"/>
  <c r="AA52" i="97"/>
  <c r="AA40" i="97"/>
  <c r="J48" i="97"/>
  <c r="J50" i="97"/>
  <c r="J52" i="97"/>
  <c r="J46" i="97"/>
  <c r="L46" i="97"/>
  <c r="L50" i="97"/>
  <c r="L48" i="97"/>
  <c r="V58" i="97"/>
  <c r="V52" i="97"/>
  <c r="V56" i="97"/>
  <c r="V55" i="97"/>
  <c r="V48" i="97"/>
  <c r="V50" i="97"/>
  <c r="V42" i="97"/>
  <c r="V39" i="97"/>
  <c r="V46" i="97"/>
  <c r="V40" i="97"/>
  <c r="O50" i="97"/>
  <c r="O48" i="97"/>
  <c r="O46" i="97"/>
  <c r="P46" i="97"/>
  <c r="P48" i="97"/>
  <c r="P52" i="97"/>
  <c r="P50" i="97"/>
  <c r="K50" i="97"/>
  <c r="K45" i="97"/>
  <c r="K48" i="97"/>
  <c r="K52" i="97"/>
  <c r="K47" i="97"/>
  <c r="K49" i="97"/>
  <c r="K46" i="97"/>
  <c r="K51" i="97"/>
  <c r="S46" i="97"/>
  <c r="S48" i="97"/>
  <c r="H56" i="97"/>
  <c r="H46" i="97"/>
  <c r="H48" i="97"/>
  <c r="H52" i="97"/>
  <c r="H50" i="97"/>
  <c r="H58" i="97"/>
  <c r="M47" i="97"/>
  <c r="M49" i="97"/>
  <c r="M46" i="97"/>
  <c r="M48" i="97"/>
  <c r="M45" i="97"/>
  <c r="M50" i="97"/>
  <c r="Q52" i="97"/>
  <c r="Q50" i="97"/>
  <c r="Q49" i="97"/>
  <c r="Q46" i="97"/>
  <c r="Q48" i="97"/>
  <c r="R48" i="97"/>
  <c r="R52" i="97"/>
  <c r="R46" i="97"/>
  <c r="U58" i="97"/>
  <c r="U57" i="97"/>
  <c r="U52" i="97"/>
  <c r="U42" i="97"/>
  <c r="U48" i="97"/>
  <c r="U40" i="97"/>
  <c r="U50" i="97"/>
  <c r="U56" i="97"/>
  <c r="U39" i="97"/>
  <c r="U55" i="97"/>
  <c r="U46" i="97"/>
  <c r="X56" i="97"/>
  <c r="X55" i="97"/>
  <c r="X46" i="97"/>
  <c r="X41" i="97"/>
  <c r="X40" i="97"/>
  <c r="X57" i="97"/>
  <c r="X52" i="97"/>
  <c r="X48" i="97"/>
  <c r="X42" i="97"/>
  <c r="X39" i="97"/>
  <c r="X58" i="97"/>
  <c r="X50" i="97"/>
  <c r="Y58" i="97"/>
  <c r="Y57" i="97"/>
  <c r="Y52" i="97"/>
  <c r="Y42" i="97"/>
  <c r="Y46" i="97"/>
  <c r="Y56" i="97"/>
  <c r="Y48" i="97"/>
  <c r="Y40" i="97"/>
  <c r="Y55" i="97"/>
  <c r="Y50" i="97"/>
  <c r="Y39" i="97"/>
  <c r="Y41" i="97"/>
  <c r="I58" i="97"/>
  <c r="I52" i="97"/>
  <c r="I46" i="97"/>
  <c r="I48" i="97"/>
  <c r="I50" i="97"/>
  <c r="N49" i="97"/>
  <c r="N48" i="97"/>
  <c r="N46" i="97"/>
  <c r="N50" i="97"/>
  <c r="N52" i="97"/>
  <c r="T46" i="97"/>
  <c r="T48" i="97"/>
  <c r="T50" i="97"/>
  <c r="W58" i="97"/>
  <c r="W57" i="97"/>
  <c r="W56" i="97"/>
  <c r="W55" i="97"/>
  <c r="W50" i="97"/>
  <c r="W41" i="97"/>
  <c r="W39" i="97"/>
  <c r="W52" i="97"/>
  <c r="W46" i="97"/>
  <c r="W40" i="97"/>
  <c r="W48" i="97"/>
  <c r="W42" i="97"/>
  <c r="Z58" i="97"/>
  <c r="Z57" i="97"/>
  <c r="Z52" i="97"/>
  <c r="Z56" i="97"/>
  <c r="Z55" i="97"/>
  <c r="Z49" i="97"/>
  <c r="Z48" i="97"/>
  <c r="Z51" i="97"/>
  <c r="Z45" i="97"/>
  <c r="Z40" i="97"/>
  <c r="Z50" i="97"/>
  <c r="Z42" i="97"/>
  <c r="Z39" i="97"/>
  <c r="Z47" i="97"/>
  <c r="Z41" i="97"/>
  <c r="Z46" i="97"/>
  <c r="P52" i="96"/>
  <c r="P50" i="96"/>
  <c r="P46" i="96"/>
  <c r="P48" i="96"/>
  <c r="W50" i="96"/>
  <c r="W58" i="96"/>
  <c r="W52" i="96"/>
  <c r="W55" i="96"/>
  <c r="W39" i="96"/>
  <c r="W57" i="96"/>
  <c r="W42" i="96"/>
  <c r="W41" i="96"/>
  <c r="W46" i="96"/>
  <c r="W56" i="96"/>
  <c r="W48" i="96"/>
  <c r="W40" i="96"/>
  <c r="T48" i="96"/>
  <c r="T50" i="96"/>
  <c r="T46" i="96"/>
  <c r="S48" i="96"/>
  <c r="S46" i="96"/>
  <c r="J48" i="96"/>
  <c r="J50" i="96"/>
  <c r="J46" i="96"/>
  <c r="J52" i="96"/>
  <c r="V58" i="96"/>
  <c r="V56" i="96"/>
  <c r="V55" i="96"/>
  <c r="V48" i="96"/>
  <c r="V52" i="96"/>
  <c r="V42" i="96"/>
  <c r="V50" i="96"/>
  <c r="V40" i="96"/>
  <c r="V46" i="96"/>
  <c r="V39" i="96"/>
  <c r="I58" i="96"/>
  <c r="I52" i="96"/>
  <c r="I48" i="96"/>
  <c r="I46" i="96"/>
  <c r="I50" i="96"/>
  <c r="H52" i="96"/>
  <c r="H58" i="96"/>
  <c r="H46" i="96"/>
  <c r="H48" i="96"/>
  <c r="H56" i="96"/>
  <c r="H50" i="96"/>
  <c r="K50" i="96"/>
  <c r="K52" i="96"/>
  <c r="K51" i="96"/>
  <c r="K48" i="96"/>
  <c r="K45" i="96"/>
  <c r="K49" i="96"/>
  <c r="K47" i="96"/>
  <c r="K46" i="96"/>
  <c r="Z58" i="96"/>
  <c r="Z57" i="96"/>
  <c r="Z56" i="96"/>
  <c r="Z55" i="96"/>
  <c r="Z49" i="96"/>
  <c r="Z48" i="96"/>
  <c r="Z50" i="96"/>
  <c r="Z51" i="96"/>
  <c r="Z42" i="96"/>
  <c r="Z52" i="96"/>
  <c r="Z46" i="96"/>
  <c r="Z47" i="96"/>
  <c r="Z39" i="96"/>
  <c r="Z41" i="96"/>
  <c r="Z40" i="96"/>
  <c r="Z45" i="96"/>
  <c r="X55" i="96"/>
  <c r="X39" i="96"/>
  <c r="X57" i="96"/>
  <c r="X48" i="96"/>
  <c r="X46" i="96"/>
  <c r="X41" i="96"/>
  <c r="X40" i="96"/>
  <c r="X56" i="96"/>
  <c r="X50" i="96"/>
  <c r="X52" i="96"/>
  <c r="X58" i="96"/>
  <c r="X42" i="96"/>
  <c r="N49" i="96"/>
  <c r="N48" i="96"/>
  <c r="N52" i="96"/>
  <c r="N50" i="96"/>
  <c r="N46" i="96"/>
  <c r="M50" i="96"/>
  <c r="M46" i="96"/>
  <c r="M47" i="96"/>
  <c r="M49" i="96"/>
  <c r="M48" i="96"/>
  <c r="M45" i="96"/>
  <c r="R48" i="96"/>
  <c r="R46" i="96"/>
  <c r="R52" i="96"/>
  <c r="Q52" i="96"/>
  <c r="Q49" i="96"/>
  <c r="Q46" i="96"/>
  <c r="Q48" i="96"/>
  <c r="Q50" i="96"/>
  <c r="Y58" i="96"/>
  <c r="Y57" i="96"/>
  <c r="Y52" i="96"/>
  <c r="Y56" i="96"/>
  <c r="Y48" i="96"/>
  <c r="Y46" i="96"/>
  <c r="Y41" i="96"/>
  <c r="Y40" i="96"/>
  <c r="Y55" i="96"/>
  <c r="Y50" i="96"/>
  <c r="Y42" i="96"/>
  <c r="Y39" i="96"/>
  <c r="L48" i="96"/>
  <c r="L50" i="96"/>
  <c r="L46" i="96"/>
  <c r="N49" i="95"/>
  <c r="N48" i="95"/>
  <c r="N46" i="95"/>
  <c r="N52" i="95"/>
  <c r="N50" i="95"/>
  <c r="S46" i="95"/>
  <c r="S48" i="95"/>
  <c r="X56" i="95"/>
  <c r="X55" i="95"/>
  <c r="X46" i="95"/>
  <c r="X41" i="95"/>
  <c r="X40" i="95"/>
  <c r="X52" i="95"/>
  <c r="X48" i="95"/>
  <c r="X50" i="95"/>
  <c r="X42" i="95"/>
  <c r="X39" i="95"/>
  <c r="U57" i="95"/>
  <c r="U52" i="95"/>
  <c r="U55" i="95"/>
  <c r="U48" i="95"/>
  <c r="U58" i="95"/>
  <c r="U50" i="95"/>
  <c r="U46" i="95"/>
  <c r="U40" i="95"/>
  <c r="Q52" i="95"/>
  <c r="Q50" i="95"/>
  <c r="Q46" i="95"/>
  <c r="Q48" i="95"/>
  <c r="Q49" i="95"/>
  <c r="W58" i="95"/>
  <c r="W57" i="95"/>
  <c r="W50" i="95"/>
  <c r="W39" i="95"/>
  <c r="W52" i="95"/>
  <c r="W48" i="95"/>
  <c r="W55" i="95"/>
  <c r="W46" i="95"/>
  <c r="W40" i="95"/>
  <c r="W41" i="95"/>
  <c r="T46" i="95"/>
  <c r="T48" i="95"/>
  <c r="T50" i="95"/>
  <c r="M47" i="95"/>
  <c r="M49" i="95"/>
  <c r="M45" i="95"/>
  <c r="M48" i="95"/>
  <c r="M50" i="95"/>
  <c r="M46" i="95"/>
  <c r="O50" i="95"/>
  <c r="O48" i="95"/>
  <c r="O46" i="95"/>
  <c r="K50" i="95"/>
  <c r="K45" i="95"/>
  <c r="K48" i="95"/>
  <c r="K46" i="95"/>
  <c r="K49" i="95"/>
  <c r="K52" i="95"/>
  <c r="K47" i="95"/>
  <c r="K51" i="95"/>
  <c r="V48" i="95"/>
  <c r="V56" i="95"/>
  <c r="V50" i="95"/>
  <c r="V42" i="95"/>
  <c r="V39" i="95"/>
  <c r="V52" i="95"/>
  <c r="V46" i="95"/>
  <c r="P46" i="95"/>
  <c r="P48" i="95"/>
  <c r="P52" i="95"/>
  <c r="P50" i="95"/>
  <c r="R48" i="95"/>
  <c r="R52" i="95"/>
  <c r="R46" i="95"/>
  <c r="Y56" i="95"/>
  <c r="Y58" i="95"/>
  <c r="Y52" i="95"/>
  <c r="Y42" i="95"/>
  <c r="Y57" i="95"/>
  <c r="Y46" i="95"/>
  <c r="Y55" i="95"/>
  <c r="Y50" i="95"/>
  <c r="Y40" i="95"/>
  <c r="Y48" i="95"/>
  <c r="Y39" i="95"/>
  <c r="Y41" i="95"/>
  <c r="I58" i="95"/>
  <c r="I52" i="95"/>
  <c r="I46" i="95"/>
  <c r="I48" i="95"/>
  <c r="I50" i="95"/>
  <c r="Z56" i="95"/>
  <c r="Z49" i="95"/>
  <c r="Z48" i="95"/>
  <c r="Z55" i="95"/>
  <c r="Z58" i="95"/>
  <c r="Z51" i="95"/>
  <c r="Z45" i="95"/>
  <c r="Z46" i="95"/>
  <c r="Z42" i="95"/>
  <c r="Z39" i="95"/>
  <c r="Z57" i="95"/>
  <c r="Z52" i="95"/>
  <c r="Z50" i="95"/>
  <c r="Z47" i="95"/>
  <c r="Z40" i="95"/>
  <c r="Z41" i="95"/>
  <c r="H58" i="95"/>
  <c r="H46" i="95"/>
  <c r="H48" i="95"/>
  <c r="H50" i="95"/>
  <c r="H52" i="95"/>
  <c r="L46" i="95"/>
  <c r="L50" i="95"/>
  <c r="L48" i="95"/>
  <c r="J48" i="95"/>
  <c r="J51" i="95"/>
  <c r="J52" i="95"/>
  <c r="J50" i="95"/>
  <c r="J46" i="95"/>
  <c r="AA58" i="95"/>
  <c r="AA57" i="95"/>
  <c r="AA55" i="95"/>
  <c r="AA50" i="95"/>
  <c r="AA45" i="95"/>
  <c r="AA39" i="95"/>
  <c r="AA48" i="95"/>
  <c r="AA42" i="95"/>
  <c r="AA49" i="95"/>
  <c r="AA41" i="95"/>
  <c r="AA51" i="95"/>
  <c r="AA52" i="95"/>
  <c r="AA56" i="95"/>
  <c r="AA46" i="95"/>
  <c r="AA47" i="95"/>
  <c r="AA40" i="95"/>
  <c r="AA56" i="89"/>
  <c r="AA55" i="89"/>
  <c r="AA49" i="89"/>
  <c r="AA48" i="89"/>
  <c r="AA57" i="89"/>
  <c r="AA50" i="89"/>
  <c r="AA42" i="89"/>
  <c r="AA45" i="89"/>
  <c r="AA58" i="89"/>
  <c r="AA52" i="89"/>
  <c r="AA47" i="89"/>
  <c r="AA46" i="89"/>
  <c r="AA41" i="89"/>
  <c r="AA40" i="89"/>
  <c r="AA51" i="89"/>
  <c r="AA39" i="89"/>
  <c r="H58" i="89"/>
  <c r="H50" i="89"/>
  <c r="H52" i="89"/>
  <c r="H48" i="89"/>
  <c r="H46" i="89"/>
  <c r="N52" i="89"/>
  <c r="N49" i="89"/>
  <c r="N48" i="89"/>
  <c r="N46" i="89"/>
  <c r="N50" i="89"/>
  <c r="U56" i="89"/>
  <c r="U55" i="89"/>
  <c r="U57" i="89"/>
  <c r="U52" i="89"/>
  <c r="U58" i="89"/>
  <c r="U39" i="89"/>
  <c r="U46" i="89"/>
  <c r="U40" i="89"/>
  <c r="U48" i="89"/>
  <c r="U42" i="89"/>
  <c r="U50" i="89"/>
  <c r="Q52" i="89"/>
  <c r="Q49" i="89"/>
  <c r="Q48" i="89"/>
  <c r="Q50" i="89"/>
  <c r="Q46" i="89"/>
  <c r="Z58" i="89"/>
  <c r="Z57" i="89"/>
  <c r="Z56" i="89"/>
  <c r="Z52" i="89"/>
  <c r="Z47" i="89"/>
  <c r="Z49" i="89"/>
  <c r="Z48" i="89"/>
  <c r="Z51" i="89"/>
  <c r="Z50" i="89"/>
  <c r="Z46" i="89"/>
  <c r="Z41" i="89"/>
  <c r="Z40" i="89"/>
  <c r="Z55" i="89"/>
  <c r="Z42" i="89"/>
  <c r="Z39" i="89"/>
  <c r="Z45" i="89"/>
  <c r="K49" i="89"/>
  <c r="K48" i="89"/>
  <c r="K50" i="89"/>
  <c r="K47" i="89"/>
  <c r="K45" i="89"/>
  <c r="K46" i="89"/>
  <c r="K52" i="89"/>
  <c r="K51" i="89"/>
  <c r="T50" i="89"/>
  <c r="T46" i="89"/>
  <c r="T48" i="89"/>
  <c r="O48" i="89"/>
  <c r="O50" i="89"/>
  <c r="O46" i="89"/>
  <c r="L50" i="89"/>
  <c r="L46" i="89"/>
  <c r="L48" i="89"/>
  <c r="J52" i="89"/>
  <c r="J48" i="89"/>
  <c r="J50" i="89"/>
  <c r="J46" i="89"/>
  <c r="I58" i="89"/>
  <c r="I52" i="89"/>
  <c r="I48" i="89"/>
  <c r="I50" i="89"/>
  <c r="I46" i="89"/>
  <c r="R52" i="89"/>
  <c r="R48" i="89"/>
  <c r="R46" i="89"/>
  <c r="V58" i="89"/>
  <c r="V55" i="89"/>
  <c r="V52" i="89"/>
  <c r="V48" i="89"/>
  <c r="V46" i="89"/>
  <c r="V40" i="89"/>
  <c r="V50" i="89"/>
  <c r="V42" i="89"/>
  <c r="V56" i="89"/>
  <c r="V39" i="89"/>
  <c r="P50" i="89"/>
  <c r="P52" i="89"/>
  <c r="P48" i="89"/>
  <c r="P46" i="89"/>
  <c r="Z22" i="54" l="1"/>
  <c r="CG62" i="84"/>
  <c r="AG23" i="54" s="1"/>
  <c r="CG53" i="84"/>
  <c r="AG14" i="54" s="1"/>
  <c r="AF16" i="54"/>
  <c r="CH58" i="84"/>
  <c r="AH19" i="54" s="1"/>
  <c r="CH56" i="84"/>
  <c r="AH17" i="54" s="1"/>
  <c r="CI55" i="84"/>
  <c r="AI16" i="54" s="1"/>
  <c r="AF23" i="54"/>
  <c r="AF19" i="54"/>
  <c r="CI53" i="84"/>
  <c r="AI14" i="54" s="1"/>
  <c r="CI52" i="84"/>
  <c r="AI13" i="54" s="1"/>
  <c r="BL34" i="84"/>
  <c r="CJ58" i="84"/>
  <c r="AJ19" i="54" s="1"/>
  <c r="CH53" i="84"/>
  <c r="AH14" i="54" s="1"/>
  <c r="CI64" i="84"/>
  <c r="BL36" i="84"/>
  <c r="CG64" i="84"/>
  <c r="BL31" i="84"/>
  <c r="BM31" i="84" s="1"/>
  <c r="BN31" i="84" s="1"/>
  <c r="BO31" i="84" s="1"/>
  <c r="CJ56" i="84"/>
  <c r="AJ17" i="54" s="1"/>
  <c r="CG56" i="84"/>
  <c r="AG17" i="54" s="1"/>
  <c r="CI56" i="84"/>
  <c r="AI17" i="54" s="1"/>
  <c r="BL38" i="84"/>
  <c r="BM38" i="84" s="1"/>
  <c r="BN38" i="84" s="1"/>
  <c r="BO38" i="84" s="1"/>
  <c r="Z23" i="54"/>
  <c r="Z24" i="54" s="1"/>
  <c r="CI60" i="84"/>
  <c r="AI21" i="54" s="1"/>
  <c r="AF18" i="54"/>
  <c r="CG55" i="84"/>
  <c r="AG16" i="54" s="1"/>
  <c r="CJ55" i="84"/>
  <c r="AJ16" i="54" s="1"/>
  <c r="CJ62" i="84"/>
  <c r="AJ23" i="54" s="1"/>
  <c r="Z18" i="54"/>
  <c r="CI58" i="84"/>
  <c r="AI19" i="54" s="1"/>
  <c r="CG60" i="84"/>
  <c r="AG21" i="54" s="1"/>
  <c r="AF14" i="54"/>
  <c r="CH62" i="84"/>
  <c r="AH23" i="54" s="1"/>
  <c r="CJ60" i="84"/>
  <c r="AJ21" i="54" s="1"/>
  <c r="CH60" i="84"/>
  <c r="AH21" i="54" s="1"/>
  <c r="AF20" i="54"/>
  <c r="CI54" i="84"/>
  <c r="AI15" i="54" s="1"/>
  <c r="CG59" i="84"/>
  <c r="AG20" i="54" s="1"/>
  <c r="CJ57" i="84"/>
  <c r="AJ18" i="54" s="1"/>
  <c r="CG61" i="84"/>
  <c r="AG22" i="54" s="1"/>
  <c r="CI63" i="84"/>
  <c r="AI24" i="54" s="1"/>
  <c r="CI57" i="84"/>
  <c r="AI18" i="54" s="1"/>
  <c r="BL37" i="84"/>
  <c r="BM37" i="84" s="1"/>
  <c r="BN37" i="84" s="1"/>
  <c r="BO37" i="84" s="1"/>
  <c r="CJ61" i="84"/>
  <c r="AJ22" i="54" s="1"/>
  <c r="CJ63" i="84"/>
  <c r="AJ24" i="54" s="1"/>
  <c r="CH59" i="84"/>
  <c r="AH20" i="54" s="1"/>
  <c r="Z25" i="54"/>
  <c r="CI61" i="84"/>
  <c r="AI22" i="54" s="1"/>
  <c r="CH63" i="84"/>
  <c r="AH24" i="54" s="1"/>
  <c r="CG54" i="84"/>
  <c r="AG15" i="54" s="1"/>
  <c r="CG57" i="84"/>
  <c r="AG18" i="54" s="1"/>
  <c r="BP42" i="84"/>
  <c r="BT42" i="84" s="1"/>
  <c r="AF22" i="54"/>
  <c r="AF24" i="54"/>
  <c r="AF25" i="54" s="1"/>
  <c r="CJ59" i="84"/>
  <c r="AJ20" i="54" s="1"/>
  <c r="CH54" i="84"/>
  <c r="AH15" i="54" s="1"/>
  <c r="CG52" i="84"/>
  <c r="AG13" i="54" s="1"/>
  <c r="CU13" i="84"/>
  <c r="CU33" i="84" s="1"/>
  <c r="CJ52" i="84" s="1"/>
  <c r="AJ13" i="54" s="1"/>
  <c r="BP30" i="84"/>
  <c r="BQ30" i="84" s="1"/>
  <c r="AA13" i="54" s="1"/>
  <c r="AG24" i="54"/>
  <c r="AG25" i="54"/>
  <c r="Z43" i="92"/>
  <c r="Z73" i="92" s="1"/>
  <c r="Z74" i="92" s="1"/>
  <c r="BM35" i="84"/>
  <c r="BN35" i="84" s="1"/>
  <c r="BO35" i="84" s="1"/>
  <c r="BM40" i="84"/>
  <c r="BN40" i="84" s="1"/>
  <c r="BO40" i="84" s="1"/>
  <c r="Z37" i="92"/>
  <c r="Z68" i="92" s="1"/>
  <c r="Z69" i="92" s="1"/>
  <c r="AA54" i="96"/>
  <c r="BP39" i="84"/>
  <c r="BP41" i="84"/>
  <c r="BM36" i="84"/>
  <c r="BN36" i="84" s="1"/>
  <c r="BO36" i="84" s="1"/>
  <c r="BP37" i="84"/>
  <c r="BM32" i="84"/>
  <c r="BN32" i="84" s="1"/>
  <c r="BO32" i="84" s="1"/>
  <c r="BM33" i="84"/>
  <c r="BN33" i="84" s="1"/>
  <c r="BO33" i="84" s="1"/>
  <c r="BM34" i="84"/>
  <c r="BN34" i="84" s="1"/>
  <c r="BO34" i="84" s="1"/>
  <c r="Z38" i="92"/>
  <c r="AA53" i="96"/>
  <c r="AA78" i="96" s="1"/>
  <c r="AA79" i="96" s="1"/>
  <c r="Z53" i="92"/>
  <c r="Z78" i="92" s="1"/>
  <c r="Z79" i="92" s="1"/>
  <c r="AA38" i="96"/>
  <c r="W38" i="89"/>
  <c r="Z54" i="92"/>
  <c r="Z44" i="92"/>
  <c r="Z60" i="92"/>
  <c r="AA60" i="96"/>
  <c r="AA44" i="96"/>
  <c r="W54" i="89"/>
  <c r="AA37" i="96"/>
  <c r="AA68" i="96" s="1"/>
  <c r="AA69" i="96" s="1"/>
  <c r="W53" i="89"/>
  <c r="W78" i="89" s="1"/>
  <c r="AA43" i="96"/>
  <c r="AA73" i="96" s="1"/>
  <c r="AA74" i="96" s="1"/>
  <c r="W37" i="89"/>
  <c r="W68" i="89" s="1"/>
  <c r="W69" i="89" s="1"/>
  <c r="AA59" i="96"/>
  <c r="AA83" i="96" s="1"/>
  <c r="AA84" i="96" s="1"/>
  <c r="Z59" i="92"/>
  <c r="Z83" i="92" s="1"/>
  <c r="Z84" i="92" s="1"/>
  <c r="V37" i="93"/>
  <c r="V68" i="93" s="1"/>
  <c r="V38" i="92"/>
  <c r="V54" i="93"/>
  <c r="V44" i="93"/>
  <c r="V53" i="92"/>
  <c r="V78" i="92" s="1"/>
  <c r="V54" i="92"/>
  <c r="Y53" i="89"/>
  <c r="Y78" i="89" s="1"/>
  <c r="Y79" i="89" s="1"/>
  <c r="P38" i="93"/>
  <c r="AA37" i="93"/>
  <c r="AA68" i="93" s="1"/>
  <c r="AA69" i="93" s="1"/>
  <c r="V60" i="92"/>
  <c r="V43" i="92"/>
  <c r="V73" i="92" s="1"/>
  <c r="V59" i="92"/>
  <c r="V83" i="92" s="1"/>
  <c r="V37" i="92"/>
  <c r="V68" i="92" s="1"/>
  <c r="V44" i="92"/>
  <c r="V53" i="93"/>
  <c r="V78" i="93" s="1"/>
  <c r="P37" i="93"/>
  <c r="P68" i="93" s="1"/>
  <c r="AA38" i="93"/>
  <c r="U53" i="96"/>
  <c r="U78" i="96" s="1"/>
  <c r="S60" i="93"/>
  <c r="S43" i="93"/>
  <c r="S73" i="93" s="1"/>
  <c r="P60" i="93"/>
  <c r="Y54" i="92"/>
  <c r="V43" i="93"/>
  <c r="V73" i="93" s="1"/>
  <c r="K54" i="93"/>
  <c r="T59" i="93"/>
  <c r="T83" i="93" s="1"/>
  <c r="T43" i="93"/>
  <c r="T73" i="93" s="1"/>
  <c r="P44" i="93"/>
  <c r="S44" i="93"/>
  <c r="T54" i="93"/>
  <c r="P53" i="93"/>
  <c r="P78" i="93" s="1"/>
  <c r="P54" i="93"/>
  <c r="T44" i="93"/>
  <c r="Z53" i="90"/>
  <c r="Z78" i="90" s="1"/>
  <c r="Z79" i="90" s="1"/>
  <c r="Z37" i="90"/>
  <c r="Z68" i="90" s="1"/>
  <c r="Z69" i="90" s="1"/>
  <c r="AA43" i="93"/>
  <c r="AA73" i="93" s="1"/>
  <c r="AA74" i="93" s="1"/>
  <c r="P43" i="93"/>
  <c r="P73" i="93" s="1"/>
  <c r="T38" i="93"/>
  <c r="S37" i="93"/>
  <c r="S68" i="93" s="1"/>
  <c r="T53" i="93"/>
  <c r="T78" i="93" s="1"/>
  <c r="Y60" i="92"/>
  <c r="AA54" i="93"/>
  <c r="V59" i="93"/>
  <c r="V83" i="93" s="1"/>
  <c r="U54" i="96"/>
  <c r="S54" i="93"/>
  <c r="Z38" i="90"/>
  <c r="S38" i="93"/>
  <c r="T60" i="93"/>
  <c r="Y53" i="92"/>
  <c r="Y78" i="92" s="1"/>
  <c r="Y79" i="92" s="1"/>
  <c r="S53" i="93"/>
  <c r="S78" i="93" s="1"/>
  <c r="S59" i="93"/>
  <c r="S83" i="93" s="1"/>
  <c r="AA53" i="93"/>
  <c r="AA78" i="93" s="1"/>
  <c r="AA79" i="93" s="1"/>
  <c r="T37" i="93"/>
  <c r="T68" i="93" s="1"/>
  <c r="X37" i="89"/>
  <c r="X68" i="89" s="1"/>
  <c r="X69" i="89" s="1"/>
  <c r="K60" i="93"/>
  <c r="Y37" i="92"/>
  <c r="Y68" i="92" s="1"/>
  <c r="Y69" i="92" s="1"/>
  <c r="X54" i="89"/>
  <c r="Z43" i="90"/>
  <c r="Z73" i="90" s="1"/>
  <c r="Z74" i="90" s="1"/>
  <c r="AA59" i="93"/>
  <c r="AA83" i="93" s="1"/>
  <c r="AA84" i="93" s="1"/>
  <c r="P59" i="93"/>
  <c r="P83" i="93" s="1"/>
  <c r="V60" i="93"/>
  <c r="AA44" i="93"/>
  <c r="K43" i="93"/>
  <c r="K73" i="93" s="1"/>
  <c r="Y43" i="92"/>
  <c r="Y73" i="92" s="1"/>
  <c r="K59" i="93"/>
  <c r="K83" i="93" s="1"/>
  <c r="Z60" i="90"/>
  <c r="Y38" i="92"/>
  <c r="AA60" i="93"/>
  <c r="V38" i="93"/>
  <c r="K53" i="93"/>
  <c r="K78" i="93" s="1"/>
  <c r="Z59" i="90"/>
  <c r="Z83" i="90" s="1"/>
  <c r="Z84" i="90" s="1"/>
  <c r="K44" i="93"/>
  <c r="Z54" i="90"/>
  <c r="X38" i="89"/>
  <c r="Y54" i="89"/>
  <c r="Y38" i="89"/>
  <c r="Y44" i="92"/>
  <c r="X53" i="89"/>
  <c r="X78" i="89" s="1"/>
  <c r="X79" i="89" s="1"/>
  <c r="Y37" i="89"/>
  <c r="Y68" i="89" s="1"/>
  <c r="Y69" i="89" s="1"/>
  <c r="Z44" i="90"/>
  <c r="Y59" i="92"/>
  <c r="Y83" i="92" s="1"/>
  <c r="K38" i="93"/>
  <c r="K37" i="93"/>
  <c r="K68" i="93" s="1"/>
  <c r="O44" i="93"/>
  <c r="O43" i="93"/>
  <c r="O73" i="93" s="1"/>
  <c r="Z54" i="93"/>
  <c r="Z53" i="93"/>
  <c r="Z78" i="93" s="1"/>
  <c r="Z79" i="93" s="1"/>
  <c r="J43" i="93"/>
  <c r="J73" i="93" s="1"/>
  <c r="J44" i="93"/>
  <c r="X44" i="93"/>
  <c r="X43" i="93"/>
  <c r="X73" i="93" s="1"/>
  <c r="H54" i="93"/>
  <c r="H53" i="93"/>
  <c r="H78" i="93" s="1"/>
  <c r="R54" i="93"/>
  <c r="R53" i="93"/>
  <c r="R78" i="93" s="1"/>
  <c r="Z60" i="93"/>
  <c r="Z59" i="93"/>
  <c r="Z83" i="93" s="1"/>
  <c r="Z84" i="93" s="1"/>
  <c r="Z37" i="93"/>
  <c r="Z68" i="93" s="1"/>
  <c r="Z69" i="93" s="1"/>
  <c r="Z38" i="93"/>
  <c r="L59" i="93"/>
  <c r="L83" i="93" s="1"/>
  <c r="L60" i="93"/>
  <c r="L38" i="93"/>
  <c r="L37" i="93"/>
  <c r="L68" i="93" s="1"/>
  <c r="I60" i="93"/>
  <c r="I59" i="93"/>
  <c r="I83" i="93" s="1"/>
  <c r="I38" i="93"/>
  <c r="I37" i="93"/>
  <c r="I68" i="93" s="1"/>
  <c r="I43" i="93"/>
  <c r="I73" i="93" s="1"/>
  <c r="I44" i="93"/>
  <c r="U44" i="93"/>
  <c r="U43" i="93"/>
  <c r="U73" i="93" s="1"/>
  <c r="R43" i="93"/>
  <c r="R73" i="93" s="1"/>
  <c r="R44" i="93"/>
  <c r="Y60" i="93"/>
  <c r="Y59" i="93"/>
  <c r="Y83" i="93" s="1"/>
  <c r="Y38" i="93"/>
  <c r="Y37" i="93"/>
  <c r="Y68" i="93" s="1"/>
  <c r="Y69" i="93" s="1"/>
  <c r="L53" i="93"/>
  <c r="L78" i="93" s="1"/>
  <c r="L54" i="93"/>
  <c r="W54" i="93"/>
  <c r="W53" i="93"/>
  <c r="W78" i="93" s="1"/>
  <c r="W38" i="93"/>
  <c r="W59" i="93"/>
  <c r="W83" i="93" s="1"/>
  <c r="W60" i="93"/>
  <c r="W37" i="93"/>
  <c r="W68" i="93" s="1"/>
  <c r="I53" i="93"/>
  <c r="I78" i="93" s="1"/>
  <c r="I54" i="93"/>
  <c r="U60" i="93"/>
  <c r="U59" i="93"/>
  <c r="U83" i="93" s="1"/>
  <c r="U37" i="93"/>
  <c r="U68" i="93" s="1"/>
  <c r="U38" i="93"/>
  <c r="R38" i="93"/>
  <c r="R37" i="93"/>
  <c r="R68" i="93" s="1"/>
  <c r="R59" i="93"/>
  <c r="R83" i="93" s="1"/>
  <c r="R60" i="93"/>
  <c r="Q60" i="93"/>
  <c r="Q59" i="93"/>
  <c r="Q83" i="93" s="1"/>
  <c r="Q38" i="93"/>
  <c r="Q37" i="93"/>
  <c r="Q68" i="93" s="1"/>
  <c r="O54" i="93"/>
  <c r="O53" i="93"/>
  <c r="O78" i="93" s="1"/>
  <c r="Z43" i="93"/>
  <c r="Z73" i="93" s="1"/>
  <c r="Z74" i="93" s="1"/>
  <c r="Z44" i="93"/>
  <c r="J60" i="93"/>
  <c r="J59" i="93"/>
  <c r="J83" i="93" s="1"/>
  <c r="J37" i="93"/>
  <c r="J68" i="93" s="1"/>
  <c r="J38" i="93"/>
  <c r="J54" i="93"/>
  <c r="J53" i="93"/>
  <c r="J78" i="93" s="1"/>
  <c r="L44" i="93"/>
  <c r="L43" i="93"/>
  <c r="L73" i="93" s="1"/>
  <c r="H44" i="93"/>
  <c r="H43" i="93"/>
  <c r="H73" i="93" s="1"/>
  <c r="U53" i="93"/>
  <c r="U78" i="93" s="1"/>
  <c r="U54" i="93"/>
  <c r="X54" i="93"/>
  <c r="X53" i="93"/>
  <c r="X78" i="93" s="1"/>
  <c r="M44" i="93"/>
  <c r="M43" i="93"/>
  <c r="M73" i="93" s="1"/>
  <c r="N43" i="93"/>
  <c r="N73" i="93" s="1"/>
  <c r="N44" i="93"/>
  <c r="H59" i="93"/>
  <c r="H83" i="93" s="1"/>
  <c r="H38" i="93"/>
  <c r="H60" i="93"/>
  <c r="H37" i="93"/>
  <c r="H68" i="93" s="1"/>
  <c r="Q44" i="93"/>
  <c r="Q43" i="93"/>
  <c r="Q73" i="93" s="1"/>
  <c r="Q53" i="93"/>
  <c r="Q78" i="93" s="1"/>
  <c r="Q54" i="93"/>
  <c r="O60" i="93"/>
  <c r="O59" i="93"/>
  <c r="O83" i="93" s="1"/>
  <c r="O38" i="93"/>
  <c r="O37" i="93"/>
  <c r="O68" i="93" s="1"/>
  <c r="X59" i="93"/>
  <c r="X83" i="93" s="1"/>
  <c r="X60" i="93"/>
  <c r="X38" i="93"/>
  <c r="X37" i="93"/>
  <c r="X68" i="93" s="1"/>
  <c r="X69" i="93" s="1"/>
  <c r="Y43" i="93"/>
  <c r="Y73" i="93" s="1"/>
  <c r="Y44" i="93"/>
  <c r="Y53" i="93"/>
  <c r="Y78" i="93" s="1"/>
  <c r="Y79" i="93" s="1"/>
  <c r="Y54" i="93"/>
  <c r="M60" i="93"/>
  <c r="M59" i="93"/>
  <c r="M83" i="93" s="1"/>
  <c r="M38" i="93"/>
  <c r="M37" i="93"/>
  <c r="M68" i="93" s="1"/>
  <c r="M53" i="93"/>
  <c r="M78" i="93" s="1"/>
  <c r="M54" i="93"/>
  <c r="N59" i="93"/>
  <c r="N83" i="93" s="1"/>
  <c r="N60" i="93"/>
  <c r="N37" i="93"/>
  <c r="N68" i="93" s="1"/>
  <c r="N38" i="93"/>
  <c r="N54" i="93"/>
  <c r="N53" i="93"/>
  <c r="N78" i="93" s="1"/>
  <c r="W44" i="93"/>
  <c r="W43" i="93"/>
  <c r="W73" i="93" s="1"/>
  <c r="N60" i="92"/>
  <c r="N59" i="92"/>
  <c r="N83" i="92" s="1"/>
  <c r="N38" i="92"/>
  <c r="N37" i="92"/>
  <c r="N68" i="92" s="1"/>
  <c r="H44" i="92"/>
  <c r="H43" i="92"/>
  <c r="H73" i="92" s="1"/>
  <c r="T60" i="92"/>
  <c r="T59" i="92"/>
  <c r="T83" i="92" s="1"/>
  <c r="T37" i="92"/>
  <c r="T68" i="92" s="1"/>
  <c r="T38" i="92"/>
  <c r="U53" i="92"/>
  <c r="U78" i="92" s="1"/>
  <c r="U54" i="92"/>
  <c r="N43" i="92"/>
  <c r="N73" i="92" s="1"/>
  <c r="N44" i="92"/>
  <c r="AA43" i="92"/>
  <c r="AA73" i="92" s="1"/>
  <c r="AA74" i="92" s="1"/>
  <c r="AA44" i="92"/>
  <c r="O60" i="92"/>
  <c r="O59" i="92"/>
  <c r="O83" i="92" s="1"/>
  <c r="O38" i="92"/>
  <c r="O37" i="92"/>
  <c r="O68" i="92" s="1"/>
  <c r="I60" i="92"/>
  <c r="I59" i="92"/>
  <c r="I83" i="92" s="1"/>
  <c r="I37" i="92"/>
  <c r="I68" i="92" s="1"/>
  <c r="I38" i="92"/>
  <c r="S60" i="92"/>
  <c r="S59" i="92"/>
  <c r="S83" i="92" s="1"/>
  <c r="S37" i="92"/>
  <c r="S68" i="92" s="1"/>
  <c r="S38" i="92"/>
  <c r="S54" i="92"/>
  <c r="S53" i="92"/>
  <c r="S78" i="92" s="1"/>
  <c r="K54" i="92"/>
  <c r="K53" i="92"/>
  <c r="K78" i="92" s="1"/>
  <c r="AA54" i="92"/>
  <c r="AA53" i="92"/>
  <c r="AA78" i="92" s="1"/>
  <c r="AA79" i="92" s="1"/>
  <c r="I43" i="92"/>
  <c r="I73" i="92" s="1"/>
  <c r="I44" i="92"/>
  <c r="H60" i="92"/>
  <c r="H59" i="92"/>
  <c r="H83" i="92" s="1"/>
  <c r="H37" i="92"/>
  <c r="H68" i="92" s="1"/>
  <c r="H38" i="92"/>
  <c r="P60" i="92"/>
  <c r="P59" i="92"/>
  <c r="P83" i="92" s="1"/>
  <c r="P38" i="92"/>
  <c r="P37" i="92"/>
  <c r="P68" i="92" s="1"/>
  <c r="L53" i="92"/>
  <c r="L78" i="92" s="1"/>
  <c r="L54" i="92"/>
  <c r="W43" i="92"/>
  <c r="W73" i="92" s="1"/>
  <c r="W44" i="92"/>
  <c r="W54" i="92"/>
  <c r="W53" i="92"/>
  <c r="W78" i="92" s="1"/>
  <c r="J60" i="92"/>
  <c r="J38" i="92"/>
  <c r="J59" i="92"/>
  <c r="J83" i="92" s="1"/>
  <c r="J37" i="92"/>
  <c r="J68" i="92" s="1"/>
  <c r="T53" i="92"/>
  <c r="T78" i="92" s="1"/>
  <c r="T54" i="92"/>
  <c r="U43" i="92"/>
  <c r="U73" i="92" s="1"/>
  <c r="U44" i="92"/>
  <c r="AA60" i="92"/>
  <c r="AA59" i="92"/>
  <c r="AA83" i="92" s="1"/>
  <c r="AA84" i="92" s="1"/>
  <c r="AA38" i="92"/>
  <c r="AA37" i="92"/>
  <c r="AA68" i="92" s="1"/>
  <c r="AA69" i="92" s="1"/>
  <c r="M43" i="92"/>
  <c r="M73" i="92" s="1"/>
  <c r="M44" i="92"/>
  <c r="X53" i="92"/>
  <c r="X78" i="92" s="1"/>
  <c r="X54" i="92"/>
  <c r="H53" i="92"/>
  <c r="H78" i="92" s="1"/>
  <c r="H54" i="92"/>
  <c r="P44" i="92"/>
  <c r="P43" i="92"/>
  <c r="P73" i="92" s="1"/>
  <c r="Q43" i="92"/>
  <c r="Q73" i="92" s="1"/>
  <c r="Q44" i="92"/>
  <c r="J53" i="92"/>
  <c r="J78" i="92" s="1"/>
  <c r="J54" i="92"/>
  <c r="U60" i="92"/>
  <c r="U59" i="92"/>
  <c r="U83" i="92" s="1"/>
  <c r="U37" i="92"/>
  <c r="U68" i="92" s="1"/>
  <c r="U38" i="92"/>
  <c r="N53" i="92"/>
  <c r="N78" i="92" s="1"/>
  <c r="N54" i="92"/>
  <c r="O43" i="92"/>
  <c r="O73" i="92" s="1"/>
  <c r="O44" i="92"/>
  <c r="I53" i="92"/>
  <c r="I78" i="92" s="1"/>
  <c r="I54" i="92"/>
  <c r="M60" i="92"/>
  <c r="M59" i="92"/>
  <c r="M83" i="92" s="1"/>
  <c r="M37" i="92"/>
  <c r="M68" i="92" s="1"/>
  <c r="M38" i="92"/>
  <c r="X44" i="92"/>
  <c r="X43" i="92"/>
  <c r="X73" i="92" s="1"/>
  <c r="R43" i="92"/>
  <c r="R73" i="92" s="1"/>
  <c r="R44" i="92"/>
  <c r="R53" i="92"/>
  <c r="R78" i="92" s="1"/>
  <c r="R54" i="92"/>
  <c r="P53" i="92"/>
  <c r="P78" i="92" s="1"/>
  <c r="P54" i="92"/>
  <c r="Q60" i="92"/>
  <c r="Q59" i="92"/>
  <c r="Q83" i="92" s="1"/>
  <c r="Q37" i="92"/>
  <c r="Q68" i="92" s="1"/>
  <c r="Q38" i="92"/>
  <c r="L60" i="92"/>
  <c r="L59" i="92"/>
  <c r="L83" i="92" s="1"/>
  <c r="L38" i="92"/>
  <c r="L37" i="92"/>
  <c r="L68" i="92" s="1"/>
  <c r="L44" i="92"/>
  <c r="L43" i="92"/>
  <c r="L73" i="92" s="1"/>
  <c r="W60" i="92"/>
  <c r="W59" i="92"/>
  <c r="W83" i="92" s="1"/>
  <c r="W38" i="92"/>
  <c r="W37" i="92"/>
  <c r="W68" i="92" s="1"/>
  <c r="J43" i="92"/>
  <c r="J73" i="92" s="1"/>
  <c r="J44" i="92"/>
  <c r="T44" i="92"/>
  <c r="T43" i="92"/>
  <c r="T73" i="92" s="1"/>
  <c r="O54" i="92"/>
  <c r="O53" i="92"/>
  <c r="O78" i="92" s="1"/>
  <c r="M53" i="92"/>
  <c r="M78" i="92" s="1"/>
  <c r="M54" i="92"/>
  <c r="S43" i="92"/>
  <c r="S73" i="92" s="1"/>
  <c r="S44" i="92"/>
  <c r="X60" i="92"/>
  <c r="X59" i="92"/>
  <c r="X83" i="92" s="1"/>
  <c r="X37" i="92"/>
  <c r="X68" i="92" s="1"/>
  <c r="X69" i="92" s="1"/>
  <c r="X38" i="92"/>
  <c r="R60" i="92"/>
  <c r="R59" i="92"/>
  <c r="R83" i="92" s="1"/>
  <c r="R38" i="92"/>
  <c r="R37" i="92"/>
  <c r="R68" i="92" s="1"/>
  <c r="K60" i="92"/>
  <c r="K59" i="92"/>
  <c r="K83" i="92" s="1"/>
  <c r="K38" i="92"/>
  <c r="K37" i="92"/>
  <c r="K68" i="92" s="1"/>
  <c r="K43" i="92"/>
  <c r="K73" i="92" s="1"/>
  <c r="K74" i="92" s="1"/>
  <c r="K44" i="92"/>
  <c r="Q53" i="92"/>
  <c r="Q78" i="92" s="1"/>
  <c r="Q54" i="92"/>
  <c r="AA60" i="90"/>
  <c r="AA59" i="90"/>
  <c r="AA83" i="90" s="1"/>
  <c r="AA84" i="90" s="1"/>
  <c r="AA37" i="90"/>
  <c r="AA68" i="90" s="1"/>
  <c r="AA69" i="90" s="1"/>
  <c r="AA38" i="90"/>
  <c r="Y53" i="90"/>
  <c r="Y78" i="90" s="1"/>
  <c r="Y79" i="90" s="1"/>
  <c r="Y54" i="90"/>
  <c r="AA53" i="90"/>
  <c r="AA78" i="90" s="1"/>
  <c r="AA79" i="90" s="1"/>
  <c r="AA54" i="90"/>
  <c r="X38" i="90"/>
  <c r="X37" i="90"/>
  <c r="X68" i="90" s="1"/>
  <c r="X69" i="90" s="1"/>
  <c r="K43" i="90"/>
  <c r="K73" i="90" s="1"/>
  <c r="K74" i="90" s="1"/>
  <c r="K44" i="90"/>
  <c r="Y37" i="90"/>
  <c r="Y68" i="90" s="1"/>
  <c r="Y69" i="90" s="1"/>
  <c r="Y38" i="90"/>
  <c r="AA43" i="90"/>
  <c r="AA73" i="90" s="1"/>
  <c r="AA74" i="90" s="1"/>
  <c r="AA44" i="90"/>
  <c r="W53" i="97"/>
  <c r="W78" i="97" s="1"/>
  <c r="W54" i="97"/>
  <c r="Y54" i="97"/>
  <c r="Y53" i="97"/>
  <c r="Y78" i="97" s="1"/>
  <c r="Y79" i="97" s="1"/>
  <c r="AA53" i="97"/>
  <c r="AA78" i="97" s="1"/>
  <c r="AA79" i="97" s="1"/>
  <c r="AA54" i="97"/>
  <c r="U54" i="97"/>
  <c r="U53" i="97"/>
  <c r="U78" i="97" s="1"/>
  <c r="Y38" i="97"/>
  <c r="Y37" i="97"/>
  <c r="Y68" i="97" s="1"/>
  <c r="Y69" i="97" s="1"/>
  <c r="X37" i="97"/>
  <c r="X68" i="97" s="1"/>
  <c r="X69" i="97" s="1"/>
  <c r="X38" i="97"/>
  <c r="X53" i="97"/>
  <c r="X78" i="97" s="1"/>
  <c r="X54" i="97"/>
  <c r="K44" i="97"/>
  <c r="K43" i="97"/>
  <c r="K73" i="97" s="1"/>
  <c r="K74" i="97" s="1"/>
  <c r="AA44" i="97"/>
  <c r="AA43" i="97"/>
  <c r="AA73" i="97" s="1"/>
  <c r="AA74" i="97" s="1"/>
  <c r="Z60" i="97"/>
  <c r="Z59" i="97"/>
  <c r="Z83" i="97" s="1"/>
  <c r="Z84" i="97" s="1"/>
  <c r="Z38" i="97"/>
  <c r="Z37" i="97"/>
  <c r="Z68" i="97" s="1"/>
  <c r="Z69" i="97" s="1"/>
  <c r="Z43" i="97"/>
  <c r="Z73" i="97" s="1"/>
  <c r="Z74" i="97" s="1"/>
  <c r="Z44" i="97"/>
  <c r="Z53" i="97"/>
  <c r="Z78" i="97" s="1"/>
  <c r="Z79" i="97" s="1"/>
  <c r="Z54" i="97"/>
  <c r="W38" i="97"/>
  <c r="W37" i="97"/>
  <c r="W68" i="97" s="1"/>
  <c r="AA59" i="97"/>
  <c r="AA83" i="97" s="1"/>
  <c r="AA84" i="97" s="1"/>
  <c r="AA60" i="97"/>
  <c r="AA38" i="97"/>
  <c r="AA37" i="97"/>
  <c r="AA68" i="97" s="1"/>
  <c r="AA69" i="97" s="1"/>
  <c r="Y37" i="96"/>
  <c r="Y68" i="96" s="1"/>
  <c r="Y69" i="96" s="1"/>
  <c r="Y38" i="96"/>
  <c r="K43" i="96"/>
  <c r="K73" i="96" s="1"/>
  <c r="K74" i="96" s="1"/>
  <c r="K44" i="96"/>
  <c r="Y53" i="96"/>
  <c r="Y78" i="96" s="1"/>
  <c r="Y79" i="96" s="1"/>
  <c r="Y54" i="96"/>
  <c r="X38" i="96"/>
  <c r="X37" i="96"/>
  <c r="X68" i="96" s="1"/>
  <c r="X69" i="96" s="1"/>
  <c r="X54" i="96"/>
  <c r="X53" i="96"/>
  <c r="X78" i="96" s="1"/>
  <c r="W54" i="96"/>
  <c r="W53" i="96"/>
  <c r="W78" i="96" s="1"/>
  <c r="Z43" i="96"/>
  <c r="Z73" i="96" s="1"/>
  <c r="Z74" i="96" s="1"/>
  <c r="Z44" i="96"/>
  <c r="Z53" i="96"/>
  <c r="Z78" i="96" s="1"/>
  <c r="Z79" i="96" s="1"/>
  <c r="Z54" i="96"/>
  <c r="Z59" i="96"/>
  <c r="Z83" i="96" s="1"/>
  <c r="Z84" i="96" s="1"/>
  <c r="Z37" i="96"/>
  <c r="Z68" i="96" s="1"/>
  <c r="Z69" i="96" s="1"/>
  <c r="Z60" i="96"/>
  <c r="Z38" i="96"/>
  <c r="W37" i="96"/>
  <c r="W68" i="96" s="1"/>
  <c r="W38" i="96"/>
  <c r="AA54" i="95"/>
  <c r="AA53" i="95"/>
  <c r="AA78" i="95" s="1"/>
  <c r="AA79" i="95" s="1"/>
  <c r="Z43" i="95"/>
  <c r="Z73" i="95" s="1"/>
  <c r="Z74" i="95" s="1"/>
  <c r="Z44" i="95"/>
  <c r="Y37" i="95"/>
  <c r="Y68" i="95" s="1"/>
  <c r="Y69" i="95" s="1"/>
  <c r="Y38" i="95"/>
  <c r="AA44" i="95"/>
  <c r="AA43" i="95"/>
  <c r="AA73" i="95" s="1"/>
  <c r="AA74" i="95" s="1"/>
  <c r="Z54" i="95"/>
  <c r="Z53" i="95"/>
  <c r="Z78" i="95" s="1"/>
  <c r="Z79" i="95" s="1"/>
  <c r="Y54" i="95"/>
  <c r="Y53" i="95"/>
  <c r="Y78" i="95" s="1"/>
  <c r="Y79" i="95" s="1"/>
  <c r="X38" i="95"/>
  <c r="X37" i="95"/>
  <c r="X68" i="95" s="1"/>
  <c r="X69" i="95" s="1"/>
  <c r="AA60" i="95"/>
  <c r="AA59" i="95"/>
  <c r="AA83" i="95" s="1"/>
  <c r="AA84" i="95" s="1"/>
  <c r="AA38" i="95"/>
  <c r="AA37" i="95"/>
  <c r="AA68" i="95" s="1"/>
  <c r="AA69" i="95" s="1"/>
  <c r="Z60" i="95"/>
  <c r="Z37" i="95"/>
  <c r="Z68" i="95" s="1"/>
  <c r="Z69" i="95" s="1"/>
  <c r="Z59" i="95"/>
  <c r="Z83" i="95" s="1"/>
  <c r="Z84" i="95" s="1"/>
  <c r="Z38" i="95"/>
  <c r="K44" i="95"/>
  <c r="K43" i="95"/>
  <c r="K73" i="95" s="1"/>
  <c r="K74" i="95" s="1"/>
  <c r="Z43" i="89"/>
  <c r="Z73" i="89" s="1"/>
  <c r="Z74" i="89" s="1"/>
  <c r="Z44" i="89"/>
  <c r="K43" i="89"/>
  <c r="K73" i="89" s="1"/>
  <c r="K74" i="89" s="1"/>
  <c r="K44" i="89"/>
  <c r="Z59" i="89"/>
  <c r="Z83" i="89" s="1"/>
  <c r="Z84" i="89" s="1"/>
  <c r="Z60" i="89"/>
  <c r="Z38" i="89"/>
  <c r="Z37" i="89"/>
  <c r="Z68" i="89" s="1"/>
  <c r="Z69" i="89" s="1"/>
  <c r="U54" i="89"/>
  <c r="U53" i="89"/>
  <c r="U78" i="89" s="1"/>
  <c r="U79" i="89" s="1"/>
  <c r="AA53" i="89"/>
  <c r="AA78" i="89" s="1"/>
  <c r="AA79" i="89" s="1"/>
  <c r="AA54" i="89"/>
  <c r="AA60" i="89"/>
  <c r="AA59" i="89"/>
  <c r="AA83" i="89" s="1"/>
  <c r="AA84" i="89" s="1"/>
  <c r="AA37" i="89"/>
  <c r="AA68" i="89" s="1"/>
  <c r="AA69" i="89" s="1"/>
  <c r="AA38" i="89"/>
  <c r="AA43" i="89"/>
  <c r="AA73" i="89" s="1"/>
  <c r="AA74" i="89" s="1"/>
  <c r="AA44" i="89"/>
  <c r="Z54" i="89"/>
  <c r="Z53" i="89"/>
  <c r="Z78" i="89" s="1"/>
  <c r="Z79" i="89" s="1"/>
  <c r="W69" i="93" l="1"/>
  <c r="X79" i="93"/>
  <c r="U79" i="93"/>
  <c r="W79" i="93"/>
  <c r="W69" i="92"/>
  <c r="X79" i="92"/>
  <c r="U79" i="92"/>
  <c r="BQ42" i="84"/>
  <c r="AA25" i="54" s="1"/>
  <c r="AD25" i="54"/>
  <c r="AI25" i="54"/>
  <c r="AH25" i="54"/>
  <c r="AJ25" i="54"/>
  <c r="BS42" i="84"/>
  <c r="AC25" i="54" s="1"/>
  <c r="BR42" i="84"/>
  <c r="AB25" i="54" s="1"/>
  <c r="CH52" i="84"/>
  <c r="AH13" i="54" s="1"/>
  <c r="M74" i="92"/>
  <c r="H74" i="92"/>
  <c r="L74" i="92"/>
  <c r="J74" i="92"/>
  <c r="BS30" i="84"/>
  <c r="AC13" i="54" s="1"/>
  <c r="BT30" i="84"/>
  <c r="AD13" i="54" s="1"/>
  <c r="BR30" i="84"/>
  <c r="AB13" i="54" s="1"/>
  <c r="BP31" i="84"/>
  <c r="BQ31" i="84" s="1"/>
  <c r="BP35" i="84"/>
  <c r="BR35" i="84" s="1"/>
  <c r="AB18" i="54" s="1"/>
  <c r="BP34" i="84"/>
  <c r="BQ34" i="84" s="1"/>
  <c r="BP40" i="84"/>
  <c r="BR40" i="84" s="1"/>
  <c r="AB23" i="54" s="1"/>
  <c r="BP38" i="84"/>
  <c r="BR38" i="84" s="1"/>
  <c r="AB21" i="54" s="1"/>
  <c r="V69" i="92"/>
  <c r="V69" i="93"/>
  <c r="T79" i="92"/>
  <c r="W84" i="92"/>
  <c r="W74" i="93"/>
  <c r="T79" i="93"/>
  <c r="BP33" i="84"/>
  <c r="BT33" i="84" s="1"/>
  <c r="AD16" i="54" s="1"/>
  <c r="BP32" i="84"/>
  <c r="BQ32" i="84" s="1"/>
  <c r="W79" i="92"/>
  <c r="V84" i="92"/>
  <c r="W74" i="92"/>
  <c r="Y74" i="92"/>
  <c r="X84" i="92"/>
  <c r="X74" i="92"/>
  <c r="Y84" i="92"/>
  <c r="U84" i="92"/>
  <c r="V74" i="92"/>
  <c r="U69" i="92"/>
  <c r="U74" i="92"/>
  <c r="V79" i="92"/>
  <c r="V79" i="93"/>
  <c r="U69" i="93"/>
  <c r="W84" i="93"/>
  <c r="Y84" i="93"/>
  <c r="U74" i="93"/>
  <c r="X74" i="93"/>
  <c r="V74" i="93"/>
  <c r="Y74" i="93"/>
  <c r="X84" i="93"/>
  <c r="U84" i="93"/>
  <c r="V84" i="93"/>
  <c r="BT32" i="84"/>
  <c r="AD15" i="54" s="1"/>
  <c r="BR41" i="84"/>
  <c r="AB24" i="54" s="1"/>
  <c r="BS41" i="84"/>
  <c r="AC24" i="54" s="1"/>
  <c r="BQ41" i="84"/>
  <c r="BT41" i="84"/>
  <c r="AD24" i="54" s="1"/>
  <c r="BQ37" i="84"/>
  <c r="BT37" i="84"/>
  <c r="AD20" i="54" s="1"/>
  <c r="BR37" i="84"/>
  <c r="AB20" i="54" s="1"/>
  <c r="BS37" i="84"/>
  <c r="AC20" i="54" s="1"/>
  <c r="BT39" i="84"/>
  <c r="AD22" i="54" s="1"/>
  <c r="BQ39" i="84"/>
  <c r="BS39" i="84"/>
  <c r="AC22" i="54" s="1"/>
  <c r="BR39" i="84"/>
  <c r="AB22" i="54" s="1"/>
  <c r="BP36" i="84"/>
  <c r="K74" i="93"/>
  <c r="T74" i="93"/>
  <c r="P74" i="92"/>
  <c r="I74" i="92"/>
  <c r="S74" i="92"/>
  <c r="R74" i="92"/>
  <c r="T74" i="92"/>
  <c r="H79" i="93"/>
  <c r="H79" i="92"/>
  <c r="T69" i="92"/>
  <c r="T84" i="92"/>
  <c r="M79" i="92"/>
  <c r="K69" i="92"/>
  <c r="Q74" i="92"/>
  <c r="K69" i="93"/>
  <c r="O79" i="92"/>
  <c r="R69" i="92"/>
  <c r="L69" i="92"/>
  <c r="K79" i="92"/>
  <c r="N69" i="92"/>
  <c r="Q79" i="92"/>
  <c r="Q69" i="92"/>
  <c r="P79" i="92"/>
  <c r="M69" i="92"/>
  <c r="I79" i="92"/>
  <c r="N79" i="92"/>
  <c r="H69" i="92"/>
  <c r="S69" i="92"/>
  <c r="I69" i="92"/>
  <c r="K84" i="92"/>
  <c r="R84" i="92"/>
  <c r="L84" i="92"/>
  <c r="Q84" i="92"/>
  <c r="M84" i="92"/>
  <c r="J69" i="92"/>
  <c r="P84" i="92"/>
  <c r="H84" i="92"/>
  <c r="S79" i="92"/>
  <c r="S84" i="92"/>
  <c r="I84" i="92"/>
  <c r="O84" i="92"/>
  <c r="N84" i="92"/>
  <c r="P69" i="92"/>
  <c r="O69" i="92"/>
  <c r="R79" i="92"/>
  <c r="O74" i="92"/>
  <c r="J79" i="92"/>
  <c r="J84" i="92"/>
  <c r="L79" i="92"/>
  <c r="N74" i="92"/>
  <c r="L79" i="93"/>
  <c r="M69" i="93"/>
  <c r="S69" i="93"/>
  <c r="N84" i="93"/>
  <c r="N74" i="93"/>
  <c r="P69" i="93"/>
  <c r="Q79" i="93"/>
  <c r="R74" i="93"/>
  <c r="I74" i="93"/>
  <c r="L84" i="93"/>
  <c r="J74" i="93"/>
  <c r="S74" i="93"/>
  <c r="S79" i="93"/>
  <c r="M84" i="93"/>
  <c r="O84" i="93"/>
  <c r="Q74" i="93"/>
  <c r="M74" i="93"/>
  <c r="L74" i="93"/>
  <c r="Q69" i="93"/>
  <c r="I69" i="93"/>
  <c r="L69" i="93"/>
  <c r="R79" i="93"/>
  <c r="T69" i="93"/>
  <c r="N69" i="93"/>
  <c r="M79" i="93"/>
  <c r="H84" i="93"/>
  <c r="J69" i="93"/>
  <c r="R84" i="93"/>
  <c r="I79" i="93"/>
  <c r="K79" i="93"/>
  <c r="K84" i="93"/>
  <c r="P84" i="93"/>
  <c r="N79" i="93"/>
  <c r="O69" i="93"/>
  <c r="H69" i="93"/>
  <c r="H74" i="93"/>
  <c r="J79" i="93"/>
  <c r="J84" i="93"/>
  <c r="O79" i="93"/>
  <c r="Q84" i="93"/>
  <c r="R69" i="93"/>
  <c r="I84" i="93"/>
  <c r="O74" i="93"/>
  <c r="T84" i="93"/>
  <c r="S84" i="93"/>
  <c r="P79" i="93"/>
  <c r="P74" i="93"/>
  <c r="AE25" i="54" l="1"/>
  <c r="BU42" i="84"/>
  <c r="AE13" i="54"/>
  <c r="BS31" i="84"/>
  <c r="AC14" i="54" s="1"/>
  <c r="BT31" i="84"/>
  <c r="AD14" i="54" s="1"/>
  <c r="BR31" i="84"/>
  <c r="AB14" i="54" s="1"/>
  <c r="BS35" i="84"/>
  <c r="AC18" i="54" s="1"/>
  <c r="BT35" i="84"/>
  <c r="AD18" i="54" s="1"/>
  <c r="BQ35" i="84"/>
  <c r="AA18" i="54" s="1"/>
  <c r="BT40" i="84"/>
  <c r="AD23" i="54" s="1"/>
  <c r="BS34" i="84"/>
  <c r="AC17" i="54" s="1"/>
  <c r="BS38" i="84"/>
  <c r="AC21" i="54" s="1"/>
  <c r="BT38" i="84"/>
  <c r="AD21" i="54" s="1"/>
  <c r="BQ38" i="84"/>
  <c r="AA21" i="54" s="1"/>
  <c r="BT34" i="84"/>
  <c r="AD17" i="54" s="1"/>
  <c r="BQ40" i="84"/>
  <c r="AA23" i="54" s="1"/>
  <c r="BS40" i="84"/>
  <c r="AC23" i="54" s="1"/>
  <c r="BR34" i="84"/>
  <c r="AB17" i="54" s="1"/>
  <c r="BQ33" i="84"/>
  <c r="AA16" i="54" s="1"/>
  <c r="BS33" i="84"/>
  <c r="AC16" i="54" s="1"/>
  <c r="BR32" i="84"/>
  <c r="AB15" i="54" s="1"/>
  <c r="BR33" i="84"/>
  <c r="AB16" i="54" s="1"/>
  <c r="BS32" i="84"/>
  <c r="AC15" i="54" s="1"/>
  <c r="AA24" i="54"/>
  <c r="AE24" i="54" s="1"/>
  <c r="BU41" i="84"/>
  <c r="BU39" i="84"/>
  <c r="AA22" i="54"/>
  <c r="AE22" i="54" s="1"/>
  <c r="AA14" i="54"/>
  <c r="AA17" i="54"/>
  <c r="AA15" i="54"/>
  <c r="BQ36" i="84"/>
  <c r="BT36" i="84"/>
  <c r="AD19" i="54" s="1"/>
  <c r="BS36" i="84"/>
  <c r="AC19" i="54" s="1"/>
  <c r="BR36" i="84"/>
  <c r="AB19" i="54" s="1"/>
  <c r="AA20" i="54"/>
  <c r="AE20" i="54" s="1"/>
  <c r="BU37" i="84"/>
  <c r="AA75" i="92"/>
  <c r="AA76" i="92" s="1"/>
  <c r="W75" i="92"/>
  <c r="N75" i="92"/>
  <c r="N77" i="92" s="1"/>
  <c r="BM20" i="54" s="1"/>
  <c r="N80" i="92"/>
  <c r="BN20" i="54" s="1"/>
  <c r="H75" i="92"/>
  <c r="X75" i="92"/>
  <c r="R75" i="92"/>
  <c r="S80" i="92"/>
  <c r="BN25" i="54" s="1"/>
  <c r="U70" i="92"/>
  <c r="BH27" i="54" s="1"/>
  <c r="J85" i="92"/>
  <c r="J87" i="92" s="1"/>
  <c r="Q75" i="92"/>
  <c r="K75" i="92"/>
  <c r="H70" i="92"/>
  <c r="BH14" i="54" s="1"/>
  <c r="W85" i="92"/>
  <c r="W86" i="92" s="1"/>
  <c r="Z85" i="92"/>
  <c r="Z87" i="92" s="1"/>
  <c r="AA80" i="92"/>
  <c r="AA82" i="92" s="1"/>
  <c r="L75" i="92"/>
  <c r="U75" i="92"/>
  <c r="O75" i="92"/>
  <c r="P80" i="92"/>
  <c r="BN22" i="54" s="1"/>
  <c r="R75" i="93"/>
  <c r="BA24" i="54" s="1"/>
  <c r="U75" i="93"/>
  <c r="X85" i="92"/>
  <c r="X87" i="92" s="1"/>
  <c r="M80" i="92"/>
  <c r="BN19" i="54" s="1"/>
  <c r="P75" i="92"/>
  <c r="I75" i="92"/>
  <c r="Y75" i="92"/>
  <c r="V75" i="92"/>
  <c r="S75" i="92"/>
  <c r="M85" i="92"/>
  <c r="M87" i="92" s="1"/>
  <c r="N70" i="92"/>
  <c r="BH20" i="54" s="1"/>
  <c r="Q80" i="92"/>
  <c r="BN23" i="54" s="1"/>
  <c r="K80" i="92"/>
  <c r="BN17" i="54" s="1"/>
  <c r="Q70" i="92"/>
  <c r="BH23" i="54" s="1"/>
  <c r="X70" i="92"/>
  <c r="Z80" i="92"/>
  <c r="Z82" i="92" s="1"/>
  <c r="T75" i="92"/>
  <c r="M75" i="92"/>
  <c r="J75" i="92"/>
  <c r="Z75" i="92"/>
  <c r="Z77" i="92" s="1"/>
  <c r="O70" i="92"/>
  <c r="BH21" i="54" s="1"/>
  <c r="L80" i="92"/>
  <c r="BN18" i="54" s="1"/>
  <c r="J80" i="92"/>
  <c r="BN16" i="54" s="1"/>
  <c r="W80" i="92"/>
  <c r="BN29" i="54" s="1"/>
  <c r="S85" i="92"/>
  <c r="S87" i="92" s="1"/>
  <c r="Y70" i="92"/>
  <c r="L85" i="92"/>
  <c r="L86" i="92" s="1"/>
  <c r="N85" i="92"/>
  <c r="N87" i="92" s="1"/>
  <c r="AA85" i="92"/>
  <c r="AA87" i="92" s="1"/>
  <c r="T85" i="92"/>
  <c r="T87" i="92" s="1"/>
  <c r="P85" i="92"/>
  <c r="P87" i="92" s="1"/>
  <c r="U85" i="92"/>
  <c r="U87" i="92" s="1"/>
  <c r="R85" i="92"/>
  <c r="R87" i="92" s="1"/>
  <c r="O85" i="92"/>
  <c r="O87" i="92" s="1"/>
  <c r="J70" i="92"/>
  <c r="BH16" i="54" s="1"/>
  <c r="V70" i="92"/>
  <c r="BH28" i="54" s="1"/>
  <c r="W70" i="92"/>
  <c r="BH29" i="54" s="1"/>
  <c r="P70" i="92"/>
  <c r="BH22" i="54" s="1"/>
  <c r="M70" i="92"/>
  <c r="BH19" i="54" s="1"/>
  <c r="H80" i="92"/>
  <c r="BN14" i="54" s="1"/>
  <c r="T80" i="92"/>
  <c r="BN26" i="54" s="1"/>
  <c r="U80" i="92"/>
  <c r="BN27" i="54" s="1"/>
  <c r="R80" i="92"/>
  <c r="BN24" i="54" s="1"/>
  <c r="O80" i="92"/>
  <c r="BN21" i="54" s="1"/>
  <c r="Q85" i="92"/>
  <c r="Q87" i="92" s="1"/>
  <c r="K85" i="92"/>
  <c r="K87" i="92" s="1"/>
  <c r="R70" i="92"/>
  <c r="BH24" i="54" s="1"/>
  <c r="S70" i="92"/>
  <c r="BH25" i="54" s="1"/>
  <c r="L70" i="92"/>
  <c r="BH18" i="54" s="1"/>
  <c r="I70" i="92"/>
  <c r="BH15" i="54" s="1"/>
  <c r="H85" i="92"/>
  <c r="H87" i="92" s="1"/>
  <c r="I85" i="92"/>
  <c r="I86" i="92" s="1"/>
  <c r="Y85" i="92"/>
  <c r="Y86" i="92" s="1"/>
  <c r="V85" i="92"/>
  <c r="V87" i="92" s="1"/>
  <c r="Z70" i="92"/>
  <c r="Z71" i="92" s="1"/>
  <c r="K70" i="92"/>
  <c r="BH17" i="54" s="1"/>
  <c r="AA70" i="92"/>
  <c r="AA72" i="92" s="1"/>
  <c r="T70" i="92"/>
  <c r="BH26" i="54" s="1"/>
  <c r="X80" i="92"/>
  <c r="BN30" i="54" s="1"/>
  <c r="I80" i="92"/>
  <c r="BN15" i="54" s="1"/>
  <c r="Y80" i="92"/>
  <c r="V80" i="92"/>
  <c r="BN28" i="54" s="1"/>
  <c r="Y85" i="93"/>
  <c r="Y87" i="93" s="1"/>
  <c r="T70" i="93"/>
  <c r="AN26" i="54" s="1"/>
  <c r="T75" i="93"/>
  <c r="R80" i="93"/>
  <c r="AT24" i="54" s="1"/>
  <c r="H80" i="93"/>
  <c r="AT14" i="54" s="1"/>
  <c r="AA70" i="93"/>
  <c r="AA71" i="93" s="1"/>
  <c r="V85" i="93"/>
  <c r="V87" i="93" s="1"/>
  <c r="L85" i="93"/>
  <c r="L87" i="93" s="1"/>
  <c r="S70" i="93"/>
  <c r="AX25" i="54" s="1"/>
  <c r="U80" i="93"/>
  <c r="AT27" i="54" s="1"/>
  <c r="K75" i="93"/>
  <c r="H85" i="93"/>
  <c r="H86" i="93" s="1"/>
  <c r="S85" i="93"/>
  <c r="S87" i="93" s="1"/>
  <c r="W70" i="93"/>
  <c r="AN29" i="54" s="1"/>
  <c r="Q70" i="93"/>
  <c r="AX23" i="54" s="1"/>
  <c r="AY23" i="54" s="1"/>
  <c r="T80" i="93"/>
  <c r="T81" i="93" s="1"/>
  <c r="AU26" i="54" s="1"/>
  <c r="P75" i="93"/>
  <c r="BA22" i="54" s="1"/>
  <c r="M80" i="93"/>
  <c r="M82" i="93" s="1"/>
  <c r="M70" i="93"/>
  <c r="AX19" i="54" s="1"/>
  <c r="N80" i="93"/>
  <c r="BD20" i="54" s="1"/>
  <c r="O85" i="93"/>
  <c r="O86" i="93" s="1"/>
  <c r="N75" i="93"/>
  <c r="BA20" i="54" s="1"/>
  <c r="K70" i="93"/>
  <c r="AN17" i="54" s="1"/>
  <c r="R70" i="93"/>
  <c r="AX24" i="54" s="1"/>
  <c r="Z70" i="93"/>
  <c r="Z72" i="93" s="1"/>
  <c r="X70" i="93"/>
  <c r="U70" i="93"/>
  <c r="U72" i="93" s="1"/>
  <c r="Q80" i="93"/>
  <c r="AT23" i="54" s="1"/>
  <c r="S80" i="93"/>
  <c r="S81" i="93" s="1"/>
  <c r="AU25" i="54" s="1"/>
  <c r="AA80" i="93"/>
  <c r="AA81" i="93" s="1"/>
  <c r="Y80" i="93"/>
  <c r="Y82" i="93" s="1"/>
  <c r="V80" i="93"/>
  <c r="V82" i="93" s="1"/>
  <c r="L75" i="93"/>
  <c r="Q75" i="93"/>
  <c r="W75" i="93"/>
  <c r="Y75" i="93"/>
  <c r="V75" i="93"/>
  <c r="X85" i="93"/>
  <c r="X87" i="93" s="1"/>
  <c r="T85" i="93"/>
  <c r="T87" i="93" s="1"/>
  <c r="J85" i="93"/>
  <c r="J87" i="93" s="1"/>
  <c r="Z85" i="93"/>
  <c r="Z87" i="93" s="1"/>
  <c r="W85" i="93"/>
  <c r="W86" i="93" s="1"/>
  <c r="L70" i="93"/>
  <c r="AX18" i="54" s="1"/>
  <c r="AY18" i="54" s="1"/>
  <c r="J70" i="93"/>
  <c r="AN16" i="54" s="1"/>
  <c r="H70" i="93"/>
  <c r="AN14" i="54" s="1"/>
  <c r="I70" i="93"/>
  <c r="I72" i="93" s="1"/>
  <c r="Y70" i="93"/>
  <c r="Y71" i="93" s="1"/>
  <c r="L80" i="93"/>
  <c r="AT18" i="54" s="1"/>
  <c r="K80" i="93"/>
  <c r="AT17" i="54" s="1"/>
  <c r="I80" i="93"/>
  <c r="AT15" i="54" s="1"/>
  <c r="J80" i="93"/>
  <c r="BD16" i="54" s="1"/>
  <c r="Z80" i="93"/>
  <c r="Z82" i="93" s="1"/>
  <c r="AA75" i="93"/>
  <c r="AA76" i="93" s="1"/>
  <c r="X75" i="93"/>
  <c r="I75" i="93"/>
  <c r="BA15" i="54" s="1"/>
  <c r="J75" i="93"/>
  <c r="BA16" i="54" s="1"/>
  <c r="Z75" i="93"/>
  <c r="Z76" i="93" s="1"/>
  <c r="U85" i="93"/>
  <c r="U87" i="93" s="1"/>
  <c r="I85" i="93"/>
  <c r="I86" i="93" s="1"/>
  <c r="N85" i="93"/>
  <c r="N87" i="93" s="1"/>
  <c r="K85" i="93"/>
  <c r="K86" i="93" s="1"/>
  <c r="AA85" i="93"/>
  <c r="AA86" i="93" s="1"/>
  <c r="V70" i="93"/>
  <c r="AX28" i="54" s="1"/>
  <c r="P70" i="93"/>
  <c r="P71" i="93" s="1"/>
  <c r="O70" i="93"/>
  <c r="AN21" i="54" s="1"/>
  <c r="N70" i="93"/>
  <c r="AN20" i="54" s="1"/>
  <c r="X80" i="93"/>
  <c r="AT30" i="54" s="1"/>
  <c r="W80" i="93"/>
  <c r="W82" i="93" s="1"/>
  <c r="P80" i="93"/>
  <c r="P82" i="93" s="1"/>
  <c r="O80" i="93"/>
  <c r="AT21" i="54" s="1"/>
  <c r="S75" i="93"/>
  <c r="M75" i="93"/>
  <c r="H75" i="93"/>
  <c r="O75" i="93"/>
  <c r="M85" i="93"/>
  <c r="M87" i="93" s="1"/>
  <c r="P85" i="93"/>
  <c r="P86" i="93" s="1"/>
  <c r="Q85" i="93"/>
  <c r="Q87" i="93" s="1"/>
  <c r="R85" i="93"/>
  <c r="R86" i="93" s="1"/>
  <c r="AA77" i="92"/>
  <c r="AQ14" i="54" l="1"/>
  <c r="BA14" i="54"/>
  <c r="AQ18" i="54"/>
  <c r="BA18" i="54"/>
  <c r="BA19" i="54" s="1"/>
  <c r="AQ17" i="54"/>
  <c r="BA17" i="54"/>
  <c r="AQ21" i="54"/>
  <c r="BA21" i="54"/>
  <c r="AQ23" i="54"/>
  <c r="BA23" i="54"/>
  <c r="AE14" i="54"/>
  <c r="BU34" i="84"/>
  <c r="BU31" i="84"/>
  <c r="AE18" i="54"/>
  <c r="BU35" i="84"/>
  <c r="BU38" i="84"/>
  <c r="AE21" i="54"/>
  <c r="BU32" i="84"/>
  <c r="AE23" i="54"/>
  <c r="BU40" i="84"/>
  <c r="AE17" i="54"/>
  <c r="BU33" i="84"/>
  <c r="AE16" i="54"/>
  <c r="AE15" i="54"/>
  <c r="AA19" i="54"/>
  <c r="AE19" i="54" s="1"/>
  <c r="BU36" i="84"/>
  <c r="P76" i="93"/>
  <c r="AR22" i="54" s="1"/>
  <c r="AQ22" i="54"/>
  <c r="AQ19" i="54"/>
  <c r="N77" i="93"/>
  <c r="BC20" i="54" s="1"/>
  <c r="AQ20" i="54"/>
  <c r="V76" i="93"/>
  <c r="J76" i="93"/>
  <c r="AR16" i="54" s="1"/>
  <c r="AQ16" i="54"/>
  <c r="Y76" i="93"/>
  <c r="I77" i="93"/>
  <c r="BC15" i="54" s="1"/>
  <c r="AQ15" i="54"/>
  <c r="R76" i="93"/>
  <c r="AR24" i="54" s="1"/>
  <c r="BB24" i="54" s="1"/>
  <c r="AQ24" i="54"/>
  <c r="BK17" i="54"/>
  <c r="BK16" i="54"/>
  <c r="BK21" i="54"/>
  <c r="BK23" i="54"/>
  <c r="BK24" i="54"/>
  <c r="BK20" i="54"/>
  <c r="BK15" i="54"/>
  <c r="W77" i="92"/>
  <c r="BK22" i="54"/>
  <c r="BK18" i="54"/>
  <c r="BK19" i="54" s="1"/>
  <c r="BK14" i="54"/>
  <c r="N76" i="92"/>
  <c r="BL20" i="54" s="1"/>
  <c r="W76" i="92"/>
  <c r="P82" i="92"/>
  <c r="BP22" i="54" s="1"/>
  <c r="R76" i="92"/>
  <c r="BL24" i="54" s="1"/>
  <c r="Z86" i="92"/>
  <c r="I76" i="92"/>
  <c r="BL15" i="54" s="1"/>
  <c r="R77" i="93"/>
  <c r="M71" i="93"/>
  <c r="AO19" i="54" s="1"/>
  <c r="AY19" i="54" s="1"/>
  <c r="O72" i="93"/>
  <c r="AP21" i="54" s="1"/>
  <c r="AX17" i="54"/>
  <c r="AY17" i="54" s="1"/>
  <c r="L81" i="92"/>
  <c r="BO18" i="54" s="1"/>
  <c r="I71" i="92"/>
  <c r="BI15" i="54" s="1"/>
  <c r="U71" i="92"/>
  <c r="BI27" i="54" s="1"/>
  <c r="H77" i="92"/>
  <c r="BM14" i="54" s="1"/>
  <c r="O71" i="92"/>
  <c r="BI21" i="54" s="1"/>
  <c r="X76" i="92"/>
  <c r="X77" i="92"/>
  <c r="Q72" i="92"/>
  <c r="BJ23" i="54" s="1"/>
  <c r="U77" i="92"/>
  <c r="W87" i="92"/>
  <c r="M76" i="92"/>
  <c r="Y87" i="92"/>
  <c r="O72" i="92"/>
  <c r="BJ21" i="54" s="1"/>
  <c r="N81" i="92"/>
  <c r="BO20" i="54" s="1"/>
  <c r="AA86" i="92"/>
  <c r="H72" i="92"/>
  <c r="BJ14" i="54" s="1"/>
  <c r="N82" i="92"/>
  <c r="BP20" i="54" s="1"/>
  <c r="H76" i="92"/>
  <c r="BL14" i="54" s="1"/>
  <c r="H71" i="92"/>
  <c r="BI14" i="54" s="1"/>
  <c r="L77" i="92"/>
  <c r="BM18" i="54" s="1"/>
  <c r="U72" i="92"/>
  <c r="BJ27" i="54" s="1"/>
  <c r="Y81" i="92"/>
  <c r="L76" i="92"/>
  <c r="BL18" i="54" s="1"/>
  <c r="J81" i="92"/>
  <c r="BO16" i="54" s="1"/>
  <c r="J77" i="92"/>
  <c r="BM16" i="54" s="1"/>
  <c r="Y76" i="92"/>
  <c r="N86" i="92"/>
  <c r="W81" i="92"/>
  <c r="BO29" i="54" s="1"/>
  <c r="U86" i="92"/>
  <c r="V77" i="92"/>
  <c r="I81" i="92"/>
  <c r="BO15" i="54" s="1"/>
  <c r="X86" i="92"/>
  <c r="S81" i="92"/>
  <c r="BO25" i="54" s="1"/>
  <c r="I87" i="92"/>
  <c r="R71" i="92"/>
  <c r="BI24" i="54" s="1"/>
  <c r="R77" i="92"/>
  <c r="BM24" i="54" s="1"/>
  <c r="J82" i="92"/>
  <c r="BP16" i="54" s="1"/>
  <c r="X71" i="92"/>
  <c r="Z77" i="93"/>
  <c r="X71" i="93"/>
  <c r="P77" i="93"/>
  <c r="BD25" i="54"/>
  <c r="BE25" i="54" s="1"/>
  <c r="H81" i="92"/>
  <c r="BO14" i="54" s="1"/>
  <c r="N71" i="92"/>
  <c r="BI20" i="54" s="1"/>
  <c r="V71" i="92"/>
  <c r="BI28" i="54" s="1"/>
  <c r="S82" i="92"/>
  <c r="BP25" i="54" s="1"/>
  <c r="Z72" i="92"/>
  <c r="H86" i="92"/>
  <c r="R81" i="92"/>
  <c r="BO24" i="54" s="1"/>
  <c r="K82" i="93"/>
  <c r="BF17" i="54" s="1"/>
  <c r="Z71" i="93"/>
  <c r="T71" i="93"/>
  <c r="AO26" i="54" s="1"/>
  <c r="T86" i="92"/>
  <c r="U76" i="92"/>
  <c r="J86" i="92"/>
  <c r="S71" i="92"/>
  <c r="BI25" i="54" s="1"/>
  <c r="R82" i="92"/>
  <c r="BP24" i="54" s="1"/>
  <c r="W82" i="92"/>
  <c r="BP29" i="54" s="1"/>
  <c r="Z76" i="92"/>
  <c r="I82" i="92"/>
  <c r="BP15" i="54" s="1"/>
  <c r="K72" i="92"/>
  <c r="BJ17" i="54" s="1"/>
  <c r="R72" i="92"/>
  <c r="BJ24" i="54" s="1"/>
  <c r="L87" i="92"/>
  <c r="K76" i="92"/>
  <c r="BL17" i="54" s="1"/>
  <c r="Q76" i="92"/>
  <c r="BL23" i="54" s="1"/>
  <c r="O81" i="92"/>
  <c r="BO21" i="54" s="1"/>
  <c r="J71" i="92"/>
  <c r="BI16" i="54" s="1"/>
  <c r="P86" i="92"/>
  <c r="Z81" i="92"/>
  <c r="M81" i="92"/>
  <c r="BO19" i="54" s="1"/>
  <c r="N72" i="92"/>
  <c r="BJ20" i="54" s="1"/>
  <c r="M71" i="92"/>
  <c r="BI19" i="54" s="1"/>
  <c r="X81" i="92"/>
  <c r="BO30" i="54" s="1"/>
  <c r="K71" i="92"/>
  <c r="BI17" i="54" s="1"/>
  <c r="Y77" i="92"/>
  <c r="O76" i="92"/>
  <c r="BL21" i="54" s="1"/>
  <c r="P81" i="92"/>
  <c r="BO22" i="54" s="1"/>
  <c r="H82" i="92"/>
  <c r="BP14" i="54" s="1"/>
  <c r="V72" i="92"/>
  <c r="BJ28" i="54" s="1"/>
  <c r="AA81" i="92"/>
  <c r="Q81" i="92"/>
  <c r="BO23" i="54" s="1"/>
  <c r="Q82" i="92"/>
  <c r="BP23" i="54" s="1"/>
  <c r="S72" i="92"/>
  <c r="BJ25" i="54" s="1"/>
  <c r="K77" i="92"/>
  <c r="BM17" i="54" s="1"/>
  <c r="Q77" i="92"/>
  <c r="BM23" i="54" s="1"/>
  <c r="O82" i="92"/>
  <c r="BP21" i="54" s="1"/>
  <c r="J72" i="92"/>
  <c r="BJ16" i="54" s="1"/>
  <c r="M82" i="92"/>
  <c r="BP19" i="54" s="1"/>
  <c r="X72" i="92"/>
  <c r="J76" i="92"/>
  <c r="BL16" i="54" s="1"/>
  <c r="M72" i="92"/>
  <c r="BJ19" i="54" s="1"/>
  <c r="X82" i="92"/>
  <c r="BP30" i="54" s="1"/>
  <c r="V76" i="92"/>
  <c r="O77" i="92"/>
  <c r="BM21" i="54" s="1"/>
  <c r="W72" i="93"/>
  <c r="BD19" i="54"/>
  <c r="AA72" i="93"/>
  <c r="X86" i="93"/>
  <c r="Y86" i="93"/>
  <c r="H82" i="93"/>
  <c r="BF14" i="54" s="1"/>
  <c r="Q86" i="93"/>
  <c r="AT22" i="54"/>
  <c r="BD14" i="54"/>
  <c r="AA87" i="93"/>
  <c r="R87" i="93"/>
  <c r="L77" i="93"/>
  <c r="BC18" i="54" s="1"/>
  <c r="M81" i="93"/>
  <c r="AU19" i="54" s="1"/>
  <c r="BD15" i="54"/>
  <c r="AX20" i="54"/>
  <c r="AY20" i="54" s="1"/>
  <c r="AX26" i="54"/>
  <c r="AT29" i="54"/>
  <c r="BD17" i="54"/>
  <c r="BD22" i="54"/>
  <c r="K87" i="93"/>
  <c r="AA77" i="93"/>
  <c r="H71" i="93"/>
  <c r="AO14" i="54" s="1"/>
  <c r="H76" i="93"/>
  <c r="AR14" i="54" s="1"/>
  <c r="Z86" i="93"/>
  <c r="V77" i="93"/>
  <c r="S82" i="93"/>
  <c r="BF25" i="54" s="1"/>
  <c r="S86" i="93"/>
  <c r="K81" i="93"/>
  <c r="AU17" i="54" s="1"/>
  <c r="L76" i="93"/>
  <c r="AR18" i="54" s="1"/>
  <c r="H81" i="93"/>
  <c r="AU14" i="54" s="1"/>
  <c r="S72" i="93"/>
  <c r="AZ25" i="54" s="1"/>
  <c r="O87" i="93"/>
  <c r="P81" i="93"/>
  <c r="AU22" i="54" s="1"/>
  <c r="AX14" i="54"/>
  <c r="AN25" i="54"/>
  <c r="AT25" i="54"/>
  <c r="H72" i="93"/>
  <c r="AZ14" i="54" s="1"/>
  <c r="H77" i="93"/>
  <c r="AS14" i="54" s="1"/>
  <c r="O71" i="93"/>
  <c r="U77" i="93"/>
  <c r="S71" i="93"/>
  <c r="AO25" i="54" s="1"/>
  <c r="AY25" i="54" s="1"/>
  <c r="AT26" i="54"/>
  <c r="AX21" i="54"/>
  <c r="AY21" i="54" s="1"/>
  <c r="T76" i="93"/>
  <c r="T77" i="93"/>
  <c r="BD30" i="54"/>
  <c r="AN27" i="54"/>
  <c r="X81" i="93"/>
  <c r="AU30" i="54" s="1"/>
  <c r="I76" i="93"/>
  <c r="AR15" i="54" s="1"/>
  <c r="J81" i="93"/>
  <c r="AU16" i="54" s="1"/>
  <c r="BE16" i="54" s="1"/>
  <c r="M86" i="93"/>
  <c r="H87" i="93"/>
  <c r="U76" i="93"/>
  <c r="BD24" i="54"/>
  <c r="V86" i="93"/>
  <c r="AX16" i="54"/>
  <c r="N86" i="93"/>
  <c r="X76" i="93"/>
  <c r="U81" i="93"/>
  <c r="AU27" i="54" s="1"/>
  <c r="K71" i="93"/>
  <c r="T72" i="93"/>
  <c r="AP26" i="54" s="1"/>
  <c r="AT19" i="54"/>
  <c r="M77" i="92"/>
  <c r="T71" i="92"/>
  <c r="BI26" i="54" s="1"/>
  <c r="K81" i="92"/>
  <c r="BO17" i="54" s="1"/>
  <c r="Y71" i="92"/>
  <c r="M86" i="92"/>
  <c r="T77" i="92"/>
  <c r="Y82" i="92"/>
  <c r="S86" i="92"/>
  <c r="S76" i="92"/>
  <c r="P76" i="92"/>
  <c r="BL22" i="54" s="1"/>
  <c r="W71" i="92"/>
  <c r="BI29" i="54" s="1"/>
  <c r="P72" i="92"/>
  <c r="BJ22" i="54" s="1"/>
  <c r="L82" i="92"/>
  <c r="BP18" i="54" s="1"/>
  <c r="I77" i="92"/>
  <c r="BM15" i="54" s="1"/>
  <c r="K82" i="92"/>
  <c r="BP17" i="54" s="1"/>
  <c r="Y72" i="92"/>
  <c r="T76" i="92"/>
  <c r="Q71" i="92"/>
  <c r="BI23" i="54" s="1"/>
  <c r="S77" i="92"/>
  <c r="P77" i="92"/>
  <c r="BM22" i="54" s="1"/>
  <c r="W72" i="92"/>
  <c r="BJ29" i="54" s="1"/>
  <c r="U81" i="92"/>
  <c r="BO27" i="54" s="1"/>
  <c r="I72" i="92"/>
  <c r="BJ15" i="54" s="1"/>
  <c r="P71" i="92"/>
  <c r="BI22" i="54" s="1"/>
  <c r="U82" i="92"/>
  <c r="BP27" i="54" s="1"/>
  <c r="T72" i="92"/>
  <c r="BJ26" i="54" s="1"/>
  <c r="L71" i="92"/>
  <c r="BI18" i="54" s="1"/>
  <c r="K86" i="92"/>
  <c r="Q86" i="92"/>
  <c r="R86" i="92"/>
  <c r="V81" i="92"/>
  <c r="BO28" i="54" s="1"/>
  <c r="AA71" i="92"/>
  <c r="V86" i="92"/>
  <c r="T81" i="92"/>
  <c r="BO26" i="54" s="1"/>
  <c r="O86" i="92"/>
  <c r="L72" i="92"/>
  <c r="BJ18" i="54" s="1"/>
  <c r="V82" i="92"/>
  <c r="BP28" i="54" s="1"/>
  <c r="T82" i="92"/>
  <c r="BP26" i="54" s="1"/>
  <c r="J71" i="93"/>
  <c r="AO16" i="54" s="1"/>
  <c r="R81" i="93"/>
  <c r="AU24" i="54" s="1"/>
  <c r="N81" i="93"/>
  <c r="AU20" i="54" s="1"/>
  <c r="BE20" i="54" s="1"/>
  <c r="P72" i="93"/>
  <c r="AP22" i="54" s="1"/>
  <c r="BD18" i="54"/>
  <c r="L72" i="93"/>
  <c r="AP18" i="54" s="1"/>
  <c r="J86" i="93"/>
  <c r="Y77" i="93"/>
  <c r="L86" i="93"/>
  <c r="R82" i="93"/>
  <c r="BF24" i="54" s="1"/>
  <c r="Q71" i="93"/>
  <c r="AN28" i="54"/>
  <c r="J77" i="93"/>
  <c r="BC16" i="54" s="1"/>
  <c r="V71" i="93"/>
  <c r="AP28" i="54" s="1"/>
  <c r="W76" i="93"/>
  <c r="R71" i="93"/>
  <c r="AO24" i="54" s="1"/>
  <c r="AY24" i="54" s="1"/>
  <c r="J82" i="93"/>
  <c r="BF16" i="54" s="1"/>
  <c r="Y72" i="93"/>
  <c r="M72" i="93"/>
  <c r="AZ19" i="54" s="1"/>
  <c r="V72" i="93"/>
  <c r="W77" i="93"/>
  <c r="Y81" i="93"/>
  <c r="K72" i="93"/>
  <c r="AP17" i="54" s="1"/>
  <c r="K77" i="93"/>
  <c r="BC17" i="54" s="1"/>
  <c r="X82" i="93"/>
  <c r="AN19" i="54"/>
  <c r="I87" i="93"/>
  <c r="I81" i="93"/>
  <c r="AU15" i="54" s="1"/>
  <c r="U82" i="93"/>
  <c r="BF27" i="54" s="1"/>
  <c r="N76" i="93"/>
  <c r="AR20" i="54" s="1"/>
  <c r="S76" i="93"/>
  <c r="W87" i="93"/>
  <c r="T86" i="93"/>
  <c r="Q77" i="93"/>
  <c r="AS23" i="54" s="1"/>
  <c r="U71" i="93"/>
  <c r="AO27" i="54" s="1"/>
  <c r="K76" i="93"/>
  <c r="AR17" i="54" s="1"/>
  <c r="W71" i="93"/>
  <c r="AZ29" i="54" s="1"/>
  <c r="N72" i="93"/>
  <c r="AP20" i="54" s="1"/>
  <c r="AT16" i="54"/>
  <c r="AN18" i="54"/>
  <c r="BD27" i="54"/>
  <c r="AN22" i="54"/>
  <c r="AN23" i="54"/>
  <c r="AX29" i="54"/>
  <c r="AX27" i="54"/>
  <c r="U86" i="93"/>
  <c r="I71" i="93"/>
  <c r="AO15" i="54" s="1"/>
  <c r="L71" i="93"/>
  <c r="S77" i="93"/>
  <c r="AA82" i="93"/>
  <c r="Q72" i="93"/>
  <c r="AZ23" i="54" s="1"/>
  <c r="L82" i="93"/>
  <c r="BF18" i="54" s="1"/>
  <c r="J72" i="93"/>
  <c r="AZ16" i="54" s="1"/>
  <c r="P87" i="93"/>
  <c r="W81" i="93"/>
  <c r="BF29" i="54" s="1"/>
  <c r="Q82" i="93"/>
  <c r="BF23" i="54" s="1"/>
  <c r="R72" i="93"/>
  <c r="AP24" i="54" s="1"/>
  <c r="N82" i="93"/>
  <c r="AV20" i="54" s="1"/>
  <c r="AT20" i="54"/>
  <c r="AX22" i="54"/>
  <c r="AY22" i="54" s="1"/>
  <c r="AT28" i="54"/>
  <c r="BD23" i="54"/>
  <c r="BD26" i="54"/>
  <c r="BE26" i="54" s="1"/>
  <c r="BD29" i="54"/>
  <c r="Z81" i="93"/>
  <c r="L81" i="93"/>
  <c r="AU18" i="54" s="1"/>
  <c r="V81" i="93"/>
  <c r="AU28" i="54" s="1"/>
  <c r="Q81" i="93"/>
  <c r="AU23" i="54" s="1"/>
  <c r="T82" i="93"/>
  <c r="AV26" i="54" s="1"/>
  <c r="M76" i="93"/>
  <c r="BD28" i="54"/>
  <c r="AN24" i="54"/>
  <c r="M77" i="93"/>
  <c r="BD21" i="54"/>
  <c r="O81" i="93"/>
  <c r="AU21" i="54" s="1"/>
  <c r="O76" i="93"/>
  <c r="AN15" i="54"/>
  <c r="O82" i="93"/>
  <c r="BF21" i="54" s="1"/>
  <c r="O77" i="93"/>
  <c r="AX15" i="54"/>
  <c r="X77" i="93"/>
  <c r="I82" i="93"/>
  <c r="BF15" i="54" s="1"/>
  <c r="Q76" i="93"/>
  <c r="AR23" i="54" s="1"/>
  <c r="X72" i="93"/>
  <c r="N71" i="93"/>
  <c r="AZ27" i="54"/>
  <c r="AP27" i="54"/>
  <c r="BF19" i="54"/>
  <c r="AV19" i="54"/>
  <c r="AZ15" i="54"/>
  <c r="AP15" i="54"/>
  <c r="BF22" i="54"/>
  <c r="AV22" i="54"/>
  <c r="BE28" i="54" l="1"/>
  <c r="AY27" i="54"/>
  <c r="AL115" i="11" s="1"/>
  <c r="BE30" i="54"/>
  <c r="AY26" i="54"/>
  <c r="AJ115" i="11" s="1"/>
  <c r="BE27" i="54"/>
  <c r="AL119" i="11" s="1"/>
  <c r="BL19" i="54"/>
  <c r="AS20" i="54"/>
  <c r="X112" i="11" s="1"/>
  <c r="AH117" i="11"/>
  <c r="AJ117" i="11"/>
  <c r="AL117" i="11"/>
  <c r="AS24" i="54"/>
  <c r="AF112" i="11" s="1"/>
  <c r="BC24" i="54"/>
  <c r="AF118" i="11" s="1"/>
  <c r="AH112" i="11"/>
  <c r="AH118" i="11"/>
  <c r="AY14" i="54"/>
  <c r="L115" i="11" s="1"/>
  <c r="AJ112" i="11"/>
  <c r="AJ118" i="11"/>
  <c r="AL112" i="11"/>
  <c r="BB22" i="54"/>
  <c r="AB117" i="11" s="1"/>
  <c r="AS15" i="54"/>
  <c r="N112" i="11" s="1"/>
  <c r="BB16" i="54"/>
  <c r="P117" i="11" s="1"/>
  <c r="BB14" i="54"/>
  <c r="L117" i="11" s="1"/>
  <c r="AR19" i="54"/>
  <c r="BB19" i="54" s="1"/>
  <c r="V117" i="11" s="1"/>
  <c r="BB17" i="54"/>
  <c r="R117" i="11" s="1"/>
  <c r="AS21" i="54"/>
  <c r="Z112" i="11" s="1"/>
  <c r="BC21" i="54"/>
  <c r="Z118" i="11" s="1"/>
  <c r="AS22" i="54"/>
  <c r="AB112" i="11" s="1"/>
  <c r="BC22" i="54"/>
  <c r="AB118" i="11" s="1"/>
  <c r="AS19" i="54"/>
  <c r="BC19" i="54"/>
  <c r="V118" i="11" s="1"/>
  <c r="AR21" i="54"/>
  <c r="BB21" i="54" s="1"/>
  <c r="Z117" i="11" s="1"/>
  <c r="BM19" i="54"/>
  <c r="BM10" i="54" s="1"/>
  <c r="H124" i="11" s="1"/>
  <c r="AR110" i="11"/>
  <c r="AR109" i="11"/>
  <c r="AZ21" i="54"/>
  <c r="Z116" i="11" s="1"/>
  <c r="BB18" i="54"/>
  <c r="T117" i="11" s="1"/>
  <c r="AV17" i="54"/>
  <c r="R114" i="11" s="1"/>
  <c r="AV14" i="54"/>
  <c r="L114" i="11" s="1"/>
  <c r="AP25" i="54"/>
  <c r="AH110" i="11" s="1"/>
  <c r="BE19" i="54"/>
  <c r="V119" i="11" s="1"/>
  <c r="BB20" i="54"/>
  <c r="X117" i="11" s="1"/>
  <c r="AZ28" i="54"/>
  <c r="AN116" i="11" s="1"/>
  <c r="BC14" i="54"/>
  <c r="L118" i="11" s="1"/>
  <c r="BE22" i="54"/>
  <c r="AB119" i="11" s="1"/>
  <c r="AP112" i="11"/>
  <c r="AS18" i="54"/>
  <c r="T112" i="11" s="1"/>
  <c r="AV30" i="54"/>
  <c r="AR114" i="11" s="1"/>
  <c r="BE17" i="54"/>
  <c r="R119" i="11" s="1"/>
  <c r="AS16" i="54"/>
  <c r="P112" i="11" s="1"/>
  <c r="BE14" i="54"/>
  <c r="L119" i="11" s="1"/>
  <c r="AZ24" i="54"/>
  <c r="AF116" i="11" s="1"/>
  <c r="AP16" i="54"/>
  <c r="P110" i="11" s="1"/>
  <c r="AZ26" i="54"/>
  <c r="AJ116" i="11" s="1"/>
  <c r="AZ17" i="54"/>
  <c r="R116" i="11" s="1"/>
  <c r="BF28" i="54"/>
  <c r="AN120" i="11" s="1"/>
  <c r="BE21" i="54"/>
  <c r="Z119" i="11" s="1"/>
  <c r="BE15" i="54"/>
  <c r="N119" i="11" s="1"/>
  <c r="AV27" i="54"/>
  <c r="AL114" i="11" s="1"/>
  <c r="BF26" i="54"/>
  <c r="AJ120" i="11" s="1"/>
  <c r="AO29" i="54"/>
  <c r="AP109" i="11" s="1"/>
  <c r="BE18" i="54"/>
  <c r="T119" i="11" s="1"/>
  <c r="AS17" i="54"/>
  <c r="R112" i="11" s="1"/>
  <c r="AV28" i="54"/>
  <c r="AN114" i="11" s="1"/>
  <c r="AV25" i="54"/>
  <c r="AH114" i="11" s="1"/>
  <c r="BE24" i="54"/>
  <c r="AF119" i="11" s="1"/>
  <c r="AV24" i="54"/>
  <c r="AF114" i="11" s="1"/>
  <c r="AN112" i="11"/>
  <c r="BF30" i="54"/>
  <c r="AR120" i="11" s="1"/>
  <c r="AV16" i="54"/>
  <c r="P114" i="11" s="1"/>
  <c r="AP14" i="54"/>
  <c r="L110" i="11" s="1"/>
  <c r="AZ20" i="54"/>
  <c r="X116" i="11" s="1"/>
  <c r="AY16" i="54"/>
  <c r="P115" i="11" s="1"/>
  <c r="AP29" i="54"/>
  <c r="AP110" i="11" s="1"/>
  <c r="BB15" i="54"/>
  <c r="N117" i="11" s="1"/>
  <c r="AR118" i="11"/>
  <c r="AZ18" i="54"/>
  <c r="T116" i="11" s="1"/>
  <c r="BC23" i="54"/>
  <c r="AD118" i="11" s="1"/>
  <c r="BF20" i="54"/>
  <c r="X120" i="11" s="1"/>
  <c r="AZ22" i="54"/>
  <c r="AB116" i="11" s="1"/>
  <c r="AO28" i="54"/>
  <c r="AY28" i="54" s="1"/>
  <c r="AN115" i="11" s="1"/>
  <c r="AV18" i="54"/>
  <c r="T114" i="11" s="1"/>
  <c r="AV23" i="54"/>
  <c r="AD114" i="11" s="1"/>
  <c r="BE23" i="54"/>
  <c r="AV21" i="54"/>
  <c r="Z114" i="11" s="1"/>
  <c r="BB23" i="54"/>
  <c r="AD117" i="11" s="1"/>
  <c r="AP19" i="54"/>
  <c r="V110" i="11" s="1"/>
  <c r="AP23" i="54"/>
  <c r="AD110" i="11" s="1"/>
  <c r="AY15" i="54"/>
  <c r="AU29" i="54"/>
  <c r="AU10" i="54" s="1"/>
  <c r="H113" i="11" s="1"/>
  <c r="AV29" i="54"/>
  <c r="AP114" i="11" s="1"/>
  <c r="AV15" i="54"/>
  <c r="N114" i="11" s="1"/>
  <c r="P36" i="63"/>
  <c r="P35" i="63"/>
  <c r="P34" i="63"/>
  <c r="P33" i="63"/>
  <c r="P32" i="63"/>
  <c r="P31" i="63"/>
  <c r="P30" i="63"/>
  <c r="P29" i="63"/>
  <c r="P28" i="63"/>
  <c r="P27" i="63"/>
  <c r="P26" i="63"/>
  <c r="P25" i="63"/>
  <c r="P24" i="63"/>
  <c r="P23" i="63"/>
  <c r="P22" i="63"/>
  <c r="P21" i="63"/>
  <c r="P20" i="63"/>
  <c r="P19" i="63"/>
  <c r="P18" i="63"/>
  <c r="P17" i="63"/>
  <c r="P16" i="63"/>
  <c r="P15" i="63"/>
  <c r="P14" i="63"/>
  <c r="P13" i="63"/>
  <c r="AA10" i="63"/>
  <c r="Z10" i="63"/>
  <c r="U10" i="63"/>
  <c r="T10" i="63"/>
  <c r="S10" i="63"/>
  <c r="R10" i="63"/>
  <c r="O10" i="63"/>
  <c r="N10" i="63"/>
  <c r="M10" i="63"/>
  <c r="L10" i="63"/>
  <c r="I10" i="63"/>
  <c r="H10" i="63"/>
  <c r="E10" i="63"/>
  <c r="D10" i="63"/>
  <c r="I10" i="74"/>
  <c r="H10" i="74"/>
  <c r="E10" i="74"/>
  <c r="D10" i="74"/>
  <c r="L36" i="59"/>
  <c r="L35" i="59"/>
  <c r="L34" i="59"/>
  <c r="L33" i="59"/>
  <c r="L32" i="59"/>
  <c r="L31" i="59"/>
  <c r="L30" i="59"/>
  <c r="L29" i="59"/>
  <c r="L28" i="59"/>
  <c r="L27" i="59"/>
  <c r="L26" i="59"/>
  <c r="L25" i="59"/>
  <c r="L24" i="59"/>
  <c r="L23" i="59"/>
  <c r="L22" i="59"/>
  <c r="L21" i="59"/>
  <c r="L20" i="59"/>
  <c r="L19" i="59"/>
  <c r="L18" i="59"/>
  <c r="L17" i="59"/>
  <c r="L16" i="59"/>
  <c r="L15" i="59"/>
  <c r="L14" i="59"/>
  <c r="L13" i="59"/>
  <c r="AA10" i="59"/>
  <c r="Z10" i="59"/>
  <c r="W10" i="59"/>
  <c r="V10" i="59"/>
  <c r="Q10" i="59"/>
  <c r="P10" i="59"/>
  <c r="O10" i="59"/>
  <c r="N10" i="59"/>
  <c r="K10" i="59"/>
  <c r="J10" i="59"/>
  <c r="I10" i="59"/>
  <c r="H10" i="59"/>
  <c r="E10" i="59"/>
  <c r="D10" i="59"/>
  <c r="M10" i="75"/>
  <c r="K10" i="75"/>
  <c r="J10" i="75"/>
  <c r="G10" i="75"/>
  <c r="E10" i="75"/>
  <c r="D10" i="75"/>
  <c r="L36" i="61"/>
  <c r="L35" i="61"/>
  <c r="L34" i="61"/>
  <c r="L33" i="61"/>
  <c r="L32" i="61"/>
  <c r="L31" i="61"/>
  <c r="L30" i="61"/>
  <c r="L29" i="61"/>
  <c r="L28" i="61"/>
  <c r="L27" i="61"/>
  <c r="L26" i="61"/>
  <c r="L25" i="61"/>
  <c r="L24" i="61"/>
  <c r="L23" i="61"/>
  <c r="L22" i="61"/>
  <c r="L21" i="61"/>
  <c r="L20" i="61"/>
  <c r="L19" i="61"/>
  <c r="L18" i="61"/>
  <c r="L17" i="61"/>
  <c r="L16" i="61"/>
  <c r="AA10" i="61"/>
  <c r="Z10" i="61"/>
  <c r="W10" i="61"/>
  <c r="V10" i="61"/>
  <c r="Q10" i="61"/>
  <c r="P10" i="61"/>
  <c r="O10" i="61"/>
  <c r="N10" i="61"/>
  <c r="K10" i="61"/>
  <c r="J10" i="61"/>
  <c r="I10" i="61"/>
  <c r="H10" i="61"/>
  <c r="E10" i="61"/>
  <c r="D10" i="61"/>
  <c r="AA10" i="73"/>
  <c r="Z10" i="73"/>
  <c r="W10" i="73"/>
  <c r="V10" i="73"/>
  <c r="U10" i="73"/>
  <c r="T10" i="73"/>
  <c r="Q10" i="73"/>
  <c r="O10" i="73"/>
  <c r="N10" i="73"/>
  <c r="L10" i="73"/>
  <c r="I10" i="73"/>
  <c r="G10" i="73"/>
  <c r="F10" i="73"/>
  <c r="D10" i="73"/>
  <c r="N37" i="58"/>
  <c r="N36" i="58"/>
  <c r="N35" i="58"/>
  <c r="N34" i="58"/>
  <c r="N33" i="58"/>
  <c r="N32" i="58"/>
  <c r="N31" i="58"/>
  <c r="N30" i="58"/>
  <c r="N29" i="58"/>
  <c r="N28" i="58"/>
  <c r="N27" i="58"/>
  <c r="N26" i="58"/>
  <c r="N25" i="58"/>
  <c r="N24" i="58"/>
  <c r="N23" i="58"/>
  <c r="N22" i="58"/>
  <c r="N21" i="58"/>
  <c r="N20" i="58"/>
  <c r="N19" i="58"/>
  <c r="N18" i="58"/>
  <c r="N17" i="58"/>
  <c r="AR10" i="58"/>
  <c r="AP10" i="58"/>
  <c r="AO10" i="58"/>
  <c r="AN10" i="58"/>
  <c r="AM10" i="58"/>
  <c r="AJ10" i="58"/>
  <c r="AH10" i="58"/>
  <c r="AG10" i="58"/>
  <c r="AD10" i="58"/>
  <c r="AC10" i="58"/>
  <c r="Z10" i="58"/>
  <c r="Y10" i="58"/>
  <c r="T10" i="58"/>
  <c r="S10" i="58"/>
  <c r="R10" i="58"/>
  <c r="Q10" i="58"/>
  <c r="L10" i="58"/>
  <c r="J10" i="58"/>
  <c r="I10" i="58"/>
  <c r="G10" i="58"/>
  <c r="H215" i="11" s="1"/>
  <c r="E10" i="58"/>
  <c r="D10" i="58"/>
  <c r="AL10" i="72"/>
  <c r="AJ10" i="72"/>
  <c r="AI10" i="72"/>
  <c r="AF10" i="72"/>
  <c r="AD10" i="72"/>
  <c r="AC10" i="72"/>
  <c r="Z10" i="72"/>
  <c r="Y10" i="72"/>
  <c r="X10" i="72"/>
  <c r="V10" i="72"/>
  <c r="S10" i="72"/>
  <c r="Q10" i="72"/>
  <c r="P10" i="72"/>
  <c r="M10" i="72"/>
  <c r="K10" i="72"/>
  <c r="J10" i="72"/>
  <c r="G10" i="72"/>
  <c r="E10" i="72"/>
  <c r="D10" i="72"/>
  <c r="W10" i="57"/>
  <c r="U10" i="57"/>
  <c r="T10" i="57"/>
  <c r="Q10" i="57"/>
  <c r="P10" i="57"/>
  <c r="K10" i="57"/>
  <c r="J10" i="57"/>
  <c r="H10" i="57"/>
  <c r="E10" i="57"/>
  <c r="D10" i="57"/>
  <c r="AJ10" i="71"/>
  <c r="AH10" i="71"/>
  <c r="AG10" i="71"/>
  <c r="AD10" i="71"/>
  <c r="AB10" i="71"/>
  <c r="AA10" i="71"/>
  <c r="X10" i="71"/>
  <c r="W10" i="71"/>
  <c r="V10" i="71"/>
  <c r="T10" i="71"/>
  <c r="Q10" i="71"/>
  <c r="O10" i="71"/>
  <c r="N10" i="71"/>
  <c r="K10" i="71"/>
  <c r="I10" i="71"/>
  <c r="H10" i="71"/>
  <c r="E10" i="71"/>
  <c r="D10" i="71"/>
  <c r="M10" i="56"/>
  <c r="J10" i="56"/>
  <c r="I10" i="56"/>
  <c r="H10" i="56"/>
  <c r="F10" i="56"/>
  <c r="E10" i="56"/>
  <c r="D10" i="56"/>
  <c r="AR10" i="55"/>
  <c r="AQ10" i="55"/>
  <c r="AP10" i="55"/>
  <c r="H148" i="11" s="1"/>
  <c r="AM10" i="55"/>
  <c r="AL10" i="55"/>
  <c r="AK10" i="55"/>
  <c r="AJ10" i="55"/>
  <c r="AG10" i="55"/>
  <c r="H144" i="11" s="1"/>
  <c r="AE10" i="55"/>
  <c r="AC10" i="55"/>
  <c r="H142" i="11" s="1"/>
  <c r="U10" i="55"/>
  <c r="S10" i="55"/>
  <c r="I10" i="55"/>
  <c r="X37" i="54"/>
  <c r="AE36" i="54"/>
  <c r="X36" i="54"/>
  <c r="AE35" i="54"/>
  <c r="X35" i="54"/>
  <c r="AE34" i="54"/>
  <c r="X34" i="54"/>
  <c r="AE33" i="54"/>
  <c r="X33" i="54"/>
  <c r="AE32" i="54"/>
  <c r="X32" i="54"/>
  <c r="AE31" i="54"/>
  <c r="X31" i="54"/>
  <c r="AE30" i="54"/>
  <c r="X30" i="54"/>
  <c r="AE29" i="54"/>
  <c r="X29" i="54"/>
  <c r="AE28" i="54"/>
  <c r="X28" i="54"/>
  <c r="X27" i="54"/>
  <c r="X26" i="54"/>
  <c r="X25" i="54"/>
  <c r="X24" i="54"/>
  <c r="X23" i="54"/>
  <c r="X22" i="54"/>
  <c r="X21" i="54"/>
  <c r="X20" i="54"/>
  <c r="X19" i="54"/>
  <c r="X18" i="54"/>
  <c r="X17" i="54"/>
  <c r="BR10" i="54"/>
  <c r="BP10" i="54"/>
  <c r="H126" i="11" s="1"/>
  <c r="BO10" i="54"/>
  <c r="H125" i="11" s="1"/>
  <c r="BL10" i="54"/>
  <c r="H123" i="11" s="1"/>
  <c r="BJ10" i="54"/>
  <c r="H122" i="11" s="1"/>
  <c r="BI10" i="54"/>
  <c r="H121" i="11" s="1"/>
  <c r="AJ10" i="54"/>
  <c r="H108" i="11" s="1"/>
  <c r="AI10" i="54"/>
  <c r="H107" i="11" s="1"/>
  <c r="AH10" i="54"/>
  <c r="H106" i="11" s="1"/>
  <c r="AG10" i="54"/>
  <c r="H105" i="11" s="1"/>
  <c r="AD10" i="54"/>
  <c r="H104" i="11" s="1"/>
  <c r="AC10" i="54"/>
  <c r="H103" i="11" s="1"/>
  <c r="AB10" i="54"/>
  <c r="H102" i="11" s="1"/>
  <c r="AA10" i="54"/>
  <c r="H101" i="11" s="1"/>
  <c r="V10" i="54"/>
  <c r="T10" i="54"/>
  <c r="S10" i="54"/>
  <c r="H98" i="11" s="1"/>
  <c r="Q10" i="54"/>
  <c r="O10" i="54"/>
  <c r="L10" i="54"/>
  <c r="H94" i="11" s="1"/>
  <c r="G10" i="54"/>
  <c r="H91" i="11" s="1"/>
  <c r="AD10" i="70"/>
  <c r="H77" i="11" s="1"/>
  <c r="W10" i="70"/>
  <c r="O10" i="70"/>
  <c r="G10" i="70"/>
  <c r="H87" i="11" s="1"/>
  <c r="F10" i="70"/>
  <c r="J10" i="52"/>
  <c r="G10" i="52"/>
  <c r="D10" i="52"/>
  <c r="H56" i="11" s="1"/>
  <c r="Q10" i="51"/>
  <c r="G10" i="51"/>
  <c r="D10" i="51"/>
  <c r="H49" i="11" s="1"/>
  <c r="T10" i="49"/>
  <c r="N10" i="49"/>
  <c r="H10" i="49"/>
  <c r="H41" i="11" s="1"/>
  <c r="G10" i="49"/>
  <c r="H40" i="11" s="1"/>
  <c r="E10" i="49"/>
  <c r="D10" i="49"/>
  <c r="H38" i="11" s="1"/>
  <c r="O7" i="65"/>
  <c r="J13" i="11" s="1"/>
  <c r="M7" i="65"/>
  <c r="J12" i="11" s="1"/>
  <c r="I7" i="65"/>
  <c r="J8" i="11"/>
  <c r="D32" i="76"/>
  <c r="C32" i="76"/>
  <c r="D27" i="76"/>
  <c r="C27" i="76"/>
  <c r="E22" i="76"/>
  <c r="D22" i="76"/>
  <c r="C22" i="76"/>
  <c r="E17" i="76"/>
  <c r="D17" i="76"/>
  <c r="C17" i="76"/>
  <c r="F12" i="76"/>
  <c r="E12" i="76"/>
  <c r="D12" i="76"/>
  <c r="C12" i="76"/>
  <c r="F57" i="88"/>
  <c r="F55" i="88"/>
  <c r="B54" i="88"/>
  <c r="B53" i="88"/>
  <c r="B52" i="88"/>
  <c r="B51" i="88"/>
  <c r="B50" i="88"/>
  <c r="F49" i="88"/>
  <c r="B49" i="88"/>
  <c r="B48" i="88"/>
  <c r="B47" i="88"/>
  <c r="B46" i="88"/>
  <c r="F45" i="88"/>
  <c r="B45" i="88"/>
  <c r="B44" i="88"/>
  <c r="B43" i="88"/>
  <c r="B42" i="88"/>
  <c r="F41" i="88"/>
  <c r="B41" i="88"/>
  <c r="B40" i="88"/>
  <c r="F39" i="88"/>
  <c r="B39" i="88"/>
  <c r="B38" i="88"/>
  <c r="B37" i="88"/>
  <c r="D36" i="88"/>
  <c r="B36" i="88"/>
  <c r="B35" i="88"/>
  <c r="D35" i="88" s="1"/>
  <c r="Y31" i="88"/>
  <c r="M31" i="88"/>
  <c r="A31" i="88"/>
  <c r="Y30" i="88"/>
  <c r="M30" i="88"/>
  <c r="A30" i="88"/>
  <c r="Y29" i="88"/>
  <c r="M29" i="88"/>
  <c r="A29" i="88"/>
  <c r="Y28" i="88"/>
  <c r="M28" i="88"/>
  <c r="A28" i="88"/>
  <c r="Y27" i="88"/>
  <c r="M27" i="88"/>
  <c r="A27" i="88"/>
  <c r="Y26" i="88"/>
  <c r="M26" i="88"/>
  <c r="A26" i="88"/>
  <c r="A25" i="88"/>
  <c r="A24" i="88"/>
  <c r="A23" i="88"/>
  <c r="A22" i="88"/>
  <c r="A21" i="88"/>
  <c r="A20" i="88"/>
  <c r="A19" i="88"/>
  <c r="A18" i="88"/>
  <c r="A17" i="88"/>
  <c r="Y16" i="88"/>
  <c r="M16" i="88"/>
  <c r="A16" i="88"/>
  <c r="Y15" i="88"/>
  <c r="M15" i="88"/>
  <c r="A15" i="88"/>
  <c r="Y14" i="88"/>
  <c r="M14" i="88"/>
  <c r="A14" i="88"/>
  <c r="Y13" i="88"/>
  <c r="M13" i="88"/>
  <c r="A13" i="88"/>
  <c r="B1" i="88"/>
  <c r="F39" i="81"/>
  <c r="B35" i="81"/>
  <c r="D35" i="81" s="1"/>
  <c r="Y30" i="81"/>
  <c r="A30" i="81"/>
  <c r="A29" i="81"/>
  <c r="A28" i="81"/>
  <c r="M27" i="81"/>
  <c r="B47" i="81"/>
  <c r="B46" i="81"/>
  <c r="M21" i="81"/>
  <c r="M20" i="81"/>
  <c r="B43" i="81"/>
  <c r="A17" i="81"/>
  <c r="B40" i="81"/>
  <c r="B36" i="81"/>
  <c r="D36" i="81" s="1"/>
  <c r="A15" i="81"/>
  <c r="E63" i="81" s="1"/>
  <c r="F63" i="81" s="1"/>
  <c r="B1" i="81"/>
  <c r="I54" i="82"/>
  <c r="I53" i="82"/>
  <c r="I52" i="82"/>
  <c r="I51" i="82"/>
  <c r="I50" i="82"/>
  <c r="I49" i="82"/>
  <c r="I48" i="82"/>
  <c r="I47" i="82"/>
  <c r="I46" i="82"/>
  <c r="I45" i="82"/>
  <c r="P40" i="82"/>
  <c r="L38" i="82"/>
  <c r="M43" i="82" s="1"/>
  <c r="E38" i="82"/>
  <c r="F44" i="82" s="1"/>
  <c r="L36" i="82"/>
  <c r="E36" i="82"/>
  <c r="K65" i="82"/>
  <c r="AH25" i="82"/>
  <c r="AC25" i="82"/>
  <c r="V25" i="82"/>
  <c r="Q25" i="82"/>
  <c r="AH24" i="82"/>
  <c r="AC24" i="82"/>
  <c r="V24" i="82"/>
  <c r="Q24" i="82"/>
  <c r="J24" i="82"/>
  <c r="K63" i="82"/>
  <c r="AH23" i="82"/>
  <c r="AC23" i="82"/>
  <c r="V23" i="82"/>
  <c r="Q23" i="82"/>
  <c r="D23" i="82"/>
  <c r="AH22" i="82"/>
  <c r="AC22" i="82"/>
  <c r="V22" i="82"/>
  <c r="Q22" i="82"/>
  <c r="K22" i="82"/>
  <c r="AH21" i="82"/>
  <c r="AC21" i="82"/>
  <c r="V21" i="82"/>
  <c r="Q21" i="82"/>
  <c r="AH20" i="82"/>
  <c r="AC20" i="82"/>
  <c r="V20" i="82"/>
  <c r="Q20" i="82"/>
  <c r="K20" i="82"/>
  <c r="D20" i="82"/>
  <c r="AH19" i="82"/>
  <c r="AC19" i="82"/>
  <c r="V19" i="82"/>
  <c r="Q19" i="82"/>
  <c r="AH18" i="82"/>
  <c r="AC18" i="82"/>
  <c r="V18" i="82"/>
  <c r="Q18" i="82"/>
  <c r="K18" i="82"/>
  <c r="D18" i="82"/>
  <c r="AH17" i="82"/>
  <c r="AC17" i="82"/>
  <c r="V17" i="82"/>
  <c r="Q17" i="82"/>
  <c r="D17" i="82"/>
  <c r="K16" i="82"/>
  <c r="D15" i="82"/>
  <c r="K14" i="82"/>
  <c r="J13" i="82"/>
  <c r="C13" i="82"/>
  <c r="L43" i="85"/>
  <c r="K43" i="85"/>
  <c r="F43" i="85"/>
  <c r="E43" i="85"/>
  <c r="K37" i="85"/>
  <c r="E37" i="85"/>
  <c r="Q34" i="85"/>
  <c r="P34" i="85"/>
  <c r="Q32" i="85"/>
  <c r="P32" i="85"/>
  <c r="L23" i="85"/>
  <c r="K23" i="85"/>
  <c r="F23" i="85"/>
  <c r="E23" i="85"/>
  <c r="K17" i="85"/>
  <c r="E17" i="85"/>
  <c r="F24" i="83"/>
  <c r="L32" i="83"/>
  <c r="K27" i="83"/>
  <c r="K28" i="83"/>
  <c r="K39" i="80"/>
  <c r="J39" i="80"/>
  <c r="K38" i="80"/>
  <c r="J38" i="80"/>
  <c r="G37" i="80"/>
  <c r="F37" i="80"/>
  <c r="K32" i="80"/>
  <c r="J32" i="80"/>
  <c r="K31" i="80"/>
  <c r="J31" i="80"/>
  <c r="G30" i="80"/>
  <c r="F30" i="80"/>
  <c r="K27" i="80"/>
  <c r="AA14" i="70" s="1"/>
  <c r="K75" i="11" s="1"/>
  <c r="J27" i="80"/>
  <c r="K25" i="80"/>
  <c r="J25" i="80"/>
  <c r="G24" i="80"/>
  <c r="I24" i="80" s="1"/>
  <c r="F24" i="80"/>
  <c r="H24" i="80" s="1"/>
  <c r="I23" i="80"/>
  <c r="H23" i="80"/>
  <c r="K23" i="80"/>
  <c r="J23" i="80"/>
  <c r="K22" i="80"/>
  <c r="J22" i="80"/>
  <c r="I22" i="80"/>
  <c r="H22" i="80"/>
  <c r="K20" i="80"/>
  <c r="J20" i="80"/>
  <c r="I20" i="80"/>
  <c r="H20" i="80"/>
  <c r="K19" i="80"/>
  <c r="J19" i="80"/>
  <c r="G18" i="80"/>
  <c r="S15" i="52" s="1"/>
  <c r="M62" i="11" s="1"/>
  <c r="F18" i="80"/>
  <c r="S14" i="52" s="1"/>
  <c r="K62" i="11" s="1"/>
  <c r="G15" i="80"/>
  <c r="F15" i="80"/>
  <c r="J13" i="80"/>
  <c r="J11" i="80"/>
  <c r="Q18" i="78"/>
  <c r="J31" i="78"/>
  <c r="I31" i="78"/>
  <c r="K31" i="78" s="1"/>
  <c r="H29" i="78"/>
  <c r="E32" i="78" s="1"/>
  <c r="F29" i="78"/>
  <c r="E29" i="78"/>
  <c r="B29" i="78"/>
  <c r="C29" i="78" s="1"/>
  <c r="D29" i="78" s="1"/>
  <c r="R17" i="78"/>
  <c r="P17" i="78"/>
  <c r="Q17" i="78" s="1"/>
  <c r="L15" i="52" s="1"/>
  <c r="M59" i="11" s="1"/>
  <c r="O17" i="78"/>
  <c r="Q16" i="78"/>
  <c r="L14" i="52" s="1"/>
  <c r="K58" i="11" s="1"/>
  <c r="Q15" i="78"/>
  <c r="BF305" i="11"/>
  <c r="BE305" i="11"/>
  <c r="BD305" i="11"/>
  <c r="BC305" i="11"/>
  <c r="BB305" i="11"/>
  <c r="BA305" i="11"/>
  <c r="AZ305" i="11"/>
  <c r="AY305" i="11"/>
  <c r="AX305" i="11"/>
  <c r="AW305" i="11"/>
  <c r="AV305" i="11"/>
  <c r="AU305" i="11"/>
  <c r="AT305" i="11"/>
  <c r="AS305" i="11"/>
  <c r="AR305" i="11"/>
  <c r="AQ305" i="11"/>
  <c r="AP305" i="11"/>
  <c r="AO305" i="11"/>
  <c r="AN305" i="11"/>
  <c r="AM305" i="11"/>
  <c r="AL305" i="11"/>
  <c r="AK305" i="11"/>
  <c r="AJ305" i="11"/>
  <c r="AI305" i="11"/>
  <c r="AH305" i="11"/>
  <c r="AG305" i="11"/>
  <c r="AF305" i="11"/>
  <c r="AE305" i="11"/>
  <c r="AD305" i="11"/>
  <c r="AC305" i="11"/>
  <c r="AB305" i="11"/>
  <c r="AA305" i="11"/>
  <c r="Z305" i="11"/>
  <c r="Y305" i="11"/>
  <c r="X305" i="11"/>
  <c r="W305" i="11"/>
  <c r="V305" i="11"/>
  <c r="U305" i="11"/>
  <c r="T305" i="11"/>
  <c r="S305" i="11"/>
  <c r="R305" i="11"/>
  <c r="Q305" i="11"/>
  <c r="P305" i="11"/>
  <c r="O305" i="11"/>
  <c r="N305" i="11"/>
  <c r="M305" i="11"/>
  <c r="L305" i="11"/>
  <c r="K305" i="11"/>
  <c r="J305" i="11"/>
  <c r="I305" i="11"/>
  <c r="H305" i="11"/>
  <c r="G305" i="11"/>
  <c r="BF304" i="11"/>
  <c r="BE304" i="11"/>
  <c r="BD304" i="11"/>
  <c r="BC304" i="11"/>
  <c r="BB304" i="11"/>
  <c r="BA304" i="11"/>
  <c r="AZ304" i="11"/>
  <c r="AY304" i="11"/>
  <c r="AX304" i="11"/>
  <c r="AW304" i="11"/>
  <c r="AV304" i="11"/>
  <c r="AU304" i="11"/>
  <c r="AT304" i="11"/>
  <c r="AS304" i="11"/>
  <c r="AR304" i="11"/>
  <c r="AQ304" i="11"/>
  <c r="AP304" i="11"/>
  <c r="AO304" i="11"/>
  <c r="AN304" i="11"/>
  <c r="AM304" i="11"/>
  <c r="AL304" i="11"/>
  <c r="AK304" i="11"/>
  <c r="AJ304" i="11"/>
  <c r="AI304" i="11"/>
  <c r="AH304" i="11"/>
  <c r="AG304" i="11"/>
  <c r="AF304" i="11"/>
  <c r="AE304" i="11"/>
  <c r="AD304" i="11"/>
  <c r="AC304" i="11"/>
  <c r="AB304" i="11"/>
  <c r="AA304" i="11"/>
  <c r="Z304" i="11"/>
  <c r="Y304" i="11"/>
  <c r="X304" i="11"/>
  <c r="W304" i="11"/>
  <c r="V304" i="11"/>
  <c r="U304" i="11"/>
  <c r="T304" i="11"/>
  <c r="S304" i="11"/>
  <c r="R304" i="11"/>
  <c r="Q304" i="11"/>
  <c r="P304" i="11"/>
  <c r="O304" i="11"/>
  <c r="N304" i="11"/>
  <c r="M304" i="11"/>
  <c r="L304" i="11"/>
  <c r="K304" i="11"/>
  <c r="J304" i="11"/>
  <c r="I304" i="11"/>
  <c r="H304" i="11"/>
  <c r="G304" i="11"/>
  <c r="BF303" i="11"/>
  <c r="BE303" i="11"/>
  <c r="BD303" i="11"/>
  <c r="BC303" i="11"/>
  <c r="BB303" i="11"/>
  <c r="BA303" i="11"/>
  <c r="AZ303" i="11"/>
  <c r="AY303" i="11"/>
  <c r="AX303" i="11"/>
  <c r="AW303" i="11"/>
  <c r="AV303" i="11"/>
  <c r="AU303" i="11"/>
  <c r="AT303" i="11"/>
  <c r="AS303" i="11"/>
  <c r="AR303" i="11"/>
  <c r="AQ303" i="11"/>
  <c r="AP303" i="11"/>
  <c r="AO303" i="11"/>
  <c r="AN303" i="11"/>
  <c r="AM303" i="11"/>
  <c r="AL303" i="11"/>
  <c r="AK303" i="11"/>
  <c r="AJ303" i="11"/>
  <c r="AI303" i="11"/>
  <c r="AH303" i="11"/>
  <c r="AG303" i="11"/>
  <c r="AF303" i="11"/>
  <c r="AE303" i="11"/>
  <c r="AD303" i="11"/>
  <c r="AC303" i="11"/>
  <c r="AB303" i="11"/>
  <c r="AA303" i="11"/>
  <c r="Z303" i="11"/>
  <c r="Y303" i="11"/>
  <c r="X303" i="11"/>
  <c r="W303" i="11"/>
  <c r="V303" i="11"/>
  <c r="U303" i="11"/>
  <c r="T303" i="11"/>
  <c r="S303" i="11"/>
  <c r="R303" i="11"/>
  <c r="Q303" i="11"/>
  <c r="P303" i="11"/>
  <c r="O303" i="11"/>
  <c r="N303" i="11"/>
  <c r="M303" i="11"/>
  <c r="L303" i="11"/>
  <c r="K303" i="11"/>
  <c r="J303" i="11"/>
  <c r="I303" i="11"/>
  <c r="H303" i="11"/>
  <c r="G303" i="11"/>
  <c r="BF302" i="11"/>
  <c r="BE302" i="11"/>
  <c r="BD302" i="11"/>
  <c r="BC302" i="11"/>
  <c r="BB302" i="11"/>
  <c r="BA302" i="11"/>
  <c r="AZ302" i="11"/>
  <c r="AY302" i="11"/>
  <c r="AX302" i="11"/>
  <c r="AW302" i="11"/>
  <c r="AV302" i="11"/>
  <c r="AU302" i="11"/>
  <c r="AT302" i="11"/>
  <c r="AS302" i="11"/>
  <c r="AR302" i="11"/>
  <c r="AQ302" i="11"/>
  <c r="AP302" i="11"/>
  <c r="AO302" i="11"/>
  <c r="AN302" i="11"/>
  <c r="AM302" i="11"/>
  <c r="AL302" i="11"/>
  <c r="AK302" i="11"/>
  <c r="AJ302" i="11"/>
  <c r="AI302" i="11"/>
  <c r="AH302" i="11"/>
  <c r="AG302" i="11"/>
  <c r="AF302" i="11"/>
  <c r="AE302" i="11"/>
  <c r="AD302" i="11"/>
  <c r="AC302" i="11"/>
  <c r="AB302" i="11"/>
  <c r="AA302" i="11"/>
  <c r="Z302" i="11"/>
  <c r="Y302" i="11"/>
  <c r="X302" i="11"/>
  <c r="W302" i="11"/>
  <c r="V302" i="11"/>
  <c r="U302" i="11"/>
  <c r="T302" i="11"/>
  <c r="S302" i="11"/>
  <c r="R302" i="11"/>
  <c r="Q302" i="11"/>
  <c r="P302" i="11"/>
  <c r="O302" i="11"/>
  <c r="N302" i="11"/>
  <c r="M302" i="11"/>
  <c r="L302" i="11"/>
  <c r="K302" i="11"/>
  <c r="J302" i="11"/>
  <c r="I302" i="11"/>
  <c r="H302" i="11"/>
  <c r="G302" i="11"/>
  <c r="BF301" i="11"/>
  <c r="BE301" i="11"/>
  <c r="BD301" i="11"/>
  <c r="BC301" i="11"/>
  <c r="BB301" i="11"/>
  <c r="BA301" i="11"/>
  <c r="AZ301" i="11"/>
  <c r="AY301" i="11"/>
  <c r="AX301" i="11"/>
  <c r="AW301" i="11"/>
  <c r="AV301" i="11"/>
  <c r="AU301" i="11"/>
  <c r="AT301" i="11"/>
  <c r="AS301" i="11"/>
  <c r="AR301" i="11"/>
  <c r="AQ301" i="11"/>
  <c r="AP301" i="11"/>
  <c r="AO301" i="11"/>
  <c r="AN301" i="11"/>
  <c r="AM301" i="11"/>
  <c r="AL301" i="11"/>
  <c r="AK301" i="11"/>
  <c r="AJ301" i="11"/>
  <c r="AI301" i="11"/>
  <c r="AH301" i="11"/>
  <c r="AG301" i="11"/>
  <c r="AF301" i="11"/>
  <c r="AE301" i="11"/>
  <c r="AD301" i="11"/>
  <c r="AC301" i="11"/>
  <c r="AB301" i="11"/>
  <c r="AA301" i="11"/>
  <c r="Z301" i="11"/>
  <c r="Y301" i="11"/>
  <c r="X301" i="11"/>
  <c r="W301" i="11"/>
  <c r="V301" i="11"/>
  <c r="U301" i="11"/>
  <c r="T301" i="11"/>
  <c r="S301" i="11"/>
  <c r="R301" i="11"/>
  <c r="Q301" i="11"/>
  <c r="P301" i="11"/>
  <c r="O301" i="11"/>
  <c r="N301" i="11"/>
  <c r="M301" i="11"/>
  <c r="L301" i="11"/>
  <c r="K301" i="11"/>
  <c r="J301" i="11"/>
  <c r="I301" i="11"/>
  <c r="H301" i="11"/>
  <c r="G301" i="11"/>
  <c r="BF300" i="11"/>
  <c r="BE300" i="11"/>
  <c r="BD300" i="11"/>
  <c r="BC300" i="11"/>
  <c r="BB300" i="11"/>
  <c r="BA300" i="11"/>
  <c r="AZ300" i="11"/>
  <c r="AY300" i="11"/>
  <c r="AX300" i="11"/>
  <c r="AW300" i="11"/>
  <c r="AV300" i="11"/>
  <c r="AU300" i="11"/>
  <c r="AT300" i="11"/>
  <c r="AS300" i="11"/>
  <c r="AR300" i="11"/>
  <c r="AQ300" i="11"/>
  <c r="AP300" i="11"/>
  <c r="AO300" i="11"/>
  <c r="AN300" i="11"/>
  <c r="AM300" i="11"/>
  <c r="AL300" i="11"/>
  <c r="AK300" i="11"/>
  <c r="AJ300" i="11"/>
  <c r="AI300" i="11"/>
  <c r="AH300" i="11"/>
  <c r="AG300" i="11"/>
  <c r="AF300" i="11"/>
  <c r="AE300" i="11"/>
  <c r="AD300" i="11"/>
  <c r="AC300" i="11"/>
  <c r="AB300" i="11"/>
  <c r="AA300" i="11"/>
  <c r="Z300" i="11"/>
  <c r="Y300" i="11"/>
  <c r="X300" i="11"/>
  <c r="W300" i="11"/>
  <c r="V300" i="11"/>
  <c r="U300" i="11"/>
  <c r="T300" i="11"/>
  <c r="S300" i="11"/>
  <c r="R300" i="11"/>
  <c r="Q300" i="11"/>
  <c r="P300" i="11"/>
  <c r="O300" i="11"/>
  <c r="N300" i="11"/>
  <c r="M300" i="11"/>
  <c r="L300" i="11"/>
  <c r="K300" i="11"/>
  <c r="J300" i="11"/>
  <c r="I300" i="11"/>
  <c r="H300" i="11"/>
  <c r="G300" i="11"/>
  <c r="BF299" i="11"/>
  <c r="BE299" i="11"/>
  <c r="BD299" i="11"/>
  <c r="BC299" i="11"/>
  <c r="BB299" i="11"/>
  <c r="BA299" i="11"/>
  <c r="AZ299" i="11"/>
  <c r="AY299" i="11"/>
  <c r="AX299" i="11"/>
  <c r="AW299" i="11"/>
  <c r="AV299" i="11"/>
  <c r="AU299" i="11"/>
  <c r="AT299" i="11"/>
  <c r="AS299" i="11"/>
  <c r="AR299" i="11"/>
  <c r="AQ299" i="11"/>
  <c r="AP299" i="11"/>
  <c r="AO299" i="11"/>
  <c r="AN299" i="11"/>
  <c r="AM299" i="11"/>
  <c r="AL299" i="11"/>
  <c r="AK299" i="11"/>
  <c r="AJ299" i="11"/>
  <c r="AI299" i="11"/>
  <c r="AH299" i="11"/>
  <c r="AG299" i="11"/>
  <c r="AF299" i="11"/>
  <c r="AE299" i="11"/>
  <c r="AD299" i="11"/>
  <c r="AC299" i="11"/>
  <c r="AB299" i="11"/>
  <c r="AA299" i="11"/>
  <c r="Z299" i="11"/>
  <c r="Y299" i="11"/>
  <c r="X299" i="11"/>
  <c r="W299" i="11"/>
  <c r="V299" i="11"/>
  <c r="U299" i="11"/>
  <c r="T299" i="11"/>
  <c r="S299" i="11"/>
  <c r="R299" i="11"/>
  <c r="Q299" i="11"/>
  <c r="P299" i="11"/>
  <c r="O299" i="11"/>
  <c r="N299" i="11"/>
  <c r="M299" i="11"/>
  <c r="L299" i="11"/>
  <c r="K299" i="11"/>
  <c r="J299" i="11"/>
  <c r="I299" i="11"/>
  <c r="H299" i="11"/>
  <c r="G299" i="11"/>
  <c r="BF298" i="11"/>
  <c r="BE298" i="11"/>
  <c r="BD298" i="11"/>
  <c r="BC298" i="11"/>
  <c r="BB298" i="11"/>
  <c r="BA298" i="11"/>
  <c r="AZ298" i="11"/>
  <c r="AY298" i="11"/>
  <c r="AX298" i="11"/>
  <c r="AW298" i="11"/>
  <c r="AV298" i="11"/>
  <c r="AU298" i="11"/>
  <c r="AT298" i="11"/>
  <c r="AS298" i="11"/>
  <c r="AR298" i="11"/>
  <c r="AQ298" i="11"/>
  <c r="AP298" i="11"/>
  <c r="AO298" i="11"/>
  <c r="AN298" i="11"/>
  <c r="AM298" i="11"/>
  <c r="AL298" i="11"/>
  <c r="AK298" i="11"/>
  <c r="AJ298" i="11"/>
  <c r="AI298" i="11"/>
  <c r="AH298" i="11"/>
  <c r="AG298" i="11"/>
  <c r="AF298" i="11"/>
  <c r="AE298" i="11"/>
  <c r="AD298" i="11"/>
  <c r="AC298" i="11"/>
  <c r="AB298" i="11"/>
  <c r="AA298" i="11"/>
  <c r="Z298" i="11"/>
  <c r="Y298" i="11"/>
  <c r="X298" i="11"/>
  <c r="W298" i="11"/>
  <c r="V298" i="11"/>
  <c r="U298" i="11"/>
  <c r="T298" i="11"/>
  <c r="S298" i="11"/>
  <c r="R298" i="11"/>
  <c r="Q298" i="11"/>
  <c r="P298" i="11"/>
  <c r="O298" i="11"/>
  <c r="N298" i="11"/>
  <c r="M298" i="11"/>
  <c r="L298" i="11"/>
  <c r="K298" i="11"/>
  <c r="J298" i="11"/>
  <c r="I298" i="11"/>
  <c r="H298" i="11"/>
  <c r="G298" i="11"/>
  <c r="BF297" i="11"/>
  <c r="BE297" i="11"/>
  <c r="BD297" i="11"/>
  <c r="BC297" i="11"/>
  <c r="BB297" i="11"/>
  <c r="BA297" i="11"/>
  <c r="AZ297" i="11"/>
  <c r="AY297" i="11"/>
  <c r="AX297" i="11"/>
  <c r="AW297" i="11"/>
  <c r="AV297" i="11"/>
  <c r="AU297" i="11"/>
  <c r="AT297" i="11"/>
  <c r="AS297" i="11"/>
  <c r="AR297" i="11"/>
  <c r="AQ297" i="11"/>
  <c r="AP297" i="11"/>
  <c r="AO297" i="11"/>
  <c r="AN297" i="11"/>
  <c r="AM297" i="11"/>
  <c r="AL297" i="11"/>
  <c r="AK297" i="11"/>
  <c r="AJ297" i="11"/>
  <c r="AI297" i="11"/>
  <c r="AH297" i="11"/>
  <c r="AG297" i="11"/>
  <c r="AF297" i="11"/>
  <c r="AE297" i="11"/>
  <c r="AD297" i="11"/>
  <c r="AC297" i="11"/>
  <c r="AB297" i="11"/>
  <c r="AA297" i="11"/>
  <c r="Z297" i="11"/>
  <c r="Y297" i="11"/>
  <c r="X297" i="11"/>
  <c r="W297" i="11"/>
  <c r="V297" i="11"/>
  <c r="U297" i="11"/>
  <c r="T297" i="11"/>
  <c r="S297" i="11"/>
  <c r="R297" i="11"/>
  <c r="Q297" i="11"/>
  <c r="P297" i="11"/>
  <c r="O297" i="11"/>
  <c r="N297" i="11"/>
  <c r="M297" i="11"/>
  <c r="L297" i="11"/>
  <c r="K297" i="11"/>
  <c r="J297" i="11"/>
  <c r="I297" i="11"/>
  <c r="H297" i="11"/>
  <c r="G297" i="11"/>
  <c r="BF296" i="11"/>
  <c r="BE296" i="11"/>
  <c r="BD296" i="11"/>
  <c r="BC296"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AD296" i="11"/>
  <c r="AC296" i="11"/>
  <c r="AB296" i="11"/>
  <c r="AA296" i="11"/>
  <c r="Z296" i="11"/>
  <c r="Y296" i="11"/>
  <c r="X296" i="11"/>
  <c r="W296" i="11"/>
  <c r="V296" i="11"/>
  <c r="U296" i="11"/>
  <c r="T296" i="11"/>
  <c r="S296" i="11"/>
  <c r="R296" i="11"/>
  <c r="Q296" i="11"/>
  <c r="P296" i="11"/>
  <c r="O296" i="11"/>
  <c r="N296" i="11"/>
  <c r="M296" i="11"/>
  <c r="L296" i="11"/>
  <c r="K296" i="11"/>
  <c r="J296" i="11"/>
  <c r="I296" i="11"/>
  <c r="H296" i="11"/>
  <c r="G296" i="11"/>
  <c r="BF295" i="11"/>
  <c r="BE295" i="11"/>
  <c r="BD295" i="11"/>
  <c r="BC295" i="11"/>
  <c r="BB295" i="11"/>
  <c r="BA295" i="11"/>
  <c r="AZ295" i="11"/>
  <c r="AY295" i="11"/>
  <c r="AX295" i="11"/>
  <c r="AW295" i="11"/>
  <c r="AV295" i="11"/>
  <c r="AU295" i="11"/>
  <c r="AT295" i="11"/>
  <c r="AS295" i="11"/>
  <c r="AR295" i="11"/>
  <c r="AQ295" i="11"/>
  <c r="AP295" i="11"/>
  <c r="AO295" i="11"/>
  <c r="AN295" i="11"/>
  <c r="AM295" i="11"/>
  <c r="AL295" i="11"/>
  <c r="AK295" i="11"/>
  <c r="AJ295" i="11"/>
  <c r="AI295" i="11"/>
  <c r="AH295" i="11"/>
  <c r="AG295" i="11"/>
  <c r="AF295" i="11"/>
  <c r="AE295" i="11"/>
  <c r="AD295" i="11"/>
  <c r="AC295" i="11"/>
  <c r="AB295" i="11"/>
  <c r="AA295" i="11"/>
  <c r="Z295" i="11"/>
  <c r="Y295" i="11"/>
  <c r="X295" i="11"/>
  <c r="W295" i="11"/>
  <c r="V295" i="11"/>
  <c r="U295" i="11"/>
  <c r="T295" i="11"/>
  <c r="S295" i="11"/>
  <c r="R295" i="11"/>
  <c r="Q295" i="11"/>
  <c r="P295" i="11"/>
  <c r="O295" i="11"/>
  <c r="N295" i="11"/>
  <c r="M295" i="11"/>
  <c r="L295" i="11"/>
  <c r="K295" i="11"/>
  <c r="J295" i="11"/>
  <c r="I295" i="11"/>
  <c r="H295" i="11"/>
  <c r="G295" i="11"/>
  <c r="BF294" i="11"/>
  <c r="BE294" i="11"/>
  <c r="BD294" i="11"/>
  <c r="BC294"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AD294" i="11"/>
  <c r="AC294" i="11"/>
  <c r="AB294" i="11"/>
  <c r="AA294" i="11"/>
  <c r="Z294" i="11"/>
  <c r="Y294" i="11"/>
  <c r="X294" i="11"/>
  <c r="W294" i="11"/>
  <c r="V294" i="11"/>
  <c r="U294" i="11"/>
  <c r="T294" i="11"/>
  <c r="S294" i="11"/>
  <c r="R294" i="11"/>
  <c r="Q294" i="11"/>
  <c r="P294" i="11"/>
  <c r="O294" i="11"/>
  <c r="N294" i="11"/>
  <c r="M294" i="11"/>
  <c r="L294" i="11"/>
  <c r="K294" i="11"/>
  <c r="J294" i="11"/>
  <c r="I294" i="11"/>
  <c r="H294" i="11"/>
  <c r="G294" i="11"/>
  <c r="BF293" i="11"/>
  <c r="BE293" i="11"/>
  <c r="BD293" i="11"/>
  <c r="BC293" i="11"/>
  <c r="BB293" i="11"/>
  <c r="BA293" i="11"/>
  <c r="AZ293" i="11"/>
  <c r="AY293" i="11"/>
  <c r="AX293" i="11"/>
  <c r="AW293" i="11"/>
  <c r="AV293" i="11"/>
  <c r="AU293" i="11"/>
  <c r="AT293" i="11"/>
  <c r="AS293" i="11"/>
  <c r="AR293" i="11"/>
  <c r="AQ293" i="11"/>
  <c r="AP293" i="11"/>
  <c r="AO293" i="11"/>
  <c r="AN293" i="11"/>
  <c r="AM293" i="11"/>
  <c r="AL293" i="11"/>
  <c r="AK293" i="11"/>
  <c r="AJ293" i="11"/>
  <c r="AI293" i="11"/>
  <c r="AH293" i="11"/>
  <c r="AG293" i="11"/>
  <c r="AF293" i="11"/>
  <c r="AE293" i="11"/>
  <c r="AD293" i="11"/>
  <c r="AC293" i="11"/>
  <c r="AB293" i="11"/>
  <c r="AA293" i="11"/>
  <c r="Z293" i="11"/>
  <c r="Y293" i="11"/>
  <c r="X293" i="11"/>
  <c r="W293" i="11"/>
  <c r="V293" i="11"/>
  <c r="U293" i="11"/>
  <c r="T293" i="11"/>
  <c r="S293" i="11"/>
  <c r="R293" i="11"/>
  <c r="Q293" i="11"/>
  <c r="P293" i="11"/>
  <c r="O293" i="11"/>
  <c r="N293" i="11"/>
  <c r="M293" i="11"/>
  <c r="L293" i="11"/>
  <c r="K293" i="11"/>
  <c r="J293" i="11"/>
  <c r="I293" i="11"/>
  <c r="H293" i="11"/>
  <c r="G293" i="11"/>
  <c r="BF292" i="11"/>
  <c r="BE292" i="11"/>
  <c r="BD292" i="11"/>
  <c r="BC292" i="11"/>
  <c r="BB292" i="11"/>
  <c r="BA292" i="11"/>
  <c r="AZ292" i="11"/>
  <c r="AY292" i="11"/>
  <c r="AX292" i="11"/>
  <c r="AW292" i="11"/>
  <c r="AV292" i="11"/>
  <c r="AU292" i="11"/>
  <c r="AT292" i="11"/>
  <c r="AS292" i="11"/>
  <c r="AR292" i="11"/>
  <c r="AQ292" i="11"/>
  <c r="AP292" i="11"/>
  <c r="AO292" i="11"/>
  <c r="AN292" i="11"/>
  <c r="AM292" i="11"/>
  <c r="AL292" i="11"/>
  <c r="AK292" i="11"/>
  <c r="AJ292" i="11"/>
  <c r="AI292" i="11"/>
  <c r="AH292" i="11"/>
  <c r="AG292" i="11"/>
  <c r="AF292" i="11"/>
  <c r="AE292" i="11"/>
  <c r="AD292" i="11"/>
  <c r="AC292" i="11"/>
  <c r="AB292" i="11"/>
  <c r="AA292" i="11"/>
  <c r="Z292" i="11"/>
  <c r="Y292" i="11"/>
  <c r="X292" i="11"/>
  <c r="W292" i="11"/>
  <c r="V292" i="11"/>
  <c r="U292" i="11"/>
  <c r="T292" i="11"/>
  <c r="S292" i="11"/>
  <c r="R292" i="11"/>
  <c r="Q292" i="11"/>
  <c r="P292" i="11"/>
  <c r="O292" i="11"/>
  <c r="N292" i="11"/>
  <c r="M292" i="11"/>
  <c r="L292" i="11"/>
  <c r="K292" i="11"/>
  <c r="J292" i="11"/>
  <c r="I292" i="11"/>
  <c r="H292" i="11"/>
  <c r="G292" i="11"/>
  <c r="BF290" i="11"/>
  <c r="BE290" i="11"/>
  <c r="BD290" i="11"/>
  <c r="BC290"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AD290" i="11"/>
  <c r="AC290" i="11"/>
  <c r="AB290" i="11"/>
  <c r="AA290" i="11"/>
  <c r="Z290" i="11"/>
  <c r="Y290" i="11"/>
  <c r="X290" i="11"/>
  <c r="W290" i="11"/>
  <c r="V290" i="11"/>
  <c r="U290" i="11"/>
  <c r="T290" i="11"/>
  <c r="S290" i="11"/>
  <c r="R290" i="11"/>
  <c r="Q290" i="11"/>
  <c r="P290" i="11"/>
  <c r="O290" i="11"/>
  <c r="N290" i="11"/>
  <c r="M290" i="11"/>
  <c r="L290" i="11"/>
  <c r="K290" i="11"/>
  <c r="J290" i="11"/>
  <c r="I290" i="11"/>
  <c r="H290" i="11"/>
  <c r="G290" i="11"/>
  <c r="BF289" i="11"/>
  <c r="BE289" i="11"/>
  <c r="BD289" i="11"/>
  <c r="BC289" i="11"/>
  <c r="BB289" i="11"/>
  <c r="BA289" i="11"/>
  <c r="AZ289" i="11"/>
  <c r="AY289" i="11"/>
  <c r="AX289" i="11"/>
  <c r="AW289" i="11"/>
  <c r="AV289" i="11"/>
  <c r="AU289" i="11"/>
  <c r="AT289" i="11"/>
  <c r="AS289" i="11"/>
  <c r="AR289" i="11"/>
  <c r="AQ289" i="11"/>
  <c r="AP289" i="11"/>
  <c r="AO289" i="11"/>
  <c r="AN289" i="11"/>
  <c r="AM289" i="11"/>
  <c r="AL289" i="11"/>
  <c r="AK289" i="11"/>
  <c r="AJ289" i="11"/>
  <c r="AI289" i="11"/>
  <c r="AH289" i="11"/>
  <c r="AG289" i="11"/>
  <c r="AF289" i="11"/>
  <c r="AE289" i="11"/>
  <c r="AD289" i="11"/>
  <c r="AC289" i="11"/>
  <c r="AB289" i="11"/>
  <c r="AA289" i="11"/>
  <c r="Z289" i="11"/>
  <c r="Y289" i="11"/>
  <c r="X289" i="11"/>
  <c r="W289" i="11"/>
  <c r="V289" i="11"/>
  <c r="U289" i="11"/>
  <c r="T289" i="11"/>
  <c r="S289" i="11"/>
  <c r="R289" i="11"/>
  <c r="Q289" i="11"/>
  <c r="P289" i="11"/>
  <c r="O289" i="11"/>
  <c r="N289" i="11"/>
  <c r="M289" i="11"/>
  <c r="L289" i="11"/>
  <c r="K289" i="11"/>
  <c r="J289" i="11"/>
  <c r="I289" i="11"/>
  <c r="H289" i="11"/>
  <c r="G289" i="11"/>
  <c r="BF288" i="11"/>
  <c r="BE288" i="11"/>
  <c r="BD288" i="11"/>
  <c r="BC288" i="11"/>
  <c r="BB288" i="11"/>
  <c r="BA288" i="11"/>
  <c r="AZ288" i="11"/>
  <c r="AY288" i="11"/>
  <c r="AX288" i="11"/>
  <c r="AW288" i="11"/>
  <c r="AV288" i="11"/>
  <c r="AU288" i="11"/>
  <c r="AT288" i="11"/>
  <c r="AS288" i="11"/>
  <c r="AR288" i="11"/>
  <c r="AQ288" i="11"/>
  <c r="AP288" i="11"/>
  <c r="AO288" i="11"/>
  <c r="AN288" i="11"/>
  <c r="AM288" i="11"/>
  <c r="AL288" i="11"/>
  <c r="AK288" i="11"/>
  <c r="AJ288" i="11"/>
  <c r="AI288" i="11"/>
  <c r="AH288" i="11"/>
  <c r="AG288" i="11"/>
  <c r="AF288" i="11"/>
  <c r="AE288" i="11"/>
  <c r="AD288" i="11"/>
  <c r="AC288" i="11"/>
  <c r="AB288" i="11"/>
  <c r="AA288" i="11"/>
  <c r="Z288" i="11"/>
  <c r="Y288" i="11"/>
  <c r="X288" i="11"/>
  <c r="W288" i="11"/>
  <c r="V288" i="11"/>
  <c r="U288" i="11"/>
  <c r="T288" i="11"/>
  <c r="S288" i="11"/>
  <c r="R288" i="11"/>
  <c r="Q288" i="11"/>
  <c r="P288" i="11"/>
  <c r="O288" i="11"/>
  <c r="N288" i="11"/>
  <c r="M288" i="11"/>
  <c r="L288" i="11"/>
  <c r="K288" i="11"/>
  <c r="J288" i="11"/>
  <c r="I288" i="11"/>
  <c r="H288" i="11"/>
  <c r="G288" i="11"/>
  <c r="BF287" i="11"/>
  <c r="BE287" i="11"/>
  <c r="BD287" i="11"/>
  <c r="BC287" i="11"/>
  <c r="BB287" i="11"/>
  <c r="BA287" i="11"/>
  <c r="AZ287" i="11"/>
  <c r="AY287" i="11"/>
  <c r="AX287" i="11"/>
  <c r="AW287" i="11"/>
  <c r="AV287" i="11"/>
  <c r="AU287" i="11"/>
  <c r="AT287" i="11"/>
  <c r="AS287" i="11"/>
  <c r="AR287" i="11"/>
  <c r="AQ287" i="11"/>
  <c r="AP287" i="11"/>
  <c r="AO287" i="11"/>
  <c r="AN287" i="11"/>
  <c r="AM287" i="11"/>
  <c r="AL287" i="11"/>
  <c r="AK287" i="11"/>
  <c r="AJ287" i="11"/>
  <c r="AI287" i="11"/>
  <c r="AH287" i="11"/>
  <c r="AG287" i="11"/>
  <c r="AF287" i="11"/>
  <c r="AE287" i="11"/>
  <c r="AD287" i="11"/>
  <c r="AC287" i="11"/>
  <c r="AB287" i="11"/>
  <c r="AA287" i="11"/>
  <c r="Z287" i="11"/>
  <c r="Y287" i="11"/>
  <c r="X287" i="11"/>
  <c r="W287" i="11"/>
  <c r="V287" i="11"/>
  <c r="U287" i="11"/>
  <c r="T287" i="11"/>
  <c r="S287" i="11"/>
  <c r="R287" i="11"/>
  <c r="Q287" i="11"/>
  <c r="P287" i="11"/>
  <c r="O287" i="11"/>
  <c r="N287" i="11"/>
  <c r="M287" i="11"/>
  <c r="L287" i="11"/>
  <c r="K287" i="11"/>
  <c r="J287" i="11"/>
  <c r="I287" i="11"/>
  <c r="H287" i="11"/>
  <c r="G287" i="11"/>
  <c r="BF285" i="11"/>
  <c r="BE285" i="11"/>
  <c r="BD285" i="11"/>
  <c r="BC285" i="11"/>
  <c r="BB285" i="11"/>
  <c r="BA285" i="11"/>
  <c r="AZ285" i="11"/>
  <c r="AY285" i="11"/>
  <c r="AX285" i="11"/>
  <c r="AW285" i="11"/>
  <c r="AV285" i="11"/>
  <c r="AU285" i="11"/>
  <c r="AT285" i="11"/>
  <c r="AS285" i="11"/>
  <c r="AR285" i="11"/>
  <c r="AQ285" i="11"/>
  <c r="AP285" i="11"/>
  <c r="AO285" i="11"/>
  <c r="AN285" i="11"/>
  <c r="AM285" i="11"/>
  <c r="AL285" i="11"/>
  <c r="AK285" i="11"/>
  <c r="AJ285" i="11"/>
  <c r="AI285" i="11"/>
  <c r="AH285" i="11"/>
  <c r="AG285" i="11"/>
  <c r="AF285" i="11"/>
  <c r="AE285" i="11"/>
  <c r="AD285" i="11"/>
  <c r="AC285" i="11"/>
  <c r="AB285" i="11"/>
  <c r="AA285" i="11"/>
  <c r="Z285" i="11"/>
  <c r="Y285" i="11"/>
  <c r="X285" i="11"/>
  <c r="W285" i="11"/>
  <c r="V285" i="11"/>
  <c r="U285" i="11"/>
  <c r="T285" i="11"/>
  <c r="S285" i="11"/>
  <c r="R285" i="11"/>
  <c r="Q285" i="11"/>
  <c r="P285" i="11"/>
  <c r="O285" i="11"/>
  <c r="N285" i="11"/>
  <c r="M285" i="11"/>
  <c r="L285" i="11"/>
  <c r="K285" i="11"/>
  <c r="J285" i="11"/>
  <c r="I285" i="11"/>
  <c r="H285" i="11"/>
  <c r="G285" i="11"/>
  <c r="BF284" i="11"/>
  <c r="BE284" i="11"/>
  <c r="BD284" i="11"/>
  <c r="BC284" i="11"/>
  <c r="BB284" i="11"/>
  <c r="BA284" i="11"/>
  <c r="AZ284" i="11"/>
  <c r="AY284" i="11"/>
  <c r="AX284" i="11"/>
  <c r="AW284" i="11"/>
  <c r="AV284" i="11"/>
  <c r="AU284" i="11"/>
  <c r="AT284" i="11"/>
  <c r="AS284" i="11"/>
  <c r="AR284" i="11"/>
  <c r="AQ284" i="11"/>
  <c r="AP284" i="11"/>
  <c r="AO284" i="11"/>
  <c r="AN284" i="11"/>
  <c r="AM284" i="11"/>
  <c r="AL284" i="11"/>
  <c r="AK284" i="11"/>
  <c r="AJ284" i="11"/>
  <c r="AI284" i="11"/>
  <c r="AH284" i="11"/>
  <c r="AG284" i="11"/>
  <c r="AF284" i="11"/>
  <c r="AE284" i="11"/>
  <c r="AD284" i="11"/>
  <c r="AC284" i="11"/>
  <c r="AB284" i="11"/>
  <c r="AA284" i="11"/>
  <c r="Z284" i="11"/>
  <c r="Y284" i="11"/>
  <c r="X284" i="11"/>
  <c r="W284" i="11"/>
  <c r="V284" i="11"/>
  <c r="U284" i="11"/>
  <c r="T284" i="11"/>
  <c r="S284" i="11"/>
  <c r="R284" i="11"/>
  <c r="Q284" i="11"/>
  <c r="P284" i="11"/>
  <c r="O284" i="11"/>
  <c r="N284" i="11"/>
  <c r="M284" i="11"/>
  <c r="L284" i="11"/>
  <c r="K284" i="11"/>
  <c r="J284" i="11"/>
  <c r="I284" i="11"/>
  <c r="H284" i="11"/>
  <c r="G284" i="11"/>
  <c r="BF283" i="11"/>
  <c r="BE283" i="11"/>
  <c r="BD283" i="11"/>
  <c r="BC283"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AD283" i="11"/>
  <c r="AC283" i="11"/>
  <c r="AB283" i="11"/>
  <c r="AA283" i="11"/>
  <c r="Z283" i="11"/>
  <c r="Y283" i="11"/>
  <c r="X283" i="11"/>
  <c r="W283" i="11"/>
  <c r="V283" i="11"/>
  <c r="U283" i="11"/>
  <c r="T283" i="11"/>
  <c r="S283" i="11"/>
  <c r="R283" i="11"/>
  <c r="Q283" i="11"/>
  <c r="P283" i="11"/>
  <c r="O283" i="11"/>
  <c r="N283" i="11"/>
  <c r="M283" i="11"/>
  <c r="L283" i="11"/>
  <c r="K283" i="11"/>
  <c r="J283" i="11"/>
  <c r="I283" i="11"/>
  <c r="H283" i="11"/>
  <c r="G283" i="11"/>
  <c r="BF282" i="11"/>
  <c r="BE282" i="11"/>
  <c r="BD282" i="11"/>
  <c r="BC282" i="11"/>
  <c r="BB282" i="11"/>
  <c r="BA282" i="11"/>
  <c r="AZ282" i="11"/>
  <c r="AY282" i="11"/>
  <c r="AX282" i="11"/>
  <c r="AW282" i="11"/>
  <c r="AV282" i="11"/>
  <c r="AU282" i="11"/>
  <c r="AT282" i="11"/>
  <c r="AS282" i="11"/>
  <c r="AR282" i="11"/>
  <c r="AQ282" i="11"/>
  <c r="AP282" i="11"/>
  <c r="AO282" i="11"/>
  <c r="AN282" i="11"/>
  <c r="AM282" i="11"/>
  <c r="AL282" i="11"/>
  <c r="AK282" i="11"/>
  <c r="AJ282" i="11"/>
  <c r="AI282" i="11"/>
  <c r="AH282" i="11"/>
  <c r="AG282" i="11"/>
  <c r="AF282" i="11"/>
  <c r="AE282" i="11"/>
  <c r="AD282" i="11"/>
  <c r="AC282" i="11"/>
  <c r="AB282" i="11"/>
  <c r="AA282" i="11"/>
  <c r="Z282" i="11"/>
  <c r="Y282" i="11"/>
  <c r="X282" i="11"/>
  <c r="W282" i="11"/>
  <c r="V282" i="11"/>
  <c r="U282" i="11"/>
  <c r="T282" i="11"/>
  <c r="S282" i="11"/>
  <c r="R282" i="11"/>
  <c r="Q282" i="11"/>
  <c r="P282" i="11"/>
  <c r="O282" i="11"/>
  <c r="N282" i="11"/>
  <c r="M282" i="11"/>
  <c r="L282" i="11"/>
  <c r="K282" i="11"/>
  <c r="J282" i="11"/>
  <c r="I282" i="11"/>
  <c r="H282" i="11"/>
  <c r="G282" i="11"/>
  <c r="BF281" i="11"/>
  <c r="BE281" i="11"/>
  <c r="BD281" i="11"/>
  <c r="BC281" i="11"/>
  <c r="BB281" i="11"/>
  <c r="BA281" i="11"/>
  <c r="AZ281" i="11"/>
  <c r="AY281" i="11"/>
  <c r="AX281" i="11"/>
  <c r="AW281" i="11"/>
  <c r="AV281" i="11"/>
  <c r="AU281" i="11"/>
  <c r="AT281" i="11"/>
  <c r="AS281" i="11"/>
  <c r="AR281" i="11"/>
  <c r="AQ281" i="11"/>
  <c r="AP281" i="11"/>
  <c r="AO281" i="11"/>
  <c r="AN281" i="11"/>
  <c r="AM281" i="11"/>
  <c r="AL281" i="11"/>
  <c r="AK281" i="11"/>
  <c r="AJ281" i="11"/>
  <c r="AI281" i="11"/>
  <c r="AH281" i="11"/>
  <c r="AG281" i="11"/>
  <c r="AF281" i="11"/>
  <c r="AE281" i="11"/>
  <c r="AD281" i="11"/>
  <c r="AC281" i="11"/>
  <c r="AB281" i="11"/>
  <c r="AA281" i="11"/>
  <c r="Z281" i="11"/>
  <c r="Y281" i="11"/>
  <c r="X281" i="11"/>
  <c r="W281" i="11"/>
  <c r="V281" i="11"/>
  <c r="U281" i="11"/>
  <c r="T281" i="11"/>
  <c r="S281" i="11"/>
  <c r="R281" i="11"/>
  <c r="Q281" i="11"/>
  <c r="P281" i="11"/>
  <c r="O281" i="11"/>
  <c r="N281" i="11"/>
  <c r="M281" i="11"/>
  <c r="L281" i="11"/>
  <c r="K281" i="11"/>
  <c r="J281" i="11"/>
  <c r="I281" i="11"/>
  <c r="H281" i="11"/>
  <c r="G281" i="11"/>
  <c r="BF280" i="11"/>
  <c r="BE280" i="11"/>
  <c r="BD280" i="11"/>
  <c r="BC280" i="11"/>
  <c r="BB280" i="11"/>
  <c r="BA280" i="11"/>
  <c r="AZ280" i="11"/>
  <c r="AY280" i="11"/>
  <c r="AX280" i="11"/>
  <c r="AW280" i="11"/>
  <c r="AV280" i="11"/>
  <c r="AU280" i="11"/>
  <c r="AT280" i="11"/>
  <c r="AS280" i="11"/>
  <c r="AR280" i="11"/>
  <c r="AQ280" i="11"/>
  <c r="AP280" i="11"/>
  <c r="AO280" i="11"/>
  <c r="AN280" i="11"/>
  <c r="AM280" i="11"/>
  <c r="AL280" i="11"/>
  <c r="AK280" i="11"/>
  <c r="AJ280" i="11"/>
  <c r="AI280" i="11"/>
  <c r="AH280" i="11"/>
  <c r="AG280" i="11"/>
  <c r="AF280" i="11"/>
  <c r="AE280" i="11"/>
  <c r="AD280" i="11"/>
  <c r="AC280" i="11"/>
  <c r="AB280" i="11"/>
  <c r="AA280" i="11"/>
  <c r="Z280" i="11"/>
  <c r="Y280" i="11"/>
  <c r="X280" i="11"/>
  <c r="W280" i="11"/>
  <c r="V280" i="11"/>
  <c r="U280" i="11"/>
  <c r="T280" i="11"/>
  <c r="S280" i="11"/>
  <c r="R280" i="11"/>
  <c r="Q280" i="11"/>
  <c r="P280" i="11"/>
  <c r="O280" i="11"/>
  <c r="N280" i="11"/>
  <c r="M280" i="11"/>
  <c r="L280" i="11"/>
  <c r="K280" i="11"/>
  <c r="J280" i="11"/>
  <c r="I280" i="11"/>
  <c r="H280" i="11"/>
  <c r="G280" i="11"/>
  <c r="BF279" i="11"/>
  <c r="BE279" i="11"/>
  <c r="BD279" i="11"/>
  <c r="BC279" i="11"/>
  <c r="BB279" i="11"/>
  <c r="BA279" i="11"/>
  <c r="AZ279" i="11"/>
  <c r="AY279" i="11"/>
  <c r="AX279" i="11"/>
  <c r="AW279" i="11"/>
  <c r="AV279" i="11"/>
  <c r="AU279" i="11"/>
  <c r="AT279" i="11"/>
  <c r="AS279" i="11"/>
  <c r="AR279" i="11"/>
  <c r="AQ279" i="11"/>
  <c r="AP279" i="11"/>
  <c r="AO279" i="11"/>
  <c r="AN279" i="11"/>
  <c r="AM279" i="11"/>
  <c r="AL279" i="11"/>
  <c r="AK279" i="11"/>
  <c r="AJ279" i="11"/>
  <c r="AI279" i="11"/>
  <c r="AH279" i="11"/>
  <c r="AG279" i="11"/>
  <c r="AF279" i="11"/>
  <c r="AE279" i="11"/>
  <c r="AD279" i="11"/>
  <c r="AC279" i="11"/>
  <c r="AB279" i="11"/>
  <c r="AA279" i="11"/>
  <c r="Z279" i="11"/>
  <c r="Y279" i="11"/>
  <c r="X279" i="11"/>
  <c r="W279" i="11"/>
  <c r="V279" i="11"/>
  <c r="U279" i="11"/>
  <c r="T279" i="11"/>
  <c r="S279" i="11"/>
  <c r="R279" i="11"/>
  <c r="Q279" i="11"/>
  <c r="P279" i="11"/>
  <c r="O279" i="11"/>
  <c r="N279" i="11"/>
  <c r="M279" i="11"/>
  <c r="L279" i="11"/>
  <c r="K279" i="11"/>
  <c r="J279" i="11"/>
  <c r="I279" i="11"/>
  <c r="H279" i="11"/>
  <c r="G279" i="11"/>
  <c r="BF278" i="11"/>
  <c r="BE278" i="11"/>
  <c r="BD278" i="11"/>
  <c r="BC278" i="11"/>
  <c r="BB278" i="11"/>
  <c r="BA278" i="11"/>
  <c r="AZ278" i="11"/>
  <c r="AY278" i="11"/>
  <c r="AX278" i="11"/>
  <c r="AW278" i="11"/>
  <c r="AV278" i="11"/>
  <c r="AU278" i="11"/>
  <c r="AT278" i="11"/>
  <c r="AS278" i="11"/>
  <c r="AR278" i="11"/>
  <c r="AQ278" i="11"/>
  <c r="AP278" i="11"/>
  <c r="AO278" i="11"/>
  <c r="AN278" i="11"/>
  <c r="AM278" i="11"/>
  <c r="AL278" i="11"/>
  <c r="AK278" i="11"/>
  <c r="AJ278" i="11"/>
  <c r="AI278" i="11"/>
  <c r="AH278" i="11"/>
  <c r="AG278" i="11"/>
  <c r="AF278" i="11"/>
  <c r="AE278" i="11"/>
  <c r="AD278" i="11"/>
  <c r="AC278" i="11"/>
  <c r="AB278" i="11"/>
  <c r="AA278" i="11"/>
  <c r="Z278" i="11"/>
  <c r="Y278" i="11"/>
  <c r="X278" i="11"/>
  <c r="W278" i="11"/>
  <c r="V278" i="11"/>
  <c r="U278" i="11"/>
  <c r="T278" i="11"/>
  <c r="S278" i="11"/>
  <c r="R278" i="11"/>
  <c r="Q278" i="11"/>
  <c r="P278" i="11"/>
  <c r="O278" i="11"/>
  <c r="N278" i="11"/>
  <c r="M278" i="11"/>
  <c r="L278" i="11"/>
  <c r="K278" i="11"/>
  <c r="J278" i="11"/>
  <c r="I278" i="11"/>
  <c r="H278" i="11"/>
  <c r="G278" i="11"/>
  <c r="BF277" i="11"/>
  <c r="BE277" i="11"/>
  <c r="BD277" i="11"/>
  <c r="BC277" i="11"/>
  <c r="BB277" i="11"/>
  <c r="BA277" i="11"/>
  <c r="AZ277" i="11"/>
  <c r="AY277" i="11"/>
  <c r="AX277" i="11"/>
  <c r="AW277" i="11"/>
  <c r="AV277" i="11"/>
  <c r="AU277" i="11"/>
  <c r="AT277" i="11"/>
  <c r="AS277" i="11"/>
  <c r="AR277" i="11"/>
  <c r="AQ277" i="11"/>
  <c r="AP277" i="11"/>
  <c r="AO277" i="11"/>
  <c r="AN277" i="11"/>
  <c r="AM277" i="11"/>
  <c r="AL277" i="11"/>
  <c r="AK277" i="11"/>
  <c r="AJ277" i="11"/>
  <c r="AI277" i="11"/>
  <c r="AH277" i="11"/>
  <c r="AG277" i="11"/>
  <c r="AF277" i="11"/>
  <c r="AE277" i="11"/>
  <c r="AD277" i="11"/>
  <c r="AC277" i="11"/>
  <c r="AB277" i="11"/>
  <c r="AA277" i="11"/>
  <c r="Z277" i="11"/>
  <c r="Y277" i="11"/>
  <c r="X277" i="11"/>
  <c r="W277" i="11"/>
  <c r="V277" i="11"/>
  <c r="U277" i="11"/>
  <c r="T277" i="11"/>
  <c r="S277" i="11"/>
  <c r="R277" i="11"/>
  <c r="Q277" i="11"/>
  <c r="P277" i="11"/>
  <c r="O277" i="11"/>
  <c r="N277" i="11"/>
  <c r="M277" i="11"/>
  <c r="L277" i="11"/>
  <c r="K277" i="11"/>
  <c r="J277" i="11"/>
  <c r="I277" i="11"/>
  <c r="H277" i="11"/>
  <c r="G277" i="11"/>
  <c r="BF276" i="11"/>
  <c r="BE276" i="11"/>
  <c r="BD276" i="11"/>
  <c r="BC276"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AD276" i="11"/>
  <c r="AC276" i="11"/>
  <c r="AB276" i="11"/>
  <c r="AA276" i="11"/>
  <c r="Z276" i="11"/>
  <c r="Y276" i="11"/>
  <c r="X276" i="11"/>
  <c r="W276" i="11"/>
  <c r="V276" i="11"/>
  <c r="U276" i="11"/>
  <c r="T276" i="11"/>
  <c r="S276" i="11"/>
  <c r="R276" i="11"/>
  <c r="Q276" i="11"/>
  <c r="P276" i="11"/>
  <c r="O276" i="11"/>
  <c r="N276" i="11"/>
  <c r="M276" i="11"/>
  <c r="L276" i="11"/>
  <c r="K276" i="11"/>
  <c r="J276" i="11"/>
  <c r="I276" i="11"/>
  <c r="H276" i="11"/>
  <c r="G276" i="11"/>
  <c r="BF275" i="11"/>
  <c r="BE275" i="11"/>
  <c r="BD275" i="11"/>
  <c r="BC275" i="11"/>
  <c r="BB275" i="11"/>
  <c r="BA275" i="11"/>
  <c r="AZ275" i="11"/>
  <c r="AY275" i="11"/>
  <c r="AX275" i="11"/>
  <c r="AW275" i="11"/>
  <c r="AV275" i="11"/>
  <c r="AU275" i="11"/>
  <c r="AT275" i="11"/>
  <c r="AS275" i="11"/>
  <c r="AR275" i="11"/>
  <c r="AQ275" i="11"/>
  <c r="AP275" i="11"/>
  <c r="AO275" i="11"/>
  <c r="AN275" i="11"/>
  <c r="AM275" i="11"/>
  <c r="AL275" i="11"/>
  <c r="AK275" i="11"/>
  <c r="AJ275" i="11"/>
  <c r="AI275" i="11"/>
  <c r="AH275" i="11"/>
  <c r="AG275" i="11"/>
  <c r="AF275" i="11"/>
  <c r="AE275" i="11"/>
  <c r="AD275" i="11"/>
  <c r="AC275" i="11"/>
  <c r="AB275" i="11"/>
  <c r="AA275" i="11"/>
  <c r="Z275" i="11"/>
  <c r="Y275" i="11"/>
  <c r="X275" i="11"/>
  <c r="W275" i="11"/>
  <c r="V275" i="11"/>
  <c r="U275" i="11"/>
  <c r="T275" i="11"/>
  <c r="S275" i="11"/>
  <c r="R275" i="11"/>
  <c r="Q275" i="11"/>
  <c r="P275" i="11"/>
  <c r="O275" i="11"/>
  <c r="N275" i="11"/>
  <c r="M275" i="11"/>
  <c r="L275" i="11"/>
  <c r="K275" i="11"/>
  <c r="J275" i="11"/>
  <c r="I275" i="11"/>
  <c r="H275" i="11"/>
  <c r="G275" i="11"/>
  <c r="BF274" i="11"/>
  <c r="BE274" i="11"/>
  <c r="BD274" i="11"/>
  <c r="BC274" i="11"/>
  <c r="BB274" i="11"/>
  <c r="BA274" i="11"/>
  <c r="AZ274" i="11"/>
  <c r="AY274" i="11"/>
  <c r="AX274" i="11"/>
  <c r="AW274" i="11"/>
  <c r="AV274" i="11"/>
  <c r="AU274" i="11"/>
  <c r="AT274" i="11"/>
  <c r="AS274" i="11"/>
  <c r="AR274" i="11"/>
  <c r="AQ274" i="11"/>
  <c r="AP274" i="11"/>
  <c r="AO274" i="11"/>
  <c r="AN274" i="11"/>
  <c r="AM274" i="11"/>
  <c r="AL274" i="11"/>
  <c r="AK274" i="11"/>
  <c r="AJ274" i="11"/>
  <c r="AI274" i="11"/>
  <c r="AH274" i="11"/>
  <c r="AG274" i="11"/>
  <c r="AF274" i="11"/>
  <c r="AE274" i="11"/>
  <c r="AD274" i="11"/>
  <c r="AC274" i="11"/>
  <c r="AB274" i="11"/>
  <c r="AA274" i="11"/>
  <c r="Z274" i="11"/>
  <c r="Y274" i="11"/>
  <c r="X274" i="11"/>
  <c r="W274" i="11"/>
  <c r="V274" i="11"/>
  <c r="U274" i="11"/>
  <c r="T274" i="11"/>
  <c r="S274" i="11"/>
  <c r="R274" i="11"/>
  <c r="Q274" i="11"/>
  <c r="P274" i="11"/>
  <c r="O274" i="11"/>
  <c r="N274" i="11"/>
  <c r="M274" i="11"/>
  <c r="L274" i="11"/>
  <c r="K274" i="11"/>
  <c r="J274" i="11"/>
  <c r="I274" i="11"/>
  <c r="H274" i="11"/>
  <c r="G274" i="11"/>
  <c r="BF273" i="11"/>
  <c r="BE273" i="11"/>
  <c r="BD273" i="11"/>
  <c r="BC273"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AD273" i="11"/>
  <c r="AC273" i="11"/>
  <c r="AB273" i="11"/>
  <c r="AA273" i="11"/>
  <c r="Z273" i="11"/>
  <c r="Y273" i="11"/>
  <c r="X273" i="11"/>
  <c r="W273" i="11"/>
  <c r="V273" i="11"/>
  <c r="U273" i="11"/>
  <c r="T273" i="11"/>
  <c r="S273" i="11"/>
  <c r="R273" i="11"/>
  <c r="Q273" i="11"/>
  <c r="P273" i="11"/>
  <c r="O273" i="11"/>
  <c r="N273" i="11"/>
  <c r="M273" i="11"/>
  <c r="L273" i="11"/>
  <c r="K273" i="11"/>
  <c r="J273" i="11"/>
  <c r="I273" i="11"/>
  <c r="H273" i="11"/>
  <c r="G273" i="11"/>
  <c r="BF272" i="11"/>
  <c r="BE272" i="11"/>
  <c r="BD272" i="11"/>
  <c r="BC272" i="11"/>
  <c r="BB272" i="11"/>
  <c r="BA272" i="11"/>
  <c r="AZ272" i="11"/>
  <c r="AY272" i="11"/>
  <c r="AX272" i="11"/>
  <c r="AW272" i="11"/>
  <c r="AV272" i="11"/>
  <c r="AU272" i="11"/>
  <c r="AT272" i="11"/>
  <c r="AS272" i="11"/>
  <c r="AR272" i="11"/>
  <c r="AQ272" i="11"/>
  <c r="AP272" i="11"/>
  <c r="AO272" i="11"/>
  <c r="AN272" i="11"/>
  <c r="AM272" i="11"/>
  <c r="AL272" i="11"/>
  <c r="AK272" i="11"/>
  <c r="AJ272" i="11"/>
  <c r="AI272" i="11"/>
  <c r="AH272" i="11"/>
  <c r="AG272" i="11"/>
  <c r="AF272" i="11"/>
  <c r="AE272" i="11"/>
  <c r="AD272" i="11"/>
  <c r="AC272" i="11"/>
  <c r="AB272" i="11"/>
  <c r="AA272" i="11"/>
  <c r="Z272" i="11"/>
  <c r="Y272" i="11"/>
  <c r="X272" i="11"/>
  <c r="W272" i="11"/>
  <c r="V272" i="11"/>
  <c r="U272" i="11"/>
  <c r="T272" i="11"/>
  <c r="S272" i="11"/>
  <c r="R272" i="11"/>
  <c r="Q272" i="11"/>
  <c r="P272" i="11"/>
  <c r="O272" i="11"/>
  <c r="N272" i="11"/>
  <c r="M272" i="11"/>
  <c r="L272" i="11"/>
  <c r="K272" i="11"/>
  <c r="J272" i="11"/>
  <c r="I272" i="11"/>
  <c r="H272" i="11"/>
  <c r="G272" i="11"/>
  <c r="BF270" i="11"/>
  <c r="BE270" i="11"/>
  <c r="BD270" i="11"/>
  <c r="BC270"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AD270" i="11"/>
  <c r="AC270" i="11"/>
  <c r="AB270" i="11"/>
  <c r="AA270" i="11"/>
  <c r="Z270" i="11"/>
  <c r="Y270" i="11"/>
  <c r="X270" i="11"/>
  <c r="W270" i="11"/>
  <c r="V270" i="11"/>
  <c r="U270" i="11"/>
  <c r="T270" i="11"/>
  <c r="S270" i="11"/>
  <c r="R270" i="11"/>
  <c r="Q270" i="11"/>
  <c r="P270" i="11"/>
  <c r="O270" i="11"/>
  <c r="N270" i="11"/>
  <c r="M270" i="11"/>
  <c r="L270" i="11"/>
  <c r="K270" i="11"/>
  <c r="J270" i="11"/>
  <c r="I270" i="11"/>
  <c r="H270" i="11"/>
  <c r="G270" i="11"/>
  <c r="BF269" i="11"/>
  <c r="BE269" i="11"/>
  <c r="BD269" i="11"/>
  <c r="BC269" i="11"/>
  <c r="BB269" i="11"/>
  <c r="BA269" i="11"/>
  <c r="AZ269" i="11"/>
  <c r="AY269" i="11"/>
  <c r="AX269" i="11"/>
  <c r="AW269" i="11"/>
  <c r="AV269" i="11"/>
  <c r="AU269" i="11"/>
  <c r="AT269" i="11"/>
  <c r="AS269" i="11"/>
  <c r="AR269" i="11"/>
  <c r="AQ269" i="11"/>
  <c r="AP269" i="11"/>
  <c r="AO269" i="11"/>
  <c r="AN269" i="11"/>
  <c r="AM269" i="11"/>
  <c r="AL269" i="11"/>
  <c r="AK269" i="11"/>
  <c r="AJ269" i="11"/>
  <c r="AI269" i="11"/>
  <c r="AH269" i="11"/>
  <c r="AG269" i="11"/>
  <c r="AF269" i="11"/>
  <c r="AE269" i="11"/>
  <c r="AD269" i="11"/>
  <c r="AC269" i="11"/>
  <c r="AB269" i="11"/>
  <c r="AA269" i="11"/>
  <c r="Z269" i="11"/>
  <c r="Y269" i="11"/>
  <c r="X269" i="11"/>
  <c r="W269" i="11"/>
  <c r="V269" i="11"/>
  <c r="U269" i="11"/>
  <c r="T269" i="11"/>
  <c r="S269" i="11"/>
  <c r="R269" i="11"/>
  <c r="Q269" i="11"/>
  <c r="P269" i="11"/>
  <c r="O269" i="11"/>
  <c r="N269" i="11"/>
  <c r="M269" i="11"/>
  <c r="L269" i="11"/>
  <c r="K269" i="11"/>
  <c r="J269" i="11"/>
  <c r="I269" i="11"/>
  <c r="H269" i="11"/>
  <c r="G269" i="11"/>
  <c r="BF268" i="11"/>
  <c r="BE268" i="11"/>
  <c r="BD268" i="11"/>
  <c r="BC268" i="11"/>
  <c r="BB268" i="11"/>
  <c r="BA268" i="11"/>
  <c r="AZ268" i="11"/>
  <c r="AY268" i="11"/>
  <c r="AX268" i="11"/>
  <c r="AW268" i="11"/>
  <c r="AV268" i="11"/>
  <c r="AU268" i="11"/>
  <c r="AT268" i="11"/>
  <c r="AS268" i="11"/>
  <c r="AR268" i="11"/>
  <c r="AQ268" i="11"/>
  <c r="AP268" i="11"/>
  <c r="AO268" i="11"/>
  <c r="AN268" i="11"/>
  <c r="AM268" i="11"/>
  <c r="AL268" i="11"/>
  <c r="AK268" i="11"/>
  <c r="AJ268" i="11"/>
  <c r="AI268" i="11"/>
  <c r="AH268" i="11"/>
  <c r="AG268" i="11"/>
  <c r="AF268" i="11"/>
  <c r="AE268" i="11"/>
  <c r="AD268" i="11"/>
  <c r="AC268" i="11"/>
  <c r="AB268" i="11"/>
  <c r="AA268" i="11"/>
  <c r="Z268" i="11"/>
  <c r="Y268" i="11"/>
  <c r="X268" i="11"/>
  <c r="W268" i="11"/>
  <c r="V268" i="11"/>
  <c r="U268" i="11"/>
  <c r="T268" i="11"/>
  <c r="S268" i="11"/>
  <c r="R268" i="11"/>
  <c r="Q268" i="11"/>
  <c r="P268" i="11"/>
  <c r="O268" i="11"/>
  <c r="N268" i="11"/>
  <c r="M268" i="11"/>
  <c r="L268" i="11"/>
  <c r="K268" i="11"/>
  <c r="J268" i="11"/>
  <c r="I268" i="11"/>
  <c r="H268" i="11"/>
  <c r="G268" i="11"/>
  <c r="BF267" i="11"/>
  <c r="BE267" i="11"/>
  <c r="BD267" i="11"/>
  <c r="BC267" i="11"/>
  <c r="BB267" i="11"/>
  <c r="BA267" i="11"/>
  <c r="AZ267" i="11"/>
  <c r="AY267" i="11"/>
  <c r="AX267" i="11"/>
  <c r="AW267" i="11"/>
  <c r="AV267" i="11"/>
  <c r="AU267" i="11"/>
  <c r="AT267" i="11"/>
  <c r="AS267" i="11"/>
  <c r="AR267" i="11"/>
  <c r="AQ267" i="11"/>
  <c r="AP267" i="11"/>
  <c r="AO267" i="11"/>
  <c r="AN267" i="11"/>
  <c r="AM267" i="11"/>
  <c r="AL267" i="11"/>
  <c r="AK267" i="11"/>
  <c r="AJ267" i="11"/>
  <c r="AI267" i="11"/>
  <c r="AH267" i="11"/>
  <c r="AG267" i="11"/>
  <c r="AF267" i="11"/>
  <c r="AE267" i="11"/>
  <c r="AD267" i="11"/>
  <c r="AC267" i="11"/>
  <c r="AB267" i="11"/>
  <c r="AA267" i="11"/>
  <c r="Z267" i="11"/>
  <c r="Y267" i="11"/>
  <c r="X267" i="11"/>
  <c r="W267" i="11"/>
  <c r="V267" i="11"/>
  <c r="U267" i="11"/>
  <c r="T267" i="11"/>
  <c r="S267" i="11"/>
  <c r="R267" i="11"/>
  <c r="Q267" i="11"/>
  <c r="P267" i="11"/>
  <c r="O267" i="11"/>
  <c r="N267" i="11"/>
  <c r="M267" i="11"/>
  <c r="L267" i="11"/>
  <c r="K267" i="11"/>
  <c r="J267" i="11"/>
  <c r="I267" i="11"/>
  <c r="H267" i="11"/>
  <c r="G267" i="11"/>
  <c r="BF266" i="11"/>
  <c r="BE266" i="11"/>
  <c r="BD266" i="11"/>
  <c r="BC266" i="11"/>
  <c r="BB266" i="11"/>
  <c r="BA266" i="11"/>
  <c r="AZ266" i="11"/>
  <c r="AY266" i="11"/>
  <c r="AX266" i="11"/>
  <c r="AW266" i="11"/>
  <c r="AV266" i="11"/>
  <c r="AU266" i="11"/>
  <c r="AT266" i="11"/>
  <c r="AS266" i="11"/>
  <c r="AR266" i="11"/>
  <c r="AQ266" i="11"/>
  <c r="AP266" i="11"/>
  <c r="AO266" i="11"/>
  <c r="AN266" i="11"/>
  <c r="AM266" i="11"/>
  <c r="AL266" i="11"/>
  <c r="AK266" i="11"/>
  <c r="AJ266" i="11"/>
  <c r="AI266" i="11"/>
  <c r="AH266" i="11"/>
  <c r="AG266" i="11"/>
  <c r="AF266" i="11"/>
  <c r="AE266" i="11"/>
  <c r="AD266" i="11"/>
  <c r="AC266" i="11"/>
  <c r="AB266" i="11"/>
  <c r="AA266" i="11"/>
  <c r="Z266" i="11"/>
  <c r="Y266" i="11"/>
  <c r="X266" i="11"/>
  <c r="W266" i="11"/>
  <c r="V266" i="11"/>
  <c r="U266" i="11"/>
  <c r="T266" i="11"/>
  <c r="S266" i="11"/>
  <c r="R266" i="11"/>
  <c r="Q266" i="11"/>
  <c r="P266" i="11"/>
  <c r="O266" i="11"/>
  <c r="N266" i="11"/>
  <c r="M266" i="11"/>
  <c r="L266" i="11"/>
  <c r="K266" i="11"/>
  <c r="J266" i="11"/>
  <c r="I266" i="11"/>
  <c r="H266" i="11"/>
  <c r="G266" i="11"/>
  <c r="BF265" i="11"/>
  <c r="BE265" i="11"/>
  <c r="BD265" i="11"/>
  <c r="BC265" i="11"/>
  <c r="BB265" i="11"/>
  <c r="BA265" i="11"/>
  <c r="AZ265" i="11"/>
  <c r="AY265" i="11"/>
  <c r="AX265" i="11"/>
  <c r="AW265" i="11"/>
  <c r="AV265" i="11"/>
  <c r="AU265" i="11"/>
  <c r="AT265" i="11"/>
  <c r="AS265" i="11"/>
  <c r="AR265" i="11"/>
  <c r="AQ265" i="11"/>
  <c r="AP265" i="11"/>
  <c r="AO265" i="11"/>
  <c r="AN265" i="11"/>
  <c r="AM265" i="11"/>
  <c r="AL265" i="11"/>
  <c r="AK265" i="11"/>
  <c r="AJ265" i="11"/>
  <c r="AI265" i="11"/>
  <c r="AH265" i="11"/>
  <c r="AG265" i="11"/>
  <c r="AF265" i="11"/>
  <c r="AE265" i="11"/>
  <c r="AD265" i="11"/>
  <c r="AC265" i="11"/>
  <c r="AB265" i="11"/>
  <c r="AA265" i="11"/>
  <c r="Z265" i="11"/>
  <c r="Y265" i="11"/>
  <c r="X265" i="11"/>
  <c r="W265" i="11"/>
  <c r="V265" i="11"/>
  <c r="U265" i="11"/>
  <c r="T265" i="11"/>
  <c r="S265" i="11"/>
  <c r="R265" i="11"/>
  <c r="Q265" i="11"/>
  <c r="P265" i="11"/>
  <c r="O265" i="11"/>
  <c r="N265" i="11"/>
  <c r="M265" i="11"/>
  <c r="L265" i="11"/>
  <c r="K265" i="11"/>
  <c r="J265" i="11"/>
  <c r="I265" i="11"/>
  <c r="H265" i="11"/>
  <c r="G265" i="11"/>
  <c r="BF263" i="11"/>
  <c r="BE263" i="11"/>
  <c r="BD263" i="11"/>
  <c r="BC263" i="11"/>
  <c r="BB263" i="11"/>
  <c r="BA263" i="11"/>
  <c r="AZ263" i="11"/>
  <c r="AY263" i="11"/>
  <c r="AX263" i="11"/>
  <c r="AW263" i="11"/>
  <c r="AV263" i="11"/>
  <c r="AU263" i="11"/>
  <c r="AT263" i="11"/>
  <c r="AS263" i="11"/>
  <c r="AR263" i="11"/>
  <c r="AQ263" i="11"/>
  <c r="AP263" i="11"/>
  <c r="AO263" i="11"/>
  <c r="AN263" i="11"/>
  <c r="AM263" i="11"/>
  <c r="AL263" i="11"/>
  <c r="AK263" i="11"/>
  <c r="AJ263" i="11"/>
  <c r="AI263" i="11"/>
  <c r="AH263" i="11"/>
  <c r="AG263" i="11"/>
  <c r="AF263" i="11"/>
  <c r="AE263" i="11"/>
  <c r="AD263" i="11"/>
  <c r="AC263" i="11"/>
  <c r="AB263" i="11"/>
  <c r="AA263" i="11"/>
  <c r="Z263" i="11"/>
  <c r="Y263" i="11"/>
  <c r="X263" i="11"/>
  <c r="W263" i="11"/>
  <c r="V263" i="11"/>
  <c r="U263" i="11"/>
  <c r="T263" i="11"/>
  <c r="S263" i="11"/>
  <c r="R263" i="11"/>
  <c r="Q263" i="11"/>
  <c r="P263" i="11"/>
  <c r="O263" i="11"/>
  <c r="N263" i="11"/>
  <c r="M263" i="11"/>
  <c r="L263" i="11"/>
  <c r="K263" i="11"/>
  <c r="J263" i="11"/>
  <c r="I263" i="11"/>
  <c r="H263" i="11"/>
  <c r="G263" i="11"/>
  <c r="BF262" i="11"/>
  <c r="BE262" i="11"/>
  <c r="BD262" i="11"/>
  <c r="BC262" i="11"/>
  <c r="BB262" i="11"/>
  <c r="BA262" i="11"/>
  <c r="AZ262" i="11"/>
  <c r="AY262" i="11"/>
  <c r="AX262" i="11"/>
  <c r="AW262" i="11"/>
  <c r="AV262" i="11"/>
  <c r="AU262" i="11"/>
  <c r="AT262" i="11"/>
  <c r="AS262" i="11"/>
  <c r="AR262" i="11"/>
  <c r="AQ262" i="11"/>
  <c r="AP262" i="11"/>
  <c r="AO262" i="11"/>
  <c r="AN262" i="11"/>
  <c r="AM262" i="11"/>
  <c r="AL262" i="11"/>
  <c r="AK262" i="11"/>
  <c r="AJ262" i="11"/>
  <c r="AI262" i="11"/>
  <c r="AH262" i="11"/>
  <c r="AG262" i="11"/>
  <c r="AF262" i="11"/>
  <c r="AE262" i="11"/>
  <c r="AD262" i="11"/>
  <c r="AC262" i="11"/>
  <c r="AB262" i="11"/>
  <c r="AA262" i="11"/>
  <c r="Z262" i="11"/>
  <c r="Y262" i="11"/>
  <c r="X262" i="11"/>
  <c r="W262" i="11"/>
  <c r="V262" i="11"/>
  <c r="U262" i="11"/>
  <c r="T262" i="11"/>
  <c r="S262" i="11"/>
  <c r="R262" i="11"/>
  <c r="Q262" i="11"/>
  <c r="P262" i="11"/>
  <c r="O262" i="11"/>
  <c r="N262" i="11"/>
  <c r="M262" i="11"/>
  <c r="L262" i="11"/>
  <c r="K262" i="11"/>
  <c r="J262" i="11"/>
  <c r="I262" i="11"/>
  <c r="H262" i="11"/>
  <c r="G262" i="11"/>
  <c r="BF261" i="11"/>
  <c r="BE261" i="11"/>
  <c r="BD261" i="11"/>
  <c r="BC261" i="11"/>
  <c r="BB261" i="11"/>
  <c r="BA261" i="11"/>
  <c r="AZ261" i="11"/>
  <c r="AY261" i="11"/>
  <c r="AX261" i="11"/>
  <c r="AW261" i="11"/>
  <c r="AV261" i="11"/>
  <c r="AU261" i="11"/>
  <c r="AT261" i="11"/>
  <c r="AS261" i="11"/>
  <c r="AR261" i="11"/>
  <c r="AQ261" i="11"/>
  <c r="AP261" i="11"/>
  <c r="AO261" i="11"/>
  <c r="AN261" i="11"/>
  <c r="AM261" i="11"/>
  <c r="AL261" i="11"/>
  <c r="AK261" i="11"/>
  <c r="AJ261" i="11"/>
  <c r="AI261" i="11"/>
  <c r="AH261" i="11"/>
  <c r="AG261" i="11"/>
  <c r="AF261" i="11"/>
  <c r="AE261" i="11"/>
  <c r="AD261" i="11"/>
  <c r="AC261" i="11"/>
  <c r="AB261" i="11"/>
  <c r="AA261" i="11"/>
  <c r="Z261" i="11"/>
  <c r="Y261" i="11"/>
  <c r="X261" i="11"/>
  <c r="W261" i="11"/>
  <c r="V261" i="11"/>
  <c r="U261" i="11"/>
  <c r="T261" i="11"/>
  <c r="S261" i="11"/>
  <c r="R261" i="11"/>
  <c r="Q261" i="11"/>
  <c r="P261" i="11"/>
  <c r="O261" i="11"/>
  <c r="N261" i="11"/>
  <c r="M261" i="11"/>
  <c r="L261" i="11"/>
  <c r="K261" i="11"/>
  <c r="J261" i="11"/>
  <c r="I261" i="11"/>
  <c r="H261" i="11"/>
  <c r="G261" i="11"/>
  <c r="BF260" i="11"/>
  <c r="BE260" i="11"/>
  <c r="BD260" i="11"/>
  <c r="BC260" i="11"/>
  <c r="BB260" i="11"/>
  <c r="BA260" i="11"/>
  <c r="AZ260" i="11"/>
  <c r="AY260" i="11"/>
  <c r="AX260" i="11"/>
  <c r="AW260" i="11"/>
  <c r="AV260" i="11"/>
  <c r="AU260" i="11"/>
  <c r="AT260" i="11"/>
  <c r="AS260" i="11"/>
  <c r="AR260" i="11"/>
  <c r="AQ260" i="11"/>
  <c r="AP260" i="11"/>
  <c r="AO260" i="11"/>
  <c r="AN260" i="11"/>
  <c r="AM260" i="11"/>
  <c r="AL260" i="11"/>
  <c r="AK260" i="11"/>
  <c r="AJ260" i="11"/>
  <c r="AI260" i="11"/>
  <c r="AH260" i="11"/>
  <c r="AG260" i="11"/>
  <c r="AF260" i="11"/>
  <c r="AE260" i="11"/>
  <c r="AD260" i="11"/>
  <c r="AC260" i="11"/>
  <c r="AB260" i="11"/>
  <c r="AA260" i="11"/>
  <c r="Z260" i="11"/>
  <c r="Y260" i="11"/>
  <c r="X260" i="11"/>
  <c r="W260" i="11"/>
  <c r="V260" i="11"/>
  <c r="U260" i="11"/>
  <c r="T260" i="11"/>
  <c r="S260" i="11"/>
  <c r="R260" i="11"/>
  <c r="Q260" i="11"/>
  <c r="P260" i="11"/>
  <c r="O260" i="11"/>
  <c r="N260" i="11"/>
  <c r="M260" i="11"/>
  <c r="L260" i="11"/>
  <c r="K260" i="11"/>
  <c r="J260" i="11"/>
  <c r="I260" i="11"/>
  <c r="H260" i="11"/>
  <c r="G260" i="11"/>
  <c r="BF259" i="11"/>
  <c r="BE259" i="11"/>
  <c r="BD259" i="11"/>
  <c r="BC259" i="11"/>
  <c r="BB259" i="11"/>
  <c r="BA259" i="11"/>
  <c r="AZ259" i="11"/>
  <c r="AY259" i="11"/>
  <c r="AX259" i="11"/>
  <c r="AW259" i="11"/>
  <c r="AV259" i="11"/>
  <c r="AU259" i="11"/>
  <c r="AT259" i="11"/>
  <c r="AS259" i="11"/>
  <c r="AR259" i="11"/>
  <c r="AQ259" i="11"/>
  <c r="AP259" i="11"/>
  <c r="AO259" i="11"/>
  <c r="AN259" i="11"/>
  <c r="AM259" i="11"/>
  <c r="AL259" i="11"/>
  <c r="AK259" i="11"/>
  <c r="AJ259" i="11"/>
  <c r="AI259" i="11"/>
  <c r="AH259" i="11"/>
  <c r="AG259" i="11"/>
  <c r="AF259" i="11"/>
  <c r="AE259" i="11"/>
  <c r="AD259" i="11"/>
  <c r="AC259" i="11"/>
  <c r="AB259" i="11"/>
  <c r="AA259" i="11"/>
  <c r="Z259" i="11"/>
  <c r="Y259" i="11"/>
  <c r="X259" i="11"/>
  <c r="W259" i="11"/>
  <c r="V259" i="11"/>
  <c r="U259" i="11"/>
  <c r="T259" i="11"/>
  <c r="S259" i="11"/>
  <c r="R259" i="11"/>
  <c r="Q259" i="11"/>
  <c r="P259" i="11"/>
  <c r="O259" i="11"/>
  <c r="N259" i="11"/>
  <c r="M259" i="11"/>
  <c r="L259" i="11"/>
  <c r="K259" i="11"/>
  <c r="J259" i="11"/>
  <c r="I259" i="11"/>
  <c r="H259" i="11"/>
  <c r="G259" i="11"/>
  <c r="BF258" i="11"/>
  <c r="BE258" i="11"/>
  <c r="BD258" i="11"/>
  <c r="BC258" i="11"/>
  <c r="BB258" i="11"/>
  <c r="BA258" i="11"/>
  <c r="AZ258" i="11"/>
  <c r="AY258" i="11"/>
  <c r="AX258" i="11"/>
  <c r="AW258" i="11"/>
  <c r="AV258" i="11"/>
  <c r="AU258" i="11"/>
  <c r="AT258" i="11"/>
  <c r="AS258" i="11"/>
  <c r="AR258" i="11"/>
  <c r="AQ258" i="11"/>
  <c r="AP258" i="11"/>
  <c r="AO258" i="11"/>
  <c r="AN258" i="11"/>
  <c r="AM258" i="11"/>
  <c r="AL258" i="11"/>
  <c r="AK258" i="11"/>
  <c r="AJ258" i="11"/>
  <c r="AI258" i="11"/>
  <c r="AH258" i="11"/>
  <c r="AG258" i="11"/>
  <c r="AF258" i="11"/>
  <c r="AE258" i="11"/>
  <c r="AD258" i="11"/>
  <c r="AC258" i="11"/>
  <c r="AB258" i="11"/>
  <c r="AA258" i="11"/>
  <c r="Z258" i="11"/>
  <c r="Y258" i="11"/>
  <c r="X258" i="11"/>
  <c r="W258" i="11"/>
  <c r="V258" i="11"/>
  <c r="U258" i="11"/>
  <c r="T258" i="11"/>
  <c r="S258" i="11"/>
  <c r="R258" i="11"/>
  <c r="Q258" i="11"/>
  <c r="P258" i="11"/>
  <c r="O258" i="11"/>
  <c r="N258" i="11"/>
  <c r="M258" i="11"/>
  <c r="L258" i="11"/>
  <c r="K258" i="11"/>
  <c r="J258" i="11"/>
  <c r="I258" i="11"/>
  <c r="H258" i="11"/>
  <c r="G258" i="11"/>
  <c r="BF257" i="11"/>
  <c r="BE257" i="11"/>
  <c r="BD257" i="11"/>
  <c r="BC257"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AD257" i="11"/>
  <c r="AC257" i="11"/>
  <c r="AB257" i="11"/>
  <c r="AA257" i="11"/>
  <c r="Z257" i="11"/>
  <c r="Y257" i="11"/>
  <c r="X257" i="11"/>
  <c r="W257" i="11"/>
  <c r="V257" i="11"/>
  <c r="U257" i="11"/>
  <c r="T257" i="11"/>
  <c r="S257" i="11"/>
  <c r="R257" i="11"/>
  <c r="Q257" i="11"/>
  <c r="P257" i="11"/>
  <c r="O257" i="11"/>
  <c r="N257" i="11"/>
  <c r="M257" i="11"/>
  <c r="L257" i="11"/>
  <c r="K257" i="11"/>
  <c r="J257" i="11"/>
  <c r="I257" i="11"/>
  <c r="H257" i="11"/>
  <c r="G257" i="11"/>
  <c r="BF256" i="11"/>
  <c r="BE256" i="11"/>
  <c r="BD256" i="11"/>
  <c r="BC256" i="11"/>
  <c r="BB256" i="11"/>
  <c r="BA256" i="11"/>
  <c r="AZ256" i="11"/>
  <c r="AY256" i="11"/>
  <c r="AX256" i="11"/>
  <c r="AW256" i="11"/>
  <c r="AV256" i="11"/>
  <c r="AU256" i="11"/>
  <c r="AT256" i="11"/>
  <c r="AS256" i="11"/>
  <c r="AR256" i="11"/>
  <c r="AQ256" i="11"/>
  <c r="AP256" i="11"/>
  <c r="AO256" i="11"/>
  <c r="AN256" i="11"/>
  <c r="AM256" i="11"/>
  <c r="AL256" i="11"/>
  <c r="AK256" i="11"/>
  <c r="AJ256" i="11"/>
  <c r="AI256" i="11"/>
  <c r="AH256" i="11"/>
  <c r="AG256" i="11"/>
  <c r="AF256" i="11"/>
  <c r="AE256" i="11"/>
  <c r="AD256" i="11"/>
  <c r="AC256" i="11"/>
  <c r="AB256" i="11"/>
  <c r="AA256" i="11"/>
  <c r="Z256" i="11"/>
  <c r="Y256" i="11"/>
  <c r="X256" i="11"/>
  <c r="W256" i="11"/>
  <c r="V256" i="11"/>
  <c r="U256" i="11"/>
  <c r="T256" i="11"/>
  <c r="S256" i="11"/>
  <c r="R256" i="11"/>
  <c r="Q256" i="11"/>
  <c r="P256" i="11"/>
  <c r="O256" i="11"/>
  <c r="N256" i="11"/>
  <c r="M256" i="11"/>
  <c r="L256" i="11"/>
  <c r="K256" i="11"/>
  <c r="J256" i="11"/>
  <c r="I256" i="11"/>
  <c r="H256" i="11"/>
  <c r="G256" i="11"/>
  <c r="BF255" i="11"/>
  <c r="BE255" i="11"/>
  <c r="BD255" i="11"/>
  <c r="BC255" i="11"/>
  <c r="BB255" i="11"/>
  <c r="BA255" i="11"/>
  <c r="AZ255" i="11"/>
  <c r="AY255" i="11"/>
  <c r="AX255" i="11"/>
  <c r="AW255" i="11"/>
  <c r="AV255" i="11"/>
  <c r="AU255" i="11"/>
  <c r="AT255" i="11"/>
  <c r="AS255" i="11"/>
  <c r="AR255" i="11"/>
  <c r="AQ255" i="11"/>
  <c r="AP255" i="11"/>
  <c r="AO255" i="11"/>
  <c r="AN255" i="11"/>
  <c r="AM255" i="11"/>
  <c r="AL255" i="11"/>
  <c r="AK255" i="11"/>
  <c r="AJ255" i="11"/>
  <c r="AI255" i="11"/>
  <c r="AH255" i="11"/>
  <c r="AG255" i="11"/>
  <c r="AF255" i="11"/>
  <c r="AE255" i="11"/>
  <c r="AD255" i="11"/>
  <c r="AC255" i="11"/>
  <c r="AB255" i="11"/>
  <c r="AA255" i="11"/>
  <c r="Z255" i="11"/>
  <c r="Y255" i="11"/>
  <c r="X255" i="11"/>
  <c r="W255" i="11"/>
  <c r="V255" i="11"/>
  <c r="U255" i="11"/>
  <c r="T255" i="11"/>
  <c r="S255" i="11"/>
  <c r="R255" i="11"/>
  <c r="Q255" i="11"/>
  <c r="P255" i="11"/>
  <c r="O255" i="11"/>
  <c r="N255" i="11"/>
  <c r="M255" i="11"/>
  <c r="L255" i="11"/>
  <c r="K255" i="11"/>
  <c r="J255" i="11"/>
  <c r="I255" i="11"/>
  <c r="H255" i="11"/>
  <c r="G255" i="11"/>
  <c r="BF254" i="11"/>
  <c r="BE254" i="11"/>
  <c r="BD254" i="11"/>
  <c r="BC254"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AD254" i="11"/>
  <c r="AC254" i="11"/>
  <c r="AB254" i="11"/>
  <c r="AA254" i="11"/>
  <c r="Z254" i="11"/>
  <c r="Y254" i="11"/>
  <c r="X254" i="11"/>
  <c r="W254" i="11"/>
  <c r="V254" i="11"/>
  <c r="U254" i="11"/>
  <c r="T254" i="11"/>
  <c r="S254" i="11"/>
  <c r="R254" i="11"/>
  <c r="Q254" i="11"/>
  <c r="P254" i="11"/>
  <c r="O254" i="11"/>
  <c r="N254" i="11"/>
  <c r="M254" i="11"/>
  <c r="L254" i="11"/>
  <c r="K254" i="11"/>
  <c r="J254" i="11"/>
  <c r="I254" i="11"/>
  <c r="H254" i="11"/>
  <c r="G254" i="11"/>
  <c r="BF253" i="11"/>
  <c r="BE253" i="11"/>
  <c r="BD253" i="11"/>
  <c r="BC253" i="11"/>
  <c r="BB253" i="11"/>
  <c r="BA253" i="11"/>
  <c r="AZ253" i="11"/>
  <c r="AY253" i="11"/>
  <c r="AX253" i="11"/>
  <c r="AW253" i="11"/>
  <c r="AV253" i="11"/>
  <c r="AU253" i="11"/>
  <c r="AT253" i="11"/>
  <c r="AS253" i="11"/>
  <c r="AR253" i="11"/>
  <c r="AQ253" i="11"/>
  <c r="AP253" i="11"/>
  <c r="AO253" i="11"/>
  <c r="AN253" i="11"/>
  <c r="AM253" i="11"/>
  <c r="AL253" i="11"/>
  <c r="AK253" i="11"/>
  <c r="AJ253" i="11"/>
  <c r="AI253" i="11"/>
  <c r="AH253" i="11"/>
  <c r="AG253" i="11"/>
  <c r="AF253" i="11"/>
  <c r="AE253" i="11"/>
  <c r="AD253" i="11"/>
  <c r="AC253" i="11"/>
  <c r="AB253" i="11"/>
  <c r="AA253" i="11"/>
  <c r="Z253" i="11"/>
  <c r="Y253" i="11"/>
  <c r="X253" i="11"/>
  <c r="W253" i="11"/>
  <c r="V253" i="11"/>
  <c r="U253" i="11"/>
  <c r="T253" i="11"/>
  <c r="S253" i="11"/>
  <c r="R253" i="11"/>
  <c r="Q253" i="11"/>
  <c r="P253" i="11"/>
  <c r="O253" i="11"/>
  <c r="N253" i="11"/>
  <c r="M253" i="11"/>
  <c r="L253" i="11"/>
  <c r="K253" i="11"/>
  <c r="J253" i="11"/>
  <c r="I253" i="11"/>
  <c r="H253" i="11"/>
  <c r="G253" i="11"/>
  <c r="BF252" i="11"/>
  <c r="BE252" i="11"/>
  <c r="BD252" i="11"/>
  <c r="BC252" i="11"/>
  <c r="BB252" i="11"/>
  <c r="BA252" i="11"/>
  <c r="AZ252" i="11"/>
  <c r="AY252" i="11"/>
  <c r="AX252" i="11"/>
  <c r="AW252" i="11"/>
  <c r="AV252" i="11"/>
  <c r="AU252" i="11"/>
  <c r="AT252" i="11"/>
  <c r="AS252" i="11"/>
  <c r="AR252" i="11"/>
  <c r="AQ252" i="11"/>
  <c r="AP252" i="11"/>
  <c r="AO252" i="11"/>
  <c r="AN252" i="11"/>
  <c r="AM252" i="11"/>
  <c r="AL252" i="11"/>
  <c r="AK252" i="11"/>
  <c r="AJ252" i="11"/>
  <c r="AI252" i="11"/>
  <c r="AH252" i="11"/>
  <c r="AG252" i="11"/>
  <c r="AF252" i="11"/>
  <c r="AE252" i="11"/>
  <c r="AD252" i="11"/>
  <c r="AC252" i="11"/>
  <c r="AB252" i="11"/>
  <c r="AA252" i="11"/>
  <c r="Z252" i="11"/>
  <c r="Y252" i="11"/>
  <c r="X252" i="11"/>
  <c r="W252" i="11"/>
  <c r="V252" i="11"/>
  <c r="U252" i="11"/>
  <c r="T252" i="11"/>
  <c r="S252" i="11"/>
  <c r="R252" i="11"/>
  <c r="Q252" i="11"/>
  <c r="P252" i="11"/>
  <c r="O252" i="11"/>
  <c r="N252" i="11"/>
  <c r="M252" i="11"/>
  <c r="L252" i="11"/>
  <c r="K252" i="11"/>
  <c r="J252" i="11"/>
  <c r="I252" i="11"/>
  <c r="H252" i="11"/>
  <c r="G252" i="11"/>
  <c r="BF251" i="11"/>
  <c r="BE251" i="11"/>
  <c r="BD251" i="11"/>
  <c r="BC251" i="11"/>
  <c r="BB251" i="11"/>
  <c r="BA251" i="11"/>
  <c r="AZ251" i="11"/>
  <c r="AY251" i="11"/>
  <c r="AX251" i="11"/>
  <c r="AW251" i="11"/>
  <c r="AV251" i="11"/>
  <c r="AU251" i="11"/>
  <c r="AT251" i="11"/>
  <c r="AS251" i="11"/>
  <c r="AR251" i="11"/>
  <c r="AQ251" i="11"/>
  <c r="AP251" i="11"/>
  <c r="AO251" i="11"/>
  <c r="AN251" i="11"/>
  <c r="AM251" i="11"/>
  <c r="AL251" i="11"/>
  <c r="AK251" i="11"/>
  <c r="AJ251" i="11"/>
  <c r="AI251" i="11"/>
  <c r="AH251" i="11"/>
  <c r="AG251" i="11"/>
  <c r="AF251" i="11"/>
  <c r="AE251" i="11"/>
  <c r="AD251" i="11"/>
  <c r="AC251" i="11"/>
  <c r="AB251" i="11"/>
  <c r="AA251" i="11"/>
  <c r="Z251" i="11"/>
  <c r="Y251" i="11"/>
  <c r="X251" i="11"/>
  <c r="W251" i="11"/>
  <c r="V251" i="11"/>
  <c r="U251" i="11"/>
  <c r="T251" i="11"/>
  <c r="S251" i="11"/>
  <c r="R251" i="11"/>
  <c r="Q251" i="11"/>
  <c r="P251" i="11"/>
  <c r="O251" i="11"/>
  <c r="N251" i="11"/>
  <c r="M251" i="11"/>
  <c r="L251" i="11"/>
  <c r="K251" i="11"/>
  <c r="J251" i="11"/>
  <c r="I251" i="11"/>
  <c r="H251" i="11"/>
  <c r="G251" i="11"/>
  <c r="BF250" i="11"/>
  <c r="BE250" i="11"/>
  <c r="BD250" i="11"/>
  <c r="BC250" i="11"/>
  <c r="BB250" i="11"/>
  <c r="BA250" i="11"/>
  <c r="AZ250" i="11"/>
  <c r="AY250" i="11"/>
  <c r="AX250" i="11"/>
  <c r="AW250" i="11"/>
  <c r="AV250" i="11"/>
  <c r="AU250" i="11"/>
  <c r="AT250" i="11"/>
  <c r="AS250" i="11"/>
  <c r="AR250" i="11"/>
  <c r="AQ250" i="11"/>
  <c r="AP250" i="11"/>
  <c r="AO250" i="11"/>
  <c r="AN250" i="11"/>
  <c r="AM250" i="11"/>
  <c r="AL250" i="11"/>
  <c r="AK250" i="11"/>
  <c r="AJ250" i="11"/>
  <c r="AI250" i="11"/>
  <c r="AH250" i="11"/>
  <c r="AG250" i="11"/>
  <c r="AF250" i="11"/>
  <c r="AE250" i="11"/>
  <c r="AD250" i="11"/>
  <c r="AC250" i="11"/>
  <c r="AB250" i="11"/>
  <c r="AA250" i="11"/>
  <c r="Z250" i="11"/>
  <c r="Y250" i="11"/>
  <c r="X250" i="11"/>
  <c r="W250" i="11"/>
  <c r="V250" i="11"/>
  <c r="U250" i="11"/>
  <c r="T250" i="11"/>
  <c r="S250" i="11"/>
  <c r="R250" i="11"/>
  <c r="Q250" i="11"/>
  <c r="P250" i="11"/>
  <c r="O250" i="11"/>
  <c r="N250" i="11"/>
  <c r="M250" i="11"/>
  <c r="L250" i="11"/>
  <c r="K250" i="11"/>
  <c r="J250" i="11"/>
  <c r="I250" i="11"/>
  <c r="H250" i="11"/>
  <c r="G250" i="11"/>
  <c r="BF248" i="11"/>
  <c r="BE248" i="11"/>
  <c r="BD248" i="11"/>
  <c r="BC248" i="11"/>
  <c r="BB248" i="11"/>
  <c r="BA248" i="11"/>
  <c r="AZ248" i="11"/>
  <c r="AY248" i="11"/>
  <c r="AX248" i="11"/>
  <c r="AW248" i="11"/>
  <c r="AV248" i="11"/>
  <c r="AU248" i="11"/>
  <c r="AT248" i="11"/>
  <c r="AS248" i="11"/>
  <c r="AR248" i="11"/>
  <c r="AQ248" i="11"/>
  <c r="AP248" i="11"/>
  <c r="AO248" i="11"/>
  <c r="AN248" i="11"/>
  <c r="AM248" i="11"/>
  <c r="AL248" i="11"/>
  <c r="AK248" i="11"/>
  <c r="AJ248" i="11"/>
  <c r="AI248" i="11"/>
  <c r="AH248" i="11"/>
  <c r="AG248"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BF247" i="11"/>
  <c r="BE247" i="11"/>
  <c r="BD247" i="11"/>
  <c r="BC247" i="11"/>
  <c r="BB247" i="11"/>
  <c r="BA247" i="11"/>
  <c r="AZ247" i="11"/>
  <c r="AY247" i="11"/>
  <c r="AX247" i="11"/>
  <c r="AW247" i="11"/>
  <c r="AV247" i="11"/>
  <c r="AU247" i="11"/>
  <c r="AT247" i="11"/>
  <c r="AS247" i="11"/>
  <c r="AR247" i="11"/>
  <c r="AQ247" i="11"/>
  <c r="AP247" i="11"/>
  <c r="AO247" i="11"/>
  <c r="AN247" i="11"/>
  <c r="AM247" i="11"/>
  <c r="AL247" i="11"/>
  <c r="AK247" i="11"/>
  <c r="AJ247" i="11"/>
  <c r="AI247" i="11"/>
  <c r="AH247" i="11"/>
  <c r="AG247" i="11"/>
  <c r="AF247" i="11"/>
  <c r="AE247" i="11"/>
  <c r="AD247" i="11"/>
  <c r="AC247" i="11"/>
  <c r="AB247" i="11"/>
  <c r="AA247" i="11"/>
  <c r="Z247" i="11"/>
  <c r="Y247" i="11"/>
  <c r="X247" i="11"/>
  <c r="W247" i="11"/>
  <c r="V247" i="11"/>
  <c r="U247" i="11"/>
  <c r="T247" i="11"/>
  <c r="S247" i="11"/>
  <c r="R247" i="11"/>
  <c r="Q247" i="11"/>
  <c r="P247" i="11"/>
  <c r="O247" i="11"/>
  <c r="N247" i="11"/>
  <c r="M247" i="11"/>
  <c r="L247" i="11"/>
  <c r="K247" i="11"/>
  <c r="J247" i="11"/>
  <c r="I247" i="11"/>
  <c r="H247" i="11"/>
  <c r="G247" i="11"/>
  <c r="BF246" i="11"/>
  <c r="BE246" i="11"/>
  <c r="BD246" i="11"/>
  <c r="BC246" i="11"/>
  <c r="BB246" i="11"/>
  <c r="BA246" i="11"/>
  <c r="AZ246" i="11"/>
  <c r="AY246" i="11"/>
  <c r="AX246" i="11"/>
  <c r="AW246" i="11"/>
  <c r="AV246" i="11"/>
  <c r="AU246" i="11"/>
  <c r="AT246" i="11"/>
  <c r="AS246" i="11"/>
  <c r="AR246" i="11"/>
  <c r="AQ246" i="11"/>
  <c r="AP246" i="11"/>
  <c r="AO246" i="11"/>
  <c r="AN246" i="11"/>
  <c r="AM246" i="11"/>
  <c r="AL246" i="11"/>
  <c r="AK246" i="11"/>
  <c r="AJ246" i="11"/>
  <c r="AI246" i="11"/>
  <c r="AH246" i="11"/>
  <c r="AG246" i="11"/>
  <c r="AF246" i="11"/>
  <c r="AE246" i="11"/>
  <c r="AD246" i="11"/>
  <c r="AC246" i="11"/>
  <c r="AB246" i="11"/>
  <c r="AA246" i="11"/>
  <c r="Z246" i="11"/>
  <c r="Y246" i="11"/>
  <c r="X246" i="11"/>
  <c r="W246" i="11"/>
  <c r="V246" i="11"/>
  <c r="U246" i="11"/>
  <c r="T246" i="11"/>
  <c r="S246" i="11"/>
  <c r="R246" i="11"/>
  <c r="Q246" i="11"/>
  <c r="P246" i="11"/>
  <c r="O246" i="11"/>
  <c r="N246" i="11"/>
  <c r="M246" i="11"/>
  <c r="L246" i="11"/>
  <c r="K246" i="11"/>
  <c r="J246" i="11"/>
  <c r="I246" i="11"/>
  <c r="H246" i="11"/>
  <c r="G246" i="11"/>
  <c r="BF245" i="11"/>
  <c r="BE245" i="11"/>
  <c r="BD245" i="11"/>
  <c r="BC245" i="11"/>
  <c r="BB245" i="11"/>
  <c r="BA245" i="11"/>
  <c r="AZ245" i="11"/>
  <c r="AY245" i="11"/>
  <c r="AX245" i="11"/>
  <c r="AW245" i="11"/>
  <c r="AV245" i="11"/>
  <c r="AU245" i="11"/>
  <c r="AT245" i="11"/>
  <c r="AS245" i="11"/>
  <c r="AR245" i="11"/>
  <c r="AQ245" i="11"/>
  <c r="AP245" i="11"/>
  <c r="AO245" i="11"/>
  <c r="AN245" i="11"/>
  <c r="AM245" i="11"/>
  <c r="AL245" i="11"/>
  <c r="AK245" i="11"/>
  <c r="AJ245" i="11"/>
  <c r="AI245" i="11"/>
  <c r="AH245" i="11"/>
  <c r="AG245" i="11"/>
  <c r="AF245" i="11"/>
  <c r="AE245" i="11"/>
  <c r="AD245" i="11"/>
  <c r="AC245" i="11"/>
  <c r="AB245" i="11"/>
  <c r="AA245" i="11"/>
  <c r="Z245" i="11"/>
  <c r="Y245" i="11"/>
  <c r="X245" i="11"/>
  <c r="W245" i="11"/>
  <c r="V245" i="11"/>
  <c r="U245" i="11"/>
  <c r="T245" i="11"/>
  <c r="S245" i="11"/>
  <c r="R245" i="11"/>
  <c r="Q245" i="11"/>
  <c r="P245" i="11"/>
  <c r="O245" i="11"/>
  <c r="N245" i="11"/>
  <c r="M245" i="11"/>
  <c r="L245" i="11"/>
  <c r="K245" i="11"/>
  <c r="J245" i="11"/>
  <c r="I245" i="11"/>
  <c r="H245" i="11"/>
  <c r="G245"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W244" i="11"/>
  <c r="V244" i="11"/>
  <c r="U244" i="11"/>
  <c r="T244" i="11"/>
  <c r="S244" i="11"/>
  <c r="R244" i="11"/>
  <c r="Q244" i="11"/>
  <c r="P244" i="11"/>
  <c r="O244" i="11"/>
  <c r="N244" i="11"/>
  <c r="M244" i="11"/>
  <c r="L244" i="11"/>
  <c r="K244" i="11"/>
  <c r="J244" i="11"/>
  <c r="I244" i="11"/>
  <c r="H244" i="11"/>
  <c r="G244"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M243" i="11"/>
  <c r="L243" i="11"/>
  <c r="K243" i="11"/>
  <c r="J243" i="11"/>
  <c r="I243" i="11"/>
  <c r="H243" i="11"/>
  <c r="G243" i="11"/>
  <c r="BF242" i="11"/>
  <c r="BE242" i="11"/>
  <c r="BD242" i="11"/>
  <c r="BC242" i="11"/>
  <c r="BB242" i="11"/>
  <c r="BA242" i="11"/>
  <c r="AZ242" i="11"/>
  <c r="AY242" i="11"/>
  <c r="AX242" i="11"/>
  <c r="AW242" i="11"/>
  <c r="AV242" i="11"/>
  <c r="AU242" i="11"/>
  <c r="AT242" i="11"/>
  <c r="AS242" i="11"/>
  <c r="AR242" i="11"/>
  <c r="AQ242" i="11"/>
  <c r="AP242" i="11"/>
  <c r="AO242" i="11"/>
  <c r="AN242" i="11"/>
  <c r="AM242" i="11"/>
  <c r="AL242" i="11"/>
  <c r="AK242" i="11"/>
  <c r="AJ242" i="11"/>
  <c r="AI242" i="11"/>
  <c r="AH242" i="11"/>
  <c r="AG242" i="11"/>
  <c r="AF242" i="11"/>
  <c r="AE242" i="11"/>
  <c r="AD242" i="11"/>
  <c r="AC242" i="11"/>
  <c r="AB242" i="11"/>
  <c r="AA242" i="11"/>
  <c r="Z242" i="11"/>
  <c r="Y242" i="11"/>
  <c r="X242" i="11"/>
  <c r="W242" i="11"/>
  <c r="V242" i="11"/>
  <c r="U242" i="11"/>
  <c r="T242" i="11"/>
  <c r="S242" i="11"/>
  <c r="R242" i="11"/>
  <c r="Q242" i="11"/>
  <c r="P242" i="11"/>
  <c r="O242" i="11"/>
  <c r="N242" i="11"/>
  <c r="M242" i="11"/>
  <c r="L242" i="11"/>
  <c r="K242" i="11"/>
  <c r="J242" i="11"/>
  <c r="I242" i="11"/>
  <c r="H242" i="11"/>
  <c r="G242" i="11"/>
  <c r="BF241" i="11"/>
  <c r="BE241" i="11"/>
  <c r="BD241" i="11"/>
  <c r="BC241" i="1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AD241" i="11"/>
  <c r="AC241" i="11"/>
  <c r="AB241" i="11"/>
  <c r="AA241" i="11"/>
  <c r="Z241" i="11"/>
  <c r="Y241" i="11"/>
  <c r="X241" i="11"/>
  <c r="W241" i="11"/>
  <c r="V241" i="11"/>
  <c r="U241" i="11"/>
  <c r="T241" i="11"/>
  <c r="S241" i="11"/>
  <c r="R241" i="11"/>
  <c r="Q241" i="11"/>
  <c r="P241" i="11"/>
  <c r="O241" i="11"/>
  <c r="N241" i="11"/>
  <c r="M241" i="11"/>
  <c r="L241" i="11"/>
  <c r="K241" i="11"/>
  <c r="J241" i="11"/>
  <c r="I241" i="11"/>
  <c r="H241" i="11"/>
  <c r="G241" i="11"/>
  <c r="BF240" i="11"/>
  <c r="BE240" i="11"/>
  <c r="BD240" i="11"/>
  <c r="BC240" i="11"/>
  <c r="BB240" i="11"/>
  <c r="BA240" i="11"/>
  <c r="AZ240" i="11"/>
  <c r="AY240" i="11"/>
  <c r="AX240" i="11"/>
  <c r="AW240" i="11"/>
  <c r="AV240" i="11"/>
  <c r="AU240" i="11"/>
  <c r="AT240" i="11"/>
  <c r="AS240" i="11"/>
  <c r="AR240" i="11"/>
  <c r="AQ240" i="11"/>
  <c r="AP240" i="11"/>
  <c r="AO240" i="11"/>
  <c r="AN240" i="11"/>
  <c r="AM240" i="11"/>
  <c r="AL240" i="11"/>
  <c r="AK240" i="11"/>
  <c r="AJ240" i="11"/>
  <c r="AI240" i="11"/>
  <c r="AH240" i="11"/>
  <c r="AG240" i="11"/>
  <c r="AF240" i="11"/>
  <c r="AE240" i="11"/>
  <c r="AD240" i="11"/>
  <c r="AC240" i="11"/>
  <c r="AB240" i="11"/>
  <c r="AA240" i="11"/>
  <c r="Z240" i="11"/>
  <c r="Y240" i="11"/>
  <c r="X240" i="11"/>
  <c r="W240" i="11"/>
  <c r="V240" i="11"/>
  <c r="U240" i="11"/>
  <c r="T240" i="11"/>
  <c r="S240" i="11"/>
  <c r="R240" i="11"/>
  <c r="Q240" i="11"/>
  <c r="P240" i="11"/>
  <c r="O240" i="11"/>
  <c r="N240" i="11"/>
  <c r="M240" i="11"/>
  <c r="L240" i="11"/>
  <c r="K240" i="11"/>
  <c r="J240" i="11"/>
  <c r="I240" i="11"/>
  <c r="H240" i="11"/>
  <c r="G240" i="11"/>
  <c r="BF239" i="11"/>
  <c r="BE239" i="11"/>
  <c r="BD239" i="11"/>
  <c r="BC239" i="11"/>
  <c r="BB239" i="11"/>
  <c r="BA239" i="11"/>
  <c r="AZ239" i="11"/>
  <c r="AY239" i="11"/>
  <c r="AX239" i="11"/>
  <c r="AW239" i="11"/>
  <c r="AV239" i="11"/>
  <c r="AU239" i="11"/>
  <c r="AT239" i="11"/>
  <c r="AS239" i="11"/>
  <c r="AR239" i="11"/>
  <c r="AQ239" i="11"/>
  <c r="AP239" i="11"/>
  <c r="AO239" i="11"/>
  <c r="AN239" i="11"/>
  <c r="AM239" i="11"/>
  <c r="AL239" i="11"/>
  <c r="AK239" i="11"/>
  <c r="AJ239" i="11"/>
  <c r="AI239" i="11"/>
  <c r="AH239" i="11"/>
  <c r="AG239" i="11"/>
  <c r="AF239" i="11"/>
  <c r="AE239" i="11"/>
  <c r="AD239" i="11"/>
  <c r="AC239" i="11"/>
  <c r="AB239" i="11"/>
  <c r="AA239" i="11"/>
  <c r="Z239" i="11"/>
  <c r="Y239" i="11"/>
  <c r="X239" i="11"/>
  <c r="W239" i="11"/>
  <c r="V239" i="11"/>
  <c r="U239" i="11"/>
  <c r="T239" i="11"/>
  <c r="S239" i="11"/>
  <c r="R239" i="11"/>
  <c r="Q239" i="11"/>
  <c r="P239" i="11"/>
  <c r="O239" i="11"/>
  <c r="N239" i="11"/>
  <c r="M239" i="11"/>
  <c r="L239" i="11"/>
  <c r="K239" i="11"/>
  <c r="J239" i="11"/>
  <c r="I239" i="11"/>
  <c r="H239" i="11"/>
  <c r="G239" i="11"/>
  <c r="BF238" i="11"/>
  <c r="BE238" i="11"/>
  <c r="BD238" i="11"/>
  <c r="BC238"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AD238" i="11"/>
  <c r="AC238" i="11"/>
  <c r="AB238" i="11"/>
  <c r="AA238" i="11"/>
  <c r="Z238" i="11"/>
  <c r="Y238" i="11"/>
  <c r="X238" i="11"/>
  <c r="W238" i="11"/>
  <c r="V238" i="11"/>
  <c r="U238" i="11"/>
  <c r="T238" i="11"/>
  <c r="S238" i="11"/>
  <c r="R238" i="11"/>
  <c r="Q238" i="11"/>
  <c r="P238" i="11"/>
  <c r="O238" i="11"/>
  <c r="N238" i="11"/>
  <c r="M238" i="11"/>
  <c r="L238" i="11"/>
  <c r="K238" i="11"/>
  <c r="J238" i="11"/>
  <c r="I238" i="11"/>
  <c r="H238" i="11"/>
  <c r="G238" i="11"/>
  <c r="BF237" i="11"/>
  <c r="BE237" i="11"/>
  <c r="BD237" i="11"/>
  <c r="BC237" i="11"/>
  <c r="BB237" i="11"/>
  <c r="BA237" i="11"/>
  <c r="AZ237" i="11"/>
  <c r="AY237" i="11"/>
  <c r="AX237" i="11"/>
  <c r="AW237" i="11"/>
  <c r="AV237" i="11"/>
  <c r="AU237" i="11"/>
  <c r="AT237" i="11"/>
  <c r="AS237" i="11"/>
  <c r="AR237" i="11"/>
  <c r="AQ237" i="11"/>
  <c r="AP237" i="11"/>
  <c r="AO237" i="11"/>
  <c r="AN237" i="11"/>
  <c r="AM237" i="11"/>
  <c r="AL237" i="11"/>
  <c r="AK237" i="11"/>
  <c r="AJ237" i="11"/>
  <c r="AI237" i="11"/>
  <c r="AH237" i="11"/>
  <c r="AG237" i="11"/>
  <c r="AF237" i="11"/>
  <c r="AE237" i="11"/>
  <c r="AD237" i="11"/>
  <c r="AC237" i="11"/>
  <c r="AB237" i="11"/>
  <c r="AA237" i="11"/>
  <c r="Z237" i="11"/>
  <c r="Y237" i="11"/>
  <c r="X237" i="11"/>
  <c r="W237" i="11"/>
  <c r="V237" i="11"/>
  <c r="U237" i="11"/>
  <c r="T237" i="11"/>
  <c r="S237" i="11"/>
  <c r="R237" i="11"/>
  <c r="Q237" i="11"/>
  <c r="P237" i="11"/>
  <c r="O237" i="11"/>
  <c r="N237" i="11"/>
  <c r="M237" i="11"/>
  <c r="L237" i="11"/>
  <c r="K237" i="11"/>
  <c r="J237" i="11"/>
  <c r="I237" i="11"/>
  <c r="H237" i="11"/>
  <c r="G237" i="11"/>
  <c r="BF236" i="11"/>
  <c r="BE236" i="11"/>
  <c r="BD236" i="11"/>
  <c r="BC236" i="11"/>
  <c r="BB236" i="11"/>
  <c r="BA236" i="11"/>
  <c r="AZ236" i="11"/>
  <c r="AY236" i="11"/>
  <c r="AX236" i="11"/>
  <c r="AW236" i="11"/>
  <c r="AV236" i="11"/>
  <c r="AU236" i="11"/>
  <c r="AT236" i="11"/>
  <c r="AS236" i="11"/>
  <c r="AR236" i="11"/>
  <c r="AQ236" i="11"/>
  <c r="AP236" i="11"/>
  <c r="AO236" i="11"/>
  <c r="AN236" i="11"/>
  <c r="AM236" i="11"/>
  <c r="AL236" i="11"/>
  <c r="AK236" i="11"/>
  <c r="AJ236" i="11"/>
  <c r="AI236" i="11"/>
  <c r="AH236" i="11"/>
  <c r="AG236" i="11"/>
  <c r="AF236" i="11"/>
  <c r="AE236" i="11"/>
  <c r="AD236" i="11"/>
  <c r="AC236" i="11"/>
  <c r="AB236" i="11"/>
  <c r="AA236" i="11"/>
  <c r="Z236" i="11"/>
  <c r="Y236" i="11"/>
  <c r="X236" i="11"/>
  <c r="W236" i="11"/>
  <c r="V236" i="11"/>
  <c r="U236" i="11"/>
  <c r="T236" i="11"/>
  <c r="S236" i="11"/>
  <c r="R236" i="11"/>
  <c r="Q236" i="11"/>
  <c r="P236" i="11"/>
  <c r="O236" i="11"/>
  <c r="N236" i="11"/>
  <c r="M236" i="11"/>
  <c r="L236" i="11"/>
  <c r="K236" i="11"/>
  <c r="J236" i="11"/>
  <c r="I236" i="11"/>
  <c r="H236" i="11"/>
  <c r="G236" i="11"/>
  <c r="BF234" i="11"/>
  <c r="BE234" i="11"/>
  <c r="BD234" i="11"/>
  <c r="BC234"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AD234" i="11"/>
  <c r="AC234" i="11"/>
  <c r="AB234" i="11"/>
  <c r="AA234" i="11"/>
  <c r="Z234" i="11"/>
  <c r="Y234" i="11"/>
  <c r="X234" i="11"/>
  <c r="W234" i="11"/>
  <c r="V234" i="11"/>
  <c r="U234" i="11"/>
  <c r="T234" i="11"/>
  <c r="S234" i="11"/>
  <c r="R234" i="11"/>
  <c r="Q234" i="11"/>
  <c r="P234" i="11"/>
  <c r="O234" i="11"/>
  <c r="N234" i="11"/>
  <c r="M234" i="11"/>
  <c r="L234" i="11"/>
  <c r="K234" i="11"/>
  <c r="J234" i="11"/>
  <c r="I234" i="11"/>
  <c r="H234" i="11"/>
  <c r="G234" i="11"/>
  <c r="BF233" i="11"/>
  <c r="BE233" i="11"/>
  <c r="BD233" i="11"/>
  <c r="BC233" i="11"/>
  <c r="BB233" i="11"/>
  <c r="BA233" i="11"/>
  <c r="AZ233" i="11"/>
  <c r="AY233" i="11"/>
  <c r="AX233" i="11"/>
  <c r="AW233" i="11"/>
  <c r="AV233" i="11"/>
  <c r="AU233" i="11"/>
  <c r="AT233" i="11"/>
  <c r="AS233" i="11"/>
  <c r="AR233" i="11"/>
  <c r="AQ233" i="11"/>
  <c r="AP233" i="11"/>
  <c r="AO233" i="11"/>
  <c r="AN233" i="11"/>
  <c r="AM233" i="11"/>
  <c r="AL233" i="11"/>
  <c r="AK233" i="11"/>
  <c r="AJ233" i="11"/>
  <c r="AI233" i="11"/>
  <c r="AH233" i="11"/>
  <c r="AG233" i="11"/>
  <c r="AF233" i="11"/>
  <c r="AE233" i="11"/>
  <c r="AD233" i="11"/>
  <c r="AC233" i="11"/>
  <c r="AB233" i="11"/>
  <c r="AA233" i="11"/>
  <c r="Z233" i="11"/>
  <c r="Y233" i="11"/>
  <c r="X233" i="11"/>
  <c r="W233" i="11"/>
  <c r="V233" i="11"/>
  <c r="U233" i="11"/>
  <c r="T233" i="11"/>
  <c r="S233" i="11"/>
  <c r="R233" i="11"/>
  <c r="Q233" i="11"/>
  <c r="P233" i="11"/>
  <c r="O233" i="11"/>
  <c r="N233" i="11"/>
  <c r="M233" i="11"/>
  <c r="L233" i="11"/>
  <c r="K233" i="11"/>
  <c r="J233" i="11"/>
  <c r="I233" i="11"/>
  <c r="H233" i="11"/>
  <c r="G233" i="11"/>
  <c r="BF232" i="11"/>
  <c r="BE232" i="11"/>
  <c r="BD232" i="11"/>
  <c r="BC232" i="11"/>
  <c r="BB232" i="11"/>
  <c r="BA232" i="11"/>
  <c r="AZ232" i="11"/>
  <c r="AY232" i="11"/>
  <c r="AX232" i="11"/>
  <c r="AW232" i="11"/>
  <c r="AV232" i="11"/>
  <c r="AU232" i="11"/>
  <c r="AT232" i="11"/>
  <c r="AS232" i="11"/>
  <c r="AR232" i="11"/>
  <c r="AQ232" i="11"/>
  <c r="AP232" i="11"/>
  <c r="AO232" i="11"/>
  <c r="AN232" i="11"/>
  <c r="AM232" i="11"/>
  <c r="AL232" i="11"/>
  <c r="AK232" i="11"/>
  <c r="AJ232" i="11"/>
  <c r="AI232" i="11"/>
  <c r="AH232" i="11"/>
  <c r="AG232" i="11"/>
  <c r="AF232" i="11"/>
  <c r="AE232" i="11"/>
  <c r="AD232" i="11"/>
  <c r="AC232" i="11"/>
  <c r="AB232" i="11"/>
  <c r="AA232" i="11"/>
  <c r="Z232" i="11"/>
  <c r="Y232" i="11"/>
  <c r="X232" i="11"/>
  <c r="W232" i="11"/>
  <c r="V232" i="11"/>
  <c r="U232" i="11"/>
  <c r="T232" i="11"/>
  <c r="S232" i="11"/>
  <c r="R232" i="11"/>
  <c r="Q232" i="11"/>
  <c r="P232" i="11"/>
  <c r="O232" i="11"/>
  <c r="N232" i="11"/>
  <c r="M232" i="11"/>
  <c r="L232" i="11"/>
  <c r="K232" i="11"/>
  <c r="J232" i="11"/>
  <c r="I232" i="11"/>
  <c r="H232" i="11"/>
  <c r="G232" i="11"/>
  <c r="BF231" i="11"/>
  <c r="BE231" i="11"/>
  <c r="BD231" i="11"/>
  <c r="BC231"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AD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BF230" i="11"/>
  <c r="BE230" i="11"/>
  <c r="BD230" i="11"/>
  <c r="BC230" i="11"/>
  <c r="BB230" i="11"/>
  <c r="BA230" i="11"/>
  <c r="AZ230" i="11"/>
  <c r="AY230" i="11"/>
  <c r="AX230" i="11"/>
  <c r="AW230" i="11"/>
  <c r="AV230" i="11"/>
  <c r="AU230" i="11"/>
  <c r="AT230" i="11"/>
  <c r="AS230" i="11"/>
  <c r="AR230" i="11"/>
  <c r="AQ230" i="11"/>
  <c r="AP230" i="11"/>
  <c r="AO230" i="11"/>
  <c r="AN230" i="11"/>
  <c r="AM230" i="11"/>
  <c r="AL230" i="11"/>
  <c r="AK230" i="11"/>
  <c r="AJ230" i="11"/>
  <c r="AI230" i="11"/>
  <c r="AH230" i="11"/>
  <c r="AG230" i="11"/>
  <c r="AF230" i="11"/>
  <c r="AE230" i="11"/>
  <c r="AD230" i="11"/>
  <c r="AC230" i="11"/>
  <c r="AB230" i="11"/>
  <c r="AA230" i="11"/>
  <c r="Z230" i="11"/>
  <c r="Y230" i="11"/>
  <c r="X230" i="11"/>
  <c r="W230" i="11"/>
  <c r="V230" i="11"/>
  <c r="U230" i="11"/>
  <c r="T230" i="11"/>
  <c r="S230" i="11"/>
  <c r="R230" i="11"/>
  <c r="Q230" i="11"/>
  <c r="P230" i="11"/>
  <c r="O230" i="11"/>
  <c r="N230" i="11"/>
  <c r="M230" i="11"/>
  <c r="L230" i="11"/>
  <c r="K230" i="11"/>
  <c r="J230" i="11"/>
  <c r="I230" i="11"/>
  <c r="H230" i="11"/>
  <c r="G230" i="11"/>
  <c r="BF229" i="11"/>
  <c r="BE229" i="11"/>
  <c r="BD229" i="11"/>
  <c r="BC229" i="11"/>
  <c r="BB229" i="11"/>
  <c r="BA229" i="11"/>
  <c r="AZ229" i="11"/>
  <c r="AY229" i="11"/>
  <c r="AX229" i="11"/>
  <c r="AW229" i="11"/>
  <c r="AV229" i="11"/>
  <c r="AU229" i="11"/>
  <c r="AT229" i="11"/>
  <c r="AS229" i="11"/>
  <c r="AR229" i="11"/>
  <c r="AQ229" i="11"/>
  <c r="AP229" i="11"/>
  <c r="AO229" i="11"/>
  <c r="AN229" i="11"/>
  <c r="AM229" i="11"/>
  <c r="AL229" i="11"/>
  <c r="AK229" i="11"/>
  <c r="AJ229" i="11"/>
  <c r="AI229" i="11"/>
  <c r="AH229" i="11"/>
  <c r="AG229" i="11"/>
  <c r="AF229" i="11"/>
  <c r="AE229" i="11"/>
  <c r="AD229" i="11"/>
  <c r="AC229" i="11"/>
  <c r="AB229" i="11"/>
  <c r="AA229" i="11"/>
  <c r="Z229" i="11"/>
  <c r="Y229" i="11"/>
  <c r="X229" i="11"/>
  <c r="W229" i="11"/>
  <c r="V229" i="11"/>
  <c r="U229" i="11"/>
  <c r="T229" i="11"/>
  <c r="S229" i="11"/>
  <c r="R229" i="11"/>
  <c r="Q229" i="11"/>
  <c r="P229" i="11"/>
  <c r="O229" i="11"/>
  <c r="N229" i="11"/>
  <c r="M229" i="11"/>
  <c r="L229" i="11"/>
  <c r="K229" i="11"/>
  <c r="J229" i="11"/>
  <c r="I229" i="11"/>
  <c r="H229" i="11"/>
  <c r="G229"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BF227" i="11"/>
  <c r="BE227" i="11"/>
  <c r="BD227" i="11"/>
  <c r="BC227" i="11"/>
  <c r="BB227" i="11"/>
  <c r="BA227" i="11"/>
  <c r="AZ227" i="11"/>
  <c r="AY227" i="11"/>
  <c r="AX227" i="11"/>
  <c r="AW227" i="11"/>
  <c r="AV227" i="11"/>
  <c r="AU227" i="11"/>
  <c r="AT227" i="11"/>
  <c r="AS227" i="11"/>
  <c r="AR227" i="11"/>
  <c r="AQ227" i="11"/>
  <c r="AP227" i="11"/>
  <c r="AO227" i="11"/>
  <c r="AN227" i="11"/>
  <c r="AM227" i="11"/>
  <c r="AL227" i="11"/>
  <c r="AK227" i="11"/>
  <c r="AJ227" i="11"/>
  <c r="AI227" i="11"/>
  <c r="AH227" i="11"/>
  <c r="AG227" i="11"/>
  <c r="AF227" i="11"/>
  <c r="AE227" i="11"/>
  <c r="AD227" i="11"/>
  <c r="AC227" i="11"/>
  <c r="AB227" i="11"/>
  <c r="AA227" i="11"/>
  <c r="Z227" i="11"/>
  <c r="Y227" i="11"/>
  <c r="X227" i="11"/>
  <c r="W227" i="11"/>
  <c r="V227" i="11"/>
  <c r="U227" i="11"/>
  <c r="T227" i="11"/>
  <c r="S227" i="11"/>
  <c r="R227" i="11"/>
  <c r="Q227" i="11"/>
  <c r="P227" i="11"/>
  <c r="O227" i="11"/>
  <c r="N227" i="11"/>
  <c r="M227" i="11"/>
  <c r="L227" i="11"/>
  <c r="K227" i="11"/>
  <c r="J227" i="11"/>
  <c r="I227" i="11"/>
  <c r="H227" i="11"/>
  <c r="G227" i="11"/>
  <c r="BF226" i="11"/>
  <c r="BE226" i="11"/>
  <c r="BD226" i="11"/>
  <c r="BC226" i="11"/>
  <c r="BB226" i="11"/>
  <c r="BA226" i="11"/>
  <c r="AZ226" i="11"/>
  <c r="AY226" i="11"/>
  <c r="AX226" i="11"/>
  <c r="AW226" i="11"/>
  <c r="AV226" i="11"/>
  <c r="AU226" i="11"/>
  <c r="AT226" i="11"/>
  <c r="AS226" i="11"/>
  <c r="AR226" i="11"/>
  <c r="AQ226" i="11"/>
  <c r="AP226" i="11"/>
  <c r="AO226" i="11"/>
  <c r="AN226" i="11"/>
  <c r="AM226" i="11"/>
  <c r="AL226" i="11"/>
  <c r="AK226" i="11"/>
  <c r="AJ226" i="11"/>
  <c r="AI226" i="11"/>
  <c r="AH226" i="11"/>
  <c r="AG226" i="11"/>
  <c r="AF226" i="11"/>
  <c r="AE226" i="11"/>
  <c r="AD226" i="11"/>
  <c r="AC226" i="11"/>
  <c r="AB226" i="11"/>
  <c r="AA226" i="11"/>
  <c r="Z226" i="11"/>
  <c r="Y226" i="11"/>
  <c r="X226" i="11"/>
  <c r="W226" i="11"/>
  <c r="V226" i="11"/>
  <c r="U226" i="11"/>
  <c r="T226" i="11"/>
  <c r="S226" i="11"/>
  <c r="R226" i="11"/>
  <c r="Q226" i="11"/>
  <c r="P226" i="11"/>
  <c r="O226" i="11"/>
  <c r="N226" i="11"/>
  <c r="M226" i="11"/>
  <c r="L226" i="11"/>
  <c r="K226" i="11"/>
  <c r="J226" i="11"/>
  <c r="I226" i="11"/>
  <c r="H226" i="11"/>
  <c r="G226" i="11"/>
  <c r="BF225" i="11"/>
  <c r="BE225" i="11"/>
  <c r="BD225" i="11"/>
  <c r="BC225" i="11"/>
  <c r="BB225" i="11"/>
  <c r="BA225" i="11"/>
  <c r="AZ225" i="11"/>
  <c r="AY225" i="11"/>
  <c r="AX225" i="11"/>
  <c r="AW225" i="11"/>
  <c r="AV225" i="11"/>
  <c r="AU225" i="11"/>
  <c r="AT225" i="11"/>
  <c r="AS225" i="11"/>
  <c r="AR225" i="11"/>
  <c r="AQ225" i="11"/>
  <c r="AP225" i="11"/>
  <c r="AO225" i="11"/>
  <c r="AN225" i="11"/>
  <c r="AM225" i="11"/>
  <c r="AL225" i="11"/>
  <c r="AK225" i="11"/>
  <c r="AJ225" i="11"/>
  <c r="AI225" i="11"/>
  <c r="AH225" i="11"/>
  <c r="AG225" i="11"/>
  <c r="AF225" i="11"/>
  <c r="AE225" i="11"/>
  <c r="AD225" i="11"/>
  <c r="AC225" i="11"/>
  <c r="AB225" i="11"/>
  <c r="AA225" i="11"/>
  <c r="Z225" i="11"/>
  <c r="Y225" i="11"/>
  <c r="X225" i="11"/>
  <c r="W225" i="11"/>
  <c r="V225" i="11"/>
  <c r="U225" i="11"/>
  <c r="T225" i="11"/>
  <c r="S225" i="11"/>
  <c r="R225" i="11"/>
  <c r="Q225" i="11"/>
  <c r="P225" i="11"/>
  <c r="O225" i="11"/>
  <c r="N225" i="11"/>
  <c r="M225" i="11"/>
  <c r="L225" i="11"/>
  <c r="K225" i="11"/>
  <c r="J225" i="11"/>
  <c r="I225" i="11"/>
  <c r="H225" i="11"/>
  <c r="G225" i="11"/>
  <c r="BF224" i="11"/>
  <c r="BE224" i="11"/>
  <c r="BD224" i="11"/>
  <c r="BC224" i="11"/>
  <c r="BB224" i="11"/>
  <c r="BA224" i="11"/>
  <c r="AZ224" i="11"/>
  <c r="AY224" i="11"/>
  <c r="AX224" i="11"/>
  <c r="AW224" i="11"/>
  <c r="AV224" i="11"/>
  <c r="AU224" i="11"/>
  <c r="AT224" i="11"/>
  <c r="AS224" i="11"/>
  <c r="AR224" i="11"/>
  <c r="AQ224" i="11"/>
  <c r="AP224" i="11"/>
  <c r="AO224" i="11"/>
  <c r="AN224" i="11"/>
  <c r="AM224" i="11"/>
  <c r="AL224" i="11"/>
  <c r="AK224" i="11"/>
  <c r="AJ224" i="11"/>
  <c r="AI224" i="11"/>
  <c r="AH224" i="11"/>
  <c r="AG224" i="11"/>
  <c r="AF224" i="11"/>
  <c r="AE224" i="11"/>
  <c r="AD224" i="11"/>
  <c r="AC224" i="11"/>
  <c r="AB224" i="11"/>
  <c r="AA224" i="11"/>
  <c r="Z224" i="11"/>
  <c r="Y224" i="11"/>
  <c r="X224" i="11"/>
  <c r="W224" i="11"/>
  <c r="V224" i="11"/>
  <c r="U224" i="11"/>
  <c r="T224" i="11"/>
  <c r="S224" i="11"/>
  <c r="R224" i="11"/>
  <c r="Q224" i="11"/>
  <c r="P224" i="11"/>
  <c r="O224" i="11"/>
  <c r="N224" i="11"/>
  <c r="M224" i="11"/>
  <c r="L224" i="11"/>
  <c r="K224" i="11"/>
  <c r="J224" i="11"/>
  <c r="I224" i="11"/>
  <c r="H224" i="11"/>
  <c r="G224" i="11"/>
  <c r="BF223" i="11"/>
  <c r="BE223" i="11"/>
  <c r="BD223" i="11"/>
  <c r="BC223" i="11"/>
  <c r="BB223" i="11"/>
  <c r="BA223" i="11"/>
  <c r="AZ223" i="11"/>
  <c r="AY223" i="11"/>
  <c r="AX223" i="11"/>
  <c r="AW223" i="11"/>
  <c r="AV223" i="11"/>
  <c r="AU223" i="11"/>
  <c r="AT223" i="11"/>
  <c r="AS223" i="11"/>
  <c r="AR223" i="11"/>
  <c r="AQ223" i="11"/>
  <c r="AP223" i="11"/>
  <c r="AO223" i="11"/>
  <c r="AN223" i="11"/>
  <c r="AM223" i="11"/>
  <c r="AL223" i="11"/>
  <c r="AK223" i="11"/>
  <c r="AJ223" i="11"/>
  <c r="AI223" i="11"/>
  <c r="AH223" i="11"/>
  <c r="AG223" i="11"/>
  <c r="AF223"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BF222" i="11"/>
  <c r="BE222" i="11"/>
  <c r="BD222" i="11"/>
  <c r="BC222" i="11"/>
  <c r="BB222" i="11"/>
  <c r="BA222" i="11"/>
  <c r="AZ222" i="11"/>
  <c r="AY222" i="11"/>
  <c r="AX222" i="11"/>
  <c r="AW222" i="11"/>
  <c r="AV222" i="11"/>
  <c r="AU222" i="11"/>
  <c r="AT222" i="11"/>
  <c r="AS222" i="11"/>
  <c r="AR222" i="11"/>
  <c r="AQ222" i="11"/>
  <c r="AP222" i="11"/>
  <c r="AO222" i="11"/>
  <c r="AN222" i="11"/>
  <c r="AM222" i="11"/>
  <c r="AL222" i="11"/>
  <c r="AK222" i="11"/>
  <c r="AJ222" i="11"/>
  <c r="AI222" i="11"/>
  <c r="AH222" i="11"/>
  <c r="AG222" i="11"/>
  <c r="AF222" i="11"/>
  <c r="AE222" i="11"/>
  <c r="AD222" i="11"/>
  <c r="AC222" i="11"/>
  <c r="AB222" i="11"/>
  <c r="AA222" i="11"/>
  <c r="Z222" i="11"/>
  <c r="Y222" i="11"/>
  <c r="X222" i="11"/>
  <c r="W222" i="11"/>
  <c r="V222" i="11"/>
  <c r="U222" i="11"/>
  <c r="T222" i="11"/>
  <c r="S222" i="11"/>
  <c r="R222" i="11"/>
  <c r="Q222" i="11"/>
  <c r="P222" i="11"/>
  <c r="O222" i="11"/>
  <c r="N222" i="11"/>
  <c r="M222" i="11"/>
  <c r="L222" i="11"/>
  <c r="K222" i="11"/>
  <c r="J222" i="11"/>
  <c r="I222" i="11"/>
  <c r="H222" i="11"/>
  <c r="G222" i="11"/>
  <c r="BF221" i="11"/>
  <c r="BE221" i="11"/>
  <c r="BD221" i="11"/>
  <c r="BC221" i="11"/>
  <c r="BB221" i="11"/>
  <c r="BA221" i="11"/>
  <c r="AZ221" i="11"/>
  <c r="AY221" i="11"/>
  <c r="AX221" i="11"/>
  <c r="AW221" i="11"/>
  <c r="AV221" i="11"/>
  <c r="AU221" i="11"/>
  <c r="AT221" i="11"/>
  <c r="AS221" i="11"/>
  <c r="AR221" i="11"/>
  <c r="AQ221" i="11"/>
  <c r="AP221" i="11"/>
  <c r="AO221" i="11"/>
  <c r="AN221" i="11"/>
  <c r="AM221" i="11"/>
  <c r="AL221" i="11"/>
  <c r="AK221" i="11"/>
  <c r="AJ221" i="11"/>
  <c r="AI221" i="11"/>
  <c r="AH221" i="11"/>
  <c r="AG221" i="11"/>
  <c r="AF221" i="11"/>
  <c r="AE221" i="11"/>
  <c r="AD221" i="11"/>
  <c r="AC221" i="11"/>
  <c r="AB221" i="11"/>
  <c r="AA221" i="11"/>
  <c r="Z221" i="11"/>
  <c r="Y221" i="11"/>
  <c r="X221" i="11"/>
  <c r="W221" i="11"/>
  <c r="V221" i="11"/>
  <c r="U221" i="11"/>
  <c r="T221" i="11"/>
  <c r="S221" i="11"/>
  <c r="R221" i="11"/>
  <c r="Q221" i="11"/>
  <c r="P221" i="11"/>
  <c r="O221" i="11"/>
  <c r="N221" i="11"/>
  <c r="M221" i="11"/>
  <c r="L221" i="11"/>
  <c r="K221" i="11"/>
  <c r="J221" i="11"/>
  <c r="I221" i="11"/>
  <c r="H221" i="11"/>
  <c r="G221" i="11"/>
  <c r="BF220" i="11"/>
  <c r="BE220" i="11"/>
  <c r="BD220" i="11"/>
  <c r="BC220" i="11"/>
  <c r="BB220" i="11"/>
  <c r="BA220" i="11"/>
  <c r="AZ220" i="11"/>
  <c r="AY220" i="11"/>
  <c r="AX220" i="11"/>
  <c r="AW220" i="11"/>
  <c r="AV220" i="11"/>
  <c r="AU220" i="11"/>
  <c r="AT220" i="11"/>
  <c r="AS220" i="11"/>
  <c r="AR220" i="11"/>
  <c r="AQ220" i="11"/>
  <c r="AP220" i="11"/>
  <c r="AO220" i="11"/>
  <c r="AN220" i="11"/>
  <c r="AM220" i="11"/>
  <c r="AL220" i="11"/>
  <c r="AK220" i="11"/>
  <c r="AJ220" i="11"/>
  <c r="AI220" i="11"/>
  <c r="AH220" i="11"/>
  <c r="AG220" i="11"/>
  <c r="AF220" i="11"/>
  <c r="AE220" i="11"/>
  <c r="AD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BF219" i="11"/>
  <c r="BE219" i="11"/>
  <c r="BD219" i="11"/>
  <c r="BC219" i="11"/>
  <c r="BB219" i="11"/>
  <c r="BA219" i="11"/>
  <c r="AZ219" i="11"/>
  <c r="AY219" i="11"/>
  <c r="AX219" i="11"/>
  <c r="AW219" i="11"/>
  <c r="AV219" i="11"/>
  <c r="AU219" i="11"/>
  <c r="AT219" i="11"/>
  <c r="AS219" i="11"/>
  <c r="AR219" i="11"/>
  <c r="AQ219" i="11"/>
  <c r="AP219" i="11"/>
  <c r="AO219" i="11"/>
  <c r="AN219" i="11"/>
  <c r="AM219" i="11"/>
  <c r="AL219" i="11"/>
  <c r="AK219" i="11"/>
  <c r="AJ219" i="11"/>
  <c r="AI219" i="11"/>
  <c r="AH219" i="11"/>
  <c r="AG219" i="11"/>
  <c r="AF219" i="11"/>
  <c r="AE219" i="11"/>
  <c r="AD219" i="11"/>
  <c r="AC219" i="11"/>
  <c r="AB219" i="11"/>
  <c r="AA219" i="11"/>
  <c r="Z219" i="11"/>
  <c r="Y219" i="11"/>
  <c r="X219" i="11"/>
  <c r="W219" i="11"/>
  <c r="V219" i="11"/>
  <c r="U219" i="11"/>
  <c r="T219" i="11"/>
  <c r="S219" i="11"/>
  <c r="R219" i="11"/>
  <c r="Q219" i="11"/>
  <c r="P219" i="11"/>
  <c r="O219" i="11"/>
  <c r="N219" i="11"/>
  <c r="M219" i="11"/>
  <c r="L219" i="11"/>
  <c r="K219" i="11"/>
  <c r="J219" i="11"/>
  <c r="I219" i="11"/>
  <c r="H219" i="11"/>
  <c r="G219" i="11"/>
  <c r="BF218" i="11"/>
  <c r="BE218" i="11"/>
  <c r="BD218" i="11"/>
  <c r="BC218" i="11"/>
  <c r="BB218" i="11"/>
  <c r="BA218" i="11"/>
  <c r="AZ218" i="11"/>
  <c r="AY218" i="11"/>
  <c r="AX218" i="11"/>
  <c r="AW218" i="11"/>
  <c r="AV218" i="11"/>
  <c r="AU218" i="11"/>
  <c r="AT218" i="11"/>
  <c r="AS218" i="11"/>
  <c r="AR218" i="11"/>
  <c r="AQ218" i="11"/>
  <c r="AP218" i="11"/>
  <c r="AO218" i="1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BF217" i="11"/>
  <c r="BE217" i="11"/>
  <c r="BD217" i="11"/>
  <c r="BC217" i="11"/>
  <c r="BB217" i="11"/>
  <c r="BA217" i="11"/>
  <c r="AZ217" i="11"/>
  <c r="AY217" i="11"/>
  <c r="AX217" i="11"/>
  <c r="AW217" i="11"/>
  <c r="AV217" i="11"/>
  <c r="AU217" i="11"/>
  <c r="AT217" i="11"/>
  <c r="AS217" i="11"/>
  <c r="AR217" i="11"/>
  <c r="AQ217" i="11"/>
  <c r="AP217" i="11"/>
  <c r="AO217" i="11"/>
  <c r="AN217" i="11"/>
  <c r="AM217" i="11"/>
  <c r="AL217" i="11"/>
  <c r="AK217" i="11"/>
  <c r="AJ217" i="11"/>
  <c r="AI217" i="11"/>
  <c r="AH217" i="11"/>
  <c r="AG217" i="11"/>
  <c r="AF217" i="11"/>
  <c r="AE217" i="11"/>
  <c r="AD217" i="11"/>
  <c r="AC217" i="11"/>
  <c r="AB217" i="11"/>
  <c r="AA217" i="11"/>
  <c r="Z217" i="11"/>
  <c r="Y217" i="11"/>
  <c r="X217" i="11"/>
  <c r="W217" i="11"/>
  <c r="V217" i="11"/>
  <c r="U217" i="11"/>
  <c r="T217" i="11"/>
  <c r="S217" i="11"/>
  <c r="R217" i="11"/>
  <c r="Q217" i="11"/>
  <c r="P217" i="11"/>
  <c r="O217" i="11"/>
  <c r="N217" i="11"/>
  <c r="M217" i="11"/>
  <c r="L217" i="11"/>
  <c r="K217" i="11"/>
  <c r="J217" i="11"/>
  <c r="I217" i="11"/>
  <c r="H217" i="11"/>
  <c r="G217" i="11"/>
  <c r="BF216" i="11"/>
  <c r="BE216" i="11"/>
  <c r="BD216" i="11"/>
  <c r="BC216" i="11"/>
  <c r="BB216" i="11"/>
  <c r="BA216" i="11"/>
  <c r="AZ216" i="11"/>
  <c r="AY216" i="11"/>
  <c r="AX216" i="11"/>
  <c r="AW216" i="11"/>
  <c r="AV216" i="11"/>
  <c r="AU216" i="11"/>
  <c r="AT216" i="11"/>
  <c r="AS216" i="11"/>
  <c r="AR216" i="11"/>
  <c r="AQ216" i="11"/>
  <c r="AP216" i="11"/>
  <c r="AO216" i="11"/>
  <c r="AN216" i="11"/>
  <c r="AM216" i="11"/>
  <c r="AL216" i="11"/>
  <c r="AK216" i="11"/>
  <c r="AJ216" i="11"/>
  <c r="AI216" i="11"/>
  <c r="AH216" i="11"/>
  <c r="AG216" i="11"/>
  <c r="AF216" i="11"/>
  <c r="AE216" i="11"/>
  <c r="AD216" i="11"/>
  <c r="AC216" i="11"/>
  <c r="AB216" i="11"/>
  <c r="AA216" i="11"/>
  <c r="Z216" i="11"/>
  <c r="Y216" i="11"/>
  <c r="X216" i="11"/>
  <c r="W216" i="11"/>
  <c r="V216" i="11"/>
  <c r="U216" i="11"/>
  <c r="T216" i="11"/>
  <c r="S216" i="11"/>
  <c r="R216" i="11"/>
  <c r="Q216" i="11"/>
  <c r="P216" i="11"/>
  <c r="O216" i="11"/>
  <c r="N216" i="11"/>
  <c r="M216" i="11"/>
  <c r="L216" i="11"/>
  <c r="K216" i="11"/>
  <c r="J216" i="11"/>
  <c r="I216" i="11"/>
  <c r="H216" i="11"/>
  <c r="G216" i="11"/>
  <c r="BF215" i="11"/>
  <c r="BE215" i="11"/>
  <c r="BD215" i="11"/>
  <c r="BC215" i="1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AD215" i="11"/>
  <c r="AC215" i="11"/>
  <c r="AB215" i="11"/>
  <c r="AA215" i="11"/>
  <c r="Z215" i="11"/>
  <c r="Y215" i="11"/>
  <c r="X215" i="11"/>
  <c r="W215" i="11"/>
  <c r="V215" i="11"/>
  <c r="U215" i="11"/>
  <c r="T215" i="11"/>
  <c r="S215" i="11"/>
  <c r="R215" i="11"/>
  <c r="Q215" i="11"/>
  <c r="P215" i="11"/>
  <c r="O215" i="11"/>
  <c r="N215" i="11"/>
  <c r="M215" i="11"/>
  <c r="L215" i="11"/>
  <c r="K215" i="11"/>
  <c r="J215" i="11"/>
  <c r="I215" i="11"/>
  <c r="G215" i="11"/>
  <c r="BF214" i="11"/>
  <c r="BE214" i="11"/>
  <c r="BD214" i="11"/>
  <c r="BC214" i="11"/>
  <c r="BB214" i="11"/>
  <c r="BA214" i="11"/>
  <c r="AZ214" i="11"/>
  <c r="AY214" i="11"/>
  <c r="AX214" i="11"/>
  <c r="AW214" i="11"/>
  <c r="AV214" i="11"/>
  <c r="AU214" i="11"/>
  <c r="AT214" i="11"/>
  <c r="AS214" i="11"/>
  <c r="AR214" i="11"/>
  <c r="AQ214" i="11"/>
  <c r="AP214" i="11"/>
  <c r="AO214" i="11"/>
  <c r="AN214" i="11"/>
  <c r="AM214" i="11"/>
  <c r="AL214" i="11"/>
  <c r="AK214" i="11"/>
  <c r="AJ214" i="11"/>
  <c r="AI214" i="11"/>
  <c r="AH214" i="11"/>
  <c r="AG214" i="11"/>
  <c r="AF214" i="11"/>
  <c r="AE214" i="11"/>
  <c r="AD214" i="11"/>
  <c r="AC214" i="11"/>
  <c r="AB214" i="11"/>
  <c r="AA214" i="11"/>
  <c r="Z214" i="11"/>
  <c r="Y214" i="11"/>
  <c r="X214" i="11"/>
  <c r="W214" i="11"/>
  <c r="V214" i="11"/>
  <c r="U214" i="11"/>
  <c r="T214" i="11"/>
  <c r="S214" i="11"/>
  <c r="R214" i="11"/>
  <c r="Q214" i="11"/>
  <c r="P214" i="11"/>
  <c r="O214" i="11"/>
  <c r="N214" i="11"/>
  <c r="M214" i="11"/>
  <c r="L214" i="11"/>
  <c r="K214" i="11"/>
  <c r="J214" i="11"/>
  <c r="I214" i="11"/>
  <c r="H214" i="11"/>
  <c r="G214" i="11"/>
  <c r="BF213" i="11"/>
  <c r="BE213" i="11"/>
  <c r="BD213" i="11"/>
  <c r="BC213" i="11"/>
  <c r="BB213" i="11"/>
  <c r="BA213" i="11"/>
  <c r="AZ213" i="11"/>
  <c r="AY213" i="11"/>
  <c r="AX213" i="11"/>
  <c r="AW213" i="11"/>
  <c r="AV213" i="11"/>
  <c r="AU213" i="11"/>
  <c r="AT213" i="11"/>
  <c r="AS213" i="11"/>
  <c r="AR213" i="11"/>
  <c r="AQ213" i="11"/>
  <c r="AP213" i="11"/>
  <c r="AO213" i="11"/>
  <c r="AN213" i="11"/>
  <c r="AM213" i="11"/>
  <c r="AL213" i="11"/>
  <c r="AK213" i="11"/>
  <c r="AJ213" i="11"/>
  <c r="AI213" i="11"/>
  <c r="AH213" i="11"/>
  <c r="AG213" i="11"/>
  <c r="AF213" i="11"/>
  <c r="AE213" i="11"/>
  <c r="AD213" i="11"/>
  <c r="AC213" i="11"/>
  <c r="AB213" i="11"/>
  <c r="AA213" i="11"/>
  <c r="Z213" i="11"/>
  <c r="Y213" i="11"/>
  <c r="X213" i="11"/>
  <c r="W213" i="11"/>
  <c r="V213" i="11"/>
  <c r="U213" i="11"/>
  <c r="T213" i="11"/>
  <c r="S213" i="11"/>
  <c r="R213" i="11"/>
  <c r="Q213" i="11"/>
  <c r="P213" i="11"/>
  <c r="O213" i="11"/>
  <c r="N213" i="11"/>
  <c r="M213" i="11"/>
  <c r="L213" i="11"/>
  <c r="K213" i="11"/>
  <c r="J213" i="11"/>
  <c r="I213" i="11"/>
  <c r="H213" i="11"/>
  <c r="G213" i="11"/>
  <c r="BF211" i="11"/>
  <c r="BE211" i="11"/>
  <c r="BD211" i="11"/>
  <c r="BC211" i="11"/>
  <c r="BB211" i="11"/>
  <c r="BA211" i="11"/>
  <c r="AZ211" i="11"/>
  <c r="AY211" i="11"/>
  <c r="AX211" i="11"/>
  <c r="AW211" i="11"/>
  <c r="AV211" i="11"/>
  <c r="AU211" i="11"/>
  <c r="AT211" i="11"/>
  <c r="AS211" i="11"/>
  <c r="AR211" i="11"/>
  <c r="AQ211" i="11"/>
  <c r="AP211" i="11"/>
  <c r="AO211" i="11"/>
  <c r="AN211" i="11"/>
  <c r="AM211" i="11"/>
  <c r="AL211" i="11"/>
  <c r="AK211" i="11"/>
  <c r="AJ211" i="11"/>
  <c r="AI211" i="11"/>
  <c r="AH211" i="11"/>
  <c r="AG211" i="11"/>
  <c r="AF211" i="11"/>
  <c r="AE211" i="11"/>
  <c r="AD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BF210" i="11"/>
  <c r="BE210" i="11"/>
  <c r="BD210" i="11"/>
  <c r="BC210" i="11"/>
  <c r="BB210" i="11"/>
  <c r="BA210" i="11"/>
  <c r="AZ210" i="11"/>
  <c r="AY210" i="11"/>
  <c r="AX210" i="11"/>
  <c r="AW210" i="11"/>
  <c r="AV210" i="11"/>
  <c r="AU210" i="11"/>
  <c r="AT210" i="11"/>
  <c r="AS210" i="11"/>
  <c r="AR210" i="11"/>
  <c r="AQ210" i="11"/>
  <c r="AP210" i="11"/>
  <c r="AO210" i="11"/>
  <c r="AN210" i="11"/>
  <c r="AM210" i="11"/>
  <c r="AL210" i="11"/>
  <c r="AK210" i="11"/>
  <c r="AJ210" i="11"/>
  <c r="AI210" i="11"/>
  <c r="AH210" i="11"/>
  <c r="AG210" i="11"/>
  <c r="AF210" i="11"/>
  <c r="AE210" i="11"/>
  <c r="AD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BF209" i="11"/>
  <c r="BE209" i="11"/>
  <c r="BD209" i="11"/>
  <c r="BC209" i="11"/>
  <c r="BB209" i="11"/>
  <c r="BA209" i="11"/>
  <c r="AZ209" i="11"/>
  <c r="AY209" i="11"/>
  <c r="AX209" i="11"/>
  <c r="AW209" i="11"/>
  <c r="AV209" i="11"/>
  <c r="AU209" i="11"/>
  <c r="AT209" i="11"/>
  <c r="AS209" i="11"/>
  <c r="AR209" i="11"/>
  <c r="AQ209" i="11"/>
  <c r="AP209" i="11"/>
  <c r="AO209" i="11"/>
  <c r="AN209" i="11"/>
  <c r="AM209" i="11"/>
  <c r="AL209" i="11"/>
  <c r="AK209" i="11"/>
  <c r="AJ209" i="11"/>
  <c r="AI209" i="11"/>
  <c r="AH209" i="11"/>
  <c r="AG209" i="11"/>
  <c r="AF209" i="11"/>
  <c r="AE209" i="11"/>
  <c r="AD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BF208" i="11"/>
  <c r="BE208" i="11"/>
  <c r="BD208" i="11"/>
  <c r="BC208" i="11"/>
  <c r="BB208" i="11"/>
  <c r="BA208" i="11"/>
  <c r="AZ208" i="11"/>
  <c r="AY208" i="11"/>
  <c r="AX208" i="11"/>
  <c r="AW208" i="11"/>
  <c r="AV208" i="11"/>
  <c r="AU208" i="11"/>
  <c r="AT208" i="11"/>
  <c r="AS208" i="11"/>
  <c r="AR208" i="11"/>
  <c r="AQ208" i="11"/>
  <c r="AP208" i="11"/>
  <c r="AO208" i="11"/>
  <c r="AN208" i="11"/>
  <c r="AM208" i="11"/>
  <c r="AL208" i="11"/>
  <c r="AK208" i="11"/>
  <c r="AJ208" i="11"/>
  <c r="AI208" i="11"/>
  <c r="AH208" i="11"/>
  <c r="AG208" i="11"/>
  <c r="AF208" i="11"/>
  <c r="AE208" i="11"/>
  <c r="AD208" i="11"/>
  <c r="AC208" i="11"/>
  <c r="AB208" i="11"/>
  <c r="AA208" i="11"/>
  <c r="Z208" i="11"/>
  <c r="Y208" i="11"/>
  <c r="X208" i="11"/>
  <c r="W208" i="11"/>
  <c r="V208" i="11"/>
  <c r="U208" i="11"/>
  <c r="T208" i="11"/>
  <c r="S208" i="11"/>
  <c r="R208" i="11"/>
  <c r="Q208" i="11"/>
  <c r="P208" i="11"/>
  <c r="O208" i="11"/>
  <c r="N208" i="11"/>
  <c r="M208" i="11"/>
  <c r="L208" i="11"/>
  <c r="K208" i="11"/>
  <c r="J208" i="11"/>
  <c r="I208" i="11"/>
  <c r="H208" i="11"/>
  <c r="G208" i="11"/>
  <c r="BF207" i="11"/>
  <c r="BE207" i="11"/>
  <c r="BD207" i="11"/>
  <c r="BC207" i="11"/>
  <c r="BB207" i="11"/>
  <c r="BA207" i="11"/>
  <c r="AZ207" i="11"/>
  <c r="AY207" i="11"/>
  <c r="AX207" i="11"/>
  <c r="AW207" i="11"/>
  <c r="AV207" i="11"/>
  <c r="AU207" i="11"/>
  <c r="AT207" i="11"/>
  <c r="AS207" i="11"/>
  <c r="AR207" i="11"/>
  <c r="AQ207" i="11"/>
  <c r="AP207" i="11"/>
  <c r="AO207" i="11"/>
  <c r="AN207" i="11"/>
  <c r="AM207" i="11"/>
  <c r="AL207" i="11"/>
  <c r="AK207" i="11"/>
  <c r="AJ207" i="11"/>
  <c r="AI207" i="11"/>
  <c r="AH207" i="11"/>
  <c r="AG207" i="11"/>
  <c r="AF207" i="11"/>
  <c r="AE207" i="11"/>
  <c r="AD207" i="11"/>
  <c r="AC207" i="11"/>
  <c r="AB207" i="11"/>
  <c r="AA207" i="11"/>
  <c r="Z207" i="11"/>
  <c r="Y207" i="11"/>
  <c r="X207" i="11"/>
  <c r="W207" i="11"/>
  <c r="V207" i="11"/>
  <c r="U207" i="11"/>
  <c r="T207" i="11"/>
  <c r="S207" i="11"/>
  <c r="R207" i="11"/>
  <c r="Q207" i="11"/>
  <c r="P207" i="11"/>
  <c r="O207" i="11"/>
  <c r="N207" i="11"/>
  <c r="M207" i="11"/>
  <c r="L207" i="11"/>
  <c r="K207" i="11"/>
  <c r="J207" i="11"/>
  <c r="I207" i="11"/>
  <c r="H207" i="11"/>
  <c r="G207" i="11"/>
  <c r="BF206" i="11"/>
  <c r="BE206" i="11"/>
  <c r="BD206" i="11"/>
  <c r="BC206" i="11"/>
  <c r="BB206" i="11"/>
  <c r="BA206" i="11"/>
  <c r="AZ206" i="11"/>
  <c r="AY206" i="11"/>
  <c r="AX206" i="11"/>
  <c r="AW206" i="11"/>
  <c r="AV206" i="11"/>
  <c r="AU206" i="11"/>
  <c r="AT206" i="11"/>
  <c r="AS206" i="11"/>
  <c r="AR206" i="11"/>
  <c r="AQ206" i="11"/>
  <c r="AP206" i="11"/>
  <c r="AO206" i="11"/>
  <c r="AN206" i="11"/>
  <c r="AM206" i="11"/>
  <c r="AL206" i="11"/>
  <c r="AK206" i="11"/>
  <c r="AJ206" i="11"/>
  <c r="AI206" i="11"/>
  <c r="AH206" i="11"/>
  <c r="AG206" i="11"/>
  <c r="AF206" i="11"/>
  <c r="AE206" i="11"/>
  <c r="AD206" i="11"/>
  <c r="AC206" i="11"/>
  <c r="AB206" i="11"/>
  <c r="AA206" i="11"/>
  <c r="Z206" i="11"/>
  <c r="Y206" i="11"/>
  <c r="X206" i="11"/>
  <c r="W206" i="11"/>
  <c r="V206" i="11"/>
  <c r="U206" i="11"/>
  <c r="T206" i="11"/>
  <c r="S206" i="11"/>
  <c r="R206" i="11"/>
  <c r="Q206" i="11"/>
  <c r="P206" i="11"/>
  <c r="O206" i="11"/>
  <c r="N206" i="11"/>
  <c r="M206" i="11"/>
  <c r="L206" i="11"/>
  <c r="K206" i="11"/>
  <c r="J206" i="11"/>
  <c r="I206" i="11"/>
  <c r="H206" i="11"/>
  <c r="G206" i="11"/>
  <c r="J205" i="11"/>
  <c r="I205" i="11"/>
  <c r="H205" i="11"/>
  <c r="G205" i="11"/>
  <c r="BF204" i="11"/>
  <c r="BE204" i="11"/>
  <c r="BD204" i="11"/>
  <c r="BC204" i="11"/>
  <c r="BB204" i="11"/>
  <c r="BA204" i="11"/>
  <c r="AZ204" i="11"/>
  <c r="AY204" i="11"/>
  <c r="AX204" i="11"/>
  <c r="AW204" i="11"/>
  <c r="AV204" i="11"/>
  <c r="AU204" i="11"/>
  <c r="AT204" i="11"/>
  <c r="AS204" i="11"/>
  <c r="AR204" i="11"/>
  <c r="AQ204" i="11"/>
  <c r="AP204" i="11"/>
  <c r="AO204" i="11"/>
  <c r="AN204" i="11"/>
  <c r="AM204" i="11"/>
  <c r="AL204" i="11"/>
  <c r="AK204" i="11"/>
  <c r="AJ204" i="11"/>
  <c r="AI204" i="11"/>
  <c r="AH204" i="11"/>
  <c r="AG204" i="11"/>
  <c r="AF204" i="11"/>
  <c r="AE204" i="11"/>
  <c r="AD204" i="11"/>
  <c r="AC204" i="11"/>
  <c r="AB204" i="11"/>
  <c r="AA204" i="11"/>
  <c r="Z204" i="11"/>
  <c r="Y204" i="11"/>
  <c r="X204" i="11"/>
  <c r="W204" i="11"/>
  <c r="V204" i="11"/>
  <c r="U204" i="11"/>
  <c r="T204" i="11"/>
  <c r="S204" i="11"/>
  <c r="R204" i="11"/>
  <c r="Q204" i="11"/>
  <c r="P204" i="11"/>
  <c r="O204" i="11"/>
  <c r="N204" i="11"/>
  <c r="M204" i="11"/>
  <c r="L204" i="11"/>
  <c r="K204" i="11"/>
  <c r="J204" i="11"/>
  <c r="I204" i="11"/>
  <c r="H204" i="11"/>
  <c r="G204" i="11"/>
  <c r="BF203" i="11"/>
  <c r="BE203" i="11"/>
  <c r="BD203" i="11"/>
  <c r="BC203"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G203" i="11"/>
  <c r="BF202" i="11"/>
  <c r="BE202" i="11"/>
  <c r="BD202" i="11"/>
  <c r="BC202" i="11"/>
  <c r="BB202" i="11"/>
  <c r="BA202" i="11"/>
  <c r="AZ202" i="11"/>
  <c r="AY202" i="11"/>
  <c r="AX202" i="11"/>
  <c r="AW202" i="11"/>
  <c r="AV202" i="11"/>
  <c r="AU202" i="11"/>
  <c r="AT202" i="11"/>
  <c r="AS202" i="11"/>
  <c r="AR202" i="11"/>
  <c r="AQ202" i="11"/>
  <c r="AP202" i="11"/>
  <c r="AO202" i="11"/>
  <c r="AN202" i="11"/>
  <c r="AM202" i="11"/>
  <c r="AL202" i="11"/>
  <c r="AK202" i="11"/>
  <c r="AJ202" i="11"/>
  <c r="AI202" i="11"/>
  <c r="AH202" i="11"/>
  <c r="AG202" i="11"/>
  <c r="AF202" i="11"/>
  <c r="AE202" i="11"/>
  <c r="AD202" i="11"/>
  <c r="AC202" i="11"/>
  <c r="AB202" i="11"/>
  <c r="AA202" i="11"/>
  <c r="Z202" i="11"/>
  <c r="Y202" i="11"/>
  <c r="X202" i="11"/>
  <c r="W202" i="11"/>
  <c r="V202" i="11"/>
  <c r="U202" i="11"/>
  <c r="T202" i="11"/>
  <c r="S202" i="11"/>
  <c r="R202" i="11"/>
  <c r="Q202" i="11"/>
  <c r="P202" i="11"/>
  <c r="O202" i="11"/>
  <c r="N202" i="11"/>
  <c r="M202" i="11"/>
  <c r="L202" i="11"/>
  <c r="K202" i="11"/>
  <c r="J202" i="11"/>
  <c r="I202" i="11"/>
  <c r="H202" i="11"/>
  <c r="G202" i="11"/>
  <c r="BF201" i="11"/>
  <c r="BE201" i="11"/>
  <c r="BD201" i="11"/>
  <c r="BC201" i="11"/>
  <c r="BB201" i="11"/>
  <c r="BA201" i="11"/>
  <c r="AZ201" i="11"/>
  <c r="AY201" i="11"/>
  <c r="AX201" i="11"/>
  <c r="AW201" i="11"/>
  <c r="AV201" i="11"/>
  <c r="AU201" i="11"/>
  <c r="AT201" i="11"/>
  <c r="AS201" i="11"/>
  <c r="AR201" i="11"/>
  <c r="AQ201" i="11"/>
  <c r="AP201" i="11"/>
  <c r="AO201" i="11"/>
  <c r="AN201" i="11"/>
  <c r="AM201" i="11"/>
  <c r="AL201" i="11"/>
  <c r="AK201" i="11"/>
  <c r="AJ201" i="11"/>
  <c r="AI201" i="11"/>
  <c r="AH201" i="11"/>
  <c r="AG201" i="11"/>
  <c r="AF201" i="11"/>
  <c r="AE201" i="11"/>
  <c r="AD201" i="11"/>
  <c r="AC201" i="11"/>
  <c r="AB201" i="11"/>
  <c r="AA201" i="11"/>
  <c r="Z201" i="11"/>
  <c r="Y201" i="11"/>
  <c r="X201" i="11"/>
  <c r="W201" i="11"/>
  <c r="V201" i="11"/>
  <c r="U201" i="11"/>
  <c r="T201" i="11"/>
  <c r="S201" i="11"/>
  <c r="R201" i="11"/>
  <c r="Q201" i="11"/>
  <c r="P201" i="11"/>
  <c r="O201" i="11"/>
  <c r="N201" i="11"/>
  <c r="M201" i="11"/>
  <c r="L201" i="11"/>
  <c r="K201" i="11"/>
  <c r="J201" i="11"/>
  <c r="I201" i="11"/>
  <c r="H201" i="11"/>
  <c r="G201" i="11"/>
  <c r="BF200" i="11"/>
  <c r="BE200" i="11"/>
  <c r="BD200" i="11"/>
  <c r="BC200" i="11"/>
  <c r="BB200" i="11"/>
  <c r="BA200" i="11"/>
  <c r="AZ200" i="11"/>
  <c r="AY200" i="11"/>
  <c r="AX200" i="11"/>
  <c r="AW200" i="11"/>
  <c r="AV200" i="11"/>
  <c r="AU200" i="11"/>
  <c r="AT200" i="11"/>
  <c r="AS200" i="11"/>
  <c r="AR200" i="11"/>
  <c r="AQ200" i="11"/>
  <c r="AP200" i="11"/>
  <c r="AO200" i="11"/>
  <c r="AN200" i="11"/>
  <c r="AM200" i="11"/>
  <c r="AL200" i="11"/>
  <c r="AK200" i="11"/>
  <c r="AJ200" i="11"/>
  <c r="AI200" i="11"/>
  <c r="AH200" i="11"/>
  <c r="AG200" i="11"/>
  <c r="AF200" i="11"/>
  <c r="AE200" i="11"/>
  <c r="AD200" i="11"/>
  <c r="AC200" i="11"/>
  <c r="AB200" i="11"/>
  <c r="AA200" i="11"/>
  <c r="Z200" i="11"/>
  <c r="Y200" i="11"/>
  <c r="X200" i="11"/>
  <c r="W200" i="11"/>
  <c r="V200" i="11"/>
  <c r="U200" i="11"/>
  <c r="T200" i="11"/>
  <c r="S200" i="11"/>
  <c r="R200" i="11"/>
  <c r="Q200" i="11"/>
  <c r="P200" i="11"/>
  <c r="O200" i="11"/>
  <c r="N200" i="11"/>
  <c r="M200" i="11"/>
  <c r="L200" i="11"/>
  <c r="K200" i="11"/>
  <c r="J200" i="11"/>
  <c r="I200" i="11"/>
  <c r="H200" i="11"/>
  <c r="G200" i="11"/>
  <c r="BF199" i="11"/>
  <c r="BE199" i="11"/>
  <c r="BD199" i="11"/>
  <c r="BC199"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BF198" i="11"/>
  <c r="BE198" i="11"/>
  <c r="BD198" i="11"/>
  <c r="BC198" i="11"/>
  <c r="BB198" i="11"/>
  <c r="BA198" i="11"/>
  <c r="AZ198" i="11"/>
  <c r="AY198" i="11"/>
  <c r="AX198" i="11"/>
  <c r="AW198" i="11"/>
  <c r="AV198" i="11"/>
  <c r="AU198" i="11"/>
  <c r="AT198" i="11"/>
  <c r="AS198" i="11"/>
  <c r="AR198" i="11"/>
  <c r="AQ198" i="11"/>
  <c r="AP198" i="11"/>
  <c r="AO198" i="11"/>
  <c r="AN198" i="11"/>
  <c r="AM198" i="11"/>
  <c r="AL198" i="11"/>
  <c r="AK198" i="11"/>
  <c r="AJ198" i="11"/>
  <c r="AI198" i="11"/>
  <c r="AH198" i="11"/>
  <c r="AG198" i="11"/>
  <c r="AF198" i="11"/>
  <c r="AE198" i="11"/>
  <c r="AD198" i="11"/>
  <c r="AC198" i="11"/>
  <c r="AB198" i="11"/>
  <c r="AA198" i="11"/>
  <c r="Z198" i="11"/>
  <c r="Y198" i="11"/>
  <c r="X198" i="11"/>
  <c r="W198" i="11"/>
  <c r="V198" i="11"/>
  <c r="U198" i="11"/>
  <c r="T198" i="11"/>
  <c r="S198" i="11"/>
  <c r="R198" i="11"/>
  <c r="Q198" i="11"/>
  <c r="P198" i="11"/>
  <c r="O198" i="11"/>
  <c r="N198" i="11"/>
  <c r="M198" i="11"/>
  <c r="L198" i="11"/>
  <c r="K198" i="11"/>
  <c r="J198" i="11"/>
  <c r="I198" i="11"/>
  <c r="H198" i="11"/>
  <c r="G198" i="11"/>
  <c r="BF197" i="11"/>
  <c r="BE197" i="11"/>
  <c r="BD197" i="11"/>
  <c r="BC197" i="11"/>
  <c r="BB197" i="11"/>
  <c r="BA197" i="11"/>
  <c r="AZ197" i="11"/>
  <c r="AY197" i="11"/>
  <c r="AX197" i="11"/>
  <c r="AW197" i="11"/>
  <c r="AV197" i="11"/>
  <c r="AU197" i="11"/>
  <c r="AT197" i="11"/>
  <c r="AS197" i="11"/>
  <c r="AR197" i="11"/>
  <c r="AQ197" i="11"/>
  <c r="AP197" i="11"/>
  <c r="AO197" i="11"/>
  <c r="AN197" i="11"/>
  <c r="AM197" i="11"/>
  <c r="AL197" i="11"/>
  <c r="AK197" i="11"/>
  <c r="AJ197" i="11"/>
  <c r="AI197" i="11"/>
  <c r="AH197" i="11"/>
  <c r="AG197" i="11"/>
  <c r="AF197" i="11"/>
  <c r="AE197" i="11"/>
  <c r="AD197" i="11"/>
  <c r="AC197" i="11"/>
  <c r="AB197" i="11"/>
  <c r="AA197" i="11"/>
  <c r="Z197" i="11"/>
  <c r="Y197" i="11"/>
  <c r="X197" i="11"/>
  <c r="W197" i="11"/>
  <c r="V197" i="11"/>
  <c r="U197" i="11"/>
  <c r="T197" i="11"/>
  <c r="S197" i="11"/>
  <c r="R197" i="11"/>
  <c r="Q197" i="11"/>
  <c r="P197" i="11"/>
  <c r="O197" i="11"/>
  <c r="N197" i="11"/>
  <c r="M197" i="11"/>
  <c r="L197" i="11"/>
  <c r="K197" i="11"/>
  <c r="J197" i="11"/>
  <c r="I197" i="11"/>
  <c r="H197" i="11"/>
  <c r="G197" i="11"/>
  <c r="BF196" i="11"/>
  <c r="BE196" i="11"/>
  <c r="BD196" i="11"/>
  <c r="BC196" i="11"/>
  <c r="BB196" i="11"/>
  <c r="BA196" i="11"/>
  <c r="AZ196" i="11"/>
  <c r="AY196" i="11"/>
  <c r="AX196" i="11"/>
  <c r="AW196" i="11"/>
  <c r="AV196" i="11"/>
  <c r="AU196" i="11"/>
  <c r="AT196" i="11"/>
  <c r="AS196" i="11"/>
  <c r="AR196" i="11"/>
  <c r="AQ196" i="11"/>
  <c r="AP196" i="11"/>
  <c r="AO196" i="11"/>
  <c r="AN196" i="11"/>
  <c r="AM196" i="11"/>
  <c r="AL196" i="11"/>
  <c r="AK196" i="11"/>
  <c r="AJ196" i="11"/>
  <c r="AI196" i="11"/>
  <c r="AH196" i="11"/>
  <c r="AG196" i="11"/>
  <c r="AF196" i="11"/>
  <c r="AE196" i="11"/>
  <c r="AD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BF195" i="11"/>
  <c r="BE195" i="11"/>
  <c r="BD195" i="11"/>
  <c r="BC195" i="11"/>
  <c r="BB195" i="11"/>
  <c r="BA195" i="11"/>
  <c r="AZ195" i="11"/>
  <c r="AY195" i="11"/>
  <c r="AX195" i="11"/>
  <c r="AW195" i="11"/>
  <c r="AV195" i="11"/>
  <c r="AU195" i="11"/>
  <c r="AT195" i="11"/>
  <c r="AS195" i="11"/>
  <c r="AR195" i="11"/>
  <c r="AQ195" i="11"/>
  <c r="AP195" i="11"/>
  <c r="AO195" i="11"/>
  <c r="AN195" i="11"/>
  <c r="AM195" i="11"/>
  <c r="AL195" i="11"/>
  <c r="AK195" i="11"/>
  <c r="AJ195" i="11"/>
  <c r="AI195" i="11"/>
  <c r="AH195" i="11"/>
  <c r="AG195" i="11"/>
  <c r="AF195" i="11"/>
  <c r="AE195" i="11"/>
  <c r="AD195" i="11"/>
  <c r="AC195" i="11"/>
  <c r="AB195" i="11"/>
  <c r="AA195" i="11"/>
  <c r="Z195" i="11"/>
  <c r="Y195" i="11"/>
  <c r="X195" i="11"/>
  <c r="W195" i="11"/>
  <c r="V195" i="11"/>
  <c r="U195" i="11"/>
  <c r="T195" i="11"/>
  <c r="S195" i="11"/>
  <c r="R195" i="11"/>
  <c r="Q195" i="11"/>
  <c r="P195" i="11"/>
  <c r="O195" i="11"/>
  <c r="N195" i="11"/>
  <c r="M195" i="11"/>
  <c r="L195" i="11"/>
  <c r="K195" i="11"/>
  <c r="J195" i="11"/>
  <c r="I195" i="11"/>
  <c r="H195" i="11"/>
  <c r="G195" i="11"/>
  <c r="BF194" i="11"/>
  <c r="BE194" i="11"/>
  <c r="BD194" i="11"/>
  <c r="BC194" i="11"/>
  <c r="BB194" i="11"/>
  <c r="BA194" i="11"/>
  <c r="AZ194" i="11"/>
  <c r="AY194" i="11"/>
  <c r="AX194" i="11"/>
  <c r="AW194" i="11"/>
  <c r="AV194" i="11"/>
  <c r="AU194" i="11"/>
  <c r="AT194" i="11"/>
  <c r="AS194" i="11"/>
  <c r="AR194" i="11"/>
  <c r="AQ194" i="11"/>
  <c r="AP194" i="11"/>
  <c r="AO194" i="11"/>
  <c r="AN194" i="11"/>
  <c r="AM194" i="11"/>
  <c r="AL194" i="11"/>
  <c r="AK194" i="11"/>
  <c r="AJ194" i="11"/>
  <c r="AI194" i="11"/>
  <c r="AH194" i="11"/>
  <c r="AG194" i="11"/>
  <c r="AF194" i="11"/>
  <c r="AE194" i="11"/>
  <c r="AD194" i="11"/>
  <c r="AC194" i="11"/>
  <c r="AB194" i="11"/>
  <c r="AA194" i="11"/>
  <c r="Z194" i="11"/>
  <c r="Y194" i="11"/>
  <c r="X194" i="11"/>
  <c r="W194" i="11"/>
  <c r="V194" i="11"/>
  <c r="U194" i="11"/>
  <c r="T194" i="11"/>
  <c r="S194" i="11"/>
  <c r="R194" i="11"/>
  <c r="Q194" i="11"/>
  <c r="P194" i="11"/>
  <c r="O194" i="11"/>
  <c r="N194" i="11"/>
  <c r="M194" i="11"/>
  <c r="L194" i="11"/>
  <c r="K194" i="11"/>
  <c r="J194" i="11"/>
  <c r="I194" i="11"/>
  <c r="H194" i="11"/>
  <c r="G194" i="11"/>
  <c r="BF193" i="11"/>
  <c r="BE193" i="11"/>
  <c r="BD193" i="11"/>
  <c r="BC193" i="11"/>
  <c r="BB193" i="11"/>
  <c r="BA193" i="11"/>
  <c r="AZ193" i="11"/>
  <c r="AY193" i="11"/>
  <c r="AX193" i="11"/>
  <c r="AW193" i="11"/>
  <c r="AV193" i="11"/>
  <c r="AU193" i="11"/>
  <c r="AT193" i="11"/>
  <c r="AS193" i="11"/>
  <c r="AR193" i="11"/>
  <c r="AQ193" i="11"/>
  <c r="AP193" i="11"/>
  <c r="AO193" i="11"/>
  <c r="AN193" i="11"/>
  <c r="AM193" i="11"/>
  <c r="AL193" i="11"/>
  <c r="AK193" i="11"/>
  <c r="AJ193" i="11"/>
  <c r="AI193" i="11"/>
  <c r="AH193" i="11"/>
  <c r="AG193" i="11"/>
  <c r="AF193" i="11"/>
  <c r="AE193" i="11"/>
  <c r="AD193" i="11"/>
  <c r="AC193" i="11"/>
  <c r="AB193" i="11"/>
  <c r="AA193" i="11"/>
  <c r="Z193" i="11"/>
  <c r="Y193" i="11"/>
  <c r="X193" i="11"/>
  <c r="W193" i="11"/>
  <c r="V193" i="11"/>
  <c r="U193" i="11"/>
  <c r="T193" i="11"/>
  <c r="S193" i="11"/>
  <c r="R193" i="11"/>
  <c r="Q193" i="11"/>
  <c r="P193" i="11"/>
  <c r="O193" i="11"/>
  <c r="N193" i="11"/>
  <c r="M193" i="11"/>
  <c r="L193" i="11"/>
  <c r="K193" i="11"/>
  <c r="J193" i="11"/>
  <c r="I193" i="11"/>
  <c r="H193" i="11"/>
  <c r="G193" i="11"/>
  <c r="BF191" i="11"/>
  <c r="BE191" i="11"/>
  <c r="BD191" i="11"/>
  <c r="BC191" i="11"/>
  <c r="BB191" i="11"/>
  <c r="BA191" i="11"/>
  <c r="AZ191" i="11"/>
  <c r="AY191" i="11"/>
  <c r="AX191" i="11"/>
  <c r="AW191" i="11"/>
  <c r="AV191" i="11"/>
  <c r="AU191" i="11"/>
  <c r="AT191" i="11"/>
  <c r="AS191" i="11"/>
  <c r="AR191" i="11"/>
  <c r="AQ191" i="11"/>
  <c r="AP191" i="11"/>
  <c r="AO191" i="11"/>
  <c r="AN191" i="11"/>
  <c r="AM191" i="11"/>
  <c r="AL191" i="11"/>
  <c r="AK191" i="11"/>
  <c r="AJ191" i="11"/>
  <c r="AI191" i="11"/>
  <c r="AH191" i="11"/>
  <c r="AG191" i="11"/>
  <c r="AF191" i="11"/>
  <c r="AE191" i="11"/>
  <c r="AD191" i="11"/>
  <c r="AC191" i="11"/>
  <c r="AB191" i="11"/>
  <c r="AA191" i="11"/>
  <c r="Z191" i="11"/>
  <c r="Y191" i="11"/>
  <c r="X191" i="11"/>
  <c r="W191" i="11"/>
  <c r="V191" i="11"/>
  <c r="U191" i="11"/>
  <c r="T191" i="11"/>
  <c r="S191" i="11"/>
  <c r="R191" i="11"/>
  <c r="Q191" i="11"/>
  <c r="P191" i="11"/>
  <c r="O191" i="11"/>
  <c r="N191" i="11"/>
  <c r="M191" i="11"/>
  <c r="L191" i="11"/>
  <c r="K191" i="11"/>
  <c r="J191" i="11"/>
  <c r="I191" i="11"/>
  <c r="H191" i="11"/>
  <c r="G191" i="11"/>
  <c r="BF190" i="11"/>
  <c r="BE190" i="11"/>
  <c r="BD190" i="11"/>
  <c r="BC190" i="11"/>
  <c r="BB190" i="11"/>
  <c r="BA190" i="11"/>
  <c r="AZ190" i="11"/>
  <c r="AY190" i="11"/>
  <c r="AX190" i="11"/>
  <c r="AW190" i="11"/>
  <c r="AV190" i="11"/>
  <c r="AU190" i="11"/>
  <c r="AT190" i="11"/>
  <c r="AS190" i="11"/>
  <c r="AR190" i="11"/>
  <c r="AQ190" i="11"/>
  <c r="AP190" i="11"/>
  <c r="AO190" i="11"/>
  <c r="AN190" i="11"/>
  <c r="AM190" i="11"/>
  <c r="AL190" i="11"/>
  <c r="AK190" i="11"/>
  <c r="AJ190" i="11"/>
  <c r="AI190" i="11"/>
  <c r="AH190" i="11"/>
  <c r="AG190" i="11"/>
  <c r="AF190" i="11"/>
  <c r="AE190" i="11"/>
  <c r="AD190" i="11"/>
  <c r="AC190" i="11"/>
  <c r="AB190" i="11"/>
  <c r="AA190" i="11"/>
  <c r="Z190" i="11"/>
  <c r="Y190" i="11"/>
  <c r="X190" i="11"/>
  <c r="W190" i="11"/>
  <c r="V190" i="11"/>
  <c r="U190" i="11"/>
  <c r="T190" i="11"/>
  <c r="S190" i="11"/>
  <c r="R190" i="11"/>
  <c r="Q190" i="11"/>
  <c r="P190" i="11"/>
  <c r="O190" i="11"/>
  <c r="N190" i="11"/>
  <c r="M190" i="11"/>
  <c r="L190" i="11"/>
  <c r="K190" i="11"/>
  <c r="J190" i="11"/>
  <c r="I190" i="11"/>
  <c r="H190" i="11"/>
  <c r="G190" i="11"/>
  <c r="BF189" i="11"/>
  <c r="BE189" i="11"/>
  <c r="BD189" i="11"/>
  <c r="BC189" i="11"/>
  <c r="BB189" i="11"/>
  <c r="BA189" i="11"/>
  <c r="AZ189" i="11"/>
  <c r="AY189" i="11"/>
  <c r="AX189" i="11"/>
  <c r="AW189" i="11"/>
  <c r="AV189" i="11"/>
  <c r="AU189" i="11"/>
  <c r="AT189" i="11"/>
  <c r="AS189" i="11"/>
  <c r="AR189" i="11"/>
  <c r="AQ189" i="11"/>
  <c r="AP189" i="11"/>
  <c r="AO189" i="11"/>
  <c r="AN189" i="11"/>
  <c r="AM189" i="11"/>
  <c r="AL189" i="11"/>
  <c r="AK189" i="11"/>
  <c r="AJ189" i="11"/>
  <c r="AI189" i="11"/>
  <c r="AH189" i="11"/>
  <c r="AG189" i="11"/>
  <c r="AF189" i="11"/>
  <c r="AE189" i="11"/>
  <c r="AD189" i="11"/>
  <c r="AC189" i="11"/>
  <c r="AB189" i="11"/>
  <c r="AA189" i="11"/>
  <c r="Z189" i="11"/>
  <c r="Y189" i="11"/>
  <c r="X189" i="11"/>
  <c r="W189" i="11"/>
  <c r="V189" i="11"/>
  <c r="U189" i="11"/>
  <c r="T189" i="11"/>
  <c r="S189" i="11"/>
  <c r="R189" i="11"/>
  <c r="Q189" i="11"/>
  <c r="P189" i="11"/>
  <c r="O189" i="11"/>
  <c r="N189" i="11"/>
  <c r="M189" i="11"/>
  <c r="L189" i="11"/>
  <c r="K189" i="11"/>
  <c r="J189" i="11"/>
  <c r="I189" i="11"/>
  <c r="H189" i="11"/>
  <c r="G189" i="11"/>
  <c r="BF188" i="11"/>
  <c r="BE188" i="11"/>
  <c r="BD188" i="11"/>
  <c r="BC188" i="11"/>
  <c r="BB188" i="11"/>
  <c r="BA188" i="11"/>
  <c r="AZ188" i="11"/>
  <c r="AY188" i="11"/>
  <c r="AX188" i="11"/>
  <c r="AW188" i="11"/>
  <c r="AV188" i="11"/>
  <c r="AU188" i="11"/>
  <c r="AT188" i="11"/>
  <c r="AS188" i="11"/>
  <c r="AR188" i="11"/>
  <c r="AQ188" i="11"/>
  <c r="AP188" i="11"/>
  <c r="AO188" i="11"/>
  <c r="AN188" i="11"/>
  <c r="AM188" i="11"/>
  <c r="AL188" i="11"/>
  <c r="AK188" i="11"/>
  <c r="AJ188" i="11"/>
  <c r="AI188" i="11"/>
  <c r="AH188" i="11"/>
  <c r="AG188" i="11"/>
  <c r="AF188" i="11"/>
  <c r="AE188" i="11"/>
  <c r="AD188" i="11"/>
  <c r="AC188" i="11"/>
  <c r="AB188" i="11"/>
  <c r="AA188" i="11"/>
  <c r="Z188" i="11"/>
  <c r="Y188" i="11"/>
  <c r="X188" i="11"/>
  <c r="W188" i="11"/>
  <c r="V188" i="11"/>
  <c r="U188" i="11"/>
  <c r="T188" i="11"/>
  <c r="S188" i="11"/>
  <c r="R188" i="11"/>
  <c r="Q188" i="11"/>
  <c r="P188" i="11"/>
  <c r="O188" i="11"/>
  <c r="N188" i="11"/>
  <c r="M188" i="11"/>
  <c r="L188" i="11"/>
  <c r="K188" i="11"/>
  <c r="J188" i="11"/>
  <c r="I188" i="11"/>
  <c r="H188" i="11"/>
  <c r="G188" i="11"/>
  <c r="BF187" i="11"/>
  <c r="BE187" i="11"/>
  <c r="BD187" i="11"/>
  <c r="BC187" i="11"/>
  <c r="BB187" i="11"/>
  <c r="BA187" i="11"/>
  <c r="AZ187" i="11"/>
  <c r="AY187" i="11"/>
  <c r="AX187" i="11"/>
  <c r="AW187" i="11"/>
  <c r="AV187" i="11"/>
  <c r="AU187" i="11"/>
  <c r="AT187" i="11"/>
  <c r="AS187" i="11"/>
  <c r="AR187" i="11"/>
  <c r="AQ187" i="11"/>
  <c r="AP187" i="11"/>
  <c r="AO187" i="11"/>
  <c r="AN187" i="11"/>
  <c r="AM187" i="11"/>
  <c r="AL187" i="11"/>
  <c r="AK187" i="11"/>
  <c r="AJ187" i="11"/>
  <c r="AI187" i="11"/>
  <c r="AH187" i="11"/>
  <c r="AG187" i="11"/>
  <c r="AF187" i="11"/>
  <c r="AE187" i="11"/>
  <c r="AD187" i="11"/>
  <c r="AC187" i="11"/>
  <c r="AB187" i="11"/>
  <c r="AA187" i="11"/>
  <c r="Z187" i="11"/>
  <c r="Y187" i="11"/>
  <c r="X187" i="11"/>
  <c r="W187" i="11"/>
  <c r="V187" i="11"/>
  <c r="U187" i="11"/>
  <c r="T187" i="11"/>
  <c r="S187" i="11"/>
  <c r="R187" i="11"/>
  <c r="Q187" i="11"/>
  <c r="P187" i="11"/>
  <c r="O187" i="11"/>
  <c r="N187" i="11"/>
  <c r="M187" i="11"/>
  <c r="L187" i="11"/>
  <c r="K187" i="11"/>
  <c r="J187" i="11"/>
  <c r="I187" i="11"/>
  <c r="H187" i="11"/>
  <c r="G187" i="11"/>
  <c r="BF186" i="11"/>
  <c r="BE186" i="11"/>
  <c r="BD186" i="11"/>
  <c r="BC186" i="11"/>
  <c r="BB186" i="11"/>
  <c r="BA186" i="11"/>
  <c r="AZ186" i="11"/>
  <c r="AY186" i="11"/>
  <c r="AX186" i="11"/>
  <c r="AW186" i="11"/>
  <c r="AV186" i="11"/>
  <c r="AU186" i="11"/>
  <c r="AT186" i="11"/>
  <c r="AS186" i="11"/>
  <c r="AR186" i="11"/>
  <c r="AQ186" i="11"/>
  <c r="AP186" i="11"/>
  <c r="AO186" i="11"/>
  <c r="AN186" i="11"/>
  <c r="AM186" i="11"/>
  <c r="AL186" i="11"/>
  <c r="AK186" i="11"/>
  <c r="AJ186" i="11"/>
  <c r="AI186" i="11"/>
  <c r="AH186" i="11"/>
  <c r="AG186" i="11"/>
  <c r="AF186" i="11"/>
  <c r="AE186" i="11"/>
  <c r="AD186" i="11"/>
  <c r="AC186" i="11"/>
  <c r="AB186" i="11"/>
  <c r="AA186" i="11"/>
  <c r="Z186" i="11"/>
  <c r="Y186" i="11"/>
  <c r="X186" i="11"/>
  <c r="W186" i="11"/>
  <c r="V186" i="11"/>
  <c r="U186" i="11"/>
  <c r="T186" i="11"/>
  <c r="S186" i="11"/>
  <c r="R186" i="11"/>
  <c r="Q186" i="11"/>
  <c r="P186" i="11"/>
  <c r="O186" i="11"/>
  <c r="N186" i="11"/>
  <c r="M186" i="11"/>
  <c r="L186" i="11"/>
  <c r="K186" i="11"/>
  <c r="J186" i="11"/>
  <c r="I186" i="11"/>
  <c r="H186" i="11"/>
  <c r="G186" i="11"/>
  <c r="BF185" i="11"/>
  <c r="BE185" i="11"/>
  <c r="BD185" i="11"/>
  <c r="BC185"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AD185" i="11"/>
  <c r="AC185" i="11"/>
  <c r="AB185" i="11"/>
  <c r="AA185" i="11"/>
  <c r="Z185" i="11"/>
  <c r="Y185" i="11"/>
  <c r="X185" i="11"/>
  <c r="W185" i="11"/>
  <c r="V185" i="11"/>
  <c r="U185" i="11"/>
  <c r="T185" i="11"/>
  <c r="S185" i="11"/>
  <c r="R185" i="11"/>
  <c r="Q185" i="11"/>
  <c r="P185" i="11"/>
  <c r="O185" i="11"/>
  <c r="N185" i="11"/>
  <c r="M185" i="11"/>
  <c r="L185" i="11"/>
  <c r="K185" i="11"/>
  <c r="J185" i="11"/>
  <c r="I185" i="11"/>
  <c r="H185" i="11"/>
  <c r="G185" i="11"/>
  <c r="J184" i="11"/>
  <c r="I184" i="11"/>
  <c r="H184" i="11"/>
  <c r="G184" i="11"/>
  <c r="BF183" i="11"/>
  <c r="BE183" i="11"/>
  <c r="BD183" i="11"/>
  <c r="BC183" i="11"/>
  <c r="BB183" i="11"/>
  <c r="BA183" i="11"/>
  <c r="AZ183" i="11"/>
  <c r="AY183" i="11"/>
  <c r="AX183" i="11"/>
  <c r="AW183" i="11"/>
  <c r="AV183" i="11"/>
  <c r="AU183" i="11"/>
  <c r="AT183" i="11"/>
  <c r="AS183" i="11"/>
  <c r="AR183" i="11"/>
  <c r="AQ183" i="11"/>
  <c r="AP183" i="11"/>
  <c r="AO183" i="11"/>
  <c r="AN183" i="11"/>
  <c r="AM183" i="11"/>
  <c r="AL183" i="11"/>
  <c r="AK183" i="11"/>
  <c r="AJ183" i="11"/>
  <c r="AI183" i="11"/>
  <c r="AH183" i="11"/>
  <c r="AG183" i="11"/>
  <c r="AF183" i="11"/>
  <c r="AE183" i="11"/>
  <c r="AD183" i="11"/>
  <c r="AC183" i="11"/>
  <c r="AB183" i="11"/>
  <c r="AA183" i="11"/>
  <c r="Z183" i="11"/>
  <c r="Y183" i="11"/>
  <c r="X183" i="11"/>
  <c r="W183" i="11"/>
  <c r="V183" i="11"/>
  <c r="U183" i="11"/>
  <c r="T183" i="11"/>
  <c r="S183" i="11"/>
  <c r="R183" i="11"/>
  <c r="Q183" i="11"/>
  <c r="P183" i="11"/>
  <c r="O183" i="11"/>
  <c r="N183" i="11"/>
  <c r="M183" i="11"/>
  <c r="L183" i="11"/>
  <c r="K183" i="11"/>
  <c r="J183" i="11"/>
  <c r="I183" i="11"/>
  <c r="H183" i="11"/>
  <c r="G183" i="11"/>
  <c r="BF182" i="11"/>
  <c r="BE182" i="11"/>
  <c r="BD182" i="11"/>
  <c r="BC182"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AD182" i="11"/>
  <c r="AC182" i="11"/>
  <c r="AB182" i="11"/>
  <c r="AA182" i="11"/>
  <c r="Z182" i="11"/>
  <c r="Y182" i="11"/>
  <c r="X182" i="11"/>
  <c r="W182" i="11"/>
  <c r="V182" i="11"/>
  <c r="U182" i="11"/>
  <c r="T182" i="11"/>
  <c r="S182" i="11"/>
  <c r="R182" i="11"/>
  <c r="Q182" i="11"/>
  <c r="P182" i="11"/>
  <c r="O182" i="11"/>
  <c r="N182" i="11"/>
  <c r="M182" i="11"/>
  <c r="L182" i="11"/>
  <c r="K182" i="11"/>
  <c r="J182" i="11"/>
  <c r="I182" i="11"/>
  <c r="H182" i="11"/>
  <c r="G182"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M180" i="11"/>
  <c r="L180" i="11"/>
  <c r="K180" i="11"/>
  <c r="J180" i="11"/>
  <c r="I180" i="11"/>
  <c r="H180" i="11"/>
  <c r="G180" i="11"/>
  <c r="BF179" i="11"/>
  <c r="BE179" i="11"/>
  <c r="BD179" i="11"/>
  <c r="BC179"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AD179" i="11"/>
  <c r="AC179" i="11"/>
  <c r="AB179" i="11"/>
  <c r="AA179" i="11"/>
  <c r="Z179" i="11"/>
  <c r="Y179" i="11"/>
  <c r="X179" i="11"/>
  <c r="W179" i="11"/>
  <c r="V179" i="11"/>
  <c r="U179" i="11"/>
  <c r="T179" i="11"/>
  <c r="S179" i="11"/>
  <c r="R179" i="11"/>
  <c r="Q179" i="11"/>
  <c r="P179" i="11"/>
  <c r="O179" i="11"/>
  <c r="N179" i="11"/>
  <c r="M179" i="11"/>
  <c r="L179" i="11"/>
  <c r="K179" i="11"/>
  <c r="J179" i="11"/>
  <c r="I179" i="11"/>
  <c r="H179" i="11"/>
  <c r="G179"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K178" i="11"/>
  <c r="AJ178" i="11"/>
  <c r="AI178" i="11"/>
  <c r="AH178" i="11"/>
  <c r="AG178" i="11"/>
  <c r="AF178" i="11"/>
  <c r="AE178" i="11"/>
  <c r="AD178" i="11"/>
  <c r="AC178" i="11"/>
  <c r="AB178" i="11"/>
  <c r="AA178" i="11"/>
  <c r="Z178" i="11"/>
  <c r="Y178" i="11"/>
  <c r="X178" i="11"/>
  <c r="W178" i="11"/>
  <c r="V178" i="11"/>
  <c r="U178" i="11"/>
  <c r="T178" i="11"/>
  <c r="S178" i="11"/>
  <c r="R178" i="11"/>
  <c r="Q178" i="11"/>
  <c r="P178" i="11"/>
  <c r="O178" i="11"/>
  <c r="N178" i="11"/>
  <c r="M178" i="11"/>
  <c r="L178" i="11"/>
  <c r="K178" i="11"/>
  <c r="J178" i="11"/>
  <c r="I178" i="11"/>
  <c r="H178" i="11"/>
  <c r="G178" i="11"/>
  <c r="BF177" i="11"/>
  <c r="BE177" i="11"/>
  <c r="BD177" i="11"/>
  <c r="BC177" i="11"/>
  <c r="BB177" i="11"/>
  <c r="BA177" i="11"/>
  <c r="AZ177" i="11"/>
  <c r="AY177" i="11"/>
  <c r="AX177" i="11"/>
  <c r="AW177" i="11"/>
  <c r="AV177" i="11"/>
  <c r="AU177" i="11"/>
  <c r="AT177" i="11"/>
  <c r="AS177" i="11"/>
  <c r="AR177" i="11"/>
  <c r="AQ177" i="11"/>
  <c r="AP177" i="11"/>
  <c r="AO177" i="11"/>
  <c r="AN177" i="11"/>
  <c r="AM177" i="11"/>
  <c r="AL177" i="11"/>
  <c r="AK177" i="11"/>
  <c r="AJ177" i="11"/>
  <c r="AI177" i="11"/>
  <c r="AH177" i="11"/>
  <c r="AG177" i="11"/>
  <c r="AF177" i="11"/>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BF176" i="11"/>
  <c r="BE176" i="11"/>
  <c r="BD176" i="11"/>
  <c r="BC176"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BF175" i="11"/>
  <c r="BE175" i="11"/>
  <c r="BD175" i="11"/>
  <c r="BC175" i="11"/>
  <c r="BB175" i="11"/>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J174" i="11"/>
  <c r="I174" i="11"/>
  <c r="H174" i="11"/>
  <c r="G174" i="11"/>
  <c r="BF173" i="11"/>
  <c r="BE173" i="11"/>
  <c r="BD173" i="11"/>
  <c r="BC173" i="11"/>
  <c r="BB173"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AD173" i="11"/>
  <c r="AC173" i="11"/>
  <c r="AB173" i="11"/>
  <c r="AA173" i="11"/>
  <c r="Z173" i="11"/>
  <c r="Y173" i="11"/>
  <c r="X173" i="11"/>
  <c r="W173" i="11"/>
  <c r="V173" i="11"/>
  <c r="U173" i="11"/>
  <c r="T173" i="11"/>
  <c r="S173" i="11"/>
  <c r="R173" i="11"/>
  <c r="Q173" i="11"/>
  <c r="P173" i="11"/>
  <c r="O173" i="11"/>
  <c r="N173" i="11"/>
  <c r="M173" i="11"/>
  <c r="L173" i="11"/>
  <c r="K173" i="11"/>
  <c r="J173" i="11"/>
  <c r="I173" i="11"/>
  <c r="H173" i="11"/>
  <c r="G173" i="11"/>
  <c r="BF172" i="11"/>
  <c r="BE172" i="11"/>
  <c r="BD172" i="11"/>
  <c r="BC172" i="11"/>
  <c r="BB172" i="11"/>
  <c r="BA172" i="11"/>
  <c r="AZ172" i="11"/>
  <c r="AY172" i="11"/>
  <c r="AX172" i="11"/>
  <c r="AW172" i="11"/>
  <c r="AV172" i="11"/>
  <c r="AU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X172" i="11"/>
  <c r="W172" i="11"/>
  <c r="V172" i="11"/>
  <c r="U172" i="11"/>
  <c r="T172" i="11"/>
  <c r="S172" i="11"/>
  <c r="R172" i="11"/>
  <c r="Q172" i="11"/>
  <c r="P172" i="11"/>
  <c r="O172" i="11"/>
  <c r="N172" i="11"/>
  <c r="M172" i="11"/>
  <c r="L172" i="11"/>
  <c r="K172" i="11"/>
  <c r="J172" i="11"/>
  <c r="I172" i="11"/>
  <c r="H172" i="11"/>
  <c r="G172" i="11"/>
  <c r="BF171" i="11"/>
  <c r="BE171" i="11"/>
  <c r="BD171" i="11"/>
  <c r="BC171" i="11"/>
  <c r="BB171" i="11"/>
  <c r="BA171" i="11"/>
  <c r="AZ171" i="11"/>
  <c r="AY171" i="11"/>
  <c r="AX171" i="11"/>
  <c r="AW171" i="11"/>
  <c r="AV171" i="11"/>
  <c r="AU171" i="11"/>
  <c r="AT171" i="11"/>
  <c r="AS171" i="11"/>
  <c r="AR171" i="11"/>
  <c r="AQ171" i="11"/>
  <c r="AP171" i="11"/>
  <c r="AO171" i="11"/>
  <c r="AN171" i="11"/>
  <c r="AM171" i="11"/>
  <c r="AL171" i="11"/>
  <c r="AK171" i="11"/>
  <c r="AJ171" i="11"/>
  <c r="AI171" i="11"/>
  <c r="AH171" i="11"/>
  <c r="AG171" i="11"/>
  <c r="AF171" i="11"/>
  <c r="AE171" i="11"/>
  <c r="AD171" i="11"/>
  <c r="AC171" i="11"/>
  <c r="AB171" i="11"/>
  <c r="AA171" i="11"/>
  <c r="Z171" i="11"/>
  <c r="Y171" i="11"/>
  <c r="X171" i="11"/>
  <c r="W171" i="11"/>
  <c r="V171" i="11"/>
  <c r="U171" i="11"/>
  <c r="T171" i="11"/>
  <c r="S171" i="11"/>
  <c r="R171" i="11"/>
  <c r="Q171" i="11"/>
  <c r="P171" i="11"/>
  <c r="O171" i="11"/>
  <c r="N171" i="11"/>
  <c r="M171" i="11"/>
  <c r="L171" i="11"/>
  <c r="K171" i="11"/>
  <c r="J171" i="11"/>
  <c r="I171" i="11"/>
  <c r="H171" i="11"/>
  <c r="G171" i="11"/>
  <c r="BF170" i="11"/>
  <c r="BE170" i="11"/>
  <c r="BD170" i="11"/>
  <c r="BC170" i="11"/>
  <c r="BB170" i="11"/>
  <c r="BA170" i="11"/>
  <c r="AZ170" i="11"/>
  <c r="AY170" i="11"/>
  <c r="AX170" i="11"/>
  <c r="AW170" i="11"/>
  <c r="AV170" i="11"/>
  <c r="AU170" i="11"/>
  <c r="AT170" i="11"/>
  <c r="AS170" i="11"/>
  <c r="AR170" i="11"/>
  <c r="AQ170" i="11"/>
  <c r="AP170" i="11"/>
  <c r="AO170" i="11"/>
  <c r="AN170" i="11"/>
  <c r="AM170" i="11"/>
  <c r="AL170" i="11"/>
  <c r="AK170" i="11"/>
  <c r="AJ170" i="11"/>
  <c r="AI170" i="11"/>
  <c r="AH170" i="11"/>
  <c r="AG170" i="11"/>
  <c r="AF170" i="11"/>
  <c r="AE170" i="11"/>
  <c r="AD170" i="11"/>
  <c r="AC170" i="11"/>
  <c r="AB170" i="11"/>
  <c r="AA170" i="11"/>
  <c r="Z170" i="11"/>
  <c r="Y170" i="11"/>
  <c r="X170" i="11"/>
  <c r="W170" i="11"/>
  <c r="V170" i="11"/>
  <c r="U170" i="11"/>
  <c r="T170" i="11"/>
  <c r="S170" i="11"/>
  <c r="R170" i="11"/>
  <c r="Q170" i="11"/>
  <c r="P170" i="11"/>
  <c r="O170" i="11"/>
  <c r="N170" i="11"/>
  <c r="M170" i="11"/>
  <c r="L170" i="11"/>
  <c r="K170" i="11"/>
  <c r="J170" i="11"/>
  <c r="I170" i="11"/>
  <c r="H170" i="11"/>
  <c r="G170" i="11"/>
  <c r="BF169" i="11"/>
  <c r="BE169" i="11"/>
  <c r="BD169" i="11"/>
  <c r="BC169" i="11"/>
  <c r="BB169"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K169" i="11"/>
  <c r="J169" i="11"/>
  <c r="I169" i="11"/>
  <c r="H169" i="11"/>
  <c r="G169"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M168" i="11"/>
  <c r="L168" i="11"/>
  <c r="K168" i="11"/>
  <c r="J168" i="11"/>
  <c r="I168" i="11"/>
  <c r="H168" i="11"/>
  <c r="G168" i="11"/>
  <c r="BF167" i="11"/>
  <c r="BE167" i="11"/>
  <c r="BD167" i="11"/>
  <c r="BC167" i="11"/>
  <c r="BB167" i="11"/>
  <c r="BA167" i="11"/>
  <c r="AZ167" i="11"/>
  <c r="AY167" i="11"/>
  <c r="AX167" i="11"/>
  <c r="AW167" i="11"/>
  <c r="AV167" i="11"/>
  <c r="AU167" i="11"/>
  <c r="AT167" i="11"/>
  <c r="AS167" i="11"/>
  <c r="AR167" i="11"/>
  <c r="AQ167" i="11"/>
  <c r="AP167" i="11"/>
  <c r="AO167" i="11"/>
  <c r="AN167" i="11"/>
  <c r="AM167" i="11"/>
  <c r="AL167" i="11"/>
  <c r="AK167" i="11"/>
  <c r="AJ167" i="11"/>
  <c r="AI167" i="11"/>
  <c r="AH167" i="11"/>
  <c r="AG167" i="11"/>
  <c r="AF167"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H167" i="11"/>
  <c r="G167" i="11"/>
  <c r="BF166" i="11"/>
  <c r="BE166" i="11"/>
  <c r="BD166" i="11"/>
  <c r="BC166"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BF165" i="11"/>
  <c r="BE165" i="11"/>
  <c r="BD165" i="11"/>
  <c r="BC165" i="11"/>
  <c r="BB165" i="11"/>
  <c r="BA165" i="11"/>
  <c r="AZ165" i="11"/>
  <c r="AY165"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BF164" i="11"/>
  <c r="BE164" i="11"/>
  <c r="BD164" i="11"/>
  <c r="BC164" i="11"/>
  <c r="BB164" i="11"/>
  <c r="BA164" i="11"/>
  <c r="AZ164" i="11"/>
  <c r="AY164" i="11"/>
  <c r="AX164" i="11"/>
  <c r="AW164" i="11"/>
  <c r="AV164" i="11"/>
  <c r="AU164" i="11"/>
  <c r="AT164" i="11"/>
  <c r="AS164" i="11"/>
  <c r="AR164" i="11"/>
  <c r="AQ164" i="11"/>
  <c r="AP164" i="11"/>
  <c r="AO164" i="11"/>
  <c r="AN164" i="11"/>
  <c r="AM164" i="11"/>
  <c r="AL164" i="11"/>
  <c r="AK164" i="11"/>
  <c r="AJ164" i="11"/>
  <c r="AI164" i="11"/>
  <c r="AH164" i="11"/>
  <c r="AG164" i="11"/>
  <c r="AF164" i="11"/>
  <c r="AE164" i="11"/>
  <c r="AD164" i="11"/>
  <c r="AC164" i="11"/>
  <c r="AB164" i="11"/>
  <c r="AA164" i="11"/>
  <c r="Z164" i="11"/>
  <c r="Y164" i="11"/>
  <c r="X164" i="11"/>
  <c r="W164" i="11"/>
  <c r="V164" i="11"/>
  <c r="U164" i="11"/>
  <c r="T164" i="11"/>
  <c r="S164" i="11"/>
  <c r="R164" i="11"/>
  <c r="Q164" i="11"/>
  <c r="P164" i="11"/>
  <c r="O164" i="11"/>
  <c r="N164" i="11"/>
  <c r="M164" i="11"/>
  <c r="L164" i="11"/>
  <c r="K164" i="11"/>
  <c r="J164" i="11"/>
  <c r="I164" i="11"/>
  <c r="H164" i="11"/>
  <c r="G164" i="11"/>
  <c r="BF163" i="11"/>
  <c r="BE163" i="11"/>
  <c r="BD163" i="11"/>
  <c r="BC163"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D163" i="11"/>
  <c r="AC163" i="11"/>
  <c r="AB163" i="11"/>
  <c r="AA163" i="11"/>
  <c r="Z163" i="11"/>
  <c r="Y163" i="11"/>
  <c r="X163" i="11"/>
  <c r="W163" i="11"/>
  <c r="V163" i="11"/>
  <c r="U163" i="11"/>
  <c r="T163" i="11"/>
  <c r="S163" i="11"/>
  <c r="R163" i="11"/>
  <c r="Q163" i="11"/>
  <c r="P163" i="11"/>
  <c r="O163" i="11"/>
  <c r="N163" i="11"/>
  <c r="M163" i="11"/>
  <c r="L163" i="11"/>
  <c r="K163" i="11"/>
  <c r="J163" i="11"/>
  <c r="I163" i="11"/>
  <c r="H163" i="11"/>
  <c r="G163" i="11"/>
  <c r="BF161" i="11"/>
  <c r="BE161" i="11"/>
  <c r="BD161" i="11"/>
  <c r="BC161" i="11"/>
  <c r="BB161" i="11"/>
  <c r="BA161" i="11"/>
  <c r="AZ161" i="11"/>
  <c r="AY161" i="11"/>
  <c r="AX161" i="11"/>
  <c r="AW161" i="11"/>
  <c r="AV161" i="11"/>
  <c r="AU161" i="11"/>
  <c r="AT161" i="11"/>
  <c r="AS161" i="11"/>
  <c r="AR161" i="11"/>
  <c r="AQ161" i="11"/>
  <c r="AP161" i="11"/>
  <c r="AO161" i="11"/>
  <c r="AN161" i="11"/>
  <c r="AM161" i="11"/>
  <c r="AL161" i="11"/>
  <c r="AK161" i="11"/>
  <c r="AJ161" i="11"/>
  <c r="AI161" i="11"/>
  <c r="AH161" i="11"/>
  <c r="AG161" i="11"/>
  <c r="AF161"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BF160" i="11"/>
  <c r="BE160" i="11"/>
  <c r="BD160" i="11"/>
  <c r="BC160" i="11"/>
  <c r="BB160" i="11"/>
  <c r="BA160" i="11"/>
  <c r="AZ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M160" i="11"/>
  <c r="L160" i="11"/>
  <c r="K160" i="11"/>
  <c r="J160" i="11"/>
  <c r="I160" i="11"/>
  <c r="H160" i="11"/>
  <c r="G160" i="11"/>
  <c r="BF159" i="11"/>
  <c r="BE159" i="11"/>
  <c r="BD159" i="11"/>
  <c r="BC159" i="11"/>
  <c r="BB159" i="11"/>
  <c r="BA159" i="11"/>
  <c r="AZ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M159" i="11"/>
  <c r="L159" i="11"/>
  <c r="K159" i="11"/>
  <c r="J159" i="11"/>
  <c r="I159" i="11"/>
  <c r="H159" i="11"/>
  <c r="G159" i="11"/>
  <c r="BF158" i="11"/>
  <c r="BE158" i="11"/>
  <c r="BD158" i="11"/>
  <c r="BC158" i="11"/>
  <c r="BB158" i="11"/>
  <c r="BA158" i="11"/>
  <c r="AZ158" i="11"/>
  <c r="AY158" i="11"/>
  <c r="AX158" i="11"/>
  <c r="AW158" i="11"/>
  <c r="AV158" i="11"/>
  <c r="AU158" i="11"/>
  <c r="AT158" i="11"/>
  <c r="AS158" i="11"/>
  <c r="AR158" i="11"/>
  <c r="AQ158" i="11"/>
  <c r="AP158" i="11"/>
  <c r="AO158" i="11"/>
  <c r="AN158" i="11"/>
  <c r="AM158" i="11"/>
  <c r="AL158" i="11"/>
  <c r="AK158" i="11"/>
  <c r="AJ158" i="11"/>
  <c r="AI158" i="11"/>
  <c r="AH158" i="11"/>
  <c r="AG158" i="11"/>
  <c r="AF158" i="11"/>
  <c r="AE158" i="11"/>
  <c r="AD158" i="11"/>
  <c r="AC158" i="11"/>
  <c r="AB158" i="11"/>
  <c r="AA158" i="11"/>
  <c r="Z158" i="11"/>
  <c r="Y158" i="11"/>
  <c r="X158" i="11"/>
  <c r="W158" i="11"/>
  <c r="V158" i="11"/>
  <c r="U158" i="11"/>
  <c r="T158" i="11"/>
  <c r="S158" i="11"/>
  <c r="R158" i="11"/>
  <c r="Q158" i="11"/>
  <c r="P158" i="11"/>
  <c r="O158" i="11"/>
  <c r="N158" i="11"/>
  <c r="M158" i="11"/>
  <c r="L158" i="11"/>
  <c r="K158" i="11"/>
  <c r="J158" i="11"/>
  <c r="I158" i="11"/>
  <c r="H158" i="11"/>
  <c r="G158" i="11"/>
  <c r="BF157" i="11"/>
  <c r="BE157" i="11"/>
  <c r="BD157" i="11"/>
  <c r="BC157" i="11"/>
  <c r="BB157" i="11"/>
  <c r="BA157" i="11"/>
  <c r="AZ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W157" i="11"/>
  <c r="V157" i="11"/>
  <c r="U157" i="11"/>
  <c r="T157" i="11"/>
  <c r="S157" i="11"/>
  <c r="R157" i="11"/>
  <c r="Q157" i="11"/>
  <c r="P157" i="11"/>
  <c r="O157" i="11"/>
  <c r="N157" i="11"/>
  <c r="M157" i="11"/>
  <c r="L157" i="11"/>
  <c r="K157" i="11"/>
  <c r="J157" i="11"/>
  <c r="I157" i="11"/>
  <c r="H157" i="11"/>
  <c r="G157" i="11"/>
  <c r="BF156" i="11"/>
  <c r="BE156" i="11"/>
  <c r="BD156" i="11"/>
  <c r="BC156" i="11"/>
  <c r="BB156" i="11"/>
  <c r="BA156" i="11"/>
  <c r="AZ156" i="11"/>
  <c r="AY156" i="11"/>
  <c r="AX156" i="11"/>
  <c r="AW156" i="11"/>
  <c r="AV156" i="11"/>
  <c r="AU156" i="11"/>
  <c r="AT156" i="11"/>
  <c r="AS156" i="11"/>
  <c r="AR156" i="11"/>
  <c r="AQ156" i="11"/>
  <c r="AP156" i="11"/>
  <c r="AO156" i="11"/>
  <c r="AN156" i="11"/>
  <c r="AM156" i="11"/>
  <c r="AL156" i="11"/>
  <c r="AK156" i="11"/>
  <c r="AJ156" i="11"/>
  <c r="AI156" i="11"/>
  <c r="AH156" i="11"/>
  <c r="AG156" i="11"/>
  <c r="AF156" i="11"/>
  <c r="AE156" i="11"/>
  <c r="AD156" i="11"/>
  <c r="AC156" i="11"/>
  <c r="AB156" i="11"/>
  <c r="AA156" i="11"/>
  <c r="Z156" i="11"/>
  <c r="Y156" i="11"/>
  <c r="X156" i="11"/>
  <c r="W156" i="11"/>
  <c r="V156" i="11"/>
  <c r="U156" i="11"/>
  <c r="T156" i="11"/>
  <c r="S156" i="11"/>
  <c r="R156" i="11"/>
  <c r="Q156" i="11"/>
  <c r="P156" i="11"/>
  <c r="O156" i="11"/>
  <c r="N156" i="11"/>
  <c r="M156" i="11"/>
  <c r="L156" i="11"/>
  <c r="K156" i="11"/>
  <c r="J156" i="11"/>
  <c r="I156" i="11"/>
  <c r="H156" i="11"/>
  <c r="G156" i="11"/>
  <c r="BF155" i="11"/>
  <c r="BE155" i="11"/>
  <c r="BD155" i="11"/>
  <c r="BC155" i="11"/>
  <c r="BB155" i="11"/>
  <c r="BA155" i="11"/>
  <c r="AZ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C155" i="11"/>
  <c r="AB155" i="11"/>
  <c r="AA155" i="11"/>
  <c r="Z155" i="11"/>
  <c r="Y155" i="11"/>
  <c r="X155" i="11"/>
  <c r="W155" i="11"/>
  <c r="V155" i="11"/>
  <c r="U155" i="11"/>
  <c r="T155" i="11"/>
  <c r="S155" i="11"/>
  <c r="R155" i="11"/>
  <c r="Q155" i="11"/>
  <c r="P155" i="11"/>
  <c r="O155" i="11"/>
  <c r="N155" i="11"/>
  <c r="M155" i="11"/>
  <c r="L155" i="11"/>
  <c r="K155" i="11"/>
  <c r="J155" i="11"/>
  <c r="I155" i="11"/>
  <c r="H155" i="11"/>
  <c r="G155" i="11"/>
  <c r="BF154" i="11"/>
  <c r="BE154" i="11"/>
  <c r="BD154" i="11"/>
  <c r="BC154" i="11"/>
  <c r="BB154" i="11"/>
  <c r="BA154" i="11"/>
  <c r="AZ154" i="11"/>
  <c r="AY154" i="11"/>
  <c r="AX154" i="11"/>
  <c r="AW154" i="11"/>
  <c r="AV154" i="11"/>
  <c r="AU154" i="11"/>
  <c r="AT154" i="11"/>
  <c r="AS154" i="11"/>
  <c r="AR154" i="11"/>
  <c r="AQ154" i="11"/>
  <c r="AP154" i="11"/>
  <c r="AO154" i="11"/>
  <c r="AN154" i="11"/>
  <c r="AM154" i="11"/>
  <c r="AL154" i="11"/>
  <c r="AK154" i="11"/>
  <c r="AJ154" i="11"/>
  <c r="AI154" i="11"/>
  <c r="AH154" i="11"/>
  <c r="AG154" i="11"/>
  <c r="AF154" i="11"/>
  <c r="AE154" i="11"/>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BF153" i="11"/>
  <c r="BE153" i="11"/>
  <c r="BD153" i="11"/>
  <c r="BC153" i="11"/>
  <c r="BB153" i="11"/>
  <c r="BA153" i="11"/>
  <c r="AZ153" i="11"/>
  <c r="AY153" i="11"/>
  <c r="AX153" i="11"/>
  <c r="AW153" i="11"/>
  <c r="AV153" i="11"/>
  <c r="AU153" i="11"/>
  <c r="AT153" i="11"/>
  <c r="AS153" i="11"/>
  <c r="AR153" i="11"/>
  <c r="AQ153" i="11"/>
  <c r="AP153" i="11"/>
  <c r="AO153" i="11"/>
  <c r="AN153" i="11"/>
  <c r="AM153" i="11"/>
  <c r="AL153" i="11"/>
  <c r="AK153" i="11"/>
  <c r="AJ153" i="11"/>
  <c r="AI153" i="11"/>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BF152" i="11"/>
  <c r="BE152" i="11"/>
  <c r="BD152" i="11"/>
  <c r="BC152" i="11"/>
  <c r="BB152" i="11"/>
  <c r="BA152" i="11"/>
  <c r="AZ152" i="11"/>
  <c r="AY152" i="11"/>
  <c r="AX152" i="11"/>
  <c r="AW152" i="11"/>
  <c r="AV152" i="11"/>
  <c r="AU152" i="11"/>
  <c r="AT152" i="11"/>
  <c r="AS152" i="11"/>
  <c r="AR152" i="11"/>
  <c r="AQ152" i="11"/>
  <c r="AP152" i="11"/>
  <c r="AO152" i="11"/>
  <c r="AN152" i="11"/>
  <c r="AM152" i="11"/>
  <c r="AL152" i="11"/>
  <c r="AK152" i="11"/>
  <c r="AJ152" i="11"/>
  <c r="AI152" i="11"/>
  <c r="AH152" i="11"/>
  <c r="AG152" i="11"/>
  <c r="AF152"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BF150" i="11"/>
  <c r="BE150" i="11"/>
  <c r="BD150" i="11"/>
  <c r="BC150" i="1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BF148" i="11"/>
  <c r="BE148" i="11"/>
  <c r="BD148" i="11"/>
  <c r="BC148" i="11"/>
  <c r="BB148" i="11"/>
  <c r="BA148" i="11"/>
  <c r="AZ148" i="11"/>
  <c r="AY148" i="11"/>
  <c r="AX148" i="11"/>
  <c r="AW148" i="11"/>
  <c r="AV148" i="11"/>
  <c r="AU148" i="11"/>
  <c r="AT148" i="11"/>
  <c r="AS148" i="11"/>
  <c r="AR148" i="11"/>
  <c r="AQ148" i="11"/>
  <c r="AP148" i="11"/>
  <c r="AO148" i="11"/>
  <c r="AN148" i="11"/>
  <c r="AM148" i="11"/>
  <c r="AL148" i="11"/>
  <c r="AK148" i="11"/>
  <c r="AJ148" i="11"/>
  <c r="AI148" i="11"/>
  <c r="AH148" i="11"/>
  <c r="AG148" i="11"/>
  <c r="AF148"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G148" i="11"/>
  <c r="BF147" i="11"/>
  <c r="BE147" i="11"/>
  <c r="BD147" i="11"/>
  <c r="BC147"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AD147" i="11"/>
  <c r="AC147" i="11"/>
  <c r="AB147" i="11"/>
  <c r="AA147" i="11"/>
  <c r="Z147" i="11"/>
  <c r="Y147" i="11"/>
  <c r="X147" i="11"/>
  <c r="W147" i="11"/>
  <c r="V147" i="11"/>
  <c r="U147" i="11"/>
  <c r="T147" i="11"/>
  <c r="S147" i="11"/>
  <c r="R147" i="11"/>
  <c r="Q147" i="11"/>
  <c r="P147" i="11"/>
  <c r="O147" i="11"/>
  <c r="N147" i="11"/>
  <c r="M147" i="11"/>
  <c r="L147" i="11"/>
  <c r="K147" i="11"/>
  <c r="J147" i="11"/>
  <c r="I147" i="11"/>
  <c r="H147" i="11"/>
  <c r="G147" i="11"/>
  <c r="BF146" i="11"/>
  <c r="BE146" i="11"/>
  <c r="BD146" i="11"/>
  <c r="BC146" i="11"/>
  <c r="BB146" i="11"/>
  <c r="BA146" i="1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BF145" i="11"/>
  <c r="BE145" i="11"/>
  <c r="BD145" i="11"/>
  <c r="BC145" i="11"/>
  <c r="BB145" i="11"/>
  <c r="BA145" i="11"/>
  <c r="AZ145" i="11"/>
  <c r="AY145" i="11"/>
  <c r="AX145" i="11"/>
  <c r="AW145" i="11"/>
  <c r="AV145" i="11"/>
  <c r="AU145" i="11"/>
  <c r="AT145" i="11"/>
  <c r="AS145" i="11"/>
  <c r="AR145" i="11"/>
  <c r="AQ145" i="11"/>
  <c r="AP145" i="11"/>
  <c r="AO145" i="11"/>
  <c r="AN145" i="11"/>
  <c r="AM145" i="11"/>
  <c r="AL145" i="11"/>
  <c r="AK145" i="11"/>
  <c r="AJ145" i="11"/>
  <c r="AI145" i="11"/>
  <c r="AH145" i="11"/>
  <c r="AG145" i="11"/>
  <c r="AF145" i="11"/>
  <c r="AE145" i="11"/>
  <c r="AD145" i="11"/>
  <c r="AC145" i="11"/>
  <c r="AB145" i="11"/>
  <c r="AA145" i="11"/>
  <c r="Z145" i="11"/>
  <c r="Y145" i="11"/>
  <c r="X145" i="11"/>
  <c r="W145" i="11"/>
  <c r="V145" i="11"/>
  <c r="U145" i="11"/>
  <c r="T145" i="11"/>
  <c r="S145" i="11"/>
  <c r="R145" i="11"/>
  <c r="Q145" i="11"/>
  <c r="P145" i="11"/>
  <c r="O145" i="11"/>
  <c r="N145" i="11"/>
  <c r="M145" i="11"/>
  <c r="L145" i="11"/>
  <c r="K145" i="11"/>
  <c r="J145" i="11"/>
  <c r="I145" i="11"/>
  <c r="H145" i="11"/>
  <c r="G145" i="11"/>
  <c r="BF144" i="11"/>
  <c r="BE144" i="11"/>
  <c r="BD144" i="11"/>
  <c r="BC144"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G144" i="11"/>
  <c r="BF143" i="11"/>
  <c r="BE143" i="11"/>
  <c r="BD143" i="11"/>
  <c r="BC143"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BF142" i="11"/>
  <c r="BE142" i="11"/>
  <c r="BD142" i="11"/>
  <c r="BC142" i="11"/>
  <c r="BB142" i="11"/>
  <c r="BA142" i="1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G142" i="11"/>
  <c r="BF141" i="11"/>
  <c r="BE141" i="11"/>
  <c r="BD141" i="11"/>
  <c r="BC141" i="11"/>
  <c r="BB141" i="11"/>
  <c r="BA141" i="11"/>
  <c r="AZ141" i="11"/>
  <c r="AY141" i="11"/>
  <c r="I141" i="11"/>
  <c r="G141" i="11"/>
  <c r="BF140" i="11"/>
  <c r="BE140" i="11"/>
  <c r="BD140" i="11"/>
  <c r="BC140" i="11"/>
  <c r="BB140" i="11"/>
  <c r="BA140" i="11"/>
  <c r="AZ140" i="11"/>
  <c r="AY140" i="11"/>
  <c r="I140" i="11"/>
  <c r="G140" i="11"/>
  <c r="BF139" i="11"/>
  <c r="BE139" i="11"/>
  <c r="BD139" i="11"/>
  <c r="BC139" i="11"/>
  <c r="BB139" i="11"/>
  <c r="BA139" i="11"/>
  <c r="AZ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AA139" i="11"/>
  <c r="Z139" i="11"/>
  <c r="Y139" i="11"/>
  <c r="X139" i="11"/>
  <c r="W139" i="11"/>
  <c r="V139" i="11"/>
  <c r="U139" i="11"/>
  <c r="T139" i="11"/>
  <c r="S139" i="11"/>
  <c r="R139" i="11"/>
  <c r="Q139" i="11"/>
  <c r="I139" i="11"/>
  <c r="G139" i="11"/>
  <c r="BF138" i="11"/>
  <c r="BE138" i="11"/>
  <c r="BD138" i="11"/>
  <c r="BC138" i="11"/>
  <c r="BB138"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BF137" i="11"/>
  <c r="BE137" i="11"/>
  <c r="BD137" i="11"/>
  <c r="BC137" i="11"/>
  <c r="BB137" i="11"/>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BF136" i="11"/>
  <c r="BE136" i="11"/>
  <c r="BD136" i="11"/>
  <c r="BC136"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U136" i="11"/>
  <c r="T136" i="11"/>
  <c r="S136" i="11"/>
  <c r="R136" i="11"/>
  <c r="Q136" i="11"/>
  <c r="P136" i="11"/>
  <c r="O136" i="11"/>
  <c r="M136" i="11"/>
  <c r="L136" i="11"/>
  <c r="K136" i="11"/>
  <c r="J136" i="11"/>
  <c r="I136" i="11"/>
  <c r="G136" i="11"/>
  <c r="BF135" i="11"/>
  <c r="BE135" i="11"/>
  <c r="BD135" i="11"/>
  <c r="BC135" i="11"/>
  <c r="BB135" i="11"/>
  <c r="BA135" i="11"/>
  <c r="AZ135" i="11"/>
  <c r="AY135" i="11"/>
  <c r="I135" i="11"/>
  <c r="G135" i="11"/>
  <c r="BF134" i="11"/>
  <c r="BE134" i="11"/>
  <c r="BD134" i="11"/>
  <c r="BC134" i="11"/>
  <c r="BB134" i="11"/>
  <c r="BA134" i="11"/>
  <c r="AZ134" i="11"/>
  <c r="AY134" i="11"/>
  <c r="I134" i="11"/>
  <c r="G134" i="11"/>
  <c r="BF133" i="11"/>
  <c r="BE133" i="11"/>
  <c r="BD133" i="11"/>
  <c r="BC133" i="11"/>
  <c r="BB133" i="11"/>
  <c r="BA133" i="11"/>
  <c r="AZ133" i="11"/>
  <c r="AY133" i="11"/>
  <c r="AX133"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W133" i="11"/>
  <c r="V133" i="11"/>
  <c r="U133" i="11"/>
  <c r="T133" i="11"/>
  <c r="S133" i="11"/>
  <c r="R133" i="11"/>
  <c r="Q133" i="11"/>
  <c r="I133" i="11"/>
  <c r="G133" i="11"/>
  <c r="BF132" i="11"/>
  <c r="BE132" i="11"/>
  <c r="BD132" i="11"/>
  <c r="BC132" i="11"/>
  <c r="BB132" i="11"/>
  <c r="BA132" i="11"/>
  <c r="AZ132" i="11"/>
  <c r="AY132" i="11"/>
  <c r="AX132" i="11"/>
  <c r="AW132" i="1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BF131" i="11"/>
  <c r="BE131" i="11"/>
  <c r="BD131" i="11"/>
  <c r="BC131" i="11"/>
  <c r="BB131" i="11"/>
  <c r="BA131" i="11"/>
  <c r="AZ131" i="11"/>
  <c r="AY131" i="11"/>
  <c r="I131" i="11"/>
  <c r="G131" i="11"/>
  <c r="BF130" i="11"/>
  <c r="BE130" i="11"/>
  <c r="BD130" i="11"/>
  <c r="BC130" i="11"/>
  <c r="BB130" i="11"/>
  <c r="BA130" i="11"/>
  <c r="AZ130" i="11"/>
  <c r="AY130" i="11"/>
  <c r="I130" i="11"/>
  <c r="G130" i="11"/>
  <c r="BF129" i="11"/>
  <c r="BE129" i="11"/>
  <c r="BD129" i="11"/>
  <c r="BC129" i="11"/>
  <c r="BB129" i="11"/>
  <c r="BA129"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I129" i="11"/>
  <c r="G129" i="11"/>
  <c r="BF127" i="11"/>
  <c r="BE127" i="11"/>
  <c r="BD127" i="11"/>
  <c r="BC127" i="11"/>
  <c r="BB127" i="11"/>
  <c r="BA127" i="11"/>
  <c r="AZ127" i="11"/>
  <c r="AY127" i="11"/>
  <c r="AX127"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BF126" i="11"/>
  <c r="BE126" i="11"/>
  <c r="BD126" i="11"/>
  <c r="BC126" i="11"/>
  <c r="BB126" i="11"/>
  <c r="BA126" i="11"/>
  <c r="AZ126" i="11"/>
  <c r="AY126" i="11"/>
  <c r="AX126" i="11"/>
  <c r="AW126" i="11"/>
  <c r="AV126" i="11"/>
  <c r="AU126" i="11"/>
  <c r="AT126" i="11"/>
  <c r="AS126" i="11"/>
  <c r="AR126" i="11"/>
  <c r="AQ126" i="11"/>
  <c r="AP126" i="11"/>
  <c r="AO126" i="11"/>
  <c r="AN126" i="11"/>
  <c r="AM126" i="11"/>
  <c r="AL126" i="11"/>
  <c r="AK126" i="11"/>
  <c r="AJ126" i="11"/>
  <c r="AI126" i="11"/>
  <c r="AH126" i="11"/>
  <c r="AG126" i="11"/>
  <c r="AF126" i="11"/>
  <c r="AE126" i="11"/>
  <c r="AD126" i="11"/>
  <c r="AC126" i="11"/>
  <c r="AB126" i="11"/>
  <c r="AA126" i="11"/>
  <c r="Z126" i="11"/>
  <c r="Y126" i="11"/>
  <c r="X126" i="11"/>
  <c r="W126" i="11"/>
  <c r="V126" i="11"/>
  <c r="U126" i="11"/>
  <c r="T126" i="11"/>
  <c r="S126" i="11"/>
  <c r="R126" i="11"/>
  <c r="Q126" i="11"/>
  <c r="P126" i="11"/>
  <c r="O126" i="11"/>
  <c r="N126" i="11"/>
  <c r="M126" i="11"/>
  <c r="L126" i="11"/>
  <c r="K126" i="11"/>
  <c r="J126" i="11"/>
  <c r="I126" i="11"/>
  <c r="G126" i="11"/>
  <c r="BF125" i="11"/>
  <c r="BE125" i="11"/>
  <c r="BD125" i="11"/>
  <c r="BC125" i="11"/>
  <c r="BB125" i="11"/>
  <c r="BA125" i="11"/>
  <c r="AZ125" i="11"/>
  <c r="AY125" i="11"/>
  <c r="AX125" i="11"/>
  <c r="AW125" i="11"/>
  <c r="AV125" i="11"/>
  <c r="AU125" i="11"/>
  <c r="AT125" i="11"/>
  <c r="AS125" i="11"/>
  <c r="AR125" i="11"/>
  <c r="AQ125" i="11"/>
  <c r="AP125" i="11"/>
  <c r="AO125" i="11"/>
  <c r="AN125" i="11"/>
  <c r="AM125" i="11"/>
  <c r="AL125" i="11"/>
  <c r="AK125" i="11"/>
  <c r="AJ125" i="11"/>
  <c r="AI125" i="11"/>
  <c r="AH125" i="11"/>
  <c r="AG125" i="11"/>
  <c r="AF125" i="11"/>
  <c r="AE125" i="11"/>
  <c r="AD125" i="11"/>
  <c r="AC125" i="11"/>
  <c r="AB125" i="11"/>
  <c r="AA125" i="11"/>
  <c r="Z125" i="11"/>
  <c r="Y125" i="11"/>
  <c r="X125" i="11"/>
  <c r="W125" i="11"/>
  <c r="V125" i="11"/>
  <c r="U125" i="11"/>
  <c r="T125" i="11"/>
  <c r="S125" i="11"/>
  <c r="R125" i="11"/>
  <c r="Q125" i="11"/>
  <c r="P125" i="11"/>
  <c r="O125" i="11"/>
  <c r="N125" i="11"/>
  <c r="M125" i="11"/>
  <c r="L125" i="11"/>
  <c r="K125" i="11"/>
  <c r="J125" i="11"/>
  <c r="I125" i="11"/>
  <c r="G125" i="11"/>
  <c r="BF124" i="11"/>
  <c r="BE124" i="11"/>
  <c r="BD124" i="11"/>
  <c r="BC124" i="1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AD124" i="11"/>
  <c r="AC124" i="11"/>
  <c r="AB124" i="11"/>
  <c r="AA124" i="11"/>
  <c r="Z124" i="11"/>
  <c r="Y124" i="11"/>
  <c r="X124" i="11"/>
  <c r="W124" i="11"/>
  <c r="U124" i="11"/>
  <c r="T124" i="11"/>
  <c r="S124" i="11"/>
  <c r="R124" i="11"/>
  <c r="Q124" i="11"/>
  <c r="P124" i="11"/>
  <c r="O124" i="11"/>
  <c r="N124" i="11"/>
  <c r="M124" i="11"/>
  <c r="L124" i="11"/>
  <c r="K124" i="11"/>
  <c r="J124" i="11"/>
  <c r="I124" i="11"/>
  <c r="G124" i="11"/>
  <c r="BF123" i="11"/>
  <c r="BE123" i="11"/>
  <c r="BD123" i="11"/>
  <c r="BC123" i="11"/>
  <c r="BB123" i="11"/>
  <c r="BA123" i="11"/>
  <c r="AZ123" i="11"/>
  <c r="AY123" i="11"/>
  <c r="AX123" i="11"/>
  <c r="AW123" i="11"/>
  <c r="AV123" i="11"/>
  <c r="AU123" i="11"/>
  <c r="AT123" i="11"/>
  <c r="AS123" i="11"/>
  <c r="AR123" i="11"/>
  <c r="AQ123" i="11"/>
  <c r="AP123" i="11"/>
  <c r="AO123" i="11"/>
  <c r="AN123" i="11"/>
  <c r="AM123" i="11"/>
  <c r="AL123" i="11"/>
  <c r="AK123" i="11"/>
  <c r="AJ123" i="11"/>
  <c r="AI123" i="11"/>
  <c r="AH123" i="11"/>
  <c r="AG123" i="11"/>
  <c r="AF123" i="11"/>
  <c r="AE123" i="11"/>
  <c r="AD123" i="11"/>
  <c r="AC123" i="11"/>
  <c r="AB123" i="11"/>
  <c r="AA123" i="11"/>
  <c r="Z123" i="11"/>
  <c r="Y123" i="11"/>
  <c r="X123" i="11"/>
  <c r="W123" i="11"/>
  <c r="V123" i="11"/>
  <c r="U123" i="11"/>
  <c r="T123" i="11"/>
  <c r="S123" i="11"/>
  <c r="R123" i="11"/>
  <c r="Q123" i="11"/>
  <c r="P123" i="11"/>
  <c r="O123" i="11"/>
  <c r="N123" i="11"/>
  <c r="M123" i="11"/>
  <c r="L123" i="11"/>
  <c r="K123" i="11"/>
  <c r="J123" i="11"/>
  <c r="I123" i="11"/>
  <c r="G123" i="11"/>
  <c r="BF122" i="11"/>
  <c r="BE122" i="11"/>
  <c r="BD122" i="11"/>
  <c r="BC122" i="11"/>
  <c r="BB122" i="11"/>
  <c r="BA122" i="11"/>
  <c r="AZ122" i="11"/>
  <c r="AY122" i="11"/>
  <c r="AX122" i="11"/>
  <c r="AW122" i="11"/>
  <c r="AV122" i="11"/>
  <c r="AU122" i="11"/>
  <c r="AT122" i="11"/>
  <c r="AS122" i="11"/>
  <c r="AR122" i="11"/>
  <c r="AQ122" i="11"/>
  <c r="AP122" i="11"/>
  <c r="AO122" i="11"/>
  <c r="AN122" i="11"/>
  <c r="AM122" i="11"/>
  <c r="AL122" i="11"/>
  <c r="AK122" i="11"/>
  <c r="AJ122" i="11"/>
  <c r="AI122" i="11"/>
  <c r="AH122" i="11"/>
  <c r="AG122" i="11"/>
  <c r="AF122" i="11"/>
  <c r="AE122" i="11"/>
  <c r="AD122" i="11"/>
  <c r="AC122" i="11"/>
  <c r="AB122" i="11"/>
  <c r="AA122" i="11"/>
  <c r="Z122" i="11"/>
  <c r="Y122" i="11"/>
  <c r="X122" i="11"/>
  <c r="W122" i="11"/>
  <c r="V122" i="11"/>
  <c r="U122" i="11"/>
  <c r="T122" i="11"/>
  <c r="S122" i="11"/>
  <c r="R122" i="11"/>
  <c r="Q122" i="11"/>
  <c r="P122" i="11"/>
  <c r="O122" i="11"/>
  <c r="N122" i="11"/>
  <c r="M122" i="11"/>
  <c r="L122" i="11"/>
  <c r="K122" i="11"/>
  <c r="J122" i="11"/>
  <c r="I122" i="11"/>
  <c r="G122" i="11"/>
  <c r="BF121" i="11"/>
  <c r="BE121" i="11"/>
  <c r="BD121" i="11"/>
  <c r="BC121" i="11"/>
  <c r="BB121" i="11"/>
  <c r="BA121" i="11"/>
  <c r="AZ121" i="11"/>
  <c r="AY121" i="11"/>
  <c r="AX121"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G121" i="11"/>
  <c r="BF120" i="11"/>
  <c r="BE120" i="11"/>
  <c r="BD120" i="11"/>
  <c r="BC120" i="11"/>
  <c r="BB120" i="11"/>
  <c r="BA120" i="11"/>
  <c r="AZ120" i="11"/>
  <c r="AY120" i="11"/>
  <c r="AX120" i="11"/>
  <c r="AW120" i="11"/>
  <c r="AV120" i="11"/>
  <c r="AU120" i="11"/>
  <c r="AT120" i="11"/>
  <c r="AS120" i="11"/>
  <c r="AQ120" i="11"/>
  <c r="AP120" i="11"/>
  <c r="AO120" i="11"/>
  <c r="AM120" i="11"/>
  <c r="AL120" i="11"/>
  <c r="AK120" i="11"/>
  <c r="AI120" i="11"/>
  <c r="AH120" i="11"/>
  <c r="AG120" i="11"/>
  <c r="AF120" i="11"/>
  <c r="AE120" i="11"/>
  <c r="AD120" i="11"/>
  <c r="AC120" i="11"/>
  <c r="AB120" i="11"/>
  <c r="AA120" i="11"/>
  <c r="Z120" i="11"/>
  <c r="Y120" i="11"/>
  <c r="W120" i="11"/>
  <c r="V120" i="11"/>
  <c r="U120" i="11"/>
  <c r="T120" i="11"/>
  <c r="S120" i="11"/>
  <c r="R120" i="11"/>
  <c r="Q120" i="11"/>
  <c r="P120" i="11"/>
  <c r="O120" i="11"/>
  <c r="N120" i="11"/>
  <c r="M120" i="11"/>
  <c r="L120" i="11"/>
  <c r="K120" i="11"/>
  <c r="J120" i="11"/>
  <c r="I120" i="11"/>
  <c r="G120" i="11"/>
  <c r="BF119" i="11"/>
  <c r="BE119" i="11"/>
  <c r="BD119" i="11"/>
  <c r="BC119" i="11"/>
  <c r="BB119" i="11"/>
  <c r="BA119" i="11"/>
  <c r="AZ119" i="11"/>
  <c r="AY119" i="11"/>
  <c r="AX119" i="11"/>
  <c r="AW119" i="11"/>
  <c r="AV119" i="11"/>
  <c r="AU119" i="11"/>
  <c r="AT119" i="11"/>
  <c r="AS119" i="11"/>
  <c r="AR119" i="11"/>
  <c r="AQ119" i="11"/>
  <c r="AO119" i="11"/>
  <c r="AN119" i="11"/>
  <c r="AM119" i="11"/>
  <c r="AK119" i="11"/>
  <c r="AJ119" i="11"/>
  <c r="AI119" i="11"/>
  <c r="AH119" i="11"/>
  <c r="AG119" i="11"/>
  <c r="AE119" i="11"/>
  <c r="AC119" i="11"/>
  <c r="AA119" i="11"/>
  <c r="Y119" i="11"/>
  <c r="X119" i="11"/>
  <c r="W119" i="11"/>
  <c r="U119" i="11"/>
  <c r="S119" i="11"/>
  <c r="Q119" i="11"/>
  <c r="P119" i="11"/>
  <c r="O119" i="11"/>
  <c r="M119" i="11"/>
  <c r="K119" i="11"/>
  <c r="J119" i="11"/>
  <c r="I119" i="11"/>
  <c r="G119" i="11"/>
  <c r="BF118" i="11"/>
  <c r="BE118" i="11"/>
  <c r="BD118" i="11"/>
  <c r="BC118" i="11"/>
  <c r="BB118" i="11"/>
  <c r="BA118" i="11"/>
  <c r="AZ118" i="11"/>
  <c r="AY118" i="11"/>
  <c r="AX118" i="11"/>
  <c r="AW118" i="11"/>
  <c r="AV118" i="11"/>
  <c r="AU118" i="11"/>
  <c r="AT118" i="11"/>
  <c r="AS118" i="11"/>
  <c r="AQ118" i="11"/>
  <c r="AP118" i="11"/>
  <c r="AO118" i="11"/>
  <c r="AN118" i="11"/>
  <c r="AM118" i="11"/>
  <c r="AK118" i="11"/>
  <c r="AI118" i="11"/>
  <c r="AG118" i="11"/>
  <c r="AE118" i="11"/>
  <c r="AC118" i="11"/>
  <c r="AA118" i="11"/>
  <c r="Y118" i="11"/>
  <c r="X118" i="11"/>
  <c r="W118" i="11"/>
  <c r="U118" i="11"/>
  <c r="T118" i="11"/>
  <c r="S118" i="11"/>
  <c r="R118" i="11"/>
  <c r="Q118" i="11"/>
  <c r="P118" i="11"/>
  <c r="O118" i="11"/>
  <c r="N118" i="11"/>
  <c r="M118" i="11"/>
  <c r="K118" i="11"/>
  <c r="J118" i="11"/>
  <c r="I118" i="11"/>
  <c r="G118" i="11"/>
  <c r="BF117" i="11"/>
  <c r="BE117" i="11"/>
  <c r="BD117" i="11"/>
  <c r="BC117" i="11"/>
  <c r="BB117" i="11"/>
  <c r="BA117" i="11"/>
  <c r="AZ117" i="11"/>
  <c r="AY117" i="11"/>
  <c r="AX117" i="11"/>
  <c r="AW117" i="11"/>
  <c r="AV117" i="11"/>
  <c r="AU117" i="11"/>
  <c r="AT117" i="11"/>
  <c r="AS117" i="11"/>
  <c r="AR117" i="11"/>
  <c r="AQ117" i="11"/>
  <c r="AP117" i="11"/>
  <c r="AO117" i="11"/>
  <c r="AN117" i="11"/>
  <c r="AM117" i="11"/>
  <c r="AK117" i="11"/>
  <c r="AI117" i="11"/>
  <c r="AG117" i="11"/>
  <c r="AF117" i="11"/>
  <c r="AE117" i="11"/>
  <c r="AC117" i="11"/>
  <c r="AA117" i="11"/>
  <c r="Y117" i="11"/>
  <c r="W117" i="11"/>
  <c r="U117" i="11"/>
  <c r="S117" i="11"/>
  <c r="Q117" i="11"/>
  <c r="O117" i="11"/>
  <c r="M117" i="11"/>
  <c r="K117" i="11"/>
  <c r="J117" i="11"/>
  <c r="I117" i="11"/>
  <c r="G117" i="11"/>
  <c r="BF116" i="11"/>
  <c r="BE116" i="11"/>
  <c r="BD116" i="11"/>
  <c r="BC116" i="11"/>
  <c r="BB116" i="11"/>
  <c r="BA116" i="11"/>
  <c r="AZ116" i="11"/>
  <c r="AY116" i="11"/>
  <c r="AX116" i="11"/>
  <c r="AW116" i="11"/>
  <c r="AV116" i="11"/>
  <c r="AU116" i="11"/>
  <c r="AT116" i="11"/>
  <c r="AS116" i="11"/>
  <c r="AR116" i="11"/>
  <c r="AQ116" i="11"/>
  <c r="AP116" i="11"/>
  <c r="AO116" i="11"/>
  <c r="AM116" i="11"/>
  <c r="AL116" i="11"/>
  <c r="AK116" i="11"/>
  <c r="AI116" i="11"/>
  <c r="AH116" i="11"/>
  <c r="AG116" i="11"/>
  <c r="AE116" i="11"/>
  <c r="AD116" i="11"/>
  <c r="AC116" i="11"/>
  <c r="AA116" i="11"/>
  <c r="Y116" i="11"/>
  <c r="W116" i="11"/>
  <c r="V116" i="11"/>
  <c r="U116" i="11"/>
  <c r="S116" i="11"/>
  <c r="Q116" i="11"/>
  <c r="P116" i="11"/>
  <c r="O116" i="11"/>
  <c r="N116" i="11"/>
  <c r="M116" i="11"/>
  <c r="L116" i="11"/>
  <c r="K116" i="11"/>
  <c r="J116" i="11"/>
  <c r="I116" i="11"/>
  <c r="G116" i="11"/>
  <c r="BF115" i="11"/>
  <c r="BE115" i="11"/>
  <c r="BD115" i="11"/>
  <c r="BC115" i="11"/>
  <c r="BB115" i="11"/>
  <c r="BA115" i="11"/>
  <c r="AZ115" i="11"/>
  <c r="AY115" i="11"/>
  <c r="AX115" i="11"/>
  <c r="AW115" i="11"/>
  <c r="AV115" i="11"/>
  <c r="AU115" i="11"/>
  <c r="AT115" i="11"/>
  <c r="AS115" i="11"/>
  <c r="AR115" i="11"/>
  <c r="AQ115" i="11"/>
  <c r="AO115" i="11"/>
  <c r="AM115" i="11"/>
  <c r="AK115" i="11"/>
  <c r="AI115" i="11"/>
  <c r="AH115" i="11"/>
  <c r="AG115" i="11"/>
  <c r="AF115" i="11"/>
  <c r="AE115" i="11"/>
  <c r="AD115" i="11"/>
  <c r="AC115" i="11"/>
  <c r="AB115" i="11"/>
  <c r="AA115" i="11"/>
  <c r="Z115" i="11"/>
  <c r="Y115" i="11"/>
  <c r="X115" i="11"/>
  <c r="W115" i="11"/>
  <c r="V115" i="11"/>
  <c r="U115" i="11"/>
  <c r="T115" i="11"/>
  <c r="S115" i="11"/>
  <c r="R115" i="11"/>
  <c r="Q115" i="11"/>
  <c r="O115" i="11"/>
  <c r="M115" i="11"/>
  <c r="K115" i="11"/>
  <c r="J115" i="11"/>
  <c r="I115" i="11"/>
  <c r="G115" i="11"/>
  <c r="BF114" i="11"/>
  <c r="BE114" i="11"/>
  <c r="BD114" i="11"/>
  <c r="BC114" i="11"/>
  <c r="BB114" i="11"/>
  <c r="BA114" i="11"/>
  <c r="AZ114" i="11"/>
  <c r="AY114" i="11"/>
  <c r="AX114" i="11"/>
  <c r="AW114" i="11"/>
  <c r="AV114" i="11"/>
  <c r="AU114" i="11"/>
  <c r="AT114" i="11"/>
  <c r="AS114" i="11"/>
  <c r="AQ114" i="11"/>
  <c r="AO114" i="11"/>
  <c r="AM114" i="11"/>
  <c r="AK114" i="11"/>
  <c r="AJ114" i="11"/>
  <c r="AI114" i="11"/>
  <c r="AG114" i="11"/>
  <c r="AE114" i="11"/>
  <c r="AC114" i="11"/>
  <c r="AB114" i="11"/>
  <c r="AA114" i="11"/>
  <c r="Y114" i="11"/>
  <c r="X114" i="11"/>
  <c r="W114" i="11"/>
  <c r="V114" i="11"/>
  <c r="U114" i="11"/>
  <c r="S114" i="11"/>
  <c r="Q114" i="11"/>
  <c r="O114" i="11"/>
  <c r="M114" i="11"/>
  <c r="K114" i="11"/>
  <c r="J114" i="11"/>
  <c r="I114" i="11"/>
  <c r="G114" i="11"/>
  <c r="BF113" i="11"/>
  <c r="BE113" i="11"/>
  <c r="BD113" i="11"/>
  <c r="BC113" i="11"/>
  <c r="BB113" i="11"/>
  <c r="BA113" i="11"/>
  <c r="AZ113" i="11"/>
  <c r="AY113" i="11"/>
  <c r="AX113" i="11"/>
  <c r="AW113" i="11"/>
  <c r="AV113" i="11"/>
  <c r="AU113" i="11"/>
  <c r="AT113" i="11"/>
  <c r="AS113" i="11"/>
  <c r="AR113" i="11"/>
  <c r="AQ113" i="11"/>
  <c r="AO113" i="11"/>
  <c r="AN113" i="11"/>
  <c r="AM113" i="11"/>
  <c r="AL113" i="11"/>
  <c r="AK113" i="11"/>
  <c r="AJ113" i="11"/>
  <c r="AI113" i="11"/>
  <c r="AH113" i="11"/>
  <c r="AG113" i="11"/>
  <c r="AF113" i="11"/>
  <c r="AE113" i="11"/>
  <c r="AD113" i="11"/>
  <c r="AC113" i="11"/>
  <c r="AB113" i="11"/>
  <c r="AA113" i="11"/>
  <c r="Z113" i="11"/>
  <c r="Y113" i="11"/>
  <c r="X113" i="11"/>
  <c r="W113" i="11"/>
  <c r="V113" i="11"/>
  <c r="U113" i="11"/>
  <c r="T113" i="11"/>
  <c r="S113" i="11"/>
  <c r="R113" i="11"/>
  <c r="Q113" i="11"/>
  <c r="P113" i="11"/>
  <c r="O113" i="11"/>
  <c r="N113" i="11"/>
  <c r="M113" i="11"/>
  <c r="L113" i="11"/>
  <c r="K113" i="11"/>
  <c r="J113" i="11"/>
  <c r="I113" i="11"/>
  <c r="G113" i="11"/>
  <c r="BF112" i="11"/>
  <c r="BE112" i="11"/>
  <c r="BD112" i="11"/>
  <c r="BC112" i="11"/>
  <c r="BB112" i="11"/>
  <c r="BA112" i="11"/>
  <c r="AZ112" i="11"/>
  <c r="AY112" i="11"/>
  <c r="AX112" i="11"/>
  <c r="AW112" i="11"/>
  <c r="AV112" i="11"/>
  <c r="AU112" i="11"/>
  <c r="AT112" i="11"/>
  <c r="AS112" i="11"/>
  <c r="AR112" i="11"/>
  <c r="AQ112" i="11"/>
  <c r="AO112" i="11"/>
  <c r="AM112" i="11"/>
  <c r="AK112" i="11"/>
  <c r="AI112" i="11"/>
  <c r="AG112" i="11"/>
  <c r="AE112" i="11"/>
  <c r="AD112" i="11"/>
  <c r="AC112" i="11"/>
  <c r="AA112" i="11"/>
  <c r="Y112" i="11"/>
  <c r="W112" i="11"/>
  <c r="U112" i="11"/>
  <c r="S112" i="11"/>
  <c r="Q112" i="11"/>
  <c r="O112" i="11"/>
  <c r="M112" i="11"/>
  <c r="L112" i="11"/>
  <c r="K112" i="11"/>
  <c r="J112" i="11"/>
  <c r="I112" i="11"/>
  <c r="G112" i="11"/>
  <c r="BF111" i="11"/>
  <c r="BE111" i="11"/>
  <c r="BD111" i="11"/>
  <c r="BC111" i="11"/>
  <c r="BB111" i="11"/>
  <c r="BA111" i="11"/>
  <c r="AZ111" i="11"/>
  <c r="AY111" i="11"/>
  <c r="AX111" i="11"/>
  <c r="AW111" i="11"/>
  <c r="AV111" i="11"/>
  <c r="AU111" i="11"/>
  <c r="AT111" i="11"/>
  <c r="AS111" i="11"/>
  <c r="AR111" i="11"/>
  <c r="AQ111" i="11"/>
  <c r="AP111" i="11"/>
  <c r="AO111" i="11"/>
  <c r="AN111" i="11"/>
  <c r="AM111" i="11"/>
  <c r="AL111" i="11"/>
  <c r="AK111" i="11"/>
  <c r="AJ111" i="11"/>
  <c r="AI111" i="11"/>
  <c r="AH111" i="11"/>
  <c r="AG111" i="11"/>
  <c r="AF111" i="11"/>
  <c r="AE111" i="11"/>
  <c r="AD111" i="11"/>
  <c r="AC111" i="11"/>
  <c r="AB111" i="11"/>
  <c r="AA111" i="11"/>
  <c r="Y111" i="11"/>
  <c r="X111" i="11"/>
  <c r="W111" i="11"/>
  <c r="U111" i="11"/>
  <c r="T111" i="11"/>
  <c r="S111" i="11"/>
  <c r="R111" i="11"/>
  <c r="Q111" i="11"/>
  <c r="P111" i="11"/>
  <c r="O111" i="11"/>
  <c r="N111" i="11"/>
  <c r="M111" i="11"/>
  <c r="L111" i="11"/>
  <c r="K111" i="11"/>
  <c r="J111" i="11"/>
  <c r="I111" i="11"/>
  <c r="G111" i="11"/>
  <c r="BF110" i="11"/>
  <c r="BE110" i="11"/>
  <c r="BD110" i="11"/>
  <c r="BC110" i="11"/>
  <c r="BB110" i="11"/>
  <c r="BA110" i="11"/>
  <c r="AZ110" i="11"/>
  <c r="AY110" i="11"/>
  <c r="AX110" i="11"/>
  <c r="AW110" i="11"/>
  <c r="AV110" i="11"/>
  <c r="AU110" i="11"/>
  <c r="AT110" i="11"/>
  <c r="AS110" i="11"/>
  <c r="AQ110" i="11"/>
  <c r="AO110" i="11"/>
  <c r="AN110" i="11"/>
  <c r="AM110" i="11"/>
  <c r="AL110" i="11"/>
  <c r="AK110" i="11"/>
  <c r="AJ110" i="11"/>
  <c r="AI110" i="11"/>
  <c r="AG110" i="11"/>
  <c r="AF110" i="11"/>
  <c r="AE110" i="11"/>
  <c r="AC110" i="11"/>
  <c r="AB110" i="11"/>
  <c r="AA110" i="11"/>
  <c r="Z110" i="11"/>
  <c r="Y110" i="11"/>
  <c r="X110" i="11"/>
  <c r="W110" i="11"/>
  <c r="U110" i="11"/>
  <c r="T110" i="11"/>
  <c r="S110" i="11"/>
  <c r="R110" i="11"/>
  <c r="Q110" i="11"/>
  <c r="O110" i="11"/>
  <c r="N110" i="11"/>
  <c r="M110" i="11"/>
  <c r="K110" i="11"/>
  <c r="J110" i="11"/>
  <c r="I110" i="11"/>
  <c r="G110" i="11"/>
  <c r="BF109" i="11"/>
  <c r="BE109" i="11"/>
  <c r="BD109" i="11"/>
  <c r="BC109" i="11"/>
  <c r="BB109" i="11"/>
  <c r="BA109" i="11"/>
  <c r="AZ109" i="11"/>
  <c r="AY109" i="11"/>
  <c r="AX109" i="11"/>
  <c r="AW109" i="11"/>
  <c r="AV109" i="11"/>
  <c r="AU109" i="11"/>
  <c r="AT109" i="11"/>
  <c r="AS109" i="11"/>
  <c r="AQ109" i="11"/>
  <c r="AO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P109" i="11"/>
  <c r="O109" i="11"/>
  <c r="N109" i="11"/>
  <c r="M109" i="11"/>
  <c r="L109" i="11"/>
  <c r="K109" i="11"/>
  <c r="J109" i="11"/>
  <c r="I109" i="11"/>
  <c r="G109" i="11"/>
  <c r="BF108" i="11"/>
  <c r="BE108" i="11"/>
  <c r="BD108" i="11"/>
  <c r="BC108"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AD108" i="11"/>
  <c r="AC108" i="11"/>
  <c r="AB108" i="11"/>
  <c r="AA108" i="11"/>
  <c r="Z108" i="11"/>
  <c r="Y108" i="11"/>
  <c r="X108" i="11"/>
  <c r="W108" i="11"/>
  <c r="V108" i="11"/>
  <c r="U108" i="11"/>
  <c r="T108" i="11"/>
  <c r="S108" i="11"/>
  <c r="R108" i="11"/>
  <c r="Q108" i="11"/>
  <c r="P108" i="11"/>
  <c r="O108" i="11"/>
  <c r="N108" i="11"/>
  <c r="M108" i="11"/>
  <c r="L108" i="11"/>
  <c r="K108" i="11"/>
  <c r="J108" i="11"/>
  <c r="I108" i="11"/>
  <c r="G108" i="11"/>
  <c r="BF107" i="11"/>
  <c r="BE107" i="11"/>
  <c r="BD107" i="11"/>
  <c r="BC107" i="11"/>
  <c r="BB107" i="11"/>
  <c r="BA107" i="11"/>
  <c r="AZ107" i="11"/>
  <c r="AY107" i="11"/>
  <c r="AX107" i="11"/>
  <c r="AW107" i="11"/>
  <c r="AV107" i="11"/>
  <c r="AU107" i="11"/>
  <c r="AT107" i="11"/>
  <c r="AS107" i="11"/>
  <c r="AR107" i="11"/>
  <c r="AQ107" i="11"/>
  <c r="AP107" i="11"/>
  <c r="AO107" i="11"/>
  <c r="AN107" i="11"/>
  <c r="AM107" i="11"/>
  <c r="AL107" i="11"/>
  <c r="AK107" i="11"/>
  <c r="AJ107" i="11"/>
  <c r="AI107" i="11"/>
  <c r="AH107" i="11"/>
  <c r="AG107" i="11"/>
  <c r="AF107" i="11"/>
  <c r="AE107" i="11"/>
  <c r="AD107" i="11"/>
  <c r="AC107" i="11"/>
  <c r="AB107" i="11"/>
  <c r="AA107" i="11"/>
  <c r="Z107" i="11"/>
  <c r="Y107" i="11"/>
  <c r="X107" i="11"/>
  <c r="W107" i="11"/>
  <c r="V107" i="11"/>
  <c r="U107" i="11"/>
  <c r="T107" i="11"/>
  <c r="S107" i="11"/>
  <c r="R107" i="11"/>
  <c r="Q107" i="11"/>
  <c r="P107" i="11"/>
  <c r="O107" i="11"/>
  <c r="N107" i="11"/>
  <c r="M107" i="11"/>
  <c r="L107" i="11"/>
  <c r="K107" i="11"/>
  <c r="J107" i="11"/>
  <c r="I107" i="11"/>
  <c r="G107" i="11"/>
  <c r="BF106" i="11"/>
  <c r="BE106" i="11"/>
  <c r="BD106" i="11"/>
  <c r="BC106" i="11"/>
  <c r="BB106" i="11"/>
  <c r="BA106" i="11"/>
  <c r="AZ106" i="11"/>
  <c r="AY106" i="11"/>
  <c r="AX106" i="11"/>
  <c r="AW106" i="11"/>
  <c r="AV106" i="11"/>
  <c r="AU106" i="11"/>
  <c r="AT106" i="11"/>
  <c r="AS106" i="11"/>
  <c r="AR106" i="11"/>
  <c r="AQ106" i="11"/>
  <c r="AP106" i="11"/>
  <c r="AO106" i="11"/>
  <c r="AN106" i="11"/>
  <c r="AM106" i="11"/>
  <c r="AL106" i="11"/>
  <c r="AK106" i="11"/>
  <c r="AJ106" i="11"/>
  <c r="AI106" i="11"/>
  <c r="AH106" i="11"/>
  <c r="AG106" i="11"/>
  <c r="AF106" i="11"/>
  <c r="AE106" i="11"/>
  <c r="AD106" i="11"/>
  <c r="AC106" i="11"/>
  <c r="AB106" i="11"/>
  <c r="AA106" i="11"/>
  <c r="Z106" i="11"/>
  <c r="Y106" i="11"/>
  <c r="X106" i="11"/>
  <c r="W106" i="11"/>
  <c r="V106" i="11"/>
  <c r="U106" i="11"/>
  <c r="T106" i="11"/>
  <c r="S106" i="11"/>
  <c r="R106" i="11"/>
  <c r="Q106" i="11"/>
  <c r="P106" i="11"/>
  <c r="O106" i="11"/>
  <c r="N106" i="11"/>
  <c r="M106" i="11"/>
  <c r="L106" i="11"/>
  <c r="K106" i="11"/>
  <c r="J106" i="11"/>
  <c r="I106" i="11"/>
  <c r="G106" i="11"/>
  <c r="BF105" i="11"/>
  <c r="BE105" i="11"/>
  <c r="BD105" i="11"/>
  <c r="BC105" i="11"/>
  <c r="BB105" i="11"/>
  <c r="BA105" i="11"/>
  <c r="AZ105" i="11"/>
  <c r="AY105" i="11"/>
  <c r="AX105" i="11"/>
  <c r="AW105" i="11"/>
  <c r="AV105" i="11"/>
  <c r="AU105" i="11"/>
  <c r="AT105" i="11"/>
  <c r="AS105" i="11"/>
  <c r="AR105" i="11"/>
  <c r="AQ105" i="11"/>
  <c r="AP105" i="11"/>
  <c r="AO105" i="11"/>
  <c r="AN105" i="11"/>
  <c r="AM105" i="11"/>
  <c r="AL105" i="11"/>
  <c r="AK105" i="11"/>
  <c r="AJ105" i="11"/>
  <c r="AI105" i="11"/>
  <c r="AH105" i="11"/>
  <c r="AG105" i="11"/>
  <c r="AF105" i="11"/>
  <c r="AE105" i="11"/>
  <c r="AD105" i="11"/>
  <c r="AC105" i="11"/>
  <c r="AB105" i="11"/>
  <c r="AA105" i="11"/>
  <c r="Z105" i="11"/>
  <c r="Y105" i="11"/>
  <c r="X105" i="11"/>
  <c r="W105" i="11"/>
  <c r="V105" i="11"/>
  <c r="U105" i="11"/>
  <c r="T105" i="11"/>
  <c r="S105" i="11"/>
  <c r="R105" i="11"/>
  <c r="Q105" i="11"/>
  <c r="P105" i="11"/>
  <c r="O105" i="11"/>
  <c r="N105" i="11"/>
  <c r="M105" i="11"/>
  <c r="L105" i="11"/>
  <c r="K105" i="11"/>
  <c r="J105" i="11"/>
  <c r="I105" i="11"/>
  <c r="G105" i="11"/>
  <c r="BF104" i="11"/>
  <c r="BE104" i="11"/>
  <c r="BD104" i="11"/>
  <c r="BC104" i="11"/>
  <c r="BB104" i="11"/>
  <c r="BA104" i="11"/>
  <c r="AZ104" i="11"/>
  <c r="AY104" i="11"/>
  <c r="AX104" i="11"/>
  <c r="AW104" i="11"/>
  <c r="AV104" i="11"/>
  <c r="AU104" i="11"/>
  <c r="AT104" i="11"/>
  <c r="AS104" i="11"/>
  <c r="AR104" i="11"/>
  <c r="AQ104" i="11"/>
  <c r="AP104" i="11"/>
  <c r="AO104" i="11"/>
  <c r="AN104" i="11"/>
  <c r="AM104" i="11"/>
  <c r="AL104" i="11"/>
  <c r="AK104" i="11"/>
  <c r="AJ104" i="11"/>
  <c r="AI104" i="11"/>
  <c r="AH104" i="11"/>
  <c r="AG104" i="11"/>
  <c r="AF104" i="11"/>
  <c r="AE104" i="11"/>
  <c r="AD104" i="11"/>
  <c r="AC104" i="11"/>
  <c r="AB104" i="11"/>
  <c r="AA104" i="11"/>
  <c r="Z104" i="11"/>
  <c r="Y104" i="11"/>
  <c r="X104" i="11"/>
  <c r="W104" i="11"/>
  <c r="V104" i="11"/>
  <c r="U104" i="11"/>
  <c r="T104" i="11"/>
  <c r="S104" i="11"/>
  <c r="R104" i="11"/>
  <c r="Q104" i="11"/>
  <c r="P104" i="11"/>
  <c r="O104" i="11"/>
  <c r="N104" i="11"/>
  <c r="M104" i="11"/>
  <c r="L104" i="11"/>
  <c r="K104" i="11"/>
  <c r="J104" i="11"/>
  <c r="I104" i="11"/>
  <c r="G104" i="11"/>
  <c r="BF103" i="11"/>
  <c r="BE103" i="11"/>
  <c r="BD103" i="11"/>
  <c r="BC103" i="11"/>
  <c r="BB103" i="11"/>
  <c r="BA103" i="11"/>
  <c r="AZ103" i="11"/>
  <c r="AY103" i="11"/>
  <c r="AX103" i="11"/>
  <c r="AW103" i="11"/>
  <c r="AV103" i="11"/>
  <c r="AU103" i="11"/>
  <c r="AT103" i="11"/>
  <c r="AS103" i="11"/>
  <c r="AR103" i="11"/>
  <c r="AQ103" i="11"/>
  <c r="AP103" i="11"/>
  <c r="AO103" i="11"/>
  <c r="AN103" i="11"/>
  <c r="AM103" i="11"/>
  <c r="AL103" i="11"/>
  <c r="AK103" i="11"/>
  <c r="AJ103" i="11"/>
  <c r="AI103" i="11"/>
  <c r="AH103" i="11"/>
  <c r="AG103" i="11"/>
  <c r="AF103" i="11"/>
  <c r="AE103" i="11"/>
  <c r="AD103" i="11"/>
  <c r="AC103" i="11"/>
  <c r="AB103" i="11"/>
  <c r="AA103" i="11"/>
  <c r="Z103" i="11"/>
  <c r="Y103" i="11"/>
  <c r="X103" i="11"/>
  <c r="W103" i="11"/>
  <c r="V103" i="11"/>
  <c r="U103" i="11"/>
  <c r="T103" i="11"/>
  <c r="S103" i="11"/>
  <c r="R103" i="11"/>
  <c r="Q103" i="11"/>
  <c r="P103" i="11"/>
  <c r="O103" i="11"/>
  <c r="N103" i="11"/>
  <c r="M103" i="11"/>
  <c r="L103" i="11"/>
  <c r="K103" i="11"/>
  <c r="J103" i="11"/>
  <c r="I103" i="11"/>
  <c r="G103"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AH102" i="11"/>
  <c r="AG102" i="11"/>
  <c r="AF102" i="11"/>
  <c r="AE102" i="11"/>
  <c r="AD102" i="11"/>
  <c r="AC102" i="11"/>
  <c r="AB102" i="11"/>
  <c r="AA102" i="11"/>
  <c r="Z102" i="11"/>
  <c r="Y102" i="11"/>
  <c r="X102" i="11"/>
  <c r="W102" i="11"/>
  <c r="V102" i="11"/>
  <c r="U102" i="11"/>
  <c r="T102" i="11"/>
  <c r="S102" i="11"/>
  <c r="R102" i="11"/>
  <c r="Q102" i="11"/>
  <c r="P102" i="11"/>
  <c r="O102" i="11"/>
  <c r="N102" i="11"/>
  <c r="M102" i="11"/>
  <c r="L102" i="11"/>
  <c r="K102" i="11"/>
  <c r="J102" i="11"/>
  <c r="I102" i="11"/>
  <c r="G102" i="11"/>
  <c r="BF101" i="11"/>
  <c r="BE101" i="11"/>
  <c r="BD101" i="11"/>
  <c r="BC101"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AD101" i="11"/>
  <c r="AC101" i="11"/>
  <c r="AB101" i="11"/>
  <c r="AA101" i="11"/>
  <c r="Z101" i="11"/>
  <c r="Y101" i="11"/>
  <c r="X101" i="11"/>
  <c r="W101" i="11"/>
  <c r="V101" i="11"/>
  <c r="U101" i="11"/>
  <c r="T101" i="11"/>
  <c r="S101" i="11"/>
  <c r="R101" i="11"/>
  <c r="Q101" i="11"/>
  <c r="P101" i="11"/>
  <c r="O101" i="11"/>
  <c r="N101" i="11"/>
  <c r="M101" i="11"/>
  <c r="L101" i="11"/>
  <c r="K101" i="11"/>
  <c r="J101" i="11"/>
  <c r="I101" i="11"/>
  <c r="G101" i="11"/>
  <c r="BF100" i="11"/>
  <c r="BE100" i="11"/>
  <c r="BD100" i="11"/>
  <c r="BC100" i="11"/>
  <c r="BB100" i="11"/>
  <c r="BA100" i="11"/>
  <c r="AZ100" i="11"/>
  <c r="AY100" i="11"/>
  <c r="AX100"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BF99" i="11"/>
  <c r="BE99" i="11"/>
  <c r="BD99" i="11"/>
  <c r="BC99" i="11"/>
  <c r="BB99" i="11"/>
  <c r="BA99" i="11"/>
  <c r="AZ99" i="11"/>
  <c r="AY99" i="11"/>
  <c r="AX99"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U99" i="11"/>
  <c r="T99" i="11"/>
  <c r="S99" i="11"/>
  <c r="R99" i="11"/>
  <c r="Q99" i="11"/>
  <c r="P99" i="11"/>
  <c r="N99" i="11"/>
  <c r="L99" i="11"/>
  <c r="J99" i="11"/>
  <c r="I99" i="11"/>
  <c r="H99" i="11"/>
  <c r="G99"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N98" i="11"/>
  <c r="L98" i="11"/>
  <c r="J98" i="11"/>
  <c r="I98" i="11"/>
  <c r="G98"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N96" i="11"/>
  <c r="L96" i="11"/>
  <c r="J96" i="11"/>
  <c r="I96" i="11"/>
  <c r="H96" i="11"/>
  <c r="G96"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I95" i="11"/>
  <c r="G95"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G94"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I93" i="11"/>
  <c r="G93"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I92" i="11"/>
  <c r="G92"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G91"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I90" i="11"/>
  <c r="G90"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I89" i="11"/>
  <c r="G89"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P87" i="11"/>
  <c r="N87" i="11"/>
  <c r="L87" i="11"/>
  <c r="J87" i="11"/>
  <c r="I87" i="11"/>
  <c r="G87"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P86" i="11"/>
  <c r="N86" i="11"/>
  <c r="L86" i="11"/>
  <c r="J86" i="11"/>
  <c r="I86" i="11"/>
  <c r="H86" i="11"/>
  <c r="G86"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M83" i="11"/>
  <c r="K83" i="11"/>
  <c r="J83" i="11"/>
  <c r="I83" i="11"/>
  <c r="G83"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Q82" i="11"/>
  <c r="J82" i="11"/>
  <c r="I82" i="11"/>
  <c r="G82"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Q81" i="11"/>
  <c r="J81" i="11"/>
  <c r="I81" i="11"/>
  <c r="G81"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M80" i="11"/>
  <c r="K80" i="11"/>
  <c r="J80" i="11"/>
  <c r="I80" i="11"/>
  <c r="G80" i="11"/>
  <c r="BF79" i="11"/>
  <c r="BE79" i="11"/>
  <c r="BD79" i="11"/>
  <c r="BC79" i="11"/>
  <c r="BB79" i="11"/>
  <c r="BA79" i="11"/>
  <c r="AZ79" i="11"/>
  <c r="AY79" i="11"/>
  <c r="AX79" i="11"/>
  <c r="AW79" i="11"/>
  <c r="AV79" i="11"/>
  <c r="AU79" i="11"/>
  <c r="AT79" i="11"/>
  <c r="AS79" i="11"/>
  <c r="AR79" i="11"/>
  <c r="AQ79" i="11"/>
  <c r="AP79" i="11"/>
  <c r="AO79" i="11"/>
  <c r="AN79" i="11"/>
  <c r="AM79" i="11"/>
  <c r="AL79" i="11"/>
  <c r="AK79" i="11"/>
  <c r="AJ79" i="11"/>
  <c r="AI79" i="11"/>
  <c r="AH79" i="11"/>
  <c r="AG79" i="11"/>
  <c r="AF79" i="11"/>
  <c r="AE79" i="11"/>
  <c r="AD79" i="11"/>
  <c r="AC79" i="11"/>
  <c r="AB79" i="11"/>
  <c r="AA79" i="11"/>
  <c r="Z79" i="11"/>
  <c r="Y79" i="11"/>
  <c r="X79" i="11"/>
  <c r="W79" i="11"/>
  <c r="V79" i="11"/>
  <c r="U79" i="11"/>
  <c r="T79" i="11"/>
  <c r="S79" i="11"/>
  <c r="Q79" i="11"/>
  <c r="J79" i="11"/>
  <c r="I79" i="11"/>
  <c r="G79" i="11"/>
  <c r="BF78" i="11"/>
  <c r="BE78" i="11"/>
  <c r="BD78" i="11"/>
  <c r="BC78" i="11"/>
  <c r="BB78" i="11"/>
  <c r="BA78" i="11"/>
  <c r="AZ78" i="11"/>
  <c r="AY78" i="11"/>
  <c r="AX78" i="11"/>
  <c r="AW78" i="11"/>
  <c r="AV78" i="11"/>
  <c r="AU78" i="11"/>
  <c r="AT78" i="11"/>
  <c r="AS78" i="11"/>
  <c r="AR78" i="11"/>
  <c r="AQ78" i="11"/>
  <c r="AP78" i="11"/>
  <c r="AO78" i="11"/>
  <c r="AN78" i="11"/>
  <c r="AM78" i="11"/>
  <c r="AL78" i="11"/>
  <c r="AK78" i="11"/>
  <c r="AJ78" i="11"/>
  <c r="AI78" i="11"/>
  <c r="AH78" i="11"/>
  <c r="AG78" i="11"/>
  <c r="AF78" i="11"/>
  <c r="AE78" i="11"/>
  <c r="AD78" i="11"/>
  <c r="AC78" i="11"/>
  <c r="AB78" i="11"/>
  <c r="AA78" i="11"/>
  <c r="Z78" i="11"/>
  <c r="Y78" i="11"/>
  <c r="X78" i="11"/>
  <c r="W78" i="11"/>
  <c r="V78" i="11"/>
  <c r="U78" i="11"/>
  <c r="T78" i="11"/>
  <c r="S78" i="11"/>
  <c r="Q78" i="11"/>
  <c r="J78" i="11"/>
  <c r="I78" i="11"/>
  <c r="G78" i="11"/>
  <c r="J77" i="11"/>
  <c r="G77" i="11"/>
  <c r="BF76" i="11"/>
  <c r="BE76" i="11"/>
  <c r="BD76" i="11"/>
  <c r="BC76" i="11"/>
  <c r="BB76" i="11"/>
  <c r="BA76" i="11"/>
  <c r="AZ76" i="11"/>
  <c r="AY76" i="11"/>
  <c r="AX76" i="11"/>
  <c r="AW76" i="11"/>
  <c r="AV76" i="11"/>
  <c r="AU76" i="11"/>
  <c r="AT76" i="11"/>
  <c r="AS76" i="11"/>
  <c r="AR76" i="11"/>
  <c r="AQ76" i="11"/>
  <c r="AP76" i="11"/>
  <c r="AO76" i="11"/>
  <c r="AN76" i="11"/>
  <c r="AM76" i="11"/>
  <c r="AL76" i="11"/>
  <c r="AK76" i="11"/>
  <c r="AJ76" i="11"/>
  <c r="AI76" i="11"/>
  <c r="AH76" i="11"/>
  <c r="AG76" i="11"/>
  <c r="AF76" i="11"/>
  <c r="AE76" i="11"/>
  <c r="AD76" i="11"/>
  <c r="AC76" i="11"/>
  <c r="AB76" i="11"/>
  <c r="AA76" i="11"/>
  <c r="Z76" i="11"/>
  <c r="Y76" i="11"/>
  <c r="X76" i="11"/>
  <c r="W76" i="11"/>
  <c r="V76" i="11"/>
  <c r="U76" i="11"/>
  <c r="T76" i="11"/>
  <c r="S76" i="11"/>
  <c r="Q76" i="11"/>
  <c r="J76" i="11"/>
  <c r="I76" i="11"/>
  <c r="G76"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Q75" i="11"/>
  <c r="J75" i="11"/>
  <c r="I75" i="11"/>
  <c r="G75" i="11"/>
  <c r="BF74" i="11"/>
  <c r="BE74" i="11"/>
  <c r="BD74" i="11"/>
  <c r="BC74" i="11"/>
  <c r="BB74" i="11"/>
  <c r="BA74" i="11"/>
  <c r="AZ74" i="11"/>
  <c r="AY74" i="11"/>
  <c r="AX74" i="11"/>
  <c r="AW74" i="11"/>
  <c r="AV74" i="11"/>
  <c r="AU74" i="11"/>
  <c r="AT74" i="11"/>
  <c r="AS74" i="11"/>
  <c r="AR74" i="11"/>
  <c r="AQ74" i="11"/>
  <c r="AP74" i="11"/>
  <c r="AO74" i="11"/>
  <c r="AN74" i="11"/>
  <c r="AM74" i="11"/>
  <c r="AL74" i="11"/>
  <c r="AK74" i="11"/>
  <c r="AJ74" i="11"/>
  <c r="AI74" i="11"/>
  <c r="AH74" i="11"/>
  <c r="AG74" i="11"/>
  <c r="AF74" i="11"/>
  <c r="AE74" i="11"/>
  <c r="AD74" i="11"/>
  <c r="AC74" i="11"/>
  <c r="AB74" i="11"/>
  <c r="AA74" i="11"/>
  <c r="Z74" i="11"/>
  <c r="Y74" i="11"/>
  <c r="X74" i="11"/>
  <c r="W74" i="11"/>
  <c r="V74" i="11"/>
  <c r="U74" i="11"/>
  <c r="T74" i="11"/>
  <c r="S74" i="11"/>
  <c r="Q74" i="11"/>
  <c r="J74" i="11"/>
  <c r="I74" i="11"/>
  <c r="G74" i="11"/>
  <c r="BF73" i="11"/>
  <c r="BE73" i="11"/>
  <c r="BD73" i="11"/>
  <c r="BC73" i="11"/>
  <c r="BB73" i="11"/>
  <c r="BA73" i="11"/>
  <c r="AZ73" i="11"/>
  <c r="AY73" i="11"/>
  <c r="AX73" i="11"/>
  <c r="AW73" i="11"/>
  <c r="AV73" i="11"/>
  <c r="AU73" i="11"/>
  <c r="AT73" i="11"/>
  <c r="AS73" i="11"/>
  <c r="AR73" i="11"/>
  <c r="AQ73" i="11"/>
  <c r="AP73" i="11"/>
  <c r="AO73" i="11"/>
  <c r="AN73" i="11"/>
  <c r="AM73" i="11"/>
  <c r="AL73" i="11"/>
  <c r="AK73" i="11"/>
  <c r="AJ73" i="11"/>
  <c r="AI73" i="11"/>
  <c r="AH73" i="11"/>
  <c r="AG73" i="11"/>
  <c r="AF73"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BF72" i="11"/>
  <c r="BE72" i="11"/>
  <c r="BD72" i="11"/>
  <c r="BC72"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AC72" i="11"/>
  <c r="AA72" i="11"/>
  <c r="Y72" i="11"/>
  <c r="W72" i="11"/>
  <c r="U72" i="11"/>
  <c r="S72" i="11"/>
  <c r="Q72" i="11"/>
  <c r="O72" i="11"/>
  <c r="M72" i="11"/>
  <c r="K72" i="11"/>
  <c r="I72" i="11"/>
  <c r="G72" i="11"/>
  <c r="BF71" i="11"/>
  <c r="BE71" i="11"/>
  <c r="BD71" i="11"/>
  <c r="BC71" i="11"/>
  <c r="BB71" i="11"/>
  <c r="BA71" i="11"/>
  <c r="AZ71" i="11"/>
  <c r="AY71" i="11"/>
  <c r="AX71" i="11"/>
  <c r="AW71" i="11"/>
  <c r="AV71" i="11"/>
  <c r="AU71" i="11"/>
  <c r="AT71" i="11"/>
  <c r="AS71" i="11"/>
  <c r="AR71" i="11"/>
  <c r="AQ71" i="11"/>
  <c r="AP71" i="11"/>
  <c r="AO71" i="11"/>
  <c r="AN71" i="11"/>
  <c r="AM71" i="11"/>
  <c r="AL71" i="11"/>
  <c r="AK71" i="11"/>
  <c r="AJ71" i="11"/>
  <c r="AI71" i="11"/>
  <c r="AH71" i="11"/>
  <c r="AG71" i="11"/>
  <c r="AF71" i="11"/>
  <c r="AE71" i="11"/>
  <c r="AD71" i="11"/>
  <c r="AC71" i="11"/>
  <c r="AB71" i="11"/>
  <c r="AA71" i="11"/>
  <c r="Z71" i="11"/>
  <c r="Y71" i="11"/>
  <c r="X71" i="11"/>
  <c r="W71" i="11"/>
  <c r="V71" i="11"/>
  <c r="U71" i="11"/>
  <c r="T71" i="11"/>
  <c r="S71" i="11"/>
  <c r="R71" i="11"/>
  <c r="Q71" i="11"/>
  <c r="I71" i="11"/>
  <c r="G71" i="11"/>
  <c r="BF70" i="11"/>
  <c r="BE70" i="11"/>
  <c r="BD70" i="11"/>
  <c r="BC70" i="11"/>
  <c r="BB70" i="11"/>
  <c r="BA70" i="11"/>
  <c r="AZ70" i="11"/>
  <c r="AY70" i="11"/>
  <c r="AX70" i="11"/>
  <c r="AW70" i="11"/>
  <c r="AV70" i="11"/>
  <c r="AU70" i="11"/>
  <c r="AT70" i="11"/>
  <c r="AS70" i="11"/>
  <c r="AR70" i="11"/>
  <c r="AQ70" i="11"/>
  <c r="AP70" i="11"/>
  <c r="AO70" i="11"/>
  <c r="AN70" i="11"/>
  <c r="AM70" i="11"/>
  <c r="AL70" i="11"/>
  <c r="AK70" i="11"/>
  <c r="AJ70" i="11"/>
  <c r="AI70" i="11"/>
  <c r="AH70" i="11"/>
  <c r="AG70" i="11"/>
  <c r="AF70" i="11"/>
  <c r="AE70" i="11"/>
  <c r="AD70" i="11"/>
  <c r="AC70" i="11"/>
  <c r="AB70" i="11"/>
  <c r="AA70" i="11"/>
  <c r="Z70" i="11"/>
  <c r="Y70" i="11"/>
  <c r="X70" i="11"/>
  <c r="W70" i="11"/>
  <c r="V70" i="11"/>
  <c r="U70" i="11"/>
  <c r="T70" i="11"/>
  <c r="S70" i="11"/>
  <c r="R70" i="11"/>
  <c r="Q70" i="11"/>
  <c r="I70" i="11"/>
  <c r="G70" i="11"/>
  <c r="BF69" i="11"/>
  <c r="BE69" i="11"/>
  <c r="BD69" i="11"/>
  <c r="BC69" i="11"/>
  <c r="BB69" i="11"/>
  <c r="BA69" i="11"/>
  <c r="AZ69" i="11"/>
  <c r="AY69" i="11"/>
  <c r="AX69" i="11"/>
  <c r="AW69" i="11"/>
  <c r="AV69" i="11"/>
  <c r="AU69" i="11"/>
  <c r="AT69" i="11"/>
  <c r="AS69" i="11"/>
  <c r="AR69" i="11"/>
  <c r="AQ69" i="11"/>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C68" i="11"/>
  <c r="AA68" i="11"/>
  <c r="Y68" i="11"/>
  <c r="W68" i="11"/>
  <c r="U68" i="11"/>
  <c r="S68" i="11"/>
  <c r="Q68" i="11"/>
  <c r="O68" i="11"/>
  <c r="M68" i="11"/>
  <c r="K68" i="11"/>
  <c r="I68" i="11"/>
  <c r="G68" i="11"/>
  <c r="BF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I67" i="11"/>
  <c r="G67" i="11"/>
  <c r="BF66" i="11"/>
  <c r="BE66" i="11"/>
  <c r="BD66" i="11"/>
  <c r="BC66" i="11"/>
  <c r="BB66" i="11"/>
  <c r="BA66" i="11"/>
  <c r="AZ66" i="11"/>
  <c r="AY66" i="11"/>
  <c r="AX66" i="11"/>
  <c r="AW66" i="11"/>
  <c r="AV66" i="11"/>
  <c r="AU66" i="11"/>
  <c r="AT66" i="11"/>
  <c r="AS66" i="11"/>
  <c r="AR66" i="11"/>
  <c r="AQ66"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I66" i="11"/>
  <c r="G66" i="11"/>
  <c r="BF65" i="11"/>
  <c r="BE65" i="11"/>
  <c r="BD65" i="11"/>
  <c r="BC65" i="11"/>
  <c r="BB65" i="11"/>
  <c r="BA65" i="11"/>
  <c r="AZ65" i="11"/>
  <c r="AY65" i="11"/>
  <c r="AX65" i="11"/>
  <c r="AW65" i="11"/>
  <c r="AV65" i="11"/>
  <c r="AU65" i="11"/>
  <c r="AT65" i="11"/>
  <c r="AS65" i="11"/>
  <c r="AR65" i="11"/>
  <c r="AQ65" i="11"/>
  <c r="AP65" i="11"/>
  <c r="AO65" i="11"/>
  <c r="AN65" i="11"/>
  <c r="AM65" i="11"/>
  <c r="AL65" i="11"/>
  <c r="AK65" i="11"/>
  <c r="AJ65" i="11"/>
  <c r="AI65" i="11"/>
  <c r="AH65" i="11"/>
  <c r="AG65" i="11"/>
  <c r="AF65" i="11"/>
  <c r="AE65" i="11"/>
  <c r="AD65" i="11"/>
  <c r="AC65" i="11"/>
  <c r="AB65" i="11"/>
  <c r="AA65" i="11"/>
  <c r="Z65" i="11"/>
  <c r="Y65" i="11"/>
  <c r="X65" i="11"/>
  <c r="W65" i="11"/>
  <c r="V65" i="11"/>
  <c r="U65" i="11"/>
  <c r="T65" i="11"/>
  <c r="S65" i="11"/>
  <c r="I65" i="11"/>
  <c r="G65"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I64" i="11"/>
  <c r="G64" i="11"/>
  <c r="BF62" i="11"/>
  <c r="BE62" i="11"/>
  <c r="BD62" i="11"/>
  <c r="BC62" i="11"/>
  <c r="BB62" i="11"/>
  <c r="BA62" i="11"/>
  <c r="AZ62" i="11"/>
  <c r="AY62" i="11"/>
  <c r="AX62" i="11"/>
  <c r="AW62" i="11"/>
  <c r="AV62" i="11"/>
  <c r="AU62" i="11"/>
  <c r="AT62" i="11"/>
  <c r="AS62" i="11"/>
  <c r="AR62" i="11"/>
  <c r="AQ62" i="11"/>
  <c r="AP62" i="11"/>
  <c r="AO62" i="11"/>
  <c r="AN62" i="11"/>
  <c r="AM62" i="11"/>
  <c r="AL62" i="11"/>
  <c r="AK62" i="11"/>
  <c r="AJ62" i="11"/>
  <c r="AI62" i="11"/>
  <c r="AH62" i="11"/>
  <c r="AG62" i="11"/>
  <c r="AF62" i="11"/>
  <c r="AE62" i="11"/>
  <c r="AD62" i="11"/>
  <c r="AC62" i="11"/>
  <c r="AB62" i="11"/>
  <c r="AA62" i="11"/>
  <c r="Z62" i="11"/>
  <c r="Y62" i="11"/>
  <c r="X62" i="11"/>
  <c r="W62" i="11"/>
  <c r="V62" i="11"/>
  <c r="U62" i="11"/>
  <c r="T62" i="11"/>
  <c r="S62" i="11"/>
  <c r="R62" i="11"/>
  <c r="Q62" i="11"/>
  <c r="I62" i="11"/>
  <c r="G62" i="11"/>
  <c r="BF61" i="11"/>
  <c r="BE61" i="11"/>
  <c r="BD61" i="11"/>
  <c r="BC61" i="11"/>
  <c r="BB61" i="11"/>
  <c r="BA61" i="11"/>
  <c r="AZ61" i="11"/>
  <c r="AY61" i="11"/>
  <c r="AX61" i="11"/>
  <c r="AW61" i="11"/>
  <c r="AV61" i="11"/>
  <c r="AU61" i="11"/>
  <c r="AT61" i="11"/>
  <c r="AS61" i="11"/>
  <c r="AR61" i="11"/>
  <c r="AQ61" i="11"/>
  <c r="AP61" i="11"/>
  <c r="AO61" i="11"/>
  <c r="AN61" i="11"/>
  <c r="AM61" i="11"/>
  <c r="AL61" i="11"/>
  <c r="AK61" i="11"/>
  <c r="AJ61" i="11"/>
  <c r="AI61" i="11"/>
  <c r="AH61" i="11"/>
  <c r="AG61" i="11"/>
  <c r="AF61" i="11"/>
  <c r="AE61" i="11"/>
  <c r="AD61" i="11"/>
  <c r="AC61" i="11"/>
  <c r="AB61" i="11"/>
  <c r="AA61" i="11"/>
  <c r="Z61" i="11"/>
  <c r="Y61" i="11"/>
  <c r="X61" i="11"/>
  <c r="W61" i="11"/>
  <c r="V61" i="11"/>
  <c r="U61" i="11"/>
  <c r="T61" i="11"/>
  <c r="S61" i="11"/>
  <c r="R61" i="11"/>
  <c r="Q61" i="11"/>
  <c r="I61" i="11"/>
  <c r="G61" i="11"/>
  <c r="BF60" i="11"/>
  <c r="BE60" i="11"/>
  <c r="BD60" i="11"/>
  <c r="BC60" i="11"/>
  <c r="BB60" i="11"/>
  <c r="BA60" i="11"/>
  <c r="AZ60" i="11"/>
  <c r="AY60" i="11"/>
  <c r="AX60" i="11"/>
  <c r="AW60" i="11"/>
  <c r="AV60" i="11"/>
  <c r="AU60" i="11"/>
  <c r="AT60" i="11"/>
  <c r="AS60" i="11"/>
  <c r="AR60" i="11"/>
  <c r="AQ60" i="11"/>
  <c r="AP60" i="11"/>
  <c r="AO60" i="11"/>
  <c r="AN60" i="11"/>
  <c r="AM60" i="11"/>
  <c r="AL60" i="11"/>
  <c r="AK60" i="11"/>
  <c r="AJ60" i="11"/>
  <c r="AI60" i="11"/>
  <c r="AH60" i="11"/>
  <c r="AG60" i="11"/>
  <c r="AF60" i="11"/>
  <c r="AE60" i="11"/>
  <c r="AD60" i="11"/>
  <c r="AC60" i="11"/>
  <c r="AB60" i="11"/>
  <c r="AA60" i="11"/>
  <c r="Z60" i="11"/>
  <c r="Y60" i="11"/>
  <c r="X60" i="11"/>
  <c r="W60" i="11"/>
  <c r="V60" i="11"/>
  <c r="U60" i="11"/>
  <c r="T60" i="11"/>
  <c r="S60" i="11"/>
  <c r="R60" i="11"/>
  <c r="Q60" i="11"/>
  <c r="J60" i="11"/>
  <c r="I60" i="11"/>
  <c r="G60"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I59" i="11"/>
  <c r="G59" i="11"/>
  <c r="BF58" i="11"/>
  <c r="BE58" i="11"/>
  <c r="BD58" i="11"/>
  <c r="BC58" i="11"/>
  <c r="BB58" i="11"/>
  <c r="BA58" i="11"/>
  <c r="AZ58" i="11"/>
  <c r="AY58" i="11"/>
  <c r="AX58" i="11"/>
  <c r="AW58" i="11"/>
  <c r="AV58" i="11"/>
  <c r="AU58" i="11"/>
  <c r="AT58" i="11"/>
  <c r="AS58" i="11"/>
  <c r="AR58" i="11"/>
  <c r="AQ58" i="11"/>
  <c r="AP58" i="11"/>
  <c r="AO58" i="11"/>
  <c r="AN58" i="11"/>
  <c r="AM58" i="11"/>
  <c r="AL58" i="11"/>
  <c r="AK58" i="11"/>
  <c r="AJ58" i="11"/>
  <c r="AI58" i="11"/>
  <c r="AH58" i="11"/>
  <c r="AG58" i="11"/>
  <c r="AF58" i="11"/>
  <c r="AE58" i="11"/>
  <c r="AD58" i="11"/>
  <c r="AC58" i="11"/>
  <c r="AB58" i="11"/>
  <c r="AA58" i="11"/>
  <c r="Z58" i="11"/>
  <c r="Y58" i="11"/>
  <c r="X58" i="11"/>
  <c r="W58" i="11"/>
  <c r="V58" i="11"/>
  <c r="U58" i="11"/>
  <c r="T58" i="11"/>
  <c r="S58" i="11"/>
  <c r="R58" i="11"/>
  <c r="Q58" i="11"/>
  <c r="I58" i="11"/>
  <c r="G58"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N56" i="11"/>
  <c r="L56" i="11"/>
  <c r="J56" i="11"/>
  <c r="I56" i="11"/>
  <c r="G56" i="11"/>
  <c r="BF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W54" i="11"/>
  <c r="V54" i="11"/>
  <c r="U54" i="11"/>
  <c r="T54" i="11"/>
  <c r="S54" i="11"/>
  <c r="R54" i="11"/>
  <c r="Q54" i="11"/>
  <c r="P54" i="11"/>
  <c r="N54" i="11"/>
  <c r="L54" i="11"/>
  <c r="J54" i="11"/>
  <c r="I54" i="11"/>
  <c r="H54" i="11"/>
  <c r="G54"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I53" i="11"/>
  <c r="G53" i="11"/>
  <c r="BF52" i="11"/>
  <c r="BE52" i="11"/>
  <c r="BD52" i="11"/>
  <c r="BC52"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I52" i="11"/>
  <c r="G52"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I51" i="11"/>
  <c r="G51" i="11"/>
  <c r="J50" i="11"/>
  <c r="I50" i="11"/>
  <c r="H50" i="11"/>
  <c r="G50"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N49" i="11"/>
  <c r="L49" i="11"/>
  <c r="J49" i="11"/>
  <c r="I49" i="11"/>
  <c r="G49"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BF46" i="11"/>
  <c r="BE46" i="11"/>
  <c r="BD46" i="11"/>
  <c r="BC46" i="11"/>
  <c r="BB46" i="11"/>
  <c r="BA46" i="11"/>
  <c r="AZ46" i="11"/>
  <c r="AY46" i="11"/>
  <c r="AX46"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U46" i="11"/>
  <c r="I46" i="11"/>
  <c r="G46"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I45" i="11"/>
  <c r="G45"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BF43" i="11"/>
  <c r="BE43" i="11"/>
  <c r="BD43" i="11"/>
  <c r="BC43" i="11"/>
  <c r="BB43" i="11"/>
  <c r="BA43" i="11"/>
  <c r="AZ43" i="11"/>
  <c r="AY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U43" i="11"/>
  <c r="I43" i="11"/>
  <c r="G43"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I42" i="11"/>
  <c r="G42" i="11"/>
  <c r="J41" i="11"/>
  <c r="I41" i="11"/>
  <c r="G41" i="11"/>
  <c r="J40" i="11"/>
  <c r="I40" i="11"/>
  <c r="G40" i="11"/>
  <c r="J39" i="11"/>
  <c r="I39" i="11"/>
  <c r="H39" i="11"/>
  <c r="G39" i="11"/>
  <c r="J38" i="11"/>
  <c r="I38" i="11"/>
  <c r="G38" i="11"/>
  <c r="L36" i="11"/>
  <c r="K36" i="11"/>
  <c r="J36" i="11"/>
  <c r="L35" i="11"/>
  <c r="K35" i="11"/>
  <c r="J35" i="11"/>
  <c r="L34" i="11"/>
  <c r="K34" i="11"/>
  <c r="J34" i="11"/>
  <c r="L33" i="11"/>
  <c r="K33" i="11"/>
  <c r="J33" i="11"/>
  <c r="L32" i="11"/>
  <c r="K32" i="11"/>
  <c r="J32" i="11"/>
  <c r="L31" i="11"/>
  <c r="K31" i="11"/>
  <c r="J31" i="11"/>
  <c r="L30" i="11"/>
  <c r="K30" i="11"/>
  <c r="J30" i="11"/>
  <c r="L29" i="11"/>
  <c r="K29" i="11"/>
  <c r="J29" i="11"/>
  <c r="L28" i="11"/>
  <c r="K28" i="11"/>
  <c r="J28" i="11"/>
  <c r="L27" i="11"/>
  <c r="K27" i="11"/>
  <c r="J27" i="11"/>
  <c r="L26" i="11"/>
  <c r="K26" i="11"/>
  <c r="J26" i="11"/>
  <c r="L25" i="11"/>
  <c r="K25" i="11"/>
  <c r="J25" i="11"/>
  <c r="L24" i="11"/>
  <c r="K24" i="11"/>
  <c r="J24" i="11"/>
  <c r="J22" i="11"/>
  <c r="J21" i="11"/>
  <c r="J20" i="11"/>
  <c r="J19" i="11"/>
  <c r="J18" i="11"/>
  <c r="J17" i="11"/>
  <c r="J14" i="11"/>
  <c r="J11" i="11"/>
  <c r="J7" i="11"/>
  <c r="AY29" i="54" l="1"/>
  <c r="AP115" i="11" s="1"/>
  <c r="BE29" i="54"/>
  <c r="AP119" i="11" s="1"/>
  <c r="AA58" i="94"/>
  <c r="S58" i="94"/>
  <c r="V23" i="95" s="1"/>
  <c r="W57" i="94"/>
  <c r="AA52" i="94"/>
  <c r="V17" i="97" s="1"/>
  <c r="S58" i="79"/>
  <c r="O57" i="79"/>
  <c r="V22" i="87" s="1"/>
  <c r="W58" i="94"/>
  <c r="AA57" i="94"/>
  <c r="S57" i="94"/>
  <c r="V22" i="95" s="1"/>
  <c r="S52" i="94"/>
  <c r="V17" i="95" s="1"/>
  <c r="O58" i="79"/>
  <c r="V23" i="87" s="1"/>
  <c r="S57" i="79"/>
  <c r="O52" i="79"/>
  <c r="V17" i="87" s="1"/>
  <c r="W52" i="94"/>
  <c r="V17" i="96" s="1"/>
  <c r="S52" i="79"/>
  <c r="I52" i="79"/>
  <c r="M52" i="94"/>
  <c r="E52" i="94"/>
  <c r="Q17" i="95" s="1"/>
  <c r="E52" i="79"/>
  <c r="Q17" i="87" s="1"/>
  <c r="I52" i="94"/>
  <c r="U18" i="94"/>
  <c r="L17" i="95" s="1"/>
  <c r="Y18" i="94"/>
  <c r="Q18" i="79"/>
  <c r="L17" i="87" s="1"/>
  <c r="AC18" i="94"/>
  <c r="U18" i="79"/>
  <c r="D52" i="88"/>
  <c r="D49" i="88"/>
  <c r="M58" i="11"/>
  <c r="D53" i="88"/>
  <c r="D51" i="88"/>
  <c r="D50" i="88"/>
  <c r="K59" i="11"/>
  <c r="P18" i="78"/>
  <c r="L16" i="52"/>
  <c r="V111" i="11"/>
  <c r="AR10" i="54"/>
  <c r="H111" i="11" s="1"/>
  <c r="Z111" i="11"/>
  <c r="V124" i="11"/>
  <c r="P42" i="85"/>
  <c r="Q38" i="85"/>
  <c r="P38" i="85"/>
  <c r="P35" i="85"/>
  <c r="P36" i="85"/>
  <c r="Q36" i="85"/>
  <c r="Q44" i="85"/>
  <c r="D15" i="55" s="1"/>
  <c r="N129" i="11" s="1"/>
  <c r="Q40" i="85"/>
  <c r="Q42" i="85"/>
  <c r="J10" i="11"/>
  <c r="F43" i="82"/>
  <c r="K16" i="70"/>
  <c r="P67" i="11" s="1"/>
  <c r="J16" i="70"/>
  <c r="Q37" i="85"/>
  <c r="Q39" i="85" s="1"/>
  <c r="W15" i="55"/>
  <c r="M139" i="11" s="1"/>
  <c r="K15" i="55"/>
  <c r="M133" i="11" s="1"/>
  <c r="C15" i="55"/>
  <c r="M129" i="11" s="1"/>
  <c r="P37" i="85"/>
  <c r="P40" i="85"/>
  <c r="P44" i="85"/>
  <c r="D14" i="55" s="1"/>
  <c r="D13" i="55" s="1"/>
  <c r="C14" i="55"/>
  <c r="K129" i="11" s="1"/>
  <c r="W14" i="55"/>
  <c r="K139" i="11" s="1"/>
  <c r="K14" i="55"/>
  <c r="K133" i="11" s="1"/>
  <c r="P41" i="85"/>
  <c r="P43" i="85"/>
  <c r="P45" i="85"/>
  <c r="Q41" i="85"/>
  <c r="Q43" i="85"/>
  <c r="Q45" i="85"/>
  <c r="M44" i="82"/>
  <c r="J70" i="94"/>
  <c r="J70" i="79"/>
  <c r="N70" i="94"/>
  <c r="F70" i="94"/>
  <c r="F70" i="79"/>
  <c r="AO10" i="54"/>
  <c r="H109" i="11" s="1"/>
  <c r="AN109" i="11"/>
  <c r="BC10" i="54"/>
  <c r="H118" i="11" s="1"/>
  <c r="N115" i="11"/>
  <c r="AS10" i="54"/>
  <c r="H112" i="11" s="1"/>
  <c r="V112" i="11"/>
  <c r="AD119" i="11"/>
  <c r="AL118" i="11"/>
  <c r="BF10" i="54"/>
  <c r="H120" i="11" s="1"/>
  <c r="AZ10" i="54"/>
  <c r="H116" i="11" s="1"/>
  <c r="N71" i="94"/>
  <c r="F71" i="79"/>
  <c r="F71" i="94"/>
  <c r="U60" i="94" s="1"/>
  <c r="X25" i="95" s="1"/>
  <c r="J71" i="94"/>
  <c r="J71" i="79"/>
  <c r="R16" i="70"/>
  <c r="S16" i="70"/>
  <c r="P71" i="11" s="1"/>
  <c r="N16" i="51"/>
  <c r="AP113" i="11"/>
  <c r="D41" i="88"/>
  <c r="BB10" i="54"/>
  <c r="H117" i="11" s="1"/>
  <c r="AV10" i="54"/>
  <c r="H114" i="11" s="1"/>
  <c r="AP10" i="54"/>
  <c r="H110" i="11" s="1"/>
  <c r="D39" i="88"/>
  <c r="D37" i="88"/>
  <c r="D44" i="88"/>
  <c r="J26" i="80"/>
  <c r="Y15" i="70" s="1"/>
  <c r="M74" i="11" s="1"/>
  <c r="D54" i="88"/>
  <c r="D42" i="88"/>
  <c r="AH17" i="70"/>
  <c r="R79" i="11" s="1"/>
  <c r="AF14" i="70"/>
  <c r="AF16" i="70" s="1"/>
  <c r="AG17" i="70"/>
  <c r="R78" i="11" s="1"/>
  <c r="AJ14" i="70"/>
  <c r="AJ15" i="70"/>
  <c r="N80" i="11" s="1"/>
  <c r="AL14" i="70"/>
  <c r="G29" i="78"/>
  <c r="S14" i="78"/>
  <c r="S16" i="78"/>
  <c r="K37" i="80"/>
  <c r="AN17" i="70" s="1"/>
  <c r="R82" i="11" s="1"/>
  <c r="H19" i="80"/>
  <c r="K18" i="80"/>
  <c r="J21" i="80"/>
  <c r="I19" i="80"/>
  <c r="K26" i="80"/>
  <c r="K11" i="80"/>
  <c r="K12" i="80"/>
  <c r="K24" i="80"/>
  <c r="L31" i="78"/>
  <c r="M31" i="78" s="1"/>
  <c r="K76" i="11"/>
  <c r="I77" i="11"/>
  <c r="Q14" i="78"/>
  <c r="S15" i="78"/>
  <c r="S17" i="78"/>
  <c r="Z15" i="88"/>
  <c r="AA15" i="88" s="1"/>
  <c r="Q15" i="55" s="1"/>
  <c r="D47" i="88"/>
  <c r="D38" i="88"/>
  <c r="D45" i="88"/>
  <c r="D43" i="88"/>
  <c r="D48" i="88"/>
  <c r="D46" i="88"/>
  <c r="D40" i="88"/>
  <c r="D16" i="70"/>
  <c r="P16" i="51"/>
  <c r="O54" i="11" s="1"/>
  <c r="Y16" i="70"/>
  <c r="M11" i="80"/>
  <c r="O62" i="11"/>
  <c r="Y14" i="70"/>
  <c r="K74" i="11" s="1"/>
  <c r="P14" i="51"/>
  <c r="K54" i="11" s="1"/>
  <c r="E26" i="83"/>
  <c r="AR25" i="84" s="1"/>
  <c r="B53" i="81"/>
  <c r="K25" i="83"/>
  <c r="K24" i="83"/>
  <c r="S37" i="82"/>
  <c r="E16" i="54" s="1"/>
  <c r="A13" i="81"/>
  <c r="E62" i="81" s="1"/>
  <c r="F62" i="81" s="1"/>
  <c r="Y13" i="81"/>
  <c r="M18" i="81"/>
  <c r="E12" i="83"/>
  <c r="L24" i="83"/>
  <c r="D16" i="82"/>
  <c r="D21" i="82"/>
  <c r="Y16" i="81"/>
  <c r="Y22" i="81"/>
  <c r="Y23" i="81"/>
  <c r="A24" i="81"/>
  <c r="M28" i="81"/>
  <c r="M29" i="81"/>
  <c r="Y15" i="81"/>
  <c r="M17" i="81"/>
  <c r="M24" i="81"/>
  <c r="M31" i="81"/>
  <c r="L27" i="83"/>
  <c r="L28" i="83"/>
  <c r="D14" i="82"/>
  <c r="D19" i="82"/>
  <c r="D22" i="82"/>
  <c r="M13" i="81"/>
  <c r="M14" i="81"/>
  <c r="A14" i="81"/>
  <c r="M16" i="81"/>
  <c r="Y19" i="81"/>
  <c r="M23" i="81"/>
  <c r="Y26" i="81"/>
  <c r="Y27" i="81"/>
  <c r="Y31" i="81"/>
  <c r="R38" i="82"/>
  <c r="S38" i="82"/>
  <c r="H53" i="82"/>
  <c r="L53" i="82" s="1"/>
  <c r="AA60" i="94" s="1"/>
  <c r="H51" i="82"/>
  <c r="L51" i="82" s="1"/>
  <c r="U20" i="70" s="1"/>
  <c r="X72" i="11" s="1"/>
  <c r="H49" i="82"/>
  <c r="L49" i="82" s="1"/>
  <c r="U18" i="70" s="1"/>
  <c r="T72" i="11" s="1"/>
  <c r="H47" i="82"/>
  <c r="L47" i="82" s="1"/>
  <c r="U16" i="70" s="1"/>
  <c r="H45" i="82"/>
  <c r="L45" i="82" s="1"/>
  <c r="V18" i="94" s="1"/>
  <c r="L63" i="82"/>
  <c r="H42" i="82" s="1"/>
  <c r="L42" i="82" s="1"/>
  <c r="H48" i="82"/>
  <c r="L48" i="82" s="1"/>
  <c r="U17" i="70" s="1"/>
  <c r="R72" i="11" s="1"/>
  <c r="H52" i="82"/>
  <c r="L52" i="82" s="1"/>
  <c r="U21" i="70" s="1"/>
  <c r="Z72" i="11" s="1"/>
  <c r="R37" i="82"/>
  <c r="D16" i="54" s="1"/>
  <c r="H54" i="82"/>
  <c r="L54" i="82" s="1"/>
  <c r="U23" i="70" s="1"/>
  <c r="AD72" i="11" s="1"/>
  <c r="F55" i="81"/>
  <c r="F45" i="81"/>
  <c r="Y14" i="81"/>
  <c r="B41" i="81"/>
  <c r="A18" i="81"/>
  <c r="B42" i="81"/>
  <c r="A19" i="81"/>
  <c r="A25" i="81"/>
  <c r="B48" i="81"/>
  <c r="B49" i="81"/>
  <c r="A26" i="81"/>
  <c r="H46" i="82"/>
  <c r="L46" i="82" s="1"/>
  <c r="U15" i="70" s="1"/>
  <c r="N72" i="11" s="1"/>
  <c r="H50" i="82"/>
  <c r="L50" i="82" s="1"/>
  <c r="U19" i="70" s="1"/>
  <c r="V72" i="11" s="1"/>
  <c r="J37" i="80"/>
  <c r="AP15" i="70" s="1"/>
  <c r="N83" i="11" s="1"/>
  <c r="B44" i="81"/>
  <c r="A21" i="81"/>
  <c r="A22" i="81"/>
  <c r="B45" i="81"/>
  <c r="K31" i="83"/>
  <c r="C24" i="82"/>
  <c r="B43" i="82" s="1"/>
  <c r="I43" i="82" s="1"/>
  <c r="H43" i="82" s="1"/>
  <c r="K23" i="82"/>
  <c r="K21" i="82"/>
  <c r="K19" i="82"/>
  <c r="K17" i="82"/>
  <c r="K15" i="82"/>
  <c r="F57" i="81"/>
  <c r="F41" i="81"/>
  <c r="B38" i="81"/>
  <c r="M15" i="81"/>
  <c r="M19" i="81"/>
  <c r="Y20" i="81"/>
  <c r="Y21" i="81"/>
  <c r="M26" i="81"/>
  <c r="A27" i="81"/>
  <c r="Y28" i="81"/>
  <c r="Y29" i="81"/>
  <c r="M25" i="81"/>
  <c r="B52" i="81"/>
  <c r="K32" i="83"/>
  <c r="L31" i="83"/>
  <c r="B39" i="81"/>
  <c r="Y17" i="81"/>
  <c r="Y18" i="81"/>
  <c r="M22" i="81"/>
  <c r="Y24" i="81"/>
  <c r="Y25" i="81"/>
  <c r="M30" i="81"/>
  <c r="B54" i="81"/>
  <c r="A31" i="81"/>
  <c r="F49" i="81"/>
  <c r="J24" i="80"/>
  <c r="A20" i="81"/>
  <c r="A23" i="81"/>
  <c r="B51" i="81"/>
  <c r="F10" i="83"/>
  <c r="B37" i="81"/>
  <c r="B50" i="81"/>
  <c r="AY10" i="54" l="1"/>
  <c r="H115" i="11" s="1"/>
  <c r="BE10" i="54"/>
  <c r="H119" i="11" s="1"/>
  <c r="V22" i="88"/>
  <c r="V22" i="89"/>
  <c r="V22" i="97"/>
  <c r="V17" i="88"/>
  <c r="V17" i="89"/>
  <c r="V23" i="96"/>
  <c r="V23" i="90" s="1"/>
  <c r="V22" i="96"/>
  <c r="V17" i="90"/>
  <c r="Q17" i="97"/>
  <c r="V22" i="90"/>
  <c r="V23" i="88"/>
  <c r="V23" i="89"/>
  <c r="V23" i="97"/>
  <c r="L17" i="96"/>
  <c r="L17" i="97"/>
  <c r="Q17" i="96"/>
  <c r="Q17" i="90" s="1"/>
  <c r="Q17" i="88"/>
  <c r="Q17" i="89"/>
  <c r="L17" i="89"/>
  <c r="L17" i="88"/>
  <c r="L17" i="90"/>
  <c r="P54" i="79"/>
  <c r="W19" i="87" s="1"/>
  <c r="S59" i="94"/>
  <c r="V24" i="95" s="1"/>
  <c r="AA25" i="94"/>
  <c r="AA59" i="94"/>
  <c r="W25" i="94"/>
  <c r="AB54" i="94"/>
  <c r="O24" i="79"/>
  <c r="J23" i="87" s="1"/>
  <c r="O25" i="79"/>
  <c r="J24" i="87" s="1"/>
  <c r="T54" i="79"/>
  <c r="W19" i="88" s="1"/>
  <c r="S54" i="79"/>
  <c r="S25" i="79"/>
  <c r="J24" i="88" s="1"/>
  <c r="AA24" i="94"/>
  <c r="S54" i="94"/>
  <c r="V19" i="95" s="1"/>
  <c r="O54" i="79"/>
  <c r="V19" i="87" s="1"/>
  <c r="I23" i="79"/>
  <c r="T56" i="94"/>
  <c r="W21" i="95" s="1"/>
  <c r="E23" i="94"/>
  <c r="E22" i="95" s="1"/>
  <c r="S22" i="94"/>
  <c r="J21" i="95" s="1"/>
  <c r="P56" i="79"/>
  <c r="W21" i="87" s="1"/>
  <c r="M23" i="94"/>
  <c r="S23" i="79"/>
  <c r="J22" i="88" s="1"/>
  <c r="AA22" i="94"/>
  <c r="W23" i="94"/>
  <c r="O22" i="79"/>
  <c r="J21" i="87" s="1"/>
  <c r="W22" i="94"/>
  <c r="S23" i="94"/>
  <c r="J22" i="95" s="1"/>
  <c r="W59" i="94"/>
  <c r="AA54" i="94"/>
  <c r="T56" i="79"/>
  <c r="O59" i="79"/>
  <c r="V24" i="87" s="1"/>
  <c r="S59" i="79"/>
  <c r="V24" i="88" s="1"/>
  <c r="S21" i="79"/>
  <c r="S21" i="94"/>
  <c r="J20" i="95" s="1"/>
  <c r="S22" i="79"/>
  <c r="J21" i="88" s="1"/>
  <c r="AA21" i="94"/>
  <c r="O21" i="79"/>
  <c r="J20" i="87" s="1"/>
  <c r="W21" i="94"/>
  <c r="I23" i="94"/>
  <c r="E23" i="79"/>
  <c r="E22" i="87" s="1"/>
  <c r="S24" i="79"/>
  <c r="J23" i="89" s="1"/>
  <c r="W24" i="94"/>
  <c r="S25" i="94"/>
  <c r="J24" i="95" s="1"/>
  <c r="O23" i="79"/>
  <c r="J22" i="87" s="1"/>
  <c r="S24" i="94"/>
  <c r="J23" i="95" s="1"/>
  <c r="AA23" i="94"/>
  <c r="J22" i="97" s="1"/>
  <c r="X56" i="94"/>
  <c r="AB56" i="94"/>
  <c r="W54" i="94"/>
  <c r="X54" i="94"/>
  <c r="W19" i="96" s="1"/>
  <c r="L52" i="96" s="1"/>
  <c r="T54" i="94"/>
  <c r="W19" i="95" s="1"/>
  <c r="L52" i="95" s="1"/>
  <c r="Z17" i="70"/>
  <c r="Z16" i="70" s="1"/>
  <c r="U60" i="79"/>
  <c r="E24" i="94"/>
  <c r="E23" i="95" s="1"/>
  <c r="Q60" i="79"/>
  <c r="X25" i="87" s="1"/>
  <c r="M56" i="94"/>
  <c r="O56" i="79"/>
  <c r="V21" i="87" s="1"/>
  <c r="AA56" i="94"/>
  <c r="M24" i="94"/>
  <c r="I56" i="79"/>
  <c r="I56" i="94"/>
  <c r="AA55" i="94"/>
  <c r="W56" i="94"/>
  <c r="S55" i="94"/>
  <c r="V20" i="95" s="1"/>
  <c r="AI12" i="84"/>
  <c r="AI13" i="84"/>
  <c r="AI11" i="84"/>
  <c r="S56" i="79"/>
  <c r="V21" i="88" s="1"/>
  <c r="E24" i="79"/>
  <c r="E23" i="87" s="1"/>
  <c r="I24" i="94"/>
  <c r="E56" i="79"/>
  <c r="Q21" i="87" s="1"/>
  <c r="S56" i="94"/>
  <c r="V21" i="95" s="1"/>
  <c r="W55" i="94"/>
  <c r="I24" i="79"/>
  <c r="E23" i="88" s="1"/>
  <c r="E56" i="94"/>
  <c r="Q21" i="95" s="1"/>
  <c r="S55" i="79"/>
  <c r="V20" i="88" s="1"/>
  <c r="O55" i="79"/>
  <c r="V20" i="87" s="1"/>
  <c r="AC60" i="94"/>
  <c r="X25" i="97" s="1"/>
  <c r="Y60" i="94"/>
  <c r="X25" i="96" s="1"/>
  <c r="D10" i="55"/>
  <c r="H129" i="11" s="1"/>
  <c r="X25" i="88"/>
  <c r="P70" i="11"/>
  <c r="P66" i="11"/>
  <c r="Z12" i="84"/>
  <c r="Z14" i="84"/>
  <c r="Z13" i="84"/>
  <c r="L92" i="11"/>
  <c r="O58" i="11"/>
  <c r="O59" i="11"/>
  <c r="T15" i="52"/>
  <c r="N62" i="11" s="1"/>
  <c r="C16" i="54"/>
  <c r="O93" i="11" s="1"/>
  <c r="P14" i="52"/>
  <c r="K61" i="11" s="1"/>
  <c r="C14" i="52"/>
  <c r="K56" i="11" s="1"/>
  <c r="P15" i="52"/>
  <c r="M60" i="11" s="1"/>
  <c r="E60" i="79"/>
  <c r="Q25" i="87" s="1"/>
  <c r="U57" i="79"/>
  <c r="E60" i="94"/>
  <c r="Q25" i="95" s="1"/>
  <c r="Q55" i="79"/>
  <c r="X20" i="87" s="1"/>
  <c r="AA26" i="94"/>
  <c r="Y55" i="94"/>
  <c r="Q57" i="79"/>
  <c r="X22" i="87" s="1"/>
  <c r="I57" i="94"/>
  <c r="Q22" i="96" s="1"/>
  <c r="X60" i="94"/>
  <c r="Y57" i="94"/>
  <c r="I57" i="79"/>
  <c r="Q22" i="88" s="1"/>
  <c r="M57" i="94"/>
  <c r="Q22" i="97" s="1"/>
  <c r="U57" i="94"/>
  <c r="X22" i="95" s="1"/>
  <c r="U56" i="94"/>
  <c r="X21" i="95" s="1"/>
  <c r="T60" i="79"/>
  <c r="W25" i="88" s="1"/>
  <c r="O26" i="79"/>
  <c r="J25" i="87" s="1"/>
  <c r="E57" i="79"/>
  <c r="Q22" i="87" s="1"/>
  <c r="P60" i="79"/>
  <c r="W25" i="87" s="1"/>
  <c r="U55" i="94"/>
  <c r="X20" i="95" s="1"/>
  <c r="Y56" i="94"/>
  <c r="AB60" i="94"/>
  <c r="W25" i="97" s="1"/>
  <c r="T52" i="97" s="1"/>
  <c r="E43" i="82"/>
  <c r="E25" i="94"/>
  <c r="E24" i="95" s="1"/>
  <c r="I25" i="79"/>
  <c r="E59" i="94"/>
  <c r="Q24" i="95" s="1"/>
  <c r="J59" i="79"/>
  <c r="R24" i="88" s="1"/>
  <c r="J59" i="94"/>
  <c r="U53" i="79"/>
  <c r="U59" i="94"/>
  <c r="X24" i="95" s="1"/>
  <c r="U59" i="79"/>
  <c r="Q53" i="79"/>
  <c r="X18" i="87" s="1"/>
  <c r="Q59" i="79"/>
  <c r="X24" i="87" s="1"/>
  <c r="Y54" i="94"/>
  <c r="Y59" i="94"/>
  <c r="AI17" i="84"/>
  <c r="AI14" i="84"/>
  <c r="AI15" i="84"/>
  <c r="AI16" i="84"/>
  <c r="M25" i="94"/>
  <c r="W26" i="94"/>
  <c r="J25" i="96" s="1"/>
  <c r="S26" i="79"/>
  <c r="J25" i="88" s="1"/>
  <c r="I60" i="79"/>
  <c r="Q25" i="89" s="1"/>
  <c r="F59" i="94"/>
  <c r="R24" i="95" s="1"/>
  <c r="S50" i="95" s="1"/>
  <c r="E59" i="79"/>
  <c r="Q24" i="87" s="1"/>
  <c r="I59" i="94"/>
  <c r="I60" i="94"/>
  <c r="Q25" i="96" s="1"/>
  <c r="U55" i="79"/>
  <c r="AC56" i="94"/>
  <c r="S60" i="94"/>
  <c r="V25" i="95" s="1"/>
  <c r="U58" i="94"/>
  <c r="X23" i="95" s="1"/>
  <c r="S60" i="79"/>
  <c r="V25" i="97" s="1"/>
  <c r="AC57" i="94"/>
  <c r="Q54" i="79"/>
  <c r="X19" i="87" s="1"/>
  <c r="T60" i="94"/>
  <c r="W25" i="95" s="1"/>
  <c r="T52" i="95" s="1"/>
  <c r="O60" i="79"/>
  <c r="V25" i="87" s="1"/>
  <c r="AC55" i="94"/>
  <c r="W60" i="94"/>
  <c r="E44" i="82"/>
  <c r="E25" i="79"/>
  <c r="E24" i="87" s="1"/>
  <c r="N59" i="94"/>
  <c r="R24" i="97" s="1"/>
  <c r="S50" i="97" s="1"/>
  <c r="U54" i="79"/>
  <c r="X19" i="89" s="1"/>
  <c r="L58" i="89" s="1"/>
  <c r="Y53" i="94"/>
  <c r="AC59" i="94"/>
  <c r="I25" i="94"/>
  <c r="S26" i="94"/>
  <c r="J25" i="95" s="1"/>
  <c r="I59" i="79"/>
  <c r="Q24" i="88" s="1"/>
  <c r="M59" i="94"/>
  <c r="M60" i="94"/>
  <c r="Q25" i="97" s="1"/>
  <c r="E57" i="94"/>
  <c r="Q22" i="95" s="1"/>
  <c r="F59" i="79"/>
  <c r="R24" i="87" s="1"/>
  <c r="U56" i="79"/>
  <c r="X21" i="88" s="1"/>
  <c r="U54" i="94"/>
  <c r="X19" i="95" s="1"/>
  <c r="L58" i="95" s="1"/>
  <c r="Y58" i="94"/>
  <c r="Q56" i="79"/>
  <c r="X21" i="87" s="1"/>
  <c r="U58" i="79"/>
  <c r="X23" i="88" s="1"/>
  <c r="AC54" i="94"/>
  <c r="AC53" i="94"/>
  <c r="Q58" i="79"/>
  <c r="X23" i="87" s="1"/>
  <c r="U53" i="94"/>
  <c r="X18" i="95" s="1"/>
  <c r="AC58" i="94"/>
  <c r="N92" i="11"/>
  <c r="D15" i="54"/>
  <c r="H15" i="54" s="1"/>
  <c r="P39" i="85"/>
  <c r="E19" i="65"/>
  <c r="J16" i="11" s="1"/>
  <c r="G7" i="65"/>
  <c r="J30" i="80"/>
  <c r="Z15" i="70" s="1"/>
  <c r="N74" i="11" s="1"/>
  <c r="X20" i="88"/>
  <c r="BA128" i="84"/>
  <c r="BA124" i="84"/>
  <c r="BA120" i="84"/>
  <c r="AR135" i="84"/>
  <c r="AR119" i="84"/>
  <c r="AR122" i="84"/>
  <c r="BA122" i="84"/>
  <c r="AR127" i="84"/>
  <c r="AR125" i="84"/>
  <c r="BA126" i="84"/>
  <c r="BA118" i="84"/>
  <c r="AR126" i="84"/>
  <c r="AR124" i="84"/>
  <c r="AR134" i="84"/>
  <c r="AR123" i="84"/>
  <c r="AR132" i="84"/>
  <c r="BA125" i="84"/>
  <c r="AR130" i="84"/>
  <c r="AR133" i="84"/>
  <c r="BA119" i="84"/>
  <c r="AR131" i="84"/>
  <c r="BA129" i="84"/>
  <c r="AR128" i="84"/>
  <c r="AR121" i="84"/>
  <c r="BA123" i="84"/>
  <c r="BA117" i="84"/>
  <c r="AR129" i="84"/>
  <c r="BA127" i="84"/>
  <c r="AR120" i="84"/>
  <c r="BA121" i="84"/>
  <c r="AI144" i="84"/>
  <c r="AI134" i="84"/>
  <c r="AI128" i="84"/>
  <c r="AI130" i="84"/>
  <c r="AI142" i="84"/>
  <c r="AI123" i="84"/>
  <c r="AI140" i="84"/>
  <c r="AI131" i="84"/>
  <c r="AI122" i="84"/>
  <c r="AI132" i="84"/>
  <c r="AI120" i="84"/>
  <c r="AI139" i="84"/>
  <c r="AI136" i="84"/>
  <c r="AI138" i="84"/>
  <c r="AI127" i="84"/>
  <c r="AI124" i="84"/>
  <c r="AI145" i="84"/>
  <c r="AI141" i="84"/>
  <c r="AI137" i="84"/>
  <c r="AI133" i="84"/>
  <c r="AI129" i="84"/>
  <c r="AI125" i="84"/>
  <c r="AI121" i="84"/>
  <c r="AI118" i="84"/>
  <c r="AI126" i="84"/>
  <c r="AI143" i="84"/>
  <c r="AI119" i="84"/>
  <c r="AI135" i="84"/>
  <c r="Z15" i="84"/>
  <c r="Z143" i="84"/>
  <c r="Z135" i="84"/>
  <c r="Z127" i="84"/>
  <c r="Z119" i="84"/>
  <c r="Z133" i="84"/>
  <c r="Z134" i="84"/>
  <c r="Z132" i="84"/>
  <c r="Z128" i="84"/>
  <c r="Z124" i="84"/>
  <c r="Z122" i="84"/>
  <c r="Z139" i="84"/>
  <c r="Z131" i="84"/>
  <c r="Z123" i="84"/>
  <c r="Z136" i="84"/>
  <c r="Z141" i="84"/>
  <c r="Z16" i="84"/>
  <c r="Z130" i="84"/>
  <c r="Z129" i="84"/>
  <c r="Z137" i="84"/>
  <c r="Z121" i="84"/>
  <c r="Z140" i="84"/>
  <c r="Z144" i="84"/>
  <c r="Z17" i="84"/>
  <c r="Z126" i="84"/>
  <c r="Z138" i="84"/>
  <c r="Z125" i="84"/>
  <c r="Z120" i="84"/>
  <c r="Z142" i="84"/>
  <c r="D14" i="54"/>
  <c r="E14" i="54" s="1"/>
  <c r="L90" i="11" s="1"/>
  <c r="L129" i="11"/>
  <c r="J129" i="11"/>
  <c r="AH14" i="70"/>
  <c r="L79" i="11" s="1"/>
  <c r="L24" i="94"/>
  <c r="U24" i="94"/>
  <c r="L23" i="95" s="1"/>
  <c r="L53" i="94"/>
  <c r="D58" i="94"/>
  <c r="P23" i="95" s="1"/>
  <c r="D19" i="94"/>
  <c r="D18" i="95" s="1"/>
  <c r="V25" i="94"/>
  <c r="H58" i="94"/>
  <c r="K24" i="94"/>
  <c r="Q20" i="79"/>
  <c r="L19" i="87" s="1"/>
  <c r="D54" i="79"/>
  <c r="P19" i="87" s="1"/>
  <c r="Z57" i="94"/>
  <c r="D23" i="94"/>
  <c r="D22" i="95" s="1"/>
  <c r="H22" i="79"/>
  <c r="D21" i="88" s="1"/>
  <c r="H19" i="79"/>
  <c r="D18" i="88" s="1"/>
  <c r="G23" i="79"/>
  <c r="G22" i="87" s="1"/>
  <c r="O25" i="94"/>
  <c r="N23" i="79"/>
  <c r="I22" i="87" s="1"/>
  <c r="R20" i="79"/>
  <c r="I19" i="88" s="1"/>
  <c r="Q23" i="79"/>
  <c r="L22" i="87" s="1"/>
  <c r="Q22" i="79"/>
  <c r="L21" i="87" s="1"/>
  <c r="H53" i="79"/>
  <c r="P18" i="88" s="1"/>
  <c r="D57" i="94"/>
  <c r="P22" i="95" s="1"/>
  <c r="H55" i="79"/>
  <c r="P20" i="88" s="1"/>
  <c r="D58" i="79"/>
  <c r="P23" i="87" s="1"/>
  <c r="Z53" i="94"/>
  <c r="R59" i="94"/>
  <c r="U24" i="95" s="1"/>
  <c r="K23" i="94"/>
  <c r="G22" i="96" s="1"/>
  <c r="U21" i="94"/>
  <c r="L20" i="95" s="1"/>
  <c r="N55" i="79"/>
  <c r="U20" i="87" s="1"/>
  <c r="K24" i="79"/>
  <c r="D20" i="94"/>
  <c r="D19" i="95" s="1"/>
  <c r="L21" i="94"/>
  <c r="O19" i="94"/>
  <c r="Q19" i="79"/>
  <c r="L18" i="87" s="1"/>
  <c r="Z22" i="94"/>
  <c r="R22" i="79"/>
  <c r="I21" i="88" s="1"/>
  <c r="Z21" i="94"/>
  <c r="U19" i="94"/>
  <c r="L18" i="95" s="1"/>
  <c r="G55" i="94"/>
  <c r="S20" i="95" s="1"/>
  <c r="H59" i="94"/>
  <c r="O53" i="94"/>
  <c r="K54" i="94"/>
  <c r="R55" i="94"/>
  <c r="U20" i="95" s="1"/>
  <c r="N54" i="79"/>
  <c r="U19" i="87" s="1"/>
  <c r="G21" i="79"/>
  <c r="G20" i="87" s="1"/>
  <c r="D21" i="79"/>
  <c r="D20" i="87" s="1"/>
  <c r="G22" i="94"/>
  <c r="G21" i="95" s="1"/>
  <c r="H22" i="94"/>
  <c r="K20" i="79"/>
  <c r="G19" i="88" s="1"/>
  <c r="E22" i="94"/>
  <c r="E21" i="95" s="1"/>
  <c r="V21" i="94"/>
  <c r="R24" i="94"/>
  <c r="I23" i="95" s="1"/>
  <c r="Z19" i="94"/>
  <c r="Y24" i="94"/>
  <c r="Y20" i="94"/>
  <c r="G56" i="79"/>
  <c r="S21" i="87" s="1"/>
  <c r="K57" i="79"/>
  <c r="O57" i="94"/>
  <c r="O56" i="94"/>
  <c r="V56" i="94"/>
  <c r="N58" i="79"/>
  <c r="U23" i="87" s="1"/>
  <c r="U22" i="70"/>
  <c r="AB72" i="11" s="1"/>
  <c r="Z60" i="94"/>
  <c r="K60" i="94"/>
  <c r="K60" i="79"/>
  <c r="S25" i="88" s="1"/>
  <c r="H60" i="94"/>
  <c r="R26" i="79"/>
  <c r="I25" i="88" s="1"/>
  <c r="E26" i="94"/>
  <c r="E25" i="95" s="1"/>
  <c r="I26" i="79"/>
  <c r="E25" i="88" s="1"/>
  <c r="O26" i="94"/>
  <c r="D26" i="94"/>
  <c r="D25" i="95" s="1"/>
  <c r="K26" i="79"/>
  <c r="V60" i="94"/>
  <c r="R60" i="79"/>
  <c r="U25" i="88" s="1"/>
  <c r="R60" i="94"/>
  <c r="U25" i="95" s="1"/>
  <c r="H60" i="79"/>
  <c r="V26" i="94"/>
  <c r="Y26" i="94"/>
  <c r="U26" i="79"/>
  <c r="L25" i="88" s="1"/>
  <c r="M26" i="94"/>
  <c r="L26" i="94"/>
  <c r="D26" i="79"/>
  <c r="D25" i="87" s="1"/>
  <c r="N60" i="79"/>
  <c r="U25" i="87" s="1"/>
  <c r="O60" i="94"/>
  <c r="D60" i="79"/>
  <c r="P25" i="87" s="1"/>
  <c r="D60" i="94"/>
  <c r="P25" i="95" s="1"/>
  <c r="L60" i="94"/>
  <c r="R26" i="94"/>
  <c r="I25" i="95" s="1"/>
  <c r="Q26" i="79"/>
  <c r="L25" i="87" s="1"/>
  <c r="U26" i="94"/>
  <c r="L25" i="95" s="1"/>
  <c r="I26" i="94"/>
  <c r="H26" i="94"/>
  <c r="K26" i="94"/>
  <c r="O18" i="94"/>
  <c r="G17" i="97" s="1"/>
  <c r="G26" i="79"/>
  <c r="G25" i="87" s="1"/>
  <c r="E26" i="79"/>
  <c r="E25" i="87" s="1"/>
  <c r="G60" i="94"/>
  <c r="S25" i="95" s="1"/>
  <c r="U14" i="70"/>
  <c r="Z52" i="94"/>
  <c r="K52" i="94"/>
  <c r="K52" i="79"/>
  <c r="S17" i="88" s="1"/>
  <c r="Z18" i="94"/>
  <c r="N18" i="79"/>
  <c r="I17" i="87" s="1"/>
  <c r="D18" i="94"/>
  <c r="D17" i="95" s="1"/>
  <c r="R52" i="79"/>
  <c r="R52" i="94"/>
  <c r="U17" i="95" s="1"/>
  <c r="H52" i="79"/>
  <c r="P17" i="88" s="1"/>
  <c r="D52" i="94"/>
  <c r="P17" i="95" s="1"/>
  <c r="R18" i="94"/>
  <c r="I17" i="95" s="1"/>
  <c r="K18" i="79"/>
  <c r="G17" i="89" s="1"/>
  <c r="L18" i="94"/>
  <c r="D18" i="79"/>
  <c r="D17" i="87" s="1"/>
  <c r="K18" i="94"/>
  <c r="N52" i="79"/>
  <c r="U17" i="87" s="1"/>
  <c r="O52" i="94"/>
  <c r="D52" i="79"/>
  <c r="P17" i="87" s="1"/>
  <c r="R18" i="79"/>
  <c r="H18" i="94"/>
  <c r="G18" i="94"/>
  <c r="G17" i="95" s="1"/>
  <c r="H26" i="79"/>
  <c r="G26" i="94"/>
  <c r="G25" i="95" s="1"/>
  <c r="N26" i="79"/>
  <c r="I25" i="87" s="1"/>
  <c r="AC26" i="94"/>
  <c r="L25" i="97" s="1"/>
  <c r="G60" i="79"/>
  <c r="S25" i="87" s="1"/>
  <c r="G52" i="94"/>
  <c r="S17" i="95" s="1"/>
  <c r="G18" i="79"/>
  <c r="G17" i="87" s="1"/>
  <c r="Z26" i="94"/>
  <c r="I25" i="97" s="1"/>
  <c r="L52" i="94"/>
  <c r="V52" i="94"/>
  <c r="H18" i="79"/>
  <c r="D17" i="88" s="1"/>
  <c r="H52" i="94"/>
  <c r="G52" i="79"/>
  <c r="S17" i="87" s="1"/>
  <c r="AI23" i="84"/>
  <c r="AI20" i="84"/>
  <c r="AI24" i="84"/>
  <c r="AI18" i="84"/>
  <c r="AI19" i="84"/>
  <c r="AI21" i="84"/>
  <c r="AI22" i="84"/>
  <c r="AI25" i="84"/>
  <c r="L43" i="82"/>
  <c r="H23" i="79"/>
  <c r="D22" i="88" s="1"/>
  <c r="L19" i="94"/>
  <c r="L23" i="94"/>
  <c r="I21" i="79"/>
  <c r="E20" i="88" s="1"/>
  <c r="E21" i="94"/>
  <c r="E20" i="95" s="1"/>
  <c r="O22" i="94"/>
  <c r="H20" i="79"/>
  <c r="H24" i="79"/>
  <c r="D23" i="88" s="1"/>
  <c r="L20" i="94"/>
  <c r="D24" i="94"/>
  <c r="D23" i="95" s="1"/>
  <c r="D25" i="79"/>
  <c r="D24" i="87" s="1"/>
  <c r="L25" i="94"/>
  <c r="K22" i="79"/>
  <c r="O20" i="94"/>
  <c r="G19" i="79"/>
  <c r="G18" i="87" s="1"/>
  <c r="E22" i="79"/>
  <c r="E21" i="87" s="1"/>
  <c r="G25" i="79"/>
  <c r="G24" i="87" s="1"/>
  <c r="G19" i="94"/>
  <c r="G18" i="95" s="1"/>
  <c r="K21" i="94"/>
  <c r="M22" i="94"/>
  <c r="G25" i="94"/>
  <c r="G24" i="95" s="1"/>
  <c r="U25" i="79"/>
  <c r="L24" i="88" s="1"/>
  <c r="Y23" i="94"/>
  <c r="N19" i="79"/>
  <c r="I18" i="87" s="1"/>
  <c r="N25" i="79"/>
  <c r="I24" i="87" s="1"/>
  <c r="R22" i="94"/>
  <c r="I21" i="95" s="1"/>
  <c r="V23" i="94"/>
  <c r="Z24" i="94"/>
  <c r="R21" i="79"/>
  <c r="I20" i="88" s="1"/>
  <c r="R24" i="79"/>
  <c r="R19" i="94"/>
  <c r="I18" i="95" s="1"/>
  <c r="V20" i="94"/>
  <c r="AC21" i="94"/>
  <c r="AC22" i="94"/>
  <c r="U25" i="94"/>
  <c r="L24" i="95" s="1"/>
  <c r="Q21" i="79"/>
  <c r="L20" i="87" s="1"/>
  <c r="Q24" i="79"/>
  <c r="L23" i="87" s="1"/>
  <c r="AC19" i="94"/>
  <c r="K55" i="79"/>
  <c r="D56" i="94"/>
  <c r="P21" i="95" s="1"/>
  <c r="D59" i="79"/>
  <c r="P24" i="87" s="1"/>
  <c r="G59" i="94"/>
  <c r="S24" i="95" s="1"/>
  <c r="G54" i="79"/>
  <c r="S19" i="87" s="1"/>
  <c r="G58" i="79"/>
  <c r="S23" i="87" s="1"/>
  <c r="D53" i="94"/>
  <c r="P18" i="95" s="1"/>
  <c r="H55" i="94"/>
  <c r="L57" i="94"/>
  <c r="G53" i="79"/>
  <c r="S18" i="87" s="1"/>
  <c r="K59" i="79"/>
  <c r="S24" i="88" s="1"/>
  <c r="L54" i="94"/>
  <c r="H59" i="79"/>
  <c r="P24" i="88" s="1"/>
  <c r="O55" i="94"/>
  <c r="D56" i="79"/>
  <c r="P21" i="87" s="1"/>
  <c r="G56" i="94"/>
  <c r="S21" i="95" s="1"/>
  <c r="K58" i="94"/>
  <c r="N59" i="79"/>
  <c r="U24" i="87" s="1"/>
  <c r="R53" i="94"/>
  <c r="U18" i="95" s="1"/>
  <c r="V54" i="94"/>
  <c r="Z55" i="94"/>
  <c r="R57" i="94"/>
  <c r="U22" i="95" s="1"/>
  <c r="V58" i="94"/>
  <c r="Z59" i="94"/>
  <c r="N53" i="79"/>
  <c r="U18" i="87" s="1"/>
  <c r="N56" i="79"/>
  <c r="U21" i="87" s="1"/>
  <c r="D19" i="79"/>
  <c r="D18" i="87" s="1"/>
  <c r="H25" i="79"/>
  <c r="D24" i="88" s="1"/>
  <c r="D21" i="94"/>
  <c r="D20" i="95" s="1"/>
  <c r="H25" i="94"/>
  <c r="G22" i="79"/>
  <c r="G21" i="87" s="1"/>
  <c r="I21" i="94"/>
  <c r="G24" i="94"/>
  <c r="G23" i="95" s="1"/>
  <c r="D22" i="79"/>
  <c r="D21" i="87" s="1"/>
  <c r="D22" i="94"/>
  <c r="D21" i="95" s="1"/>
  <c r="H24" i="94"/>
  <c r="H21" i="94"/>
  <c r="G24" i="79"/>
  <c r="G23" i="87" s="1"/>
  <c r="M21" i="94"/>
  <c r="K19" i="79"/>
  <c r="G18" i="88" s="1"/>
  <c r="I22" i="79"/>
  <c r="K25" i="79"/>
  <c r="G24" i="88" s="1"/>
  <c r="K19" i="94"/>
  <c r="O21" i="94"/>
  <c r="G23" i="94"/>
  <c r="G22" i="95" s="1"/>
  <c r="K25" i="94"/>
  <c r="AC23" i="94"/>
  <c r="R19" i="79"/>
  <c r="R25" i="79"/>
  <c r="I24" i="88" s="1"/>
  <c r="V22" i="94"/>
  <c r="Z23" i="94"/>
  <c r="R25" i="94"/>
  <c r="I24" i="95" s="1"/>
  <c r="N20" i="79"/>
  <c r="I19" i="87" s="1"/>
  <c r="N22" i="79"/>
  <c r="I21" i="87" s="1"/>
  <c r="V19" i="94"/>
  <c r="Z20" i="94"/>
  <c r="U19" i="79"/>
  <c r="R21" i="94"/>
  <c r="I20" i="95" s="1"/>
  <c r="U23" i="94"/>
  <c r="L22" i="95" s="1"/>
  <c r="AC25" i="94"/>
  <c r="L24" i="97" s="1"/>
  <c r="U21" i="79"/>
  <c r="L20" i="88" s="1"/>
  <c r="U24" i="79"/>
  <c r="L23" i="88" s="1"/>
  <c r="U20" i="94"/>
  <c r="L19" i="95" s="1"/>
  <c r="G57" i="79"/>
  <c r="S22" i="87" s="1"/>
  <c r="L56" i="94"/>
  <c r="D53" i="79"/>
  <c r="P18" i="87" s="1"/>
  <c r="G53" i="94"/>
  <c r="S18" i="95" s="1"/>
  <c r="O59" i="94"/>
  <c r="K54" i="79"/>
  <c r="S19" i="89" s="1"/>
  <c r="K58" i="79"/>
  <c r="S23" i="89" s="1"/>
  <c r="H53" i="94"/>
  <c r="L55" i="94"/>
  <c r="P20" i="97" s="1"/>
  <c r="D59" i="94"/>
  <c r="P24" i="95" s="1"/>
  <c r="G55" i="79"/>
  <c r="S20" i="87" s="1"/>
  <c r="H56" i="94"/>
  <c r="P21" i="96" s="1"/>
  <c r="D55" i="79"/>
  <c r="P20" i="87" s="1"/>
  <c r="K53" i="94"/>
  <c r="K57" i="94"/>
  <c r="H56" i="79"/>
  <c r="P21" i="89" s="1"/>
  <c r="G54" i="94"/>
  <c r="S19" i="95" s="1"/>
  <c r="K56" i="94"/>
  <c r="S21" i="96" s="1"/>
  <c r="O58" i="94"/>
  <c r="S23" i="97" s="1"/>
  <c r="R53" i="79"/>
  <c r="U18" i="88" s="1"/>
  <c r="V53" i="94"/>
  <c r="Z54" i="94"/>
  <c r="R56" i="94"/>
  <c r="U21" i="95" s="1"/>
  <c r="V57" i="94"/>
  <c r="Z58" i="94"/>
  <c r="R55" i="79"/>
  <c r="U20" i="88" s="1"/>
  <c r="R56" i="79"/>
  <c r="U21" i="89" s="1"/>
  <c r="N57" i="79"/>
  <c r="U22" i="87" s="1"/>
  <c r="L44" i="82"/>
  <c r="D23" i="79"/>
  <c r="D22" i="87" s="1"/>
  <c r="H19" i="94"/>
  <c r="H23" i="94"/>
  <c r="G20" i="79"/>
  <c r="G19" i="87" s="1"/>
  <c r="G20" i="94"/>
  <c r="G19" i="95" s="1"/>
  <c r="K22" i="94"/>
  <c r="O24" i="94"/>
  <c r="G23" i="97" s="1"/>
  <c r="D20" i="79"/>
  <c r="D19" i="87" s="1"/>
  <c r="D24" i="79"/>
  <c r="D23" i="87" s="1"/>
  <c r="H20" i="94"/>
  <c r="L22" i="94"/>
  <c r="H21" i="79"/>
  <c r="D25" i="94"/>
  <c r="D24" i="95" s="1"/>
  <c r="E21" i="79"/>
  <c r="E20" i="87" s="1"/>
  <c r="K20" i="94"/>
  <c r="K21" i="79"/>
  <c r="G20" i="88" s="1"/>
  <c r="K23" i="79"/>
  <c r="G22" i="88" s="1"/>
  <c r="G21" i="94"/>
  <c r="G20" i="95" s="1"/>
  <c r="I22" i="94"/>
  <c r="O23" i="94"/>
  <c r="U23" i="79"/>
  <c r="L22" i="88" s="1"/>
  <c r="U22" i="94"/>
  <c r="L21" i="95" s="1"/>
  <c r="Y25" i="94"/>
  <c r="R23" i="79"/>
  <c r="I22" i="88" s="1"/>
  <c r="R23" i="94"/>
  <c r="I22" i="95" s="1"/>
  <c r="V24" i="94"/>
  <c r="Z25" i="94"/>
  <c r="N21" i="79"/>
  <c r="I20" i="87" s="1"/>
  <c r="N24" i="79"/>
  <c r="I23" i="87" s="1"/>
  <c r="R20" i="94"/>
  <c r="I19" i="95" s="1"/>
  <c r="Y21" i="94"/>
  <c r="Q25" i="79"/>
  <c r="L24" i="87" s="1"/>
  <c r="Y22" i="94"/>
  <c r="L21" i="96" s="1"/>
  <c r="AC24" i="94"/>
  <c r="L23" i="97" s="1"/>
  <c r="U20" i="79"/>
  <c r="U22" i="79"/>
  <c r="L21" i="97" s="1"/>
  <c r="Y19" i="94"/>
  <c r="AC20" i="94"/>
  <c r="K53" i="79"/>
  <c r="H54" i="94"/>
  <c r="D57" i="79"/>
  <c r="P22" i="87" s="1"/>
  <c r="G57" i="94"/>
  <c r="S22" i="95" s="1"/>
  <c r="K56" i="79"/>
  <c r="D55" i="94"/>
  <c r="P20" i="95" s="1"/>
  <c r="H57" i="94"/>
  <c r="P22" i="96" s="1"/>
  <c r="L59" i="94"/>
  <c r="G59" i="79"/>
  <c r="S24" i="87" s="1"/>
  <c r="D54" i="94"/>
  <c r="P19" i="95" s="1"/>
  <c r="L58" i="94"/>
  <c r="H57" i="79"/>
  <c r="P22" i="88" s="1"/>
  <c r="K55" i="94"/>
  <c r="K59" i="94"/>
  <c r="H54" i="79"/>
  <c r="P19" i="88" s="1"/>
  <c r="H58" i="79"/>
  <c r="P23" i="88" s="1"/>
  <c r="O54" i="94"/>
  <c r="G58" i="94"/>
  <c r="S23" i="95" s="1"/>
  <c r="R57" i="79"/>
  <c r="R54" i="94"/>
  <c r="U19" i="95" s="1"/>
  <c r="V55" i="94"/>
  <c r="Z56" i="94"/>
  <c r="R58" i="94"/>
  <c r="U23" i="95" s="1"/>
  <c r="V59" i="94"/>
  <c r="U24" i="96" s="1"/>
  <c r="R59" i="79"/>
  <c r="R54" i="79"/>
  <c r="U19" i="88" s="1"/>
  <c r="R58" i="79"/>
  <c r="U23" i="88" s="1"/>
  <c r="AF15" i="70"/>
  <c r="M79" i="11" s="1"/>
  <c r="P15" i="51"/>
  <c r="M54" i="11" s="1"/>
  <c r="Y17" i="78"/>
  <c r="Y16" i="78"/>
  <c r="Y15" i="78"/>
  <c r="Y18" i="78"/>
  <c r="Y14" i="78"/>
  <c r="Q10" i="55"/>
  <c r="H136" i="11" s="1"/>
  <c r="N136" i="11"/>
  <c r="N13" i="51"/>
  <c r="J53" i="11" s="1"/>
  <c r="P53" i="11"/>
  <c r="AR35" i="84"/>
  <c r="BA112" i="84"/>
  <c r="AR113" i="84"/>
  <c r="BA113" i="84"/>
  <c r="BA105" i="84"/>
  <c r="BA97" i="84"/>
  <c r="BA93" i="84"/>
  <c r="BA89" i="84"/>
  <c r="BA85" i="84"/>
  <c r="BA81" i="84"/>
  <c r="BA77" i="84"/>
  <c r="BA73" i="84"/>
  <c r="BA69" i="84"/>
  <c r="BA65" i="84"/>
  <c r="BA61" i="84"/>
  <c r="BA57" i="84"/>
  <c r="BA53" i="84"/>
  <c r="BA49" i="84"/>
  <c r="BA45" i="84"/>
  <c r="BA41" i="84"/>
  <c r="BA37" i="84"/>
  <c r="BA33" i="84"/>
  <c r="BA29" i="84"/>
  <c r="BA25" i="84"/>
  <c r="AR52" i="84"/>
  <c r="BA103" i="84"/>
  <c r="AR45" i="84"/>
  <c r="BA116" i="84"/>
  <c r="AR111" i="84"/>
  <c r="BA92" i="84"/>
  <c r="BA88" i="84"/>
  <c r="BA84" i="84"/>
  <c r="BA80" i="84"/>
  <c r="BA76" i="84"/>
  <c r="BA72" i="84"/>
  <c r="BA68" i="84"/>
  <c r="BA64" i="84"/>
  <c r="BA60" i="84"/>
  <c r="BA56" i="84"/>
  <c r="BA52" i="84"/>
  <c r="BA48" i="84"/>
  <c r="BA44" i="84"/>
  <c r="BA40" i="84"/>
  <c r="BA36" i="84"/>
  <c r="BA32" i="84"/>
  <c r="BA28" i="84"/>
  <c r="BA24" i="84"/>
  <c r="BA104" i="84"/>
  <c r="AR102" i="84"/>
  <c r="AR93" i="84"/>
  <c r="AR29" i="84"/>
  <c r="BA91" i="84"/>
  <c r="BA87" i="84"/>
  <c r="BA83" i="84"/>
  <c r="BA79" i="84"/>
  <c r="BA75" i="84"/>
  <c r="BA71" i="84"/>
  <c r="BA67" i="84"/>
  <c r="BA63" i="84"/>
  <c r="BA59" i="84"/>
  <c r="BA55" i="84"/>
  <c r="BA51" i="84"/>
  <c r="BA47" i="84"/>
  <c r="BA43" i="84"/>
  <c r="BA39" i="84"/>
  <c r="BA35" i="84"/>
  <c r="BA31" i="84"/>
  <c r="BA27" i="84"/>
  <c r="AR84" i="84"/>
  <c r="AR108" i="84"/>
  <c r="BA100" i="84"/>
  <c r="AR77" i="84"/>
  <c r="AR34" i="84"/>
  <c r="BA99" i="84"/>
  <c r="BA110" i="84"/>
  <c r="BA96" i="84"/>
  <c r="AR91" i="84"/>
  <c r="BA114" i="84"/>
  <c r="BA94" i="84"/>
  <c r="BA90" i="84"/>
  <c r="BA86" i="84"/>
  <c r="BA82" i="84"/>
  <c r="BA78" i="84"/>
  <c r="BA74" i="84"/>
  <c r="BA70" i="84"/>
  <c r="BA66" i="84"/>
  <c r="BA62" i="84"/>
  <c r="BA58" i="84"/>
  <c r="BA54" i="84"/>
  <c r="BA50" i="84"/>
  <c r="BA46" i="84"/>
  <c r="BA42" i="84"/>
  <c r="BA38" i="84"/>
  <c r="BA34" i="84"/>
  <c r="BA30" i="84"/>
  <c r="BA26" i="84"/>
  <c r="BA111" i="84"/>
  <c r="AR68" i="84"/>
  <c r="BA106" i="84"/>
  <c r="AR61" i="84"/>
  <c r="AR70" i="84"/>
  <c r="BA102" i="84"/>
  <c r="AR59" i="84"/>
  <c r="AR116" i="84"/>
  <c r="BA108" i="84"/>
  <c r="AR115" i="84"/>
  <c r="BA109" i="84"/>
  <c r="BA101" i="84"/>
  <c r="BA95" i="84"/>
  <c r="AR104" i="84"/>
  <c r="BA115" i="84"/>
  <c r="AR30" i="84"/>
  <c r="AR79" i="84"/>
  <c r="AR66" i="84"/>
  <c r="AR73" i="84"/>
  <c r="AR32" i="84"/>
  <c r="AR105" i="84"/>
  <c r="AR117" i="84"/>
  <c r="AR27" i="84"/>
  <c r="AR42" i="84"/>
  <c r="AR26" i="84"/>
  <c r="AR46" i="84"/>
  <c r="AR89" i="84"/>
  <c r="AR107" i="84"/>
  <c r="AR31" i="84"/>
  <c r="AR44" i="84"/>
  <c r="AR114" i="84"/>
  <c r="AR94" i="84"/>
  <c r="AR81" i="84"/>
  <c r="AR99" i="84"/>
  <c r="AR100" i="84"/>
  <c r="AR47" i="84"/>
  <c r="BA107" i="84"/>
  <c r="AR50" i="84"/>
  <c r="AR80" i="84"/>
  <c r="AR86" i="84"/>
  <c r="AR76" i="84"/>
  <c r="AR75" i="84"/>
  <c r="AR43" i="84"/>
  <c r="AR48" i="84"/>
  <c r="AR112" i="84"/>
  <c r="AR37" i="84"/>
  <c r="AR60" i="84"/>
  <c r="AR62" i="84"/>
  <c r="AR33" i="84"/>
  <c r="AR56" i="84"/>
  <c r="AR83" i="84"/>
  <c r="AR71" i="84"/>
  <c r="BA98" i="84"/>
  <c r="AR63" i="84"/>
  <c r="AR55" i="84"/>
  <c r="AR101" i="84"/>
  <c r="AR96" i="84"/>
  <c r="AR92" i="84"/>
  <c r="AR38" i="84"/>
  <c r="AR58" i="84"/>
  <c r="AR90" i="84"/>
  <c r="AR95" i="84"/>
  <c r="AR64" i="84"/>
  <c r="AR98" i="84"/>
  <c r="AR53" i="84"/>
  <c r="AR103" i="84"/>
  <c r="AR28" i="84"/>
  <c r="AR49" i="84"/>
  <c r="AR72" i="84"/>
  <c r="AR51" i="84"/>
  <c r="AR82" i="84"/>
  <c r="AR97" i="84"/>
  <c r="AR109" i="84"/>
  <c r="AR39" i="84"/>
  <c r="AR41" i="84"/>
  <c r="AR67" i="84"/>
  <c r="AR69" i="84"/>
  <c r="AR118" i="84"/>
  <c r="AR74" i="84"/>
  <c r="AR87" i="84"/>
  <c r="AR36" i="84"/>
  <c r="AR78" i="84"/>
  <c r="AR57" i="84"/>
  <c r="AR106" i="84"/>
  <c r="AR54" i="84"/>
  <c r="AR85" i="84"/>
  <c r="AR110" i="84"/>
  <c r="AR65" i="84"/>
  <c r="AR88" i="84"/>
  <c r="AR40" i="84"/>
  <c r="AI86" i="84"/>
  <c r="AI70" i="84"/>
  <c r="AI54" i="84"/>
  <c r="AI83" i="84"/>
  <c r="AI67" i="84"/>
  <c r="AI51" i="84"/>
  <c r="AI35" i="84"/>
  <c r="AI96" i="84"/>
  <c r="AI64" i="84"/>
  <c r="AI92" i="84"/>
  <c r="AI116" i="84"/>
  <c r="AI85" i="84"/>
  <c r="AI53" i="84"/>
  <c r="AI84" i="84"/>
  <c r="AI89" i="84"/>
  <c r="AI94" i="84"/>
  <c r="AI62" i="84"/>
  <c r="AI46" i="84"/>
  <c r="AI75" i="84"/>
  <c r="AI43" i="84"/>
  <c r="AI42" i="84"/>
  <c r="AI115" i="84"/>
  <c r="AI113" i="84"/>
  <c r="AI111" i="84"/>
  <c r="AI109" i="84"/>
  <c r="AI107" i="84"/>
  <c r="AI105" i="84"/>
  <c r="AI103" i="84"/>
  <c r="AI101" i="84"/>
  <c r="AI99" i="84"/>
  <c r="AI97" i="84"/>
  <c r="AI82" i="84"/>
  <c r="AI66" i="84"/>
  <c r="AI50" i="84"/>
  <c r="AI95" i="84"/>
  <c r="AI79" i="84"/>
  <c r="AI63" i="84"/>
  <c r="AI47" i="84"/>
  <c r="AI31" i="84"/>
  <c r="AI88" i="84"/>
  <c r="AI56" i="84"/>
  <c r="AI36" i="84"/>
  <c r="AI30" i="84"/>
  <c r="AI77" i="84"/>
  <c r="AI45" i="84"/>
  <c r="AI40" i="84"/>
  <c r="AI34" i="84"/>
  <c r="AI32" i="84"/>
  <c r="AI49" i="84"/>
  <c r="AI76" i="84"/>
  <c r="AI60" i="84"/>
  <c r="AI44" i="84"/>
  <c r="AI38" i="84"/>
  <c r="AI29" i="84"/>
  <c r="AI117" i="84"/>
  <c r="AI78" i="84"/>
  <c r="AI91" i="84"/>
  <c r="AI59" i="84"/>
  <c r="AI27" i="84"/>
  <c r="AI80" i="84"/>
  <c r="AI48" i="84"/>
  <c r="AI33" i="84"/>
  <c r="AI69" i="84"/>
  <c r="AI37" i="84"/>
  <c r="AI65" i="84"/>
  <c r="AI41" i="84"/>
  <c r="AI73" i="84"/>
  <c r="AI108" i="84"/>
  <c r="AI100" i="84"/>
  <c r="AI55" i="84"/>
  <c r="AI61" i="84"/>
  <c r="AI102" i="84"/>
  <c r="AI39" i="84"/>
  <c r="AI52" i="84"/>
  <c r="AI112" i="84"/>
  <c r="AI104" i="84"/>
  <c r="AI74" i="84"/>
  <c r="AI87" i="84"/>
  <c r="AI81" i="84"/>
  <c r="AI106" i="84"/>
  <c r="AI58" i="84"/>
  <c r="AI71" i="84"/>
  <c r="AI110" i="84"/>
  <c r="AI90" i="84"/>
  <c r="AI26" i="84"/>
  <c r="AI68" i="84"/>
  <c r="AI57" i="84"/>
  <c r="AI114" i="84"/>
  <c r="AI98" i="84"/>
  <c r="AI72" i="84"/>
  <c r="AI93" i="84"/>
  <c r="AI28" i="84"/>
  <c r="C47" i="88"/>
  <c r="T36" i="88" s="1"/>
  <c r="D51" i="81"/>
  <c r="C40" i="88"/>
  <c r="M36" i="88" s="1"/>
  <c r="D52" i="81"/>
  <c r="D50" i="81"/>
  <c r="D39" i="81"/>
  <c r="D49" i="81"/>
  <c r="L26" i="83"/>
  <c r="Z46" i="84"/>
  <c r="Z43" i="84"/>
  <c r="Z34" i="84"/>
  <c r="Z78" i="84"/>
  <c r="Z111" i="84"/>
  <c r="Z109" i="84"/>
  <c r="Z30" i="84"/>
  <c r="Z59" i="84"/>
  <c r="Z24" i="84"/>
  <c r="Z62" i="84"/>
  <c r="Z115" i="84"/>
  <c r="Z113" i="84"/>
  <c r="Z108" i="84"/>
  <c r="Z100" i="84"/>
  <c r="Z118" i="84"/>
  <c r="Z96" i="84"/>
  <c r="Z88" i="84"/>
  <c r="Z80" i="84"/>
  <c r="Z72" i="84"/>
  <c r="Z64" i="84"/>
  <c r="Z56" i="84"/>
  <c r="Z48" i="84"/>
  <c r="Z105" i="84"/>
  <c r="Z93" i="84"/>
  <c r="Z85" i="84"/>
  <c r="Z77" i="84"/>
  <c r="Z69" i="84"/>
  <c r="Z61" i="84"/>
  <c r="Z53" i="84"/>
  <c r="Z45" i="84"/>
  <c r="Z37" i="84"/>
  <c r="Z29" i="84"/>
  <c r="Z21" i="84"/>
  <c r="Z90" i="84"/>
  <c r="Z74" i="84"/>
  <c r="Z58" i="84"/>
  <c r="Z32" i="84"/>
  <c r="Z22" i="84"/>
  <c r="Z98" i="84"/>
  <c r="Z36" i="84"/>
  <c r="Z26" i="84"/>
  <c r="Z86" i="84"/>
  <c r="Z67" i="84"/>
  <c r="Z91" i="84"/>
  <c r="Z28" i="84"/>
  <c r="Z75" i="84"/>
  <c r="Z116" i="84"/>
  <c r="Z107" i="84"/>
  <c r="Z117" i="84"/>
  <c r="Z112" i="84"/>
  <c r="Z104" i="84"/>
  <c r="Z114" i="84"/>
  <c r="Z92" i="84"/>
  <c r="Z84" i="84"/>
  <c r="Z76" i="84"/>
  <c r="Z68" i="84"/>
  <c r="Z60" i="84"/>
  <c r="Z52" i="84"/>
  <c r="Z89" i="84"/>
  <c r="Z81" i="84"/>
  <c r="Z73" i="84"/>
  <c r="Z65" i="84"/>
  <c r="Z57" i="84"/>
  <c r="Z49" i="84"/>
  <c r="Z41" i="84"/>
  <c r="Z33" i="84"/>
  <c r="Z25" i="84"/>
  <c r="Z101" i="84"/>
  <c r="Z82" i="84"/>
  <c r="Z66" i="84"/>
  <c r="Z50" i="84"/>
  <c r="Z38" i="84"/>
  <c r="Z42" i="84"/>
  <c r="Z20" i="84"/>
  <c r="Z51" i="84"/>
  <c r="Z83" i="84"/>
  <c r="Z110" i="84"/>
  <c r="Z106" i="84"/>
  <c r="Z103" i="84"/>
  <c r="Z102" i="84"/>
  <c r="Z99" i="84"/>
  <c r="Z19" i="84"/>
  <c r="Z97" i="84"/>
  <c r="Z87" i="84"/>
  <c r="Z71" i="84"/>
  <c r="Z55" i="84"/>
  <c r="Z23" i="84"/>
  <c r="Z18" i="84"/>
  <c r="Z31" i="84"/>
  <c r="Z44" i="84"/>
  <c r="Z54" i="84"/>
  <c r="Z95" i="84"/>
  <c r="Z39" i="84"/>
  <c r="Z94" i="84"/>
  <c r="Z47" i="84"/>
  <c r="Z70" i="84"/>
  <c r="Z35" i="84"/>
  <c r="Z63" i="84"/>
  <c r="Z27" i="84"/>
  <c r="Z40" i="84"/>
  <c r="Z79" i="84"/>
  <c r="D54" i="81"/>
  <c r="D38" i="81"/>
  <c r="B44" i="82"/>
  <c r="I44" i="82" s="1"/>
  <c r="H44" i="82" s="1"/>
  <c r="I16" i="54"/>
  <c r="N16" i="54" s="1"/>
  <c r="P95" i="11" s="1"/>
  <c r="D53" i="81"/>
  <c r="L80" i="11"/>
  <c r="AJ10" i="70"/>
  <c r="H80" i="11" s="1"/>
  <c r="O79" i="11"/>
  <c r="O78" i="11"/>
  <c r="AH15" i="70"/>
  <c r="N79" i="11" s="1"/>
  <c r="K79" i="11"/>
  <c r="K78" i="11"/>
  <c r="AH16" i="70"/>
  <c r="P79" i="11" s="1"/>
  <c r="K81" i="11"/>
  <c r="K82" i="11"/>
  <c r="AL16" i="70"/>
  <c r="AL15" i="70"/>
  <c r="R13" i="52"/>
  <c r="J61" i="11" s="1"/>
  <c r="T14" i="52"/>
  <c r="L62" i="11" s="1"/>
  <c r="T13" i="52"/>
  <c r="J62" i="11" s="1"/>
  <c r="AP14" i="70"/>
  <c r="P16" i="52"/>
  <c r="O61" i="11" s="1"/>
  <c r="AN16" i="70"/>
  <c r="P82" i="11" s="1"/>
  <c r="AN14" i="70"/>
  <c r="L82" i="11" s="1"/>
  <c r="AN15" i="70"/>
  <c r="N82" i="11" s="1"/>
  <c r="E33" i="78"/>
  <c r="W16" i="55"/>
  <c r="O139" i="11" s="1"/>
  <c r="O56" i="11"/>
  <c r="C15" i="51"/>
  <c r="M49" i="11" s="1"/>
  <c r="T16" i="52"/>
  <c r="I14" i="51"/>
  <c r="K51" i="11" s="1"/>
  <c r="C17" i="70"/>
  <c r="Q87" i="11" s="1"/>
  <c r="C16" i="51"/>
  <c r="O49" i="11" s="1"/>
  <c r="I15" i="51"/>
  <c r="M51" i="11" s="1"/>
  <c r="C14" i="54"/>
  <c r="K93" i="11" s="1"/>
  <c r="Q16" i="52"/>
  <c r="P60" i="11" s="1"/>
  <c r="K21" i="80"/>
  <c r="I16" i="70"/>
  <c r="O66" i="11" s="1"/>
  <c r="C14" i="51"/>
  <c r="K49" i="11" s="1"/>
  <c r="Q16" i="70"/>
  <c r="O71" i="11" s="1"/>
  <c r="C16" i="55"/>
  <c r="O129" i="11" s="1"/>
  <c r="M15" i="51"/>
  <c r="M53" i="11" s="1"/>
  <c r="C15" i="54"/>
  <c r="M16" i="51"/>
  <c r="O53" i="11" s="1"/>
  <c r="K16" i="55"/>
  <c r="O133" i="11" s="1"/>
  <c r="AA15" i="70"/>
  <c r="K13" i="80"/>
  <c r="AA16" i="70" s="1"/>
  <c r="C16" i="70"/>
  <c r="Q15" i="70" s="1"/>
  <c r="M14" i="51"/>
  <c r="K53" i="11" s="1"/>
  <c r="I16" i="51"/>
  <c r="O51" i="11" s="1"/>
  <c r="S18" i="78"/>
  <c r="V18" i="78" s="1"/>
  <c r="C45" i="88"/>
  <c r="R36" i="88" s="1"/>
  <c r="C37" i="88"/>
  <c r="J36" i="88" s="1"/>
  <c r="C36" i="88"/>
  <c r="I36" i="88" s="1"/>
  <c r="C52" i="88"/>
  <c r="Y36" i="88" s="1"/>
  <c r="C49" i="88"/>
  <c r="V36" i="88" s="1"/>
  <c r="C38" i="88"/>
  <c r="K36" i="88" s="1"/>
  <c r="C41" i="88"/>
  <c r="N36" i="88" s="1"/>
  <c r="C51" i="88"/>
  <c r="X36" i="88" s="1"/>
  <c r="C50" i="88"/>
  <c r="W36" i="88" s="1"/>
  <c r="C48" i="88"/>
  <c r="U36" i="88" s="1"/>
  <c r="C44" i="88"/>
  <c r="Q36" i="88" s="1"/>
  <c r="C42" i="88"/>
  <c r="O36" i="88" s="1"/>
  <c r="C39" i="88"/>
  <c r="L36" i="88" s="1"/>
  <c r="C46" i="88"/>
  <c r="S36" i="88" s="1"/>
  <c r="C43" i="88"/>
  <c r="P36" i="88" s="1"/>
  <c r="C54" i="88"/>
  <c r="AA36" i="88" s="1"/>
  <c r="C53" i="88"/>
  <c r="Z36" i="88" s="1"/>
  <c r="C35" i="88"/>
  <c r="H36" i="88" s="1"/>
  <c r="P72" i="11"/>
  <c r="Y33" i="81"/>
  <c r="D14" i="70"/>
  <c r="D15" i="70"/>
  <c r="D13" i="70"/>
  <c r="D17" i="70"/>
  <c r="R64" i="11" s="1"/>
  <c r="P64" i="11"/>
  <c r="AM17" i="70"/>
  <c r="R81" i="11" s="1"/>
  <c r="K26" i="83"/>
  <c r="H16" i="54"/>
  <c r="P89" i="11"/>
  <c r="M33" i="81"/>
  <c r="L25" i="83"/>
  <c r="E16" i="70"/>
  <c r="K16" i="51"/>
  <c r="P52" i="11" s="1"/>
  <c r="P90" i="11"/>
  <c r="O74" i="11"/>
  <c r="D47" i="81"/>
  <c r="E50" i="82"/>
  <c r="M50" i="82"/>
  <c r="D42" i="81"/>
  <c r="M45" i="82"/>
  <c r="E45" i="82"/>
  <c r="M53" i="82"/>
  <c r="E53" i="82"/>
  <c r="D37" i="81"/>
  <c r="D43" i="81"/>
  <c r="E46" i="82"/>
  <c r="M46" i="82"/>
  <c r="D48" i="81"/>
  <c r="E52" i="82"/>
  <c r="M52" i="82"/>
  <c r="M47" i="82"/>
  <c r="E47" i="82"/>
  <c r="K30" i="83"/>
  <c r="L30" i="83"/>
  <c r="D46" i="81"/>
  <c r="D44" i="81"/>
  <c r="D40" i="81"/>
  <c r="D41" i="81"/>
  <c r="E54" i="82"/>
  <c r="M54" i="82"/>
  <c r="E48" i="82"/>
  <c r="M48" i="82"/>
  <c r="M49" i="82"/>
  <c r="E49" i="82"/>
  <c r="D45" i="81"/>
  <c r="M42" i="82"/>
  <c r="E42" i="82"/>
  <c r="M51" i="82"/>
  <c r="E51" i="82"/>
  <c r="J20" i="97" l="1"/>
  <c r="I17" i="96"/>
  <c r="D17" i="97"/>
  <c r="J23" i="97"/>
  <c r="J20" i="89"/>
  <c r="J23" i="88"/>
  <c r="J24" i="96"/>
  <c r="J20" i="96"/>
  <c r="J20" i="90" s="1"/>
  <c r="J21" i="96"/>
  <c r="J20" i="88"/>
  <c r="V24" i="97"/>
  <c r="J22" i="96"/>
  <c r="J22" i="90" s="1"/>
  <c r="E22" i="97"/>
  <c r="J24" i="97"/>
  <c r="W19" i="97"/>
  <c r="W21" i="96"/>
  <c r="V19" i="89"/>
  <c r="E22" i="88"/>
  <c r="M22" i="88" s="1"/>
  <c r="J24" i="89"/>
  <c r="V19" i="88"/>
  <c r="W21" i="97"/>
  <c r="E22" i="89"/>
  <c r="W21" i="89"/>
  <c r="E22" i="96"/>
  <c r="J21" i="97"/>
  <c r="J21" i="90" s="1"/>
  <c r="J23" i="96"/>
  <c r="J22" i="89"/>
  <c r="W19" i="89"/>
  <c r="L52" i="89" s="1"/>
  <c r="W21" i="88"/>
  <c r="V19" i="96"/>
  <c r="V19" i="97"/>
  <c r="J21" i="89"/>
  <c r="V24" i="89"/>
  <c r="V24" i="96"/>
  <c r="AB17" i="70"/>
  <c r="AC17" i="70" s="1"/>
  <c r="R76" i="11" s="1"/>
  <c r="R74" i="11"/>
  <c r="O96" i="11"/>
  <c r="C15" i="52"/>
  <c r="M56" i="11" s="1"/>
  <c r="V21" i="96"/>
  <c r="X19" i="97"/>
  <c r="L58" i="97" s="1"/>
  <c r="J25" i="97"/>
  <c r="J25" i="90" s="1"/>
  <c r="E24" i="96"/>
  <c r="E24" i="89"/>
  <c r="E21" i="96"/>
  <c r="E20" i="97"/>
  <c r="Q15" i="52"/>
  <c r="N60" i="11" s="1"/>
  <c r="X25" i="90"/>
  <c r="Q21" i="89"/>
  <c r="Q21" i="97"/>
  <c r="X23" i="97"/>
  <c r="X20" i="97"/>
  <c r="V21" i="89"/>
  <c r="X25" i="89"/>
  <c r="Q21" i="88"/>
  <c r="V20" i="96"/>
  <c r="Q21" i="96"/>
  <c r="E23" i="89"/>
  <c r="E21" i="89"/>
  <c r="U21" i="97"/>
  <c r="X18" i="96"/>
  <c r="X22" i="96"/>
  <c r="X22" i="89"/>
  <c r="E23" i="96"/>
  <c r="V20" i="97"/>
  <c r="V21" i="97"/>
  <c r="X22" i="97"/>
  <c r="X21" i="97"/>
  <c r="X18" i="89"/>
  <c r="D25" i="89"/>
  <c r="G25" i="89"/>
  <c r="V20" i="89"/>
  <c r="E23" i="97"/>
  <c r="O89" i="11"/>
  <c r="O92" i="11"/>
  <c r="O90" i="11"/>
  <c r="V25" i="96"/>
  <c r="V25" i="90" s="1"/>
  <c r="D25" i="96"/>
  <c r="D18" i="97"/>
  <c r="X19" i="88"/>
  <c r="L58" i="88" s="1"/>
  <c r="D18" i="96"/>
  <c r="Y20" i="95"/>
  <c r="Q22" i="89"/>
  <c r="V25" i="88"/>
  <c r="X24" i="97"/>
  <c r="V25" i="89"/>
  <c r="H14" i="54"/>
  <c r="L89" i="11"/>
  <c r="I13" i="54"/>
  <c r="J92" i="11" s="1"/>
  <c r="O98" i="11"/>
  <c r="O95" i="11"/>
  <c r="Q14" i="52"/>
  <c r="R14" i="52" s="1"/>
  <c r="L61" i="11" s="1"/>
  <c r="O99" i="11"/>
  <c r="X22" i="88"/>
  <c r="X21" i="96"/>
  <c r="R24" i="96"/>
  <c r="W25" i="89"/>
  <c r="T52" i="89" s="1"/>
  <c r="D23" i="97"/>
  <c r="R24" i="89"/>
  <c r="S50" i="89" s="1"/>
  <c r="X20" i="89"/>
  <c r="X24" i="96"/>
  <c r="X24" i="90" s="1"/>
  <c r="X20" i="96"/>
  <c r="E24" i="88"/>
  <c r="M24" i="88" s="1"/>
  <c r="Q25" i="88"/>
  <c r="X18" i="88"/>
  <c r="Q25" i="90"/>
  <c r="I18" i="96"/>
  <c r="S18" i="96"/>
  <c r="S23" i="96"/>
  <c r="S23" i="90" s="1"/>
  <c r="L22" i="96"/>
  <c r="J25" i="89"/>
  <c r="Q24" i="89"/>
  <c r="Q24" i="97"/>
  <c r="X23" i="89"/>
  <c r="X24" i="89"/>
  <c r="U23" i="96"/>
  <c r="U24" i="89"/>
  <c r="L19" i="89"/>
  <c r="L20" i="96"/>
  <c r="P18" i="96"/>
  <c r="G23" i="89"/>
  <c r="Q24" i="96"/>
  <c r="W25" i="96"/>
  <c r="X21" i="89"/>
  <c r="E24" i="97"/>
  <c r="X24" i="88"/>
  <c r="F42" i="82"/>
  <c r="X18" i="97"/>
  <c r="X23" i="96"/>
  <c r="X19" i="96"/>
  <c r="L58" i="96" s="1"/>
  <c r="M15" i="54"/>
  <c r="N14" i="54"/>
  <c r="L95" i="11" s="1"/>
  <c r="M14" i="54"/>
  <c r="E15" i="54"/>
  <c r="N90" i="11" s="1"/>
  <c r="N89" i="11"/>
  <c r="N15" i="54"/>
  <c r="X15" i="54" s="1"/>
  <c r="M78" i="11"/>
  <c r="J29" i="80"/>
  <c r="Z14" i="70" s="1"/>
  <c r="L74" i="11" s="1"/>
  <c r="J9" i="11"/>
  <c r="C19" i="65"/>
  <c r="J15" i="11" s="1"/>
  <c r="I22" i="96"/>
  <c r="G20" i="96"/>
  <c r="D19" i="89"/>
  <c r="D22" i="97"/>
  <c r="D21" i="96"/>
  <c r="D20" i="97"/>
  <c r="G24" i="97"/>
  <c r="G23" i="96"/>
  <c r="G23" i="90" s="1"/>
  <c r="Q22" i="90"/>
  <c r="G24" i="96"/>
  <c r="P21" i="88"/>
  <c r="L18" i="96"/>
  <c r="D20" i="96"/>
  <c r="U21" i="88"/>
  <c r="S24" i="96"/>
  <c r="P19" i="96"/>
  <c r="S24" i="97"/>
  <c r="I19" i="97"/>
  <c r="L19" i="96"/>
  <c r="P18" i="97"/>
  <c r="L23" i="96"/>
  <c r="L23" i="90" s="1"/>
  <c r="I24" i="96"/>
  <c r="G24" i="89"/>
  <c r="L23" i="89"/>
  <c r="D20" i="89"/>
  <c r="G21" i="97"/>
  <c r="G21" i="89"/>
  <c r="G21" i="96"/>
  <c r="G23" i="88"/>
  <c r="L72" i="11"/>
  <c r="D18" i="89"/>
  <c r="T50" i="88"/>
  <c r="G21" i="88"/>
  <c r="K30" i="80"/>
  <c r="AB15" i="70" s="1"/>
  <c r="Y22" i="95"/>
  <c r="U25" i="89"/>
  <c r="Y18" i="95"/>
  <c r="F35" i="81"/>
  <c r="G17" i="88"/>
  <c r="I25" i="89"/>
  <c r="U22" i="97"/>
  <c r="M19" i="95"/>
  <c r="U19" i="97"/>
  <c r="L18" i="97"/>
  <c r="M20" i="95"/>
  <c r="P22" i="97"/>
  <c r="P22" i="90" s="1"/>
  <c r="S20" i="89"/>
  <c r="P25" i="97"/>
  <c r="S22" i="96"/>
  <c r="U17" i="96"/>
  <c r="I17" i="97"/>
  <c r="M17" i="97" s="1"/>
  <c r="U17" i="89"/>
  <c r="D20" i="88"/>
  <c r="L20" i="97"/>
  <c r="Y21" i="95"/>
  <c r="E20" i="89"/>
  <c r="L21" i="88"/>
  <c r="P20" i="89"/>
  <c r="N15" i="51"/>
  <c r="N53" i="11" s="1"/>
  <c r="S21" i="97"/>
  <c r="S21" i="90" s="1"/>
  <c r="D19" i="88"/>
  <c r="Y25" i="95"/>
  <c r="G25" i="96"/>
  <c r="G22" i="89"/>
  <c r="P19" i="97"/>
  <c r="S25" i="96"/>
  <c r="S23" i="88"/>
  <c r="Y23" i="88" s="1"/>
  <c r="U20" i="89"/>
  <c r="G25" i="88"/>
  <c r="D17" i="89"/>
  <c r="I25" i="96"/>
  <c r="U25" i="96"/>
  <c r="D25" i="88"/>
  <c r="M25" i="88" s="1"/>
  <c r="D19" i="97"/>
  <c r="D22" i="89"/>
  <c r="I24" i="89"/>
  <c r="L22" i="89"/>
  <c r="P25" i="88"/>
  <c r="S19" i="88"/>
  <c r="P19" i="89"/>
  <c r="Y23" i="95"/>
  <c r="Y19" i="95"/>
  <c r="G22" i="97"/>
  <c r="G22" i="90" s="1"/>
  <c r="E20" i="96"/>
  <c r="U19" i="96"/>
  <c r="P17" i="96"/>
  <c r="M22" i="95"/>
  <c r="E21" i="97"/>
  <c r="D23" i="89"/>
  <c r="G20" i="89"/>
  <c r="I21" i="89"/>
  <c r="L22" i="97"/>
  <c r="D17" i="96"/>
  <c r="D17" i="90" s="1"/>
  <c r="I24" i="97"/>
  <c r="U19" i="89"/>
  <c r="S20" i="96"/>
  <c r="D22" i="96"/>
  <c r="G25" i="97"/>
  <c r="L18" i="89"/>
  <c r="S20" i="97"/>
  <c r="P23" i="89"/>
  <c r="S21" i="89"/>
  <c r="Y17" i="95"/>
  <c r="M25" i="95"/>
  <c r="B69" i="94"/>
  <c r="D25" i="97"/>
  <c r="S22" i="89"/>
  <c r="I20" i="97"/>
  <c r="D21" i="89"/>
  <c r="E21" i="88"/>
  <c r="G17" i="96"/>
  <c r="G19" i="89"/>
  <c r="L20" i="89"/>
  <c r="L18" i="88"/>
  <c r="D24" i="96"/>
  <c r="L21" i="89"/>
  <c r="P24" i="89"/>
  <c r="S20" i="88"/>
  <c r="Y20" i="88" s="1"/>
  <c r="I19" i="96"/>
  <c r="S22" i="88"/>
  <c r="S17" i="89"/>
  <c r="P18" i="89"/>
  <c r="U18" i="89"/>
  <c r="U20" i="96"/>
  <c r="S19" i="97"/>
  <c r="S18" i="97"/>
  <c r="L24" i="96"/>
  <c r="L24" i="90" s="1"/>
  <c r="G19" i="96"/>
  <c r="D21" i="97"/>
  <c r="U23" i="97"/>
  <c r="U18" i="96"/>
  <c r="M24" i="95"/>
  <c r="I18" i="97"/>
  <c r="G20" i="97"/>
  <c r="G18" i="97"/>
  <c r="D23" i="96"/>
  <c r="D24" i="89"/>
  <c r="P20" i="96"/>
  <c r="I23" i="89"/>
  <c r="M21" i="95"/>
  <c r="M18" i="95"/>
  <c r="G19" i="97"/>
  <c r="M23" i="95"/>
  <c r="T52" i="88"/>
  <c r="T46" i="88"/>
  <c r="T48" i="88"/>
  <c r="G18" i="96"/>
  <c r="D19" i="96"/>
  <c r="I20" i="96"/>
  <c r="I17" i="89"/>
  <c r="I22" i="89"/>
  <c r="S25" i="97"/>
  <c r="S22" i="97"/>
  <c r="S17" i="96"/>
  <c r="U17" i="88"/>
  <c r="Y17" i="88" s="1"/>
  <c r="U22" i="88"/>
  <c r="P22" i="89"/>
  <c r="P24" i="97"/>
  <c r="I23" i="96"/>
  <c r="U18" i="97"/>
  <c r="S17" i="97"/>
  <c r="U17" i="97"/>
  <c r="I21" i="97"/>
  <c r="I19" i="89"/>
  <c r="I20" i="89"/>
  <c r="I22" i="97"/>
  <c r="L25" i="89"/>
  <c r="I17" i="88"/>
  <c r="U24" i="97"/>
  <c r="U23" i="89"/>
  <c r="U17" i="90"/>
  <c r="U21" i="96"/>
  <c r="P23" i="96"/>
  <c r="B69" i="79"/>
  <c r="D24" i="97"/>
  <c r="I23" i="88"/>
  <c r="L24" i="89"/>
  <c r="L25" i="96"/>
  <c r="I18" i="89"/>
  <c r="S24" i="89"/>
  <c r="S21" i="88"/>
  <c r="S18" i="88"/>
  <c r="L21" i="90"/>
  <c r="Y24" i="95"/>
  <c r="U24" i="88"/>
  <c r="E25" i="89"/>
  <c r="I18" i="88"/>
  <c r="L19" i="88"/>
  <c r="P17" i="97"/>
  <c r="P17" i="90" s="1"/>
  <c r="P25" i="89"/>
  <c r="P17" i="89"/>
  <c r="S25" i="89"/>
  <c r="S18" i="89"/>
  <c r="P23" i="97"/>
  <c r="I21" i="96"/>
  <c r="I23" i="97"/>
  <c r="U25" i="97"/>
  <c r="M45" i="88"/>
  <c r="E25" i="97"/>
  <c r="G18" i="89"/>
  <c r="E25" i="96"/>
  <c r="L19" i="97"/>
  <c r="U22" i="96"/>
  <c r="U22" i="89"/>
  <c r="P21" i="97"/>
  <c r="U20" i="97"/>
  <c r="P24" i="96"/>
  <c r="S19" i="96"/>
  <c r="P25" i="96"/>
  <c r="C15" i="70"/>
  <c r="M86" i="11" s="1"/>
  <c r="I17" i="90"/>
  <c r="M17" i="95"/>
  <c r="N14" i="51"/>
  <c r="L53" i="11" s="1"/>
  <c r="M50" i="88"/>
  <c r="M48" i="88"/>
  <c r="M49" i="88"/>
  <c r="M47" i="88"/>
  <c r="M46" i="88"/>
  <c r="J16" i="54"/>
  <c r="P93" i="11" s="1"/>
  <c r="M16" i="54"/>
  <c r="P92" i="11"/>
  <c r="AH10" i="70"/>
  <c r="H79" i="11" s="1"/>
  <c r="M82" i="11"/>
  <c r="M81" i="11"/>
  <c r="O81" i="11"/>
  <c r="O82" i="11"/>
  <c r="T10" i="52"/>
  <c r="H62" i="11" s="1"/>
  <c r="O60" i="11"/>
  <c r="AN10" i="70"/>
  <c r="H82" i="11" s="1"/>
  <c r="L83" i="11"/>
  <c r="AP10" i="70"/>
  <c r="H83" i="11" s="1"/>
  <c r="W17" i="78"/>
  <c r="X17" i="78" s="1"/>
  <c r="V14" i="78"/>
  <c r="P62" i="11"/>
  <c r="O67" i="11"/>
  <c r="M61" i="11"/>
  <c r="K95" i="11"/>
  <c r="M13" i="52"/>
  <c r="J58" i="11" s="1"/>
  <c r="M15" i="52"/>
  <c r="N58" i="11" s="1"/>
  <c r="M14" i="52"/>
  <c r="L58" i="11" s="1"/>
  <c r="N15" i="52"/>
  <c r="N59" i="11" s="1"/>
  <c r="N13" i="52"/>
  <c r="J59" i="11" s="1"/>
  <c r="N14" i="52"/>
  <c r="L59" i="11" s="1"/>
  <c r="M16" i="52"/>
  <c r="P58" i="11" s="1"/>
  <c r="N16" i="52"/>
  <c r="P59" i="11" s="1"/>
  <c r="Q86" i="11"/>
  <c r="K96" i="11"/>
  <c r="K92" i="11"/>
  <c r="K89" i="11"/>
  <c r="K99" i="11"/>
  <c r="K90" i="11"/>
  <c r="Q65" i="11"/>
  <c r="O70" i="11"/>
  <c r="R16" i="52"/>
  <c r="P61" i="11" s="1"/>
  <c r="Q64" i="11"/>
  <c r="K98" i="11"/>
  <c r="D13" i="54"/>
  <c r="M90" i="11"/>
  <c r="O64" i="11"/>
  <c r="M99" i="11"/>
  <c r="C14" i="70"/>
  <c r="K64" i="11" s="1"/>
  <c r="M93" i="11"/>
  <c r="M96" i="11"/>
  <c r="O86" i="11"/>
  <c r="Q14" i="70"/>
  <c r="K70" i="11" s="1"/>
  <c r="O76" i="11"/>
  <c r="O75" i="11"/>
  <c r="M92" i="11"/>
  <c r="M95" i="11"/>
  <c r="O65" i="11"/>
  <c r="I14" i="70"/>
  <c r="K66" i="11" s="1"/>
  <c r="M98" i="11"/>
  <c r="M89" i="11"/>
  <c r="O87" i="11"/>
  <c r="I15" i="70"/>
  <c r="M67" i="11" s="1"/>
  <c r="M75" i="11"/>
  <c r="M76" i="11"/>
  <c r="K60" i="11"/>
  <c r="W18" i="78"/>
  <c r="X18" i="78" s="1"/>
  <c r="V15" i="78"/>
  <c r="V16" i="78"/>
  <c r="W16" i="78"/>
  <c r="X16" i="78" s="1"/>
  <c r="V17" i="78"/>
  <c r="W14" i="78"/>
  <c r="X14" i="78" s="1"/>
  <c r="P14" i="49" s="1"/>
  <c r="Y20" i="78"/>
  <c r="W15" i="78"/>
  <c r="X15" i="78" s="1"/>
  <c r="Y19" i="78"/>
  <c r="O48" i="88"/>
  <c r="O50" i="88"/>
  <c r="O46" i="88"/>
  <c r="Y58" i="88"/>
  <c r="Y57" i="88"/>
  <c r="Y50" i="88"/>
  <c r="Y56" i="88"/>
  <c r="Y46" i="88"/>
  <c r="Y41" i="88"/>
  <c r="Y40" i="88"/>
  <c r="Y52" i="88"/>
  <c r="Y42" i="88"/>
  <c r="Y55" i="88"/>
  <c r="Y48" i="88"/>
  <c r="Y39" i="88"/>
  <c r="Q50" i="88"/>
  <c r="Q46" i="88"/>
  <c r="Q52" i="88"/>
  <c r="Q49" i="88"/>
  <c r="Q48" i="88"/>
  <c r="I58" i="88"/>
  <c r="I50" i="88"/>
  <c r="I46" i="88"/>
  <c r="I52" i="88"/>
  <c r="I48" i="88"/>
  <c r="H48" i="88"/>
  <c r="H58" i="88"/>
  <c r="H50" i="88"/>
  <c r="H46" i="88"/>
  <c r="H52" i="88"/>
  <c r="S48" i="88"/>
  <c r="S50" i="88"/>
  <c r="S46" i="88"/>
  <c r="U58" i="88"/>
  <c r="U57" i="88"/>
  <c r="U50" i="88"/>
  <c r="U46" i="88"/>
  <c r="U40" i="88"/>
  <c r="U52" i="88"/>
  <c r="U42" i="88"/>
  <c r="U56" i="88"/>
  <c r="U55" i="88"/>
  <c r="U48" i="88"/>
  <c r="U39" i="88"/>
  <c r="K52" i="88"/>
  <c r="K47" i="88"/>
  <c r="K49" i="88"/>
  <c r="K48" i="88"/>
  <c r="K50" i="88"/>
  <c r="K45" i="88"/>
  <c r="K51" i="88"/>
  <c r="K46" i="88"/>
  <c r="J52" i="88"/>
  <c r="J48" i="88"/>
  <c r="J50" i="88"/>
  <c r="J46" i="88"/>
  <c r="AA56" i="88"/>
  <c r="AA55" i="88"/>
  <c r="AA58" i="88"/>
  <c r="AA52" i="88"/>
  <c r="AA47" i="88"/>
  <c r="AA49" i="88"/>
  <c r="AA48" i="88"/>
  <c r="AA41" i="88"/>
  <c r="AA40" i="88"/>
  <c r="AA57" i="88"/>
  <c r="AA50" i="88"/>
  <c r="AA45" i="88"/>
  <c r="AA39" i="88"/>
  <c r="AA51" i="88"/>
  <c r="AA46" i="88"/>
  <c r="AA42" i="88"/>
  <c r="X55" i="88"/>
  <c r="X48" i="88"/>
  <c r="X58" i="88"/>
  <c r="X50" i="88"/>
  <c r="X39" i="88"/>
  <c r="X42" i="88"/>
  <c r="X56" i="88"/>
  <c r="X46" i="88"/>
  <c r="X41" i="88"/>
  <c r="X40" i="88"/>
  <c r="X57" i="88"/>
  <c r="X52" i="88"/>
  <c r="P48" i="88"/>
  <c r="P50" i="88"/>
  <c r="P46" i="88"/>
  <c r="P52" i="88"/>
  <c r="N52" i="88"/>
  <c r="N46" i="88"/>
  <c r="N49" i="88"/>
  <c r="N48" i="88"/>
  <c r="N50" i="88"/>
  <c r="Z58" i="88"/>
  <c r="Z57" i="88"/>
  <c r="Z56" i="88"/>
  <c r="Z55" i="88"/>
  <c r="Z51" i="88"/>
  <c r="Z52" i="88"/>
  <c r="Z47" i="88"/>
  <c r="Z42" i="88"/>
  <c r="Z46" i="88"/>
  <c r="Z49" i="88"/>
  <c r="Z48" i="88"/>
  <c r="Z45" i="88"/>
  <c r="Z50" i="88"/>
  <c r="Z39" i="88"/>
  <c r="Z41" i="88"/>
  <c r="Z40" i="88"/>
  <c r="L48" i="88"/>
  <c r="L50" i="88"/>
  <c r="L46" i="88"/>
  <c r="L52" i="88"/>
  <c r="W56" i="88"/>
  <c r="W57" i="88"/>
  <c r="W52" i="88"/>
  <c r="W55" i="88"/>
  <c r="W48" i="88"/>
  <c r="W41" i="88"/>
  <c r="W40" i="88"/>
  <c r="W58" i="88"/>
  <c r="W50" i="88"/>
  <c r="W39" i="88"/>
  <c r="W46" i="88"/>
  <c r="W42" i="88"/>
  <c r="V58" i="88"/>
  <c r="V56" i="88"/>
  <c r="V52" i="88"/>
  <c r="V42" i="88"/>
  <c r="V55" i="88"/>
  <c r="V48" i="88"/>
  <c r="V50" i="88"/>
  <c r="V39" i="88"/>
  <c r="V46" i="88"/>
  <c r="V40" i="88"/>
  <c r="R52" i="88"/>
  <c r="R46" i="88"/>
  <c r="R48" i="88"/>
  <c r="F53" i="82"/>
  <c r="M22" i="70"/>
  <c r="AB68" i="11" s="1"/>
  <c r="F46" i="82"/>
  <c r="M15" i="70"/>
  <c r="N68" i="11" s="1"/>
  <c r="P74" i="11"/>
  <c r="F49" i="82"/>
  <c r="M18" i="70"/>
  <c r="T68" i="11" s="1"/>
  <c r="F52" i="82"/>
  <c r="M21" i="70"/>
  <c r="Z68" i="11" s="1"/>
  <c r="F45" i="82"/>
  <c r="M14" i="70"/>
  <c r="F50" i="82"/>
  <c r="M19" i="70"/>
  <c r="V68" i="11" s="1"/>
  <c r="X16" i="54"/>
  <c r="J13" i="70"/>
  <c r="K13" i="70"/>
  <c r="J64" i="11"/>
  <c r="D10" i="70"/>
  <c r="H64" i="11" s="1"/>
  <c r="M71" i="11"/>
  <c r="M70" i="11"/>
  <c r="R16" i="54"/>
  <c r="J14" i="70"/>
  <c r="K14" i="70"/>
  <c r="L67" i="11" s="1"/>
  <c r="L64" i="11"/>
  <c r="F51" i="82"/>
  <c r="M20" i="70"/>
  <c r="X68" i="11" s="1"/>
  <c r="F48" i="82"/>
  <c r="M17" i="70"/>
  <c r="R68" i="11" s="1"/>
  <c r="F54" i="82"/>
  <c r="M23" i="70"/>
  <c r="AD68" i="11" s="1"/>
  <c r="F47" i="82"/>
  <c r="M16" i="70"/>
  <c r="P68" i="11" s="1"/>
  <c r="E15" i="70"/>
  <c r="N65" i="11" s="1"/>
  <c r="E13" i="70"/>
  <c r="E17" i="70"/>
  <c r="R65" i="11" s="1"/>
  <c r="E14" i="70"/>
  <c r="L65" i="11" s="1"/>
  <c r="P65" i="11"/>
  <c r="K15" i="70"/>
  <c r="N67" i="11" s="1"/>
  <c r="J15" i="70"/>
  <c r="N64" i="11"/>
  <c r="K33" i="83"/>
  <c r="L33" i="83"/>
  <c r="C52" i="81"/>
  <c r="Y36" i="81" s="1"/>
  <c r="C54" i="81"/>
  <c r="AA36" i="81" s="1"/>
  <c r="C41" i="81"/>
  <c r="N36" i="81" s="1"/>
  <c r="C39" i="81"/>
  <c r="L36" i="81" s="1"/>
  <c r="C47" i="81"/>
  <c r="T36" i="81" s="1"/>
  <c r="C35" i="81"/>
  <c r="H36" i="81" s="1"/>
  <c r="C51" i="81"/>
  <c r="X36" i="81" s="1"/>
  <c r="C48" i="81"/>
  <c r="U36" i="81" s="1"/>
  <c r="C43" i="81"/>
  <c r="P36" i="81" s="1"/>
  <c r="C44" i="81"/>
  <c r="Q36" i="81" s="1"/>
  <c r="C36" i="81"/>
  <c r="I36" i="81" s="1"/>
  <c r="C46" i="81"/>
  <c r="S36" i="81" s="1"/>
  <c r="C42" i="81"/>
  <c r="O36" i="81" s="1"/>
  <c r="C49" i="81"/>
  <c r="V36" i="81" s="1"/>
  <c r="C50" i="81"/>
  <c r="W36" i="81" s="1"/>
  <c r="C37" i="81"/>
  <c r="J36" i="81" s="1"/>
  <c r="C45" i="81"/>
  <c r="R36" i="81" s="1"/>
  <c r="C38" i="81"/>
  <c r="K36" i="81" s="1"/>
  <c r="C40" i="81"/>
  <c r="M36" i="81" s="1"/>
  <c r="C53" i="81"/>
  <c r="Z36" i="81" s="1"/>
  <c r="J24" i="90" l="1"/>
  <c r="W19" i="90"/>
  <c r="L52" i="90" s="1"/>
  <c r="L52" i="97"/>
  <c r="R15" i="52"/>
  <c r="J23" i="90"/>
  <c r="V24" i="90"/>
  <c r="E22" i="90"/>
  <c r="M20" i="88"/>
  <c r="W21" i="90"/>
  <c r="V19" i="90"/>
  <c r="V21" i="90"/>
  <c r="AG15" i="70"/>
  <c r="N78" i="11" s="1"/>
  <c r="AM15" i="70"/>
  <c r="N81" i="11" s="1"/>
  <c r="AB16" i="70"/>
  <c r="X19" i="90"/>
  <c r="L58" i="90" s="1"/>
  <c r="U23" i="90"/>
  <c r="S18" i="90"/>
  <c r="E20" i="90"/>
  <c r="E24" i="90"/>
  <c r="E21" i="90"/>
  <c r="Q10" i="52"/>
  <c r="H60" i="11" s="1"/>
  <c r="X20" i="90"/>
  <c r="X23" i="90"/>
  <c r="Q21" i="90"/>
  <c r="X21" i="90"/>
  <c r="V20" i="90"/>
  <c r="X22" i="90"/>
  <c r="X18" i="90"/>
  <c r="U21" i="90"/>
  <c r="E23" i="90"/>
  <c r="W25" i="90"/>
  <c r="T52" i="90" s="1"/>
  <c r="T52" i="96"/>
  <c r="I25" i="90"/>
  <c r="L25" i="90"/>
  <c r="S25" i="90"/>
  <c r="R24" i="90"/>
  <c r="S50" i="90" s="1"/>
  <c r="S50" i="96"/>
  <c r="E13" i="54"/>
  <c r="J90" i="11" s="1"/>
  <c r="P25" i="90"/>
  <c r="D25" i="90"/>
  <c r="D18" i="90"/>
  <c r="D23" i="90"/>
  <c r="L22" i="90"/>
  <c r="Y19" i="88"/>
  <c r="Y21" i="89"/>
  <c r="Y25" i="88"/>
  <c r="I10" i="54"/>
  <c r="H92" i="11" s="1"/>
  <c r="R15" i="54"/>
  <c r="R14" i="54"/>
  <c r="X14" i="54"/>
  <c r="Q13" i="49"/>
  <c r="R13" i="49" s="1"/>
  <c r="Q14" i="49"/>
  <c r="R14" i="49" s="1"/>
  <c r="L46" i="11" s="1"/>
  <c r="Q16" i="49"/>
  <c r="Q17" i="49" s="1"/>
  <c r="Q15" i="49"/>
  <c r="R15" i="49" s="1"/>
  <c r="N46" i="11" s="1"/>
  <c r="Y18" i="88"/>
  <c r="P18" i="90"/>
  <c r="Q24" i="90"/>
  <c r="Y18" i="96"/>
  <c r="L20" i="90"/>
  <c r="M23" i="97"/>
  <c r="Y23" i="96"/>
  <c r="G20" i="90"/>
  <c r="I19" i="90"/>
  <c r="Y24" i="88"/>
  <c r="L18" i="90"/>
  <c r="M23" i="96"/>
  <c r="M17" i="96"/>
  <c r="U22" i="90"/>
  <c r="G24" i="90"/>
  <c r="N95" i="11"/>
  <c r="Z10" i="70"/>
  <c r="H74" i="11" s="1"/>
  <c r="R75" i="11"/>
  <c r="I22" i="90"/>
  <c r="D21" i="90"/>
  <c r="Y18" i="97"/>
  <c r="M22" i="96"/>
  <c r="S24" i="90"/>
  <c r="M18" i="96"/>
  <c r="D20" i="90"/>
  <c r="Y21" i="88"/>
  <c r="Y24" i="96"/>
  <c r="M21" i="96"/>
  <c r="G21" i="90"/>
  <c r="I24" i="90"/>
  <c r="M23" i="88"/>
  <c r="D24" i="90"/>
  <c r="L19" i="90"/>
  <c r="P19" i="90"/>
  <c r="J14" i="54"/>
  <c r="L93" i="11" s="1"/>
  <c r="G19" i="90"/>
  <c r="U19" i="90"/>
  <c r="M17" i="88"/>
  <c r="M87" i="11"/>
  <c r="M65" i="11"/>
  <c r="M64" i="11"/>
  <c r="AC15" i="70"/>
  <c r="N76" i="11" s="1"/>
  <c r="K29" i="80"/>
  <c r="AB14" i="70" s="1"/>
  <c r="J18" i="49"/>
  <c r="S42" i="11" s="1"/>
  <c r="P18" i="49"/>
  <c r="J17" i="49"/>
  <c r="Q43" i="11" s="1"/>
  <c r="P17" i="49"/>
  <c r="J16" i="49"/>
  <c r="O43" i="11" s="1"/>
  <c r="P16" i="49"/>
  <c r="J15" i="49"/>
  <c r="M43" i="11" s="1"/>
  <c r="P15" i="49"/>
  <c r="K46" i="11"/>
  <c r="K45" i="11"/>
  <c r="Y20" i="89"/>
  <c r="Y17" i="89"/>
  <c r="Y22" i="97"/>
  <c r="M19" i="89"/>
  <c r="Y24" i="89"/>
  <c r="M25" i="97"/>
  <c r="M18" i="88"/>
  <c r="Y25" i="89"/>
  <c r="S20" i="90"/>
  <c r="M21" i="97"/>
  <c r="Y21" i="96"/>
  <c r="S19" i="90"/>
  <c r="M23" i="89"/>
  <c r="M22" i="89"/>
  <c r="M19" i="88"/>
  <c r="M21" i="88"/>
  <c r="Y25" i="96"/>
  <c r="G25" i="90"/>
  <c r="Y18" i="89"/>
  <c r="D22" i="90"/>
  <c r="Y17" i="96"/>
  <c r="M17" i="89"/>
  <c r="G18" i="90"/>
  <c r="M21" i="89"/>
  <c r="M20" i="89"/>
  <c r="Y19" i="89"/>
  <c r="Y19" i="97"/>
  <c r="Y23" i="89"/>
  <c r="S17" i="90"/>
  <c r="Y17" i="90" s="1"/>
  <c r="I20" i="90"/>
  <c r="Y20" i="96"/>
  <c r="Y22" i="96"/>
  <c r="U25" i="90"/>
  <c r="Y24" i="97"/>
  <c r="M19" i="96"/>
  <c r="M24" i="89"/>
  <c r="M18" i="97"/>
  <c r="G17" i="90"/>
  <c r="M17" i="90" s="1"/>
  <c r="P24" i="90"/>
  <c r="Y17" i="97"/>
  <c r="Y22" i="89"/>
  <c r="M22" i="97"/>
  <c r="I18" i="90"/>
  <c r="U24" i="90"/>
  <c r="P23" i="90"/>
  <c r="M19" i="97"/>
  <c r="M20" i="96"/>
  <c r="Y20" i="97"/>
  <c r="M25" i="89"/>
  <c r="M18" i="89"/>
  <c r="M24" i="97"/>
  <c r="U18" i="90"/>
  <c r="U20" i="90"/>
  <c r="Y22" i="88"/>
  <c r="M24" i="96"/>
  <c r="P20" i="90"/>
  <c r="D19" i="90"/>
  <c r="I21" i="90"/>
  <c r="Y25" i="97"/>
  <c r="E25" i="90"/>
  <c r="S22" i="90"/>
  <c r="M20" i="97"/>
  <c r="I23" i="90"/>
  <c r="M25" i="96"/>
  <c r="Y19" i="96"/>
  <c r="Y21" i="97"/>
  <c r="P21" i="90"/>
  <c r="N10" i="51"/>
  <c r="H53" i="11" s="1"/>
  <c r="Y23" i="97"/>
  <c r="L60" i="11"/>
  <c r="J13" i="54"/>
  <c r="J93" i="11" s="1"/>
  <c r="J15" i="54"/>
  <c r="N93" i="11" s="1"/>
  <c r="K67" i="11"/>
  <c r="M66" i="11"/>
  <c r="K71" i="11"/>
  <c r="N10" i="52"/>
  <c r="H59" i="11" s="1"/>
  <c r="M10" i="52"/>
  <c r="H58" i="11" s="1"/>
  <c r="D10" i="54"/>
  <c r="H89" i="11" s="1"/>
  <c r="J89" i="11"/>
  <c r="N13" i="54"/>
  <c r="X13" i="54" s="1"/>
  <c r="M13" i="54"/>
  <c r="H13" i="54"/>
  <c r="K65" i="11"/>
  <c r="K86" i="11"/>
  <c r="K87" i="11"/>
  <c r="N61" i="11"/>
  <c r="R10" i="52"/>
  <c r="H61" i="11" s="1"/>
  <c r="Z15" i="78"/>
  <c r="Z16" i="78"/>
  <c r="J14" i="49"/>
  <c r="K43" i="11" s="1"/>
  <c r="Z14" i="78"/>
  <c r="K14" i="49" s="1"/>
  <c r="L42" i="11" s="1"/>
  <c r="U54" i="88"/>
  <c r="U53" i="88"/>
  <c r="U78" i="88" s="1"/>
  <c r="U79" i="88" s="1"/>
  <c r="Y37" i="88"/>
  <c r="Y68" i="88" s="1"/>
  <c r="Y69" i="88" s="1"/>
  <c r="Y38" i="88"/>
  <c r="Y54" i="88"/>
  <c r="Y53" i="88"/>
  <c r="Y78" i="88" s="1"/>
  <c r="Y79" i="88" s="1"/>
  <c r="AA60" i="88"/>
  <c r="AA37" i="88"/>
  <c r="AA68" i="88" s="1"/>
  <c r="AA69" i="88" s="1"/>
  <c r="AA59" i="88"/>
  <c r="AA83" i="88" s="1"/>
  <c r="AA84" i="88" s="1"/>
  <c r="AA38" i="88"/>
  <c r="Z60" i="88"/>
  <c r="Z59" i="88"/>
  <c r="Z83" i="88" s="1"/>
  <c r="Z84" i="88" s="1"/>
  <c r="Z38" i="88"/>
  <c r="Z37" i="88"/>
  <c r="Z68" i="88" s="1"/>
  <c r="Z69" i="88" s="1"/>
  <c r="AA43" i="88"/>
  <c r="AA73" i="88" s="1"/>
  <c r="AA74" i="88" s="1"/>
  <c r="AA44" i="88"/>
  <c r="Z44" i="88"/>
  <c r="Z43" i="88"/>
  <c r="Z73" i="88" s="1"/>
  <c r="Z74" i="88" s="1"/>
  <c r="Z53" i="88"/>
  <c r="Z78" i="88" s="1"/>
  <c r="Z79" i="88" s="1"/>
  <c r="Z54" i="88"/>
  <c r="AA53" i="88"/>
  <c r="AA78" i="88" s="1"/>
  <c r="AA79" i="88" s="1"/>
  <c r="AA54" i="88"/>
  <c r="K43" i="88"/>
  <c r="K73" i="88" s="1"/>
  <c r="K74" i="88" s="1"/>
  <c r="K44" i="88"/>
  <c r="X53" i="88"/>
  <c r="X78" i="88" s="1"/>
  <c r="X79" i="88" s="1"/>
  <c r="X54" i="88"/>
  <c r="W37" i="88"/>
  <c r="W68" i="88" s="1"/>
  <c r="W69" i="88" s="1"/>
  <c r="W38" i="88"/>
  <c r="W53" i="88"/>
  <c r="W78" i="88" s="1"/>
  <c r="W54" i="88"/>
  <c r="X38" i="88"/>
  <c r="X37" i="88"/>
  <c r="X68" i="88" s="1"/>
  <c r="X69" i="88" s="1"/>
  <c r="E10" i="70"/>
  <c r="H65" i="11" s="1"/>
  <c r="J65" i="11"/>
  <c r="R14" i="70"/>
  <c r="L70" i="11" s="1"/>
  <c r="S14" i="70"/>
  <c r="L71" i="11" s="1"/>
  <c r="L66" i="11"/>
  <c r="L68" i="11"/>
  <c r="R13" i="70"/>
  <c r="S13" i="70"/>
  <c r="J66" i="11"/>
  <c r="J10" i="70"/>
  <c r="H66" i="11" s="1"/>
  <c r="R15" i="70"/>
  <c r="N70" i="11" s="1"/>
  <c r="S15" i="70"/>
  <c r="N71" i="11" s="1"/>
  <c r="N66" i="11"/>
  <c r="J67" i="11"/>
  <c r="K10" i="70"/>
  <c r="H67" i="11" s="1"/>
  <c r="K58" i="81"/>
  <c r="K57" i="81"/>
  <c r="K52" i="81"/>
  <c r="K47" i="81"/>
  <c r="K42" i="81"/>
  <c r="K55" i="81"/>
  <c r="K51" i="81"/>
  <c r="K48" i="81"/>
  <c r="K45" i="81"/>
  <c r="K41" i="81"/>
  <c r="K40" i="81"/>
  <c r="K50" i="81"/>
  <c r="K49" i="81"/>
  <c r="K46" i="81"/>
  <c r="K56" i="81"/>
  <c r="K39" i="81"/>
  <c r="Q50" i="81"/>
  <c r="Q45" i="81"/>
  <c r="Q51" i="81"/>
  <c r="Q55" i="81"/>
  <c r="Q48" i="81"/>
  <c r="Q42" i="81"/>
  <c r="Q47" i="81"/>
  <c r="Q58" i="81"/>
  <c r="Q57" i="81"/>
  <c r="Q56" i="81"/>
  <c r="Q46" i="81"/>
  <c r="Q40" i="81"/>
  <c r="Q52" i="81"/>
  <c r="Q49" i="81"/>
  <c r="Q41" i="81"/>
  <c r="Q39" i="81"/>
  <c r="AA58" i="81"/>
  <c r="AA57" i="81"/>
  <c r="AA52" i="81"/>
  <c r="AA47" i="81"/>
  <c r="AA42" i="81"/>
  <c r="AA55" i="81"/>
  <c r="AA51" i="81"/>
  <c r="AA48" i="81"/>
  <c r="AA45" i="81"/>
  <c r="AA40" i="81"/>
  <c r="AA49" i="81"/>
  <c r="AA46" i="81"/>
  <c r="AA56" i="81"/>
  <c r="AA41" i="81"/>
  <c r="AA50" i="81"/>
  <c r="AA39" i="81"/>
  <c r="O58" i="81"/>
  <c r="O57" i="81"/>
  <c r="O52" i="81"/>
  <c r="O47" i="81"/>
  <c r="O42" i="81"/>
  <c r="O46" i="81"/>
  <c r="O41" i="81"/>
  <c r="O40" i="81"/>
  <c r="O48" i="81"/>
  <c r="O39" i="81"/>
  <c r="O55" i="81"/>
  <c r="O56" i="81"/>
  <c r="O45" i="81"/>
  <c r="O51" i="81"/>
  <c r="O49" i="81"/>
  <c r="O50" i="81"/>
  <c r="T56" i="81"/>
  <c r="T55" i="81"/>
  <c r="T49" i="81"/>
  <c r="T48" i="81"/>
  <c r="T57" i="81"/>
  <c r="T58" i="81"/>
  <c r="T52" i="81"/>
  <c r="T46" i="81"/>
  <c r="T45" i="81"/>
  <c r="T42" i="81"/>
  <c r="T39" i="81"/>
  <c r="T51" i="81"/>
  <c r="T41" i="81"/>
  <c r="T50" i="81"/>
  <c r="T47" i="81"/>
  <c r="T40" i="81"/>
  <c r="Z51" i="81"/>
  <c r="Z46" i="81"/>
  <c r="Z41" i="81"/>
  <c r="Z58" i="81"/>
  <c r="Z52" i="81"/>
  <c r="Z39" i="81"/>
  <c r="Z50" i="81"/>
  <c r="Z42" i="81"/>
  <c r="Z56" i="81"/>
  <c r="Z55" i="81"/>
  <c r="Z49" i="81"/>
  <c r="Z45" i="81"/>
  <c r="Z57" i="81"/>
  <c r="Z47" i="81"/>
  <c r="Z48" i="81"/>
  <c r="Z40" i="81"/>
  <c r="J51" i="81"/>
  <c r="J46" i="81"/>
  <c r="J58" i="81"/>
  <c r="J52" i="81"/>
  <c r="J39" i="81"/>
  <c r="J57" i="81"/>
  <c r="J56" i="81"/>
  <c r="J47" i="81"/>
  <c r="J41" i="81"/>
  <c r="J50" i="81"/>
  <c r="J42" i="81"/>
  <c r="J45" i="81"/>
  <c r="J40" i="81"/>
  <c r="J55" i="81"/>
  <c r="J48" i="81"/>
  <c r="J49" i="81"/>
  <c r="S58" i="81"/>
  <c r="S57" i="81"/>
  <c r="S52" i="81"/>
  <c r="S47" i="81"/>
  <c r="S42" i="81"/>
  <c r="S56" i="81"/>
  <c r="S49" i="81"/>
  <c r="S41" i="81"/>
  <c r="S40" i="81"/>
  <c r="S55" i="81"/>
  <c r="S50" i="81"/>
  <c r="S46" i="81"/>
  <c r="S45" i="81"/>
  <c r="S39" i="81"/>
  <c r="S51" i="81"/>
  <c r="S48" i="81"/>
  <c r="U50" i="81"/>
  <c r="U45" i="81"/>
  <c r="U58" i="81"/>
  <c r="U52" i="81"/>
  <c r="U51" i="81"/>
  <c r="U57" i="81"/>
  <c r="U56" i="81"/>
  <c r="U49" i="81"/>
  <c r="U41" i="81"/>
  <c r="U48" i="81"/>
  <c r="U55" i="81"/>
  <c r="U46" i="81"/>
  <c r="U47" i="81"/>
  <c r="U40" i="81"/>
  <c r="U42" i="81"/>
  <c r="U39" i="81"/>
  <c r="L56" i="81"/>
  <c r="L55" i="81"/>
  <c r="L49" i="81"/>
  <c r="L48" i="81"/>
  <c r="L51" i="81"/>
  <c r="L50" i="81"/>
  <c r="L42" i="81"/>
  <c r="L58" i="81"/>
  <c r="L52" i="81"/>
  <c r="L46" i="81"/>
  <c r="L45" i="81"/>
  <c r="L40" i="81"/>
  <c r="L57" i="81"/>
  <c r="L47" i="81"/>
  <c r="L41" i="81"/>
  <c r="L39" i="81"/>
  <c r="V51" i="81"/>
  <c r="V46" i="81"/>
  <c r="V41" i="81"/>
  <c r="V55" i="81"/>
  <c r="V48" i="81"/>
  <c r="V45" i="81"/>
  <c r="V42" i="81"/>
  <c r="V39" i="81"/>
  <c r="V58" i="81"/>
  <c r="V52" i="81"/>
  <c r="V47" i="81"/>
  <c r="V40" i="81"/>
  <c r="V49" i="81"/>
  <c r="V56" i="81"/>
  <c r="V50" i="81"/>
  <c r="V57" i="81"/>
  <c r="H56" i="81"/>
  <c r="H55" i="81"/>
  <c r="H49" i="81"/>
  <c r="H48" i="81"/>
  <c r="H57" i="81"/>
  <c r="H47" i="81"/>
  <c r="H40" i="81"/>
  <c r="H58" i="81"/>
  <c r="H52" i="81"/>
  <c r="H39" i="81"/>
  <c r="H50" i="81"/>
  <c r="H41" i="81"/>
  <c r="H45" i="81"/>
  <c r="H42" i="81"/>
  <c r="H51" i="81"/>
  <c r="H46" i="81"/>
  <c r="R51" i="81"/>
  <c r="R46" i="81"/>
  <c r="R55" i="81"/>
  <c r="R57" i="81"/>
  <c r="R56" i="81"/>
  <c r="R50" i="81"/>
  <c r="R47" i="81"/>
  <c r="R39" i="81"/>
  <c r="R40" i="81"/>
  <c r="R58" i="81"/>
  <c r="R52" i="81"/>
  <c r="R49" i="81"/>
  <c r="R42" i="81"/>
  <c r="R48" i="81"/>
  <c r="R41" i="81"/>
  <c r="R45" i="81"/>
  <c r="P56" i="81"/>
  <c r="P55" i="81"/>
  <c r="P49" i="81"/>
  <c r="P48" i="81"/>
  <c r="P58" i="81"/>
  <c r="P52" i="81"/>
  <c r="P51" i="81"/>
  <c r="P45" i="81"/>
  <c r="P41" i="81"/>
  <c r="P57" i="81"/>
  <c r="P50" i="81"/>
  <c r="P47" i="81"/>
  <c r="P39" i="81"/>
  <c r="P46" i="81"/>
  <c r="P42" i="81"/>
  <c r="P40" i="81"/>
  <c r="Y50" i="81"/>
  <c r="Y45" i="81"/>
  <c r="Y57" i="81"/>
  <c r="Y56" i="81"/>
  <c r="Y58" i="81"/>
  <c r="Y52" i="81"/>
  <c r="Y49" i="81"/>
  <c r="Y46" i="81"/>
  <c r="Y47" i="81"/>
  <c r="Y39" i="81"/>
  <c r="Y42" i="81"/>
  <c r="Y51" i="81"/>
  <c r="Y40" i="81"/>
  <c r="Y48" i="81"/>
  <c r="Y55" i="81"/>
  <c r="Y41" i="81"/>
  <c r="M50" i="81"/>
  <c r="M45" i="81"/>
  <c r="M55" i="81"/>
  <c r="M57" i="81"/>
  <c r="M56" i="81"/>
  <c r="M47" i="81"/>
  <c r="M51" i="81"/>
  <c r="M49" i="81"/>
  <c r="M42" i="81"/>
  <c r="M40" i="81"/>
  <c r="M39" i="81"/>
  <c r="M48" i="81"/>
  <c r="M58" i="81"/>
  <c r="M52" i="81"/>
  <c r="M46" i="81"/>
  <c r="M41" i="81"/>
  <c r="W58" i="81"/>
  <c r="W57" i="81"/>
  <c r="W52" i="81"/>
  <c r="W47" i="81"/>
  <c r="W42" i="81"/>
  <c r="W55" i="81"/>
  <c r="W51" i="81"/>
  <c r="W56" i="81"/>
  <c r="W50" i="81"/>
  <c r="W40" i="81"/>
  <c r="W48" i="81"/>
  <c r="W41" i="81"/>
  <c r="W39" i="81"/>
  <c r="W45" i="81"/>
  <c r="W49" i="81"/>
  <c r="W46" i="81"/>
  <c r="I50" i="81"/>
  <c r="I45" i="81"/>
  <c r="I57" i="81"/>
  <c r="I56" i="81"/>
  <c r="I58" i="81"/>
  <c r="I52" i="81"/>
  <c r="I49" i="81"/>
  <c r="I46" i="81"/>
  <c r="I55" i="81"/>
  <c r="I48" i="81"/>
  <c r="I39" i="81"/>
  <c r="I51" i="81"/>
  <c r="I47" i="81"/>
  <c r="I41" i="81"/>
  <c r="I42" i="81"/>
  <c r="I40" i="81"/>
  <c r="X56" i="81"/>
  <c r="X55" i="81"/>
  <c r="X49" i="81"/>
  <c r="X48" i="81"/>
  <c r="X57" i="81"/>
  <c r="X47" i="81"/>
  <c r="X41" i="81"/>
  <c r="X51" i="81"/>
  <c r="X40" i="81"/>
  <c r="X50" i="81"/>
  <c r="X46" i="81"/>
  <c r="X39" i="81"/>
  <c r="X52" i="81"/>
  <c r="X58" i="81"/>
  <c r="X45" i="81"/>
  <c r="X42" i="81"/>
  <c r="N51" i="81"/>
  <c r="N46" i="81"/>
  <c r="N57" i="81"/>
  <c r="N56" i="81"/>
  <c r="N58" i="81"/>
  <c r="N52" i="81"/>
  <c r="N49" i="81"/>
  <c r="N39" i="81"/>
  <c r="N45" i="81"/>
  <c r="N48" i="81"/>
  <c r="N41" i="81"/>
  <c r="N50" i="81"/>
  <c r="N42" i="81"/>
  <c r="N40" i="81"/>
  <c r="N55" i="81"/>
  <c r="N47" i="81"/>
  <c r="AM16" i="70" l="1"/>
  <c r="P81" i="11" s="1"/>
  <c r="AG16" i="70"/>
  <c r="P78" i="11" s="1"/>
  <c r="AC16" i="70"/>
  <c r="P76" i="11" s="1"/>
  <c r="P75" i="11"/>
  <c r="AM14" i="70"/>
  <c r="AG14" i="70"/>
  <c r="Y23" i="90"/>
  <c r="E10" i="54"/>
  <c r="H90" i="11" s="1"/>
  <c r="Y21" i="90"/>
  <c r="Y25" i="90"/>
  <c r="P45" i="11"/>
  <c r="J16" i="51"/>
  <c r="R45" i="11"/>
  <c r="M13" i="70"/>
  <c r="M23" i="90"/>
  <c r="Y22" i="90"/>
  <c r="M22" i="90"/>
  <c r="Q18" i="49"/>
  <c r="Q10" i="49" s="1"/>
  <c r="H45" i="11" s="1"/>
  <c r="N45" i="11"/>
  <c r="Y18" i="90"/>
  <c r="M20" i="90"/>
  <c r="N75" i="11"/>
  <c r="M21" i="90"/>
  <c r="M19" i="90"/>
  <c r="M24" i="90"/>
  <c r="Y19" i="90"/>
  <c r="Y24" i="90"/>
  <c r="AC14" i="70"/>
  <c r="L75" i="11"/>
  <c r="AB10" i="70"/>
  <c r="H75" i="11" s="1"/>
  <c r="S43" i="11"/>
  <c r="O42" i="11"/>
  <c r="M42" i="11"/>
  <c r="S46" i="11"/>
  <c r="S45" i="11"/>
  <c r="Q42" i="11"/>
  <c r="Q45" i="11"/>
  <c r="Q46" i="11"/>
  <c r="O46" i="11"/>
  <c r="O45" i="11"/>
  <c r="M45" i="11"/>
  <c r="M46" i="11"/>
  <c r="M25" i="90"/>
  <c r="Y20" i="90"/>
  <c r="Y33" i="89"/>
  <c r="P51" i="89" s="1"/>
  <c r="M18" i="90"/>
  <c r="M33" i="89"/>
  <c r="L56" i="89" s="1"/>
  <c r="H55" i="89"/>
  <c r="T42" i="89"/>
  <c r="H57" i="89"/>
  <c r="R13" i="54"/>
  <c r="Z17" i="78"/>
  <c r="K17" i="49" s="1"/>
  <c r="K16" i="49"/>
  <c r="L16" i="49" s="1"/>
  <c r="P43" i="11" s="1"/>
  <c r="I33" i="78"/>
  <c r="K15" i="49"/>
  <c r="L15" i="49" s="1"/>
  <c r="N43" i="11" s="1"/>
  <c r="H33" i="78"/>
  <c r="K13" i="49"/>
  <c r="L13" i="49" s="1"/>
  <c r="J43" i="11" s="1"/>
  <c r="K42" i="89"/>
  <c r="H41" i="89"/>
  <c r="H40" i="89"/>
  <c r="H39" i="89"/>
  <c r="I42" i="89"/>
  <c r="L41" i="90"/>
  <c r="I57" i="90"/>
  <c r="I57" i="89"/>
  <c r="L41" i="89"/>
  <c r="I40" i="89"/>
  <c r="I55" i="89"/>
  <c r="L55" i="89"/>
  <c r="J10" i="54"/>
  <c r="H93" i="11" s="1"/>
  <c r="J95" i="11"/>
  <c r="R17" i="49"/>
  <c r="R46" i="11" s="1"/>
  <c r="J45" i="11"/>
  <c r="N10" i="54"/>
  <c r="H95" i="11" s="1"/>
  <c r="L45" i="11"/>
  <c r="L14" i="49"/>
  <c r="L43" i="11" s="1"/>
  <c r="K42" i="11"/>
  <c r="R16" i="49"/>
  <c r="P46" i="11" s="1"/>
  <c r="J46" i="11"/>
  <c r="J70" i="11"/>
  <c r="R10" i="70"/>
  <c r="H70" i="11" s="1"/>
  <c r="J71" i="11"/>
  <c r="S10" i="70"/>
  <c r="H71" i="11" s="1"/>
  <c r="N60" i="81"/>
  <c r="N38" i="81"/>
  <c r="N37" i="81"/>
  <c r="N68" i="81" s="1"/>
  <c r="N59" i="81"/>
  <c r="N83" i="81" s="1"/>
  <c r="X60" i="81"/>
  <c r="X59" i="81"/>
  <c r="X83" i="81" s="1"/>
  <c r="X37" i="81"/>
  <c r="X68" i="81" s="1"/>
  <c r="X38" i="81"/>
  <c r="P43" i="81"/>
  <c r="P73" i="81" s="1"/>
  <c r="P44" i="81"/>
  <c r="R43" i="81"/>
  <c r="R73" i="81" s="1"/>
  <c r="R44" i="81"/>
  <c r="R60" i="81"/>
  <c r="R38" i="81"/>
  <c r="R59" i="81"/>
  <c r="R83" i="81" s="1"/>
  <c r="R37" i="81"/>
  <c r="R68" i="81" s="1"/>
  <c r="V60" i="81"/>
  <c r="V59" i="81"/>
  <c r="V83" i="81" s="1"/>
  <c r="V38" i="81"/>
  <c r="V37" i="81"/>
  <c r="V68" i="81" s="1"/>
  <c r="V54" i="81"/>
  <c r="V53" i="81"/>
  <c r="V78" i="81" s="1"/>
  <c r="L60" i="81"/>
  <c r="L59" i="81"/>
  <c r="L83" i="81" s="1"/>
  <c r="L38" i="81"/>
  <c r="L37" i="81"/>
  <c r="L68" i="81" s="1"/>
  <c r="U60" i="81"/>
  <c r="U59" i="81"/>
  <c r="U83" i="81" s="1"/>
  <c r="U37" i="81"/>
  <c r="U68" i="81" s="1"/>
  <c r="U38" i="81"/>
  <c r="J43" i="81"/>
  <c r="J73" i="81" s="1"/>
  <c r="J44" i="81"/>
  <c r="Z43" i="81"/>
  <c r="Z73" i="81" s="1"/>
  <c r="Z74" i="81" s="1"/>
  <c r="Z44" i="81"/>
  <c r="AA59" i="81"/>
  <c r="AA83" i="81" s="1"/>
  <c r="AA84" i="81" s="1"/>
  <c r="AA60" i="81"/>
  <c r="AA38" i="81"/>
  <c r="AA37" i="81"/>
  <c r="AA68" i="81" s="1"/>
  <c r="AA69" i="81" s="1"/>
  <c r="Q60" i="81"/>
  <c r="Q59" i="81"/>
  <c r="Q83" i="81" s="1"/>
  <c r="Q37" i="81"/>
  <c r="Q68" i="81" s="1"/>
  <c r="Q38" i="81"/>
  <c r="Q54" i="81"/>
  <c r="Q53" i="81"/>
  <c r="Q78" i="81" s="1"/>
  <c r="K59" i="81"/>
  <c r="K83" i="81" s="1"/>
  <c r="K60" i="81"/>
  <c r="K38" i="81"/>
  <c r="K37" i="81"/>
  <c r="K68" i="81" s="1"/>
  <c r="N53" i="81"/>
  <c r="N78" i="81" s="1"/>
  <c r="N54" i="81"/>
  <c r="X43" i="81"/>
  <c r="X73" i="81" s="1"/>
  <c r="X44" i="81"/>
  <c r="I37" i="81"/>
  <c r="I68" i="81" s="1"/>
  <c r="I60" i="81"/>
  <c r="I59" i="81"/>
  <c r="I83" i="81" s="1"/>
  <c r="I38" i="81"/>
  <c r="M37" i="81"/>
  <c r="M68" i="81" s="1"/>
  <c r="M60" i="81"/>
  <c r="M59" i="81"/>
  <c r="M83" i="81" s="1"/>
  <c r="M38" i="81"/>
  <c r="M54" i="81"/>
  <c r="M53" i="81"/>
  <c r="M78" i="81" s="1"/>
  <c r="Y54" i="81"/>
  <c r="Y53" i="81"/>
  <c r="Y78" i="81" s="1"/>
  <c r="Y79" i="81" s="1"/>
  <c r="R54" i="81"/>
  <c r="R53" i="81"/>
  <c r="R78" i="81" s="1"/>
  <c r="L43" i="81"/>
  <c r="L73" i="81" s="1"/>
  <c r="L44" i="81"/>
  <c r="U54" i="81"/>
  <c r="U53" i="81"/>
  <c r="U78" i="81" s="1"/>
  <c r="T60" i="81"/>
  <c r="T59" i="81"/>
  <c r="T83" i="81" s="1"/>
  <c r="T37" i="81"/>
  <c r="T68" i="81" s="1"/>
  <c r="T38" i="81"/>
  <c r="O54" i="81"/>
  <c r="O53" i="81"/>
  <c r="O78" i="81" s="1"/>
  <c r="X53" i="81"/>
  <c r="X78" i="81" s="1"/>
  <c r="X54" i="81"/>
  <c r="I44" i="81"/>
  <c r="I43" i="81"/>
  <c r="I73" i="81" s="1"/>
  <c r="W44" i="81"/>
  <c r="W43" i="81"/>
  <c r="W73" i="81" s="1"/>
  <c r="W54" i="81"/>
  <c r="W53" i="81"/>
  <c r="W78" i="81" s="1"/>
  <c r="M44" i="81"/>
  <c r="M43" i="81"/>
  <c r="M73" i="81" s="1"/>
  <c r="Y37" i="81"/>
  <c r="Y68" i="81" s="1"/>
  <c r="Y60" i="81"/>
  <c r="Y38" i="81"/>
  <c r="Y59" i="81"/>
  <c r="Y83" i="81" s="1"/>
  <c r="Y44" i="81"/>
  <c r="Y43" i="81"/>
  <c r="Y73" i="81" s="1"/>
  <c r="P53" i="81"/>
  <c r="P78" i="81" s="1"/>
  <c r="P54" i="81"/>
  <c r="H37" i="81"/>
  <c r="H68" i="81" s="1"/>
  <c r="H60" i="81"/>
  <c r="H59" i="81"/>
  <c r="H38" i="81"/>
  <c r="H53" i="81"/>
  <c r="H78" i="81" s="1"/>
  <c r="H54" i="81"/>
  <c r="V44" i="81"/>
  <c r="V43" i="81"/>
  <c r="V73" i="81" s="1"/>
  <c r="L53" i="81"/>
  <c r="L78" i="81" s="1"/>
  <c r="L54" i="81"/>
  <c r="U44" i="81"/>
  <c r="U43" i="81"/>
  <c r="U73" i="81" s="1"/>
  <c r="S59" i="81"/>
  <c r="S83" i="81" s="1"/>
  <c r="S37" i="81"/>
  <c r="S68" i="81" s="1"/>
  <c r="S60" i="81"/>
  <c r="S38" i="81"/>
  <c r="S53" i="81"/>
  <c r="S78" i="81" s="1"/>
  <c r="S54" i="81"/>
  <c r="J53" i="81"/>
  <c r="J78" i="81" s="1"/>
  <c r="J54" i="81"/>
  <c r="Z54" i="81"/>
  <c r="Z53" i="81"/>
  <c r="Z78" i="81" s="1"/>
  <c r="Z79" i="81" s="1"/>
  <c r="Z60" i="81"/>
  <c r="Z59" i="81"/>
  <c r="Z83" i="81" s="1"/>
  <c r="Z84" i="81" s="1"/>
  <c r="Z38" i="81"/>
  <c r="Z37" i="81"/>
  <c r="Z68" i="81" s="1"/>
  <c r="Z69" i="81" s="1"/>
  <c r="T53" i="81"/>
  <c r="T78" i="81" s="1"/>
  <c r="T54" i="81"/>
  <c r="O59" i="81"/>
  <c r="O83" i="81" s="1"/>
  <c r="O38" i="81"/>
  <c r="O60" i="81"/>
  <c r="O37" i="81"/>
  <c r="O68" i="81" s="1"/>
  <c r="AA54" i="81"/>
  <c r="AA53" i="81"/>
  <c r="AA78" i="81" s="1"/>
  <c r="AA79" i="81" s="1"/>
  <c r="Q44" i="81"/>
  <c r="Q43" i="81"/>
  <c r="Q73" i="81" s="1"/>
  <c r="K54" i="81"/>
  <c r="K53" i="81"/>
  <c r="K78" i="81" s="1"/>
  <c r="N44" i="81"/>
  <c r="N43" i="81"/>
  <c r="N73" i="81" s="1"/>
  <c r="I54" i="81"/>
  <c r="I53" i="81"/>
  <c r="I78" i="81" s="1"/>
  <c r="W59" i="81"/>
  <c r="W83" i="81" s="1"/>
  <c r="W60" i="81"/>
  <c r="W38" i="81"/>
  <c r="W37" i="81"/>
  <c r="W68" i="81" s="1"/>
  <c r="P60" i="81"/>
  <c r="P59" i="81"/>
  <c r="P83" i="81" s="1"/>
  <c r="P38" i="81"/>
  <c r="P37" i="81"/>
  <c r="P68" i="81" s="1"/>
  <c r="H43" i="81"/>
  <c r="H73" i="81" s="1"/>
  <c r="H44" i="81"/>
  <c r="S44" i="81"/>
  <c r="S43" i="81"/>
  <c r="S73" i="81" s="1"/>
  <c r="J60" i="81"/>
  <c r="J59" i="81"/>
  <c r="J83" i="81" s="1"/>
  <c r="J38" i="81"/>
  <c r="J37" i="81"/>
  <c r="J68" i="81" s="1"/>
  <c r="T43" i="81"/>
  <c r="T73" i="81" s="1"/>
  <c r="T44" i="81"/>
  <c r="O43" i="81"/>
  <c r="O73" i="81" s="1"/>
  <c r="O44" i="81"/>
  <c r="AA43" i="81"/>
  <c r="AA73" i="81" s="1"/>
  <c r="AA74" i="81" s="1"/>
  <c r="AA44" i="81"/>
  <c r="K43" i="81"/>
  <c r="K73" i="81" s="1"/>
  <c r="K74" i="81" s="1"/>
  <c r="K44" i="81"/>
  <c r="H42" i="89" l="1"/>
  <c r="H37" i="89" s="1"/>
  <c r="H68" i="89" s="1"/>
  <c r="L39" i="89"/>
  <c r="H56" i="89"/>
  <c r="H53" i="89" s="1"/>
  <c r="H78" i="89" s="1"/>
  <c r="W79" i="81"/>
  <c r="S45" i="89"/>
  <c r="I56" i="89"/>
  <c r="L78" i="11"/>
  <c r="AG10" i="70"/>
  <c r="H78" i="11" s="1"/>
  <c r="L81" i="11"/>
  <c r="AM10" i="70"/>
  <c r="H81" i="11" s="1"/>
  <c r="Y51" i="89"/>
  <c r="R51" i="89"/>
  <c r="V49" i="89"/>
  <c r="L51" i="89"/>
  <c r="J51" i="89"/>
  <c r="H51" i="89"/>
  <c r="R47" i="89"/>
  <c r="Y47" i="89"/>
  <c r="J47" i="89"/>
  <c r="H47" i="89"/>
  <c r="L47" i="89"/>
  <c r="L45" i="89"/>
  <c r="H45" i="89"/>
  <c r="J45" i="89"/>
  <c r="J49" i="89"/>
  <c r="L49" i="89"/>
  <c r="H49" i="89"/>
  <c r="K57" i="89"/>
  <c r="M51" i="89"/>
  <c r="M52" i="89"/>
  <c r="O52" i="89"/>
  <c r="M74" i="81"/>
  <c r="K41" i="89"/>
  <c r="P45" i="89"/>
  <c r="N47" i="89"/>
  <c r="O47" i="89"/>
  <c r="P47" i="89"/>
  <c r="N45" i="89"/>
  <c r="T39" i="89"/>
  <c r="H74" i="81"/>
  <c r="L74" i="81"/>
  <c r="J74" i="81"/>
  <c r="Y33" i="97"/>
  <c r="P51" i="97" s="1"/>
  <c r="Y33" i="96"/>
  <c r="P51" i="96" s="1"/>
  <c r="M33" i="97"/>
  <c r="I56" i="97" s="1"/>
  <c r="M33" i="96"/>
  <c r="I56" i="96" s="1"/>
  <c r="R40" i="89"/>
  <c r="T47" i="89"/>
  <c r="N40" i="89"/>
  <c r="V57" i="89"/>
  <c r="U41" i="89"/>
  <c r="U47" i="89"/>
  <c r="Q47" i="89"/>
  <c r="W45" i="89"/>
  <c r="Y45" i="89"/>
  <c r="W47" i="89"/>
  <c r="U45" i="89"/>
  <c r="V45" i="89"/>
  <c r="V47" i="89"/>
  <c r="X45" i="89"/>
  <c r="X47" i="89"/>
  <c r="T40" i="89"/>
  <c r="T56" i="89"/>
  <c r="T55" i="89"/>
  <c r="I51" i="89"/>
  <c r="V51" i="89"/>
  <c r="W49" i="89"/>
  <c r="X51" i="89"/>
  <c r="V41" i="89"/>
  <c r="Y49" i="89"/>
  <c r="Q51" i="89"/>
  <c r="W51" i="89"/>
  <c r="X49" i="89"/>
  <c r="U51" i="89"/>
  <c r="U49" i="89"/>
  <c r="T58" i="89"/>
  <c r="T41" i="89"/>
  <c r="T57" i="89"/>
  <c r="J13" i="51"/>
  <c r="K13" i="51" s="1"/>
  <c r="J52" i="11" s="1"/>
  <c r="J68" i="11"/>
  <c r="M10" i="70"/>
  <c r="H68" i="11" s="1"/>
  <c r="P51" i="11"/>
  <c r="I49" i="89"/>
  <c r="T49" i="89"/>
  <c r="S42" i="89"/>
  <c r="R56" i="89"/>
  <c r="I45" i="89"/>
  <c r="O51" i="89"/>
  <c r="N51" i="89"/>
  <c r="S58" i="89"/>
  <c r="R55" i="89"/>
  <c r="S56" i="89"/>
  <c r="Q40" i="89"/>
  <c r="T51" i="89"/>
  <c r="O49" i="89"/>
  <c r="J39" i="89"/>
  <c r="P56" i="89"/>
  <c r="S57" i="89"/>
  <c r="S40" i="89"/>
  <c r="O40" i="89"/>
  <c r="K56" i="89"/>
  <c r="N56" i="89"/>
  <c r="M40" i="89"/>
  <c r="Q45" i="89"/>
  <c r="S39" i="89"/>
  <c r="O39" i="89"/>
  <c r="J55" i="89"/>
  <c r="P39" i="89"/>
  <c r="O45" i="89"/>
  <c r="K55" i="89"/>
  <c r="N55" i="89"/>
  <c r="Q55" i="89"/>
  <c r="S55" i="89"/>
  <c r="L17" i="49"/>
  <c r="R43" i="11" s="1"/>
  <c r="U13" i="70"/>
  <c r="R18" i="49"/>
  <c r="T46" i="11" s="1"/>
  <c r="T45" i="11"/>
  <c r="P55" i="89"/>
  <c r="I39" i="89"/>
  <c r="O55" i="89"/>
  <c r="R39" i="89"/>
  <c r="J40" i="89"/>
  <c r="J56" i="89"/>
  <c r="O56" i="89"/>
  <c r="Q39" i="89"/>
  <c r="N39" i="89"/>
  <c r="P40" i="89"/>
  <c r="L40" i="89"/>
  <c r="Q56" i="89"/>
  <c r="Q74" i="81"/>
  <c r="L42" i="89"/>
  <c r="N42" i="89"/>
  <c r="K58" i="89"/>
  <c r="N57" i="89"/>
  <c r="I41" i="89"/>
  <c r="I37" i="89" s="1"/>
  <c r="I68" i="89" s="1"/>
  <c r="L57" i="89"/>
  <c r="L53" i="89" s="1"/>
  <c r="L78" i="89" s="1"/>
  <c r="P57" i="89"/>
  <c r="Q42" i="89"/>
  <c r="M39" i="89"/>
  <c r="K40" i="89"/>
  <c r="I47" i="89"/>
  <c r="K39" i="89"/>
  <c r="T45" i="89"/>
  <c r="J57" i="89"/>
  <c r="J42" i="89"/>
  <c r="J41" i="89"/>
  <c r="P41" i="89"/>
  <c r="R42" i="89"/>
  <c r="N58" i="89"/>
  <c r="S51" i="89"/>
  <c r="O58" i="89"/>
  <c r="P58" i="89"/>
  <c r="R58" i="89"/>
  <c r="J58" i="89"/>
  <c r="Q58" i="89"/>
  <c r="S52" i="89"/>
  <c r="M42" i="89"/>
  <c r="P42" i="89"/>
  <c r="O57" i="89"/>
  <c r="O42" i="89"/>
  <c r="M58" i="89"/>
  <c r="Y33" i="88"/>
  <c r="P51" i="88" s="1"/>
  <c r="P49" i="89"/>
  <c r="R49" i="89"/>
  <c r="R50" i="89"/>
  <c r="S49" i="89"/>
  <c r="M41" i="89"/>
  <c r="Q41" i="89"/>
  <c r="S41" i="89"/>
  <c r="R41" i="89"/>
  <c r="Q57" i="89"/>
  <c r="M57" i="89"/>
  <c r="P74" i="81"/>
  <c r="R57" i="89"/>
  <c r="N41" i="89"/>
  <c r="O41" i="89"/>
  <c r="I74" i="81"/>
  <c r="S47" i="89"/>
  <c r="M56" i="89"/>
  <c r="Y74" i="81"/>
  <c r="R74" i="81"/>
  <c r="M33" i="88"/>
  <c r="H55" i="88" s="1"/>
  <c r="R45" i="89"/>
  <c r="M55" i="89"/>
  <c r="X74" i="81"/>
  <c r="U74" i="81"/>
  <c r="V74" i="81"/>
  <c r="W74" i="81"/>
  <c r="Y33" i="90"/>
  <c r="L76" i="11"/>
  <c r="AC10" i="70"/>
  <c r="H76" i="11" s="1"/>
  <c r="Z18" i="78"/>
  <c r="K33" i="78" s="1"/>
  <c r="M33" i="90"/>
  <c r="F35" i="89"/>
  <c r="L16" i="55" s="1"/>
  <c r="H57" i="96"/>
  <c r="H79" i="81"/>
  <c r="H57" i="95"/>
  <c r="T74" i="81"/>
  <c r="T79" i="81"/>
  <c r="H57" i="88"/>
  <c r="H57" i="97"/>
  <c r="H57" i="90"/>
  <c r="J33" i="78"/>
  <c r="P42" i="11"/>
  <c r="R42" i="11"/>
  <c r="N42" i="11"/>
  <c r="J42" i="11"/>
  <c r="H42" i="97"/>
  <c r="H42" i="96"/>
  <c r="H41" i="96"/>
  <c r="H41" i="97"/>
  <c r="H40" i="90"/>
  <c r="H39" i="90"/>
  <c r="H40" i="88"/>
  <c r="H39" i="88"/>
  <c r="U79" i="81"/>
  <c r="V79" i="81"/>
  <c r="I57" i="95"/>
  <c r="L41" i="95"/>
  <c r="M79" i="81"/>
  <c r="L41" i="96"/>
  <c r="I57" i="96"/>
  <c r="X79" i="81"/>
  <c r="K69" i="81"/>
  <c r="L41" i="88"/>
  <c r="I57" i="88"/>
  <c r="L41" i="97"/>
  <c r="I57" i="97"/>
  <c r="I40" i="88"/>
  <c r="S79" i="81"/>
  <c r="H69" i="81"/>
  <c r="N74" i="81"/>
  <c r="O69" i="81"/>
  <c r="R79" i="81"/>
  <c r="L69" i="81"/>
  <c r="I53" i="89"/>
  <c r="I78" i="89" s="1"/>
  <c r="I54" i="89"/>
  <c r="X69" i="81"/>
  <c r="J79" i="81"/>
  <c r="U69" i="81"/>
  <c r="O74" i="81"/>
  <c r="L79" i="81"/>
  <c r="Y69" i="81"/>
  <c r="N69" i="81"/>
  <c r="I55" i="90"/>
  <c r="P79" i="81"/>
  <c r="T69" i="81"/>
  <c r="M69" i="81"/>
  <c r="I69" i="81"/>
  <c r="N79" i="81"/>
  <c r="Q69" i="81"/>
  <c r="J69" i="81"/>
  <c r="S74" i="81"/>
  <c r="P69" i="81"/>
  <c r="W69" i="81"/>
  <c r="I79" i="81"/>
  <c r="K79" i="81"/>
  <c r="S69" i="81"/>
  <c r="O79" i="81"/>
  <c r="Q79" i="81"/>
  <c r="V69" i="81"/>
  <c r="R69" i="81"/>
  <c r="I55" i="88"/>
  <c r="H83" i="81"/>
  <c r="H84" i="81" s="1"/>
  <c r="AB59" i="81"/>
  <c r="W42" i="90" l="1"/>
  <c r="X58" i="90"/>
  <c r="V58" i="90"/>
  <c r="U42" i="90"/>
  <c r="X57" i="90"/>
  <c r="X53" i="90" s="1"/>
  <c r="X78" i="90" s="1"/>
  <c r="H42" i="90"/>
  <c r="P51" i="90"/>
  <c r="H41" i="90"/>
  <c r="U39" i="90"/>
  <c r="V55" i="90"/>
  <c r="U56" i="90"/>
  <c r="W56" i="90"/>
  <c r="V40" i="90"/>
  <c r="I56" i="90"/>
  <c r="I53" i="90" s="1"/>
  <c r="I78" i="90" s="1"/>
  <c r="H56" i="90"/>
  <c r="S42" i="88"/>
  <c r="H42" i="88"/>
  <c r="H38" i="89"/>
  <c r="H41" i="88"/>
  <c r="H54" i="89"/>
  <c r="I56" i="88"/>
  <c r="I53" i="88" s="1"/>
  <c r="I78" i="88" s="1"/>
  <c r="H56" i="88"/>
  <c r="I40" i="90"/>
  <c r="K42" i="96"/>
  <c r="L51" i="96"/>
  <c r="J49" i="96"/>
  <c r="Y51" i="96"/>
  <c r="H51" i="96"/>
  <c r="V49" i="96"/>
  <c r="L49" i="96"/>
  <c r="J51" i="96"/>
  <c r="H49" i="96"/>
  <c r="R51" i="96"/>
  <c r="L47" i="96"/>
  <c r="H47" i="96"/>
  <c r="J47" i="96"/>
  <c r="J45" i="96"/>
  <c r="H45" i="96"/>
  <c r="Y47" i="96"/>
  <c r="L45" i="96"/>
  <c r="R47" i="96"/>
  <c r="J45" i="97"/>
  <c r="H45" i="97"/>
  <c r="H47" i="97"/>
  <c r="J47" i="97"/>
  <c r="Y47" i="97"/>
  <c r="L47" i="97"/>
  <c r="L45" i="97"/>
  <c r="R47" i="97"/>
  <c r="K42" i="97"/>
  <c r="H51" i="97"/>
  <c r="L49" i="97"/>
  <c r="V49" i="97"/>
  <c r="H49" i="97"/>
  <c r="J49" i="97"/>
  <c r="L51" i="97"/>
  <c r="J51" i="97"/>
  <c r="Y51" i="97"/>
  <c r="R51" i="97"/>
  <c r="Y51" i="90"/>
  <c r="R51" i="90"/>
  <c r="V49" i="90"/>
  <c r="H51" i="90"/>
  <c r="J51" i="90"/>
  <c r="L51" i="90"/>
  <c r="K42" i="90"/>
  <c r="L49" i="90"/>
  <c r="J49" i="90"/>
  <c r="H49" i="90"/>
  <c r="Y47" i="90"/>
  <c r="R47" i="90"/>
  <c r="H47" i="90"/>
  <c r="J47" i="90"/>
  <c r="L47" i="90"/>
  <c r="K56" i="90"/>
  <c r="L45" i="90"/>
  <c r="J45" i="90"/>
  <c r="H45" i="90"/>
  <c r="Y51" i="88"/>
  <c r="R51" i="88"/>
  <c r="V49" i="88"/>
  <c r="L51" i="88"/>
  <c r="H51" i="88"/>
  <c r="J51" i="88"/>
  <c r="R47" i="88"/>
  <c r="Y47" i="88"/>
  <c r="H59" i="89"/>
  <c r="H83" i="89" s="1"/>
  <c r="J47" i="88"/>
  <c r="L47" i="88"/>
  <c r="H47" i="88"/>
  <c r="L45" i="88"/>
  <c r="H45" i="88"/>
  <c r="J45" i="88"/>
  <c r="H44" i="89"/>
  <c r="H43" i="89"/>
  <c r="H73" i="89" s="1"/>
  <c r="L49" i="88"/>
  <c r="J49" i="88"/>
  <c r="H49" i="88"/>
  <c r="L44" i="89"/>
  <c r="L43" i="89"/>
  <c r="L73" i="89" s="1"/>
  <c r="H60" i="89"/>
  <c r="J43" i="89"/>
  <c r="J73" i="89" s="1"/>
  <c r="J44" i="89"/>
  <c r="M43" i="89"/>
  <c r="M73" i="89" s="1"/>
  <c r="M44" i="89"/>
  <c r="K57" i="97"/>
  <c r="M51" i="97"/>
  <c r="M52" i="97"/>
  <c r="O52" i="97"/>
  <c r="K57" i="88"/>
  <c r="M51" i="88"/>
  <c r="M52" i="88"/>
  <c r="O52" i="88"/>
  <c r="K57" i="90"/>
  <c r="O52" i="90"/>
  <c r="M52" i="90"/>
  <c r="M51" i="90"/>
  <c r="K42" i="88"/>
  <c r="K57" i="96"/>
  <c r="O52" i="96"/>
  <c r="M51" i="96"/>
  <c r="M52" i="96"/>
  <c r="N45" i="90"/>
  <c r="O47" i="90"/>
  <c r="P47" i="90"/>
  <c r="N47" i="90"/>
  <c r="N43" i="89"/>
  <c r="N73" i="89" s="1"/>
  <c r="P45" i="97"/>
  <c r="N47" i="97"/>
  <c r="O47" i="97"/>
  <c r="P47" i="97"/>
  <c r="T39" i="88"/>
  <c r="O47" i="88"/>
  <c r="N47" i="88"/>
  <c r="P47" i="88"/>
  <c r="P45" i="96"/>
  <c r="P47" i="96"/>
  <c r="O47" i="96"/>
  <c r="N47" i="96"/>
  <c r="T37" i="89"/>
  <c r="T68" i="89" s="1"/>
  <c r="S37" i="89"/>
  <c r="S68" i="89" s="1"/>
  <c r="N45" i="88"/>
  <c r="T47" i="90"/>
  <c r="P45" i="90"/>
  <c r="T47" i="88"/>
  <c r="P45" i="88"/>
  <c r="T42" i="88"/>
  <c r="U41" i="88"/>
  <c r="V57" i="88"/>
  <c r="V53" i="89"/>
  <c r="V78" i="89" s="1"/>
  <c r="V54" i="89"/>
  <c r="L56" i="90"/>
  <c r="L56" i="88"/>
  <c r="V57" i="90"/>
  <c r="U41" i="90"/>
  <c r="U38" i="89"/>
  <c r="U37" i="89"/>
  <c r="U68" i="89" s="1"/>
  <c r="X45" i="88"/>
  <c r="W47" i="88"/>
  <c r="W45" i="88"/>
  <c r="V45" i="88"/>
  <c r="X47" i="88"/>
  <c r="V47" i="88"/>
  <c r="Y45" i="88"/>
  <c r="U47" i="88"/>
  <c r="Q47" i="88"/>
  <c r="U45" i="88"/>
  <c r="T56" i="88"/>
  <c r="T40" i="88"/>
  <c r="T55" i="88"/>
  <c r="Y60" i="89"/>
  <c r="Y59" i="89"/>
  <c r="Y83" i="89" s="1"/>
  <c r="Y43" i="89"/>
  <c r="Y73" i="89" s="1"/>
  <c r="Y44" i="89"/>
  <c r="S40" i="88"/>
  <c r="W47" i="90"/>
  <c r="V47" i="90"/>
  <c r="U47" i="90"/>
  <c r="X45" i="90"/>
  <c r="V45" i="90"/>
  <c r="U45" i="90"/>
  <c r="Y45" i="90"/>
  <c r="Q47" i="90"/>
  <c r="W45" i="90"/>
  <c r="X47" i="90"/>
  <c r="T40" i="90"/>
  <c r="T55" i="90"/>
  <c r="T56" i="90"/>
  <c r="I51" i="90"/>
  <c r="V41" i="90"/>
  <c r="X49" i="90"/>
  <c r="Q51" i="90"/>
  <c r="U49" i="90"/>
  <c r="W51" i="90"/>
  <c r="V51" i="90"/>
  <c r="U51" i="90"/>
  <c r="W49" i="90"/>
  <c r="X51" i="90"/>
  <c r="Y49" i="90"/>
  <c r="T58" i="90"/>
  <c r="T57" i="90"/>
  <c r="T41" i="90"/>
  <c r="W59" i="89"/>
  <c r="W83" i="89" s="1"/>
  <c r="W44" i="89"/>
  <c r="W43" i="89"/>
  <c r="W73" i="89" s="1"/>
  <c r="W60" i="89"/>
  <c r="T38" i="89"/>
  <c r="T39" i="90"/>
  <c r="T42" i="90"/>
  <c r="V60" i="89"/>
  <c r="V37" i="89"/>
  <c r="V68" i="89" s="1"/>
  <c r="V38" i="89"/>
  <c r="V59" i="89"/>
  <c r="V83" i="89" s="1"/>
  <c r="U59" i="89"/>
  <c r="U83" i="89" s="1"/>
  <c r="U44" i="89"/>
  <c r="U43" i="89"/>
  <c r="U73" i="89" s="1"/>
  <c r="U60" i="89"/>
  <c r="X49" i="88"/>
  <c r="X51" i="88"/>
  <c r="V51" i="88"/>
  <c r="T58" i="88"/>
  <c r="V41" i="88"/>
  <c r="T57" i="88"/>
  <c r="Y49" i="88"/>
  <c r="Q51" i="88"/>
  <c r="U51" i="88"/>
  <c r="W49" i="88"/>
  <c r="W51" i="88"/>
  <c r="U49" i="88"/>
  <c r="T41" i="88"/>
  <c r="V43" i="89"/>
  <c r="V73" i="89" s="1"/>
  <c r="V44" i="89"/>
  <c r="L39" i="88"/>
  <c r="L39" i="90"/>
  <c r="S56" i="90"/>
  <c r="S56" i="88"/>
  <c r="T53" i="89"/>
  <c r="T78" i="89" s="1"/>
  <c r="T54" i="89"/>
  <c r="X60" i="89"/>
  <c r="X43" i="89"/>
  <c r="X73" i="89" s="1"/>
  <c r="X44" i="89"/>
  <c r="X59" i="89"/>
  <c r="X83" i="89" s="1"/>
  <c r="J51" i="11"/>
  <c r="J15" i="51"/>
  <c r="J14" i="51"/>
  <c r="R10" i="49"/>
  <c r="H46" i="11" s="1"/>
  <c r="O37" i="89"/>
  <c r="O68" i="89" s="1"/>
  <c r="I49" i="90"/>
  <c r="T49" i="90"/>
  <c r="K55" i="90"/>
  <c r="I45" i="90"/>
  <c r="S57" i="88"/>
  <c r="I51" i="88"/>
  <c r="I49" i="88"/>
  <c r="T49" i="88"/>
  <c r="N44" i="89"/>
  <c r="L57" i="88"/>
  <c r="S54" i="89"/>
  <c r="O44" i="89"/>
  <c r="O43" i="89"/>
  <c r="O73" i="89" s="1"/>
  <c r="J39" i="90"/>
  <c r="K56" i="88"/>
  <c r="I45" i="88"/>
  <c r="O45" i="90"/>
  <c r="S40" i="90"/>
  <c r="N51" i="88"/>
  <c r="N43" i="88" s="1"/>
  <c r="N73" i="88" s="1"/>
  <c r="O51" i="88"/>
  <c r="S58" i="88"/>
  <c r="T60" i="89"/>
  <c r="N51" i="90"/>
  <c r="S58" i="90"/>
  <c r="O51" i="90"/>
  <c r="S42" i="90"/>
  <c r="S39" i="90"/>
  <c r="S55" i="90"/>
  <c r="S53" i="89"/>
  <c r="S78" i="89" s="1"/>
  <c r="T51" i="88"/>
  <c r="O49" i="88"/>
  <c r="O45" i="88"/>
  <c r="T51" i="90"/>
  <c r="O49" i="90"/>
  <c r="S57" i="90"/>
  <c r="K55" i="88"/>
  <c r="T59" i="89"/>
  <c r="T83" i="89" s="1"/>
  <c r="N56" i="88"/>
  <c r="S39" i="88"/>
  <c r="L55" i="88"/>
  <c r="Q45" i="88"/>
  <c r="J39" i="88"/>
  <c r="L40" i="90"/>
  <c r="Q45" i="90"/>
  <c r="K53" i="89"/>
  <c r="K78" i="89" s="1"/>
  <c r="Q43" i="89"/>
  <c r="Q73" i="89" s="1"/>
  <c r="Q44" i="89"/>
  <c r="S55" i="88"/>
  <c r="J72" i="11"/>
  <c r="U10" i="70"/>
  <c r="H72" i="11" s="1"/>
  <c r="O53" i="89"/>
  <c r="O78" i="89" s="1"/>
  <c r="L37" i="89"/>
  <c r="L68" i="89" s="1"/>
  <c r="L55" i="90"/>
  <c r="K54" i="89"/>
  <c r="N53" i="89"/>
  <c r="N78" i="89" s="1"/>
  <c r="K37" i="89"/>
  <c r="K68" i="89" s="1"/>
  <c r="K59" i="89"/>
  <c r="K83" i="89" s="1"/>
  <c r="L59" i="89"/>
  <c r="L83" i="89" s="1"/>
  <c r="N37" i="89"/>
  <c r="N68" i="89" s="1"/>
  <c r="K58" i="90"/>
  <c r="L42" i="90"/>
  <c r="I42" i="90"/>
  <c r="I41" i="90"/>
  <c r="K41" i="90"/>
  <c r="L57" i="90"/>
  <c r="N40" i="90"/>
  <c r="T45" i="90"/>
  <c r="I47" i="90"/>
  <c r="K40" i="90"/>
  <c r="N56" i="90"/>
  <c r="K39" i="90"/>
  <c r="I39" i="90"/>
  <c r="N41" i="88"/>
  <c r="O41" i="88"/>
  <c r="L42" i="88"/>
  <c r="O57" i="88"/>
  <c r="N42" i="88"/>
  <c r="J42" i="88"/>
  <c r="I41" i="88"/>
  <c r="K58" i="88"/>
  <c r="L38" i="89"/>
  <c r="J57" i="88"/>
  <c r="O42" i="88"/>
  <c r="K41" i="88"/>
  <c r="J59" i="89"/>
  <c r="J83" i="89" s="1"/>
  <c r="I59" i="89"/>
  <c r="I83" i="89" s="1"/>
  <c r="P53" i="89"/>
  <c r="P78" i="89" s="1"/>
  <c r="I42" i="88"/>
  <c r="M37" i="89"/>
  <c r="M68" i="89" s="1"/>
  <c r="P37" i="89"/>
  <c r="P68" i="89" s="1"/>
  <c r="S43" i="89"/>
  <c r="S73" i="89" s="1"/>
  <c r="R53" i="89"/>
  <c r="R78" i="89" s="1"/>
  <c r="R37" i="89"/>
  <c r="R68" i="89" s="1"/>
  <c r="J53" i="89"/>
  <c r="J78" i="89" s="1"/>
  <c r="W79" i="89" s="1"/>
  <c r="Q37" i="89"/>
  <c r="Q68" i="89" s="1"/>
  <c r="L60" i="89"/>
  <c r="I60" i="89"/>
  <c r="P57" i="88"/>
  <c r="R41" i="88"/>
  <c r="R42" i="88"/>
  <c r="Q42" i="88"/>
  <c r="I38" i="89"/>
  <c r="L54" i="89"/>
  <c r="R57" i="88"/>
  <c r="J41" i="88"/>
  <c r="L40" i="88"/>
  <c r="T45" i="88"/>
  <c r="K40" i="88"/>
  <c r="I47" i="88"/>
  <c r="P56" i="88"/>
  <c r="I44" i="89"/>
  <c r="I43" i="89"/>
  <c r="I73" i="89" s="1"/>
  <c r="I39" i="88"/>
  <c r="P40" i="88"/>
  <c r="J56" i="88"/>
  <c r="K60" i="89"/>
  <c r="K38" i="89"/>
  <c r="T44" i="89"/>
  <c r="T43" i="89"/>
  <c r="T73" i="89" s="1"/>
  <c r="R55" i="90"/>
  <c r="O40" i="90"/>
  <c r="M40" i="88"/>
  <c r="K39" i="88"/>
  <c r="R54" i="89"/>
  <c r="J38" i="89"/>
  <c r="P55" i="88"/>
  <c r="N40" i="88"/>
  <c r="M39" i="88"/>
  <c r="Q54" i="89"/>
  <c r="S44" i="89"/>
  <c r="O55" i="88"/>
  <c r="R55" i="88"/>
  <c r="R40" i="88"/>
  <c r="Q53" i="89"/>
  <c r="Q78" i="89" s="1"/>
  <c r="R38" i="89"/>
  <c r="S51" i="88"/>
  <c r="P58" i="88"/>
  <c r="R58" i="88"/>
  <c r="J58" i="88"/>
  <c r="M42" i="88"/>
  <c r="O58" i="88"/>
  <c r="Q58" i="88"/>
  <c r="S52" i="88"/>
  <c r="N58" i="88"/>
  <c r="Q55" i="88"/>
  <c r="Q56" i="88"/>
  <c r="P41" i="88"/>
  <c r="M57" i="88"/>
  <c r="P58" i="90"/>
  <c r="S51" i="90"/>
  <c r="S52" i="90"/>
  <c r="N58" i="90"/>
  <c r="R58" i="90"/>
  <c r="Q58" i="90"/>
  <c r="J58" i="90"/>
  <c r="O58" i="90"/>
  <c r="M42" i="90"/>
  <c r="M58" i="90"/>
  <c r="J42" i="90"/>
  <c r="R42" i="90"/>
  <c r="Q42" i="90"/>
  <c r="N42" i="90"/>
  <c r="P42" i="90"/>
  <c r="O42" i="90"/>
  <c r="N39" i="88"/>
  <c r="R39" i="88"/>
  <c r="J37" i="89"/>
  <c r="J68" i="89" s="1"/>
  <c r="N59" i="89"/>
  <c r="N83" i="89" s="1"/>
  <c r="P59" i="89"/>
  <c r="P83" i="89" s="1"/>
  <c r="J40" i="88"/>
  <c r="S45" i="88"/>
  <c r="N55" i="88"/>
  <c r="P54" i="89"/>
  <c r="O56" i="88"/>
  <c r="Q40" i="88"/>
  <c r="Q41" i="88"/>
  <c r="N57" i="88"/>
  <c r="Q57" i="88"/>
  <c r="S41" i="88"/>
  <c r="P42" i="88"/>
  <c r="M58" i="88"/>
  <c r="M39" i="90"/>
  <c r="M54" i="89"/>
  <c r="O59" i="89"/>
  <c r="O83" i="89" s="1"/>
  <c r="Q59" i="89"/>
  <c r="Q83" i="89" s="1"/>
  <c r="R60" i="89"/>
  <c r="P55" i="90"/>
  <c r="O39" i="90"/>
  <c r="S59" i="89"/>
  <c r="S83" i="89" s="1"/>
  <c r="R56" i="90"/>
  <c r="Q40" i="90"/>
  <c r="O38" i="89"/>
  <c r="O55" i="90"/>
  <c r="Q56" i="90"/>
  <c r="J56" i="90"/>
  <c r="P40" i="90"/>
  <c r="M40" i="90"/>
  <c r="P43" i="89"/>
  <c r="P73" i="89" s="1"/>
  <c r="P44" i="89"/>
  <c r="Y33" i="95"/>
  <c r="R50" i="90"/>
  <c r="S49" i="90"/>
  <c r="R49" i="90"/>
  <c r="P49" i="90"/>
  <c r="M41" i="90"/>
  <c r="O57" i="90"/>
  <c r="O41" i="90"/>
  <c r="R41" i="90"/>
  <c r="S41" i="90"/>
  <c r="M57" i="90"/>
  <c r="P57" i="90"/>
  <c r="Q57" i="90"/>
  <c r="P41" i="90"/>
  <c r="J57" i="90"/>
  <c r="J41" i="90"/>
  <c r="R57" i="90"/>
  <c r="N41" i="90"/>
  <c r="N57" i="90"/>
  <c r="Q41" i="90"/>
  <c r="P39" i="90"/>
  <c r="Q39" i="90"/>
  <c r="J55" i="90"/>
  <c r="R40" i="90"/>
  <c r="O56" i="90"/>
  <c r="Q38" i="89"/>
  <c r="Q55" i="90"/>
  <c r="S38" i="89"/>
  <c r="J40" i="90"/>
  <c r="S45" i="90"/>
  <c r="N39" i="90"/>
  <c r="R39" i="90"/>
  <c r="N55" i="90"/>
  <c r="P56" i="90"/>
  <c r="S60" i="89"/>
  <c r="S49" i="88"/>
  <c r="R49" i="88"/>
  <c r="M41" i="88"/>
  <c r="P49" i="88"/>
  <c r="R50" i="88"/>
  <c r="N54" i="89"/>
  <c r="M59" i="89"/>
  <c r="M83" i="89" s="1"/>
  <c r="M53" i="89"/>
  <c r="M78" i="89" s="1"/>
  <c r="S47" i="88"/>
  <c r="M56" i="88"/>
  <c r="F35" i="88"/>
  <c r="J60" i="89"/>
  <c r="O54" i="89"/>
  <c r="N38" i="89"/>
  <c r="J54" i="89"/>
  <c r="P38" i="89"/>
  <c r="R56" i="88"/>
  <c r="O40" i="88"/>
  <c r="M38" i="89"/>
  <c r="S47" i="90"/>
  <c r="M56" i="90"/>
  <c r="O60" i="89"/>
  <c r="M55" i="88"/>
  <c r="R45" i="88"/>
  <c r="O39" i="88"/>
  <c r="J55" i="88"/>
  <c r="Q39" i="88"/>
  <c r="P39" i="88"/>
  <c r="Q60" i="89"/>
  <c r="P60" i="89"/>
  <c r="H55" i="90"/>
  <c r="R45" i="90"/>
  <c r="M55" i="90"/>
  <c r="R43" i="89"/>
  <c r="R73" i="89" s="1"/>
  <c r="R44" i="89"/>
  <c r="N60" i="89"/>
  <c r="R59" i="89"/>
  <c r="R83" i="89" s="1"/>
  <c r="M60" i="89"/>
  <c r="M33" i="95"/>
  <c r="T47" i="97"/>
  <c r="K18" i="49"/>
  <c r="K10" i="49" s="1"/>
  <c r="H42" i="11" s="1"/>
  <c r="F35" i="90"/>
  <c r="P133" i="11"/>
  <c r="X75" i="81"/>
  <c r="X76" i="81" s="1"/>
  <c r="O75" i="81"/>
  <c r="O76" i="81" s="1"/>
  <c r="L75" i="81"/>
  <c r="L76" i="81" s="1"/>
  <c r="M75" i="81"/>
  <c r="M77" i="81" s="1"/>
  <c r="V75" i="81"/>
  <c r="V77" i="81" s="1"/>
  <c r="R75" i="81"/>
  <c r="R77" i="81" s="1"/>
  <c r="N75" i="81"/>
  <c r="N77" i="81" s="1"/>
  <c r="H54" i="88"/>
  <c r="H53" i="88"/>
  <c r="H78" i="88" s="1"/>
  <c r="T39" i="97"/>
  <c r="K56" i="97"/>
  <c r="H40" i="97"/>
  <c r="H40" i="95"/>
  <c r="H40" i="96"/>
  <c r="M40" i="96"/>
  <c r="H39" i="97"/>
  <c r="H39" i="95"/>
  <c r="H39" i="96"/>
  <c r="H38" i="88"/>
  <c r="AA80" i="81"/>
  <c r="AA82" i="81" s="1"/>
  <c r="U70" i="81"/>
  <c r="U71" i="81" s="1"/>
  <c r="S75" i="81"/>
  <c r="S76" i="81" s="1"/>
  <c r="T75" i="81"/>
  <c r="T77" i="81" s="1"/>
  <c r="M70" i="81"/>
  <c r="M72" i="81" s="1"/>
  <c r="Z75" i="81"/>
  <c r="Z77" i="81" s="1"/>
  <c r="H75" i="81"/>
  <c r="H76" i="81" s="1"/>
  <c r="W70" i="81"/>
  <c r="W72" i="81" s="1"/>
  <c r="T80" i="81"/>
  <c r="T82" i="81" s="1"/>
  <c r="K80" i="81"/>
  <c r="K82" i="81" s="1"/>
  <c r="K84" i="81"/>
  <c r="I75" i="81"/>
  <c r="I76" i="81" s="1"/>
  <c r="Y75" i="81"/>
  <c r="Y77" i="81" s="1"/>
  <c r="U75" i="81"/>
  <c r="U77" i="81" s="1"/>
  <c r="W75" i="81"/>
  <c r="W77" i="81" s="1"/>
  <c r="P75" i="81"/>
  <c r="P77" i="81" s="1"/>
  <c r="V80" i="81"/>
  <c r="V82" i="81" s="1"/>
  <c r="H70" i="81"/>
  <c r="H71" i="81" s="1"/>
  <c r="V70" i="81"/>
  <c r="V71" i="81" s="1"/>
  <c r="T84" i="81"/>
  <c r="P80" i="81"/>
  <c r="P81" i="81" s="1"/>
  <c r="R70" i="81"/>
  <c r="R72" i="81" s="1"/>
  <c r="I40" i="96"/>
  <c r="L56" i="96"/>
  <c r="X84" i="81"/>
  <c r="L84" i="81"/>
  <c r="O84" i="81"/>
  <c r="Z80" i="81"/>
  <c r="Z82" i="81" s="1"/>
  <c r="J84" i="81"/>
  <c r="Y84" i="81"/>
  <c r="J75" i="81"/>
  <c r="J76" i="81" s="1"/>
  <c r="Q75" i="81"/>
  <c r="Q76" i="81" s="1"/>
  <c r="K75" i="81"/>
  <c r="K76" i="81" s="1"/>
  <c r="AA75" i="81"/>
  <c r="AA77" i="81" s="1"/>
  <c r="I40" i="97"/>
  <c r="L56" i="97"/>
  <c r="M84" i="81"/>
  <c r="I55" i="95"/>
  <c r="O80" i="81"/>
  <c r="O82" i="81" s="1"/>
  <c r="I70" i="81"/>
  <c r="I72" i="81" s="1"/>
  <c r="X70" i="81"/>
  <c r="X72" i="81" s="1"/>
  <c r="AA70" i="81"/>
  <c r="AA71" i="81" s="1"/>
  <c r="J70" i="81"/>
  <c r="J71" i="81" s="1"/>
  <c r="Z70" i="81"/>
  <c r="Z72" i="81" s="1"/>
  <c r="N84" i="81"/>
  <c r="U84" i="81"/>
  <c r="N45" i="96"/>
  <c r="I55" i="96"/>
  <c r="R84" i="81"/>
  <c r="S84" i="81"/>
  <c r="V84" i="81"/>
  <c r="I80" i="81"/>
  <c r="I82" i="81" s="1"/>
  <c r="U80" i="81"/>
  <c r="U81" i="81" s="1"/>
  <c r="L80" i="81"/>
  <c r="L82" i="81" s="1"/>
  <c r="L70" i="81"/>
  <c r="L72" i="81" s="1"/>
  <c r="Q84" i="81"/>
  <c r="I55" i="97"/>
  <c r="N45" i="97"/>
  <c r="L39" i="97"/>
  <c r="P84" i="81"/>
  <c r="I54" i="88"/>
  <c r="J80" i="81"/>
  <c r="J81" i="81" s="1"/>
  <c r="H80" i="81"/>
  <c r="H81" i="81" s="1"/>
  <c r="X80" i="81"/>
  <c r="X82" i="81" s="1"/>
  <c r="R80" i="81"/>
  <c r="R82" i="81" s="1"/>
  <c r="Q80" i="81"/>
  <c r="Q81" i="81" s="1"/>
  <c r="S80" i="81"/>
  <c r="S82" i="81" s="1"/>
  <c r="Y70" i="81"/>
  <c r="Y71" i="81" s="1"/>
  <c r="T70" i="81"/>
  <c r="T72" i="81" s="1"/>
  <c r="K70" i="81"/>
  <c r="K72" i="81" s="1"/>
  <c r="N70" i="81"/>
  <c r="N71" i="81" s="1"/>
  <c r="N80" i="81"/>
  <c r="N82" i="81" s="1"/>
  <c r="M80" i="81"/>
  <c r="M81" i="81" s="1"/>
  <c r="Y80" i="81"/>
  <c r="Y81" i="81" s="1"/>
  <c r="W80" i="81"/>
  <c r="W82" i="81" s="1"/>
  <c r="O70" i="81"/>
  <c r="O72" i="81" s="1"/>
  <c r="S70" i="81"/>
  <c r="S71" i="81" s="1"/>
  <c r="P70" i="81"/>
  <c r="P72" i="81" s="1"/>
  <c r="Q70" i="81"/>
  <c r="Q72" i="81" s="1"/>
  <c r="W84" i="81"/>
  <c r="I84" i="81"/>
  <c r="W42" i="95" l="1"/>
  <c r="V58" i="95"/>
  <c r="X58" i="95"/>
  <c r="U42" i="95"/>
  <c r="H38" i="90"/>
  <c r="X54" i="90"/>
  <c r="W38" i="90"/>
  <c r="W37" i="90"/>
  <c r="W68" i="90" s="1"/>
  <c r="X57" i="95"/>
  <c r="H42" i="95"/>
  <c r="H37" i="90"/>
  <c r="H68" i="90" s="1"/>
  <c r="X53" i="95"/>
  <c r="X78" i="95" s="1"/>
  <c r="P51" i="95"/>
  <c r="H41" i="95"/>
  <c r="I54" i="90"/>
  <c r="U39" i="95"/>
  <c r="V55" i="95"/>
  <c r="U56" i="95"/>
  <c r="W56" i="95"/>
  <c r="V40" i="95"/>
  <c r="W54" i="90"/>
  <c r="W53" i="90"/>
  <c r="W78" i="90" s="1"/>
  <c r="U53" i="90"/>
  <c r="U78" i="90" s="1"/>
  <c r="U54" i="90"/>
  <c r="I56" i="95"/>
  <c r="I54" i="95" s="1"/>
  <c r="H56" i="95"/>
  <c r="H37" i="88"/>
  <c r="H68" i="88" s="1"/>
  <c r="H69" i="89"/>
  <c r="H79" i="89"/>
  <c r="I40" i="95"/>
  <c r="I79" i="89"/>
  <c r="J43" i="97"/>
  <c r="J73" i="97" s="1"/>
  <c r="J43" i="96"/>
  <c r="J73" i="96" s="1"/>
  <c r="H43" i="97"/>
  <c r="H73" i="97" s="1"/>
  <c r="H43" i="96"/>
  <c r="H73" i="96" s="1"/>
  <c r="L43" i="97"/>
  <c r="L73" i="97" s="1"/>
  <c r="L43" i="96"/>
  <c r="L73" i="96" s="1"/>
  <c r="R51" i="95"/>
  <c r="Y51" i="95"/>
  <c r="V49" i="95"/>
  <c r="L51" i="95"/>
  <c r="H51" i="95"/>
  <c r="J49" i="95"/>
  <c r="L49" i="95"/>
  <c r="H49" i="95"/>
  <c r="Y47" i="95"/>
  <c r="R47" i="95"/>
  <c r="H47" i="95"/>
  <c r="L47" i="95"/>
  <c r="J47" i="95"/>
  <c r="H59" i="90"/>
  <c r="H83" i="90" s="1"/>
  <c r="J43" i="90"/>
  <c r="J73" i="90" s="1"/>
  <c r="J44" i="90"/>
  <c r="H43" i="90"/>
  <c r="H73" i="90" s="1"/>
  <c r="H44" i="90"/>
  <c r="L45" i="95"/>
  <c r="J45" i="95"/>
  <c r="H45" i="95"/>
  <c r="L43" i="90"/>
  <c r="L73" i="90" s="1"/>
  <c r="L44" i="90"/>
  <c r="H59" i="88"/>
  <c r="H83" i="88" s="1"/>
  <c r="H60" i="88"/>
  <c r="L74" i="89"/>
  <c r="L43" i="88"/>
  <c r="L73" i="88" s="1"/>
  <c r="L44" i="88"/>
  <c r="J43" i="88"/>
  <c r="J73" i="88" s="1"/>
  <c r="J44" i="88"/>
  <c r="H74" i="89"/>
  <c r="J74" i="89"/>
  <c r="H43" i="88"/>
  <c r="H73" i="88" s="1"/>
  <c r="H44" i="88"/>
  <c r="K57" i="95"/>
  <c r="M52" i="95"/>
  <c r="O52" i="95"/>
  <c r="M51" i="95"/>
  <c r="K42" i="95"/>
  <c r="M43" i="88"/>
  <c r="M73" i="88" s="1"/>
  <c r="M44" i="88"/>
  <c r="M43" i="97"/>
  <c r="M73" i="97" s="1"/>
  <c r="M43" i="96"/>
  <c r="M73" i="96" s="1"/>
  <c r="M43" i="90"/>
  <c r="M73" i="90" s="1"/>
  <c r="M44" i="90"/>
  <c r="M74" i="89"/>
  <c r="N43" i="90"/>
  <c r="N73" i="90" s="1"/>
  <c r="N45" i="95"/>
  <c r="O47" i="95"/>
  <c r="N47" i="95"/>
  <c r="P47" i="95"/>
  <c r="T47" i="95"/>
  <c r="P45" i="95"/>
  <c r="T69" i="89"/>
  <c r="T39" i="95"/>
  <c r="T79" i="89"/>
  <c r="T38" i="90"/>
  <c r="U41" i="96"/>
  <c r="V57" i="96"/>
  <c r="V54" i="90"/>
  <c r="V53" i="90"/>
  <c r="V78" i="90" s="1"/>
  <c r="T37" i="90"/>
  <c r="T68" i="90" s="1"/>
  <c r="T37" i="88"/>
  <c r="T68" i="88" s="1"/>
  <c r="T38" i="88"/>
  <c r="V57" i="95"/>
  <c r="U41" i="95"/>
  <c r="U37" i="88"/>
  <c r="U68" i="88" s="1"/>
  <c r="U38" i="88"/>
  <c r="V57" i="97"/>
  <c r="U41" i="97"/>
  <c r="T39" i="96"/>
  <c r="T47" i="96"/>
  <c r="V54" i="88"/>
  <c r="V53" i="88"/>
  <c r="V78" i="88" s="1"/>
  <c r="U37" i="90"/>
  <c r="U68" i="90" s="1"/>
  <c r="U38" i="90"/>
  <c r="U43" i="90"/>
  <c r="U73" i="90" s="1"/>
  <c r="U60" i="90"/>
  <c r="U44" i="90"/>
  <c r="U59" i="90"/>
  <c r="U83" i="90" s="1"/>
  <c r="I51" i="95"/>
  <c r="U49" i="95"/>
  <c r="W49" i="95"/>
  <c r="W51" i="95"/>
  <c r="V41" i="95"/>
  <c r="X51" i="95"/>
  <c r="Y49" i="95"/>
  <c r="U51" i="95"/>
  <c r="V51" i="95"/>
  <c r="X49" i="95"/>
  <c r="Q51" i="95"/>
  <c r="T58" i="95"/>
  <c r="T57" i="95"/>
  <c r="T41" i="95"/>
  <c r="T42" i="95"/>
  <c r="W44" i="90"/>
  <c r="W43" i="90"/>
  <c r="W73" i="90" s="1"/>
  <c r="W60" i="90"/>
  <c r="W59" i="90"/>
  <c r="W83" i="90" s="1"/>
  <c r="V44" i="90"/>
  <c r="V43" i="90"/>
  <c r="V73" i="90" s="1"/>
  <c r="Y59" i="88"/>
  <c r="Y83" i="88" s="1"/>
  <c r="Y44" i="88"/>
  <c r="Y60" i="88"/>
  <c r="Y43" i="88"/>
  <c r="Y73" i="88" s="1"/>
  <c r="W44" i="88"/>
  <c r="W60" i="88"/>
  <c r="W43" i="88"/>
  <c r="W73" i="88" s="1"/>
  <c r="W59" i="88"/>
  <c r="W83" i="88" s="1"/>
  <c r="L39" i="96"/>
  <c r="V45" i="97"/>
  <c r="Q47" i="97"/>
  <c r="Y45" i="97"/>
  <c r="W47" i="97"/>
  <c r="U45" i="97"/>
  <c r="X47" i="97"/>
  <c r="X45" i="97"/>
  <c r="U47" i="97"/>
  <c r="V47" i="97"/>
  <c r="W45" i="97"/>
  <c r="T56" i="97"/>
  <c r="T40" i="97"/>
  <c r="T55" i="97"/>
  <c r="V69" i="89"/>
  <c r="T53" i="90"/>
  <c r="T78" i="90" s="1"/>
  <c r="T54" i="90"/>
  <c r="X59" i="90"/>
  <c r="X83" i="90" s="1"/>
  <c r="X43" i="90"/>
  <c r="X73" i="90" s="1"/>
  <c r="X60" i="90"/>
  <c r="X44" i="90"/>
  <c r="U44" i="88"/>
  <c r="U59" i="88"/>
  <c r="U83" i="88" s="1"/>
  <c r="U60" i="88"/>
  <c r="U43" i="88"/>
  <c r="U73" i="88" s="1"/>
  <c r="U47" i="96"/>
  <c r="W45" i="96"/>
  <c r="V47" i="96"/>
  <c r="V45" i="96"/>
  <c r="U45" i="96"/>
  <c r="X45" i="96"/>
  <c r="W47" i="96"/>
  <c r="X47" i="96"/>
  <c r="Y45" i="96"/>
  <c r="Q47" i="96"/>
  <c r="T56" i="96"/>
  <c r="T55" i="96"/>
  <c r="T40" i="96"/>
  <c r="V44" i="88"/>
  <c r="V43" i="88"/>
  <c r="V73" i="88" s="1"/>
  <c r="L56" i="95"/>
  <c r="Q47" i="95"/>
  <c r="V45" i="95"/>
  <c r="Y45" i="95"/>
  <c r="X45" i="95"/>
  <c r="V47" i="95"/>
  <c r="X47" i="95"/>
  <c r="W45" i="95"/>
  <c r="W47" i="95"/>
  <c r="U47" i="95"/>
  <c r="U45" i="95"/>
  <c r="T40" i="95"/>
  <c r="T56" i="95"/>
  <c r="T55" i="95"/>
  <c r="I51" i="97"/>
  <c r="V41" i="97"/>
  <c r="U51" i="97"/>
  <c r="W49" i="97"/>
  <c r="V51" i="97"/>
  <c r="Q51" i="97"/>
  <c r="X51" i="97"/>
  <c r="U49" i="97"/>
  <c r="Y49" i="97"/>
  <c r="W51" i="97"/>
  <c r="X49" i="97"/>
  <c r="T58" i="97"/>
  <c r="T41" i="97"/>
  <c r="T57" i="97"/>
  <c r="T42" i="97"/>
  <c r="I51" i="96"/>
  <c r="X49" i="96"/>
  <c r="W49" i="96"/>
  <c r="V51" i="96"/>
  <c r="U49" i="96"/>
  <c r="Q51" i="96"/>
  <c r="Y49" i="96"/>
  <c r="V41" i="96"/>
  <c r="U51" i="96"/>
  <c r="W51" i="96"/>
  <c r="X51" i="96"/>
  <c r="T58" i="96"/>
  <c r="T57" i="96"/>
  <c r="T41" i="96"/>
  <c r="T42" i="96"/>
  <c r="V38" i="88"/>
  <c r="V59" i="88"/>
  <c r="V83" i="88" s="1"/>
  <c r="V60" i="88"/>
  <c r="V37" i="88"/>
  <c r="V68" i="88" s="1"/>
  <c r="V38" i="90"/>
  <c r="V37" i="90"/>
  <c r="V68" i="90" s="1"/>
  <c r="V59" i="90"/>
  <c r="V83" i="90" s="1"/>
  <c r="V60" i="90"/>
  <c r="Y60" i="90"/>
  <c r="Y43" i="90"/>
  <c r="Y73" i="90" s="1"/>
  <c r="Y44" i="90"/>
  <c r="Y59" i="90"/>
  <c r="Y83" i="90" s="1"/>
  <c r="T53" i="88"/>
  <c r="T78" i="88" s="1"/>
  <c r="T54" i="88"/>
  <c r="X43" i="88"/>
  <c r="X73" i="88" s="1"/>
  <c r="X60" i="88"/>
  <c r="X44" i="88"/>
  <c r="X59" i="88"/>
  <c r="X83" i="88" s="1"/>
  <c r="N51" i="11"/>
  <c r="K15" i="51"/>
  <c r="N52" i="11" s="1"/>
  <c r="L51" i="11"/>
  <c r="J10" i="51"/>
  <c r="H51" i="11" s="1"/>
  <c r="K14" i="51"/>
  <c r="N44" i="90"/>
  <c r="K53" i="90"/>
  <c r="K78" i="90" s="1"/>
  <c r="V79" i="89"/>
  <c r="U69" i="89"/>
  <c r="U84" i="89"/>
  <c r="V84" i="89"/>
  <c r="X84" i="89"/>
  <c r="Y84" i="89"/>
  <c r="U74" i="89"/>
  <c r="W74" i="89"/>
  <c r="V74" i="89"/>
  <c r="Y74" i="89"/>
  <c r="X74" i="89"/>
  <c r="W84" i="89"/>
  <c r="N44" i="88"/>
  <c r="I49" i="96"/>
  <c r="T49" i="96"/>
  <c r="I49" i="95"/>
  <c r="T49" i="95"/>
  <c r="I49" i="97"/>
  <c r="T49" i="97"/>
  <c r="N42" i="96"/>
  <c r="L39" i="95"/>
  <c r="Q45" i="97"/>
  <c r="I45" i="97"/>
  <c r="K56" i="95"/>
  <c r="I45" i="95"/>
  <c r="S40" i="96"/>
  <c r="I45" i="96"/>
  <c r="O44" i="90"/>
  <c r="L59" i="88"/>
  <c r="L83" i="88" s="1"/>
  <c r="S53" i="88"/>
  <c r="S78" i="88" s="1"/>
  <c r="L53" i="88"/>
  <c r="L78" i="88" s="1"/>
  <c r="O43" i="88"/>
  <c r="O73" i="88" s="1"/>
  <c r="N74" i="89"/>
  <c r="S54" i="90"/>
  <c r="S55" i="95"/>
  <c r="K55" i="95"/>
  <c r="O45" i="97"/>
  <c r="K56" i="96"/>
  <c r="S79" i="89"/>
  <c r="S54" i="88"/>
  <c r="S55" i="97"/>
  <c r="P40" i="96"/>
  <c r="O74" i="89"/>
  <c r="O43" i="90"/>
  <c r="O73" i="90" s="1"/>
  <c r="N51" i="97"/>
  <c r="O51" i="97"/>
  <c r="S58" i="97"/>
  <c r="S42" i="97"/>
  <c r="J39" i="95"/>
  <c r="O45" i="95"/>
  <c r="S40" i="95"/>
  <c r="S37" i="90"/>
  <c r="S68" i="90" s="1"/>
  <c r="S58" i="96"/>
  <c r="N51" i="96"/>
  <c r="N43" i="96" s="1"/>
  <c r="N73" i="96" s="1"/>
  <c r="O51" i="96"/>
  <c r="S42" i="96"/>
  <c r="S53" i="90"/>
  <c r="S78" i="90" s="1"/>
  <c r="O44" i="88"/>
  <c r="S58" i="95"/>
  <c r="O51" i="95"/>
  <c r="N51" i="95"/>
  <c r="S42" i="95"/>
  <c r="S39" i="95"/>
  <c r="S56" i="95"/>
  <c r="S38" i="88"/>
  <c r="T59" i="88"/>
  <c r="T83" i="88" s="1"/>
  <c r="K54" i="88"/>
  <c r="S39" i="96"/>
  <c r="S56" i="97"/>
  <c r="T51" i="97"/>
  <c r="O49" i="97"/>
  <c r="S57" i="97"/>
  <c r="T59" i="90"/>
  <c r="T83" i="90" s="1"/>
  <c r="N41" i="96"/>
  <c r="O49" i="96"/>
  <c r="S57" i="96"/>
  <c r="S40" i="97"/>
  <c r="S56" i="96"/>
  <c r="T51" i="95"/>
  <c r="O49" i="95"/>
  <c r="S57" i="95"/>
  <c r="S55" i="96"/>
  <c r="L40" i="96"/>
  <c r="Q45" i="96"/>
  <c r="J39" i="97"/>
  <c r="J39" i="96"/>
  <c r="K55" i="96"/>
  <c r="K55" i="97"/>
  <c r="Q74" i="89"/>
  <c r="L37" i="90"/>
  <c r="L68" i="90" s="1"/>
  <c r="Q44" i="88"/>
  <c r="Q43" i="88"/>
  <c r="Q73" i="88" s="1"/>
  <c r="S39" i="97"/>
  <c r="O45" i="96"/>
  <c r="L40" i="95"/>
  <c r="Q45" i="95"/>
  <c r="Q43" i="90"/>
  <c r="Q73" i="90" s="1"/>
  <c r="Q44" i="90"/>
  <c r="H53" i="90"/>
  <c r="H78" i="90" s="1"/>
  <c r="X16" i="55"/>
  <c r="B70" i="79"/>
  <c r="K54" i="90"/>
  <c r="N55" i="96"/>
  <c r="L55" i="96"/>
  <c r="I39" i="96"/>
  <c r="T60" i="90"/>
  <c r="L38" i="90"/>
  <c r="R50" i="96"/>
  <c r="K53" i="88"/>
  <c r="K78" i="88" s="1"/>
  <c r="T43" i="88"/>
  <c r="T73" i="88" s="1"/>
  <c r="K37" i="90"/>
  <c r="K68" i="90" s="1"/>
  <c r="T44" i="90"/>
  <c r="T43" i="90"/>
  <c r="T73" i="90" s="1"/>
  <c r="L38" i="88"/>
  <c r="K79" i="89"/>
  <c r="L37" i="88"/>
  <c r="L68" i="88" s="1"/>
  <c r="O77" i="81"/>
  <c r="J53" i="88"/>
  <c r="J78" i="88" s="1"/>
  <c r="W79" i="88" s="1"/>
  <c r="K38" i="90"/>
  <c r="L60" i="88"/>
  <c r="L69" i="89"/>
  <c r="R57" i="96"/>
  <c r="S51" i="96"/>
  <c r="N57" i="96"/>
  <c r="T51" i="96"/>
  <c r="Q42" i="96"/>
  <c r="M42" i="96"/>
  <c r="Q58" i="96"/>
  <c r="P42" i="96"/>
  <c r="P49" i="96"/>
  <c r="P43" i="96" s="1"/>
  <c r="P73" i="96" s="1"/>
  <c r="R58" i="96"/>
  <c r="M57" i="96"/>
  <c r="R42" i="96"/>
  <c r="K58" i="97"/>
  <c r="L42" i="97"/>
  <c r="I42" i="97"/>
  <c r="Q41" i="96"/>
  <c r="R49" i="96"/>
  <c r="J57" i="96"/>
  <c r="P57" i="96"/>
  <c r="O58" i="96"/>
  <c r="J58" i="96"/>
  <c r="O42" i="96"/>
  <c r="K58" i="95"/>
  <c r="L42" i="95"/>
  <c r="I42" i="95"/>
  <c r="K58" i="96"/>
  <c r="L42" i="96"/>
  <c r="I42" i="96"/>
  <c r="M41" i="96"/>
  <c r="O41" i="96"/>
  <c r="R41" i="96"/>
  <c r="P58" i="96"/>
  <c r="M58" i="96"/>
  <c r="S41" i="96"/>
  <c r="J41" i="96"/>
  <c r="S49" i="96"/>
  <c r="P41" i="96"/>
  <c r="J42" i="96"/>
  <c r="S52" i="96"/>
  <c r="N58" i="96"/>
  <c r="Q57" i="96"/>
  <c r="O57" i="96"/>
  <c r="L54" i="90"/>
  <c r="L53" i="90"/>
  <c r="L78" i="90" s="1"/>
  <c r="L60" i="90"/>
  <c r="I41" i="97"/>
  <c r="K41" i="97"/>
  <c r="L57" i="97"/>
  <c r="L59" i="90"/>
  <c r="L83" i="90" s="1"/>
  <c r="L57" i="95"/>
  <c r="I41" i="95"/>
  <c r="K41" i="95"/>
  <c r="I38" i="90"/>
  <c r="K41" i="96"/>
  <c r="I41" i="96"/>
  <c r="L57" i="96"/>
  <c r="T45" i="97"/>
  <c r="K40" i="97"/>
  <c r="I47" i="97"/>
  <c r="L40" i="97"/>
  <c r="T45" i="96"/>
  <c r="I47" i="96"/>
  <c r="K40" i="96"/>
  <c r="I44" i="90"/>
  <c r="I43" i="90"/>
  <c r="I73" i="90" s="1"/>
  <c r="L55" i="95"/>
  <c r="K40" i="95"/>
  <c r="I47" i="95"/>
  <c r="I39" i="97"/>
  <c r="I37" i="90"/>
  <c r="I68" i="90" s="1"/>
  <c r="M40" i="97"/>
  <c r="O55" i="95"/>
  <c r="T45" i="95"/>
  <c r="P55" i="97"/>
  <c r="K39" i="97"/>
  <c r="I59" i="90"/>
  <c r="I83" i="90" s="1"/>
  <c r="I39" i="95"/>
  <c r="K59" i="90"/>
  <c r="K83" i="90" s="1"/>
  <c r="R56" i="96"/>
  <c r="K39" i="96"/>
  <c r="L55" i="97"/>
  <c r="I60" i="90"/>
  <c r="J40" i="95"/>
  <c r="K39" i="95"/>
  <c r="K60" i="90"/>
  <c r="K37" i="88"/>
  <c r="K68" i="88" s="1"/>
  <c r="I59" i="88"/>
  <c r="I83" i="88" s="1"/>
  <c r="T44" i="88"/>
  <c r="L54" i="88"/>
  <c r="T60" i="88"/>
  <c r="S38" i="90"/>
  <c r="S69" i="89"/>
  <c r="N53" i="90"/>
  <c r="N78" i="90" s="1"/>
  <c r="J37" i="88"/>
  <c r="J68" i="88" s="1"/>
  <c r="J69" i="89"/>
  <c r="J53" i="90"/>
  <c r="J78" i="90" s="1"/>
  <c r="R74" i="89"/>
  <c r="S37" i="88"/>
  <c r="S68" i="88" s="1"/>
  <c r="Q53" i="90"/>
  <c r="Q78" i="90" s="1"/>
  <c r="M37" i="88"/>
  <c r="M68" i="88" s="1"/>
  <c r="S59" i="90"/>
  <c r="S83" i="90" s="1"/>
  <c r="I38" i="88"/>
  <c r="I60" i="88"/>
  <c r="J38" i="88"/>
  <c r="S74" i="89"/>
  <c r="O54" i="88"/>
  <c r="R53" i="90"/>
  <c r="R78" i="90" s="1"/>
  <c r="I74" i="89"/>
  <c r="O56" i="96"/>
  <c r="M54" i="88"/>
  <c r="N38" i="88"/>
  <c r="I43" i="88"/>
  <c r="I73" i="88" s="1"/>
  <c r="I44" i="88"/>
  <c r="I37" i="88"/>
  <c r="I68" i="88" s="1"/>
  <c r="J54" i="88"/>
  <c r="K60" i="88"/>
  <c r="K38" i="88"/>
  <c r="N37" i="88"/>
  <c r="N68" i="88" s="1"/>
  <c r="Q56" i="97"/>
  <c r="K59" i="88"/>
  <c r="K83" i="88" s="1"/>
  <c r="P60" i="88"/>
  <c r="M79" i="89"/>
  <c r="S43" i="90"/>
  <c r="S73" i="90" s="1"/>
  <c r="R37" i="90"/>
  <c r="R68" i="90" s="1"/>
  <c r="Q37" i="90"/>
  <c r="Q68" i="90" s="1"/>
  <c r="J59" i="90"/>
  <c r="J83" i="90" s="1"/>
  <c r="O59" i="90"/>
  <c r="O83" i="90" s="1"/>
  <c r="Q54" i="88"/>
  <c r="O53" i="88"/>
  <c r="O78" i="88" s="1"/>
  <c r="P53" i="88"/>
  <c r="P78" i="88" s="1"/>
  <c r="R37" i="88"/>
  <c r="R68" i="88" s="1"/>
  <c r="T74" i="89"/>
  <c r="J60" i="88"/>
  <c r="O37" i="90"/>
  <c r="O68" i="90" s="1"/>
  <c r="R38" i="88"/>
  <c r="R54" i="88"/>
  <c r="P54" i="90"/>
  <c r="P38" i="90"/>
  <c r="L79" i="89"/>
  <c r="M38" i="88"/>
  <c r="J38" i="90"/>
  <c r="N60" i="88"/>
  <c r="J55" i="96"/>
  <c r="J59" i="88"/>
  <c r="J83" i="88" s="1"/>
  <c r="Q38" i="90"/>
  <c r="J40" i="96"/>
  <c r="M38" i="90"/>
  <c r="S44" i="90"/>
  <c r="K69" i="89"/>
  <c r="Q38" i="88"/>
  <c r="J54" i="90"/>
  <c r="N59" i="90"/>
  <c r="N83" i="90" s="1"/>
  <c r="B70" i="94"/>
  <c r="S60" i="90"/>
  <c r="Q69" i="89"/>
  <c r="I69" i="89"/>
  <c r="N39" i="96"/>
  <c r="R39" i="96"/>
  <c r="I84" i="89"/>
  <c r="Q56" i="96"/>
  <c r="P56" i="96"/>
  <c r="R53" i="88"/>
  <c r="R78" i="88" s="1"/>
  <c r="R59" i="90"/>
  <c r="R83" i="90" s="1"/>
  <c r="N38" i="90"/>
  <c r="P39" i="95"/>
  <c r="Q40" i="95"/>
  <c r="N56" i="95"/>
  <c r="M53" i="88"/>
  <c r="M78" i="88" s="1"/>
  <c r="R79" i="89"/>
  <c r="N53" i="88"/>
  <c r="N78" i="88" s="1"/>
  <c r="Q53" i="88"/>
  <c r="Q78" i="88" s="1"/>
  <c r="P53" i="90"/>
  <c r="P78" i="90" s="1"/>
  <c r="P69" i="89"/>
  <c r="R69" i="89"/>
  <c r="P59" i="90"/>
  <c r="P83" i="90" s="1"/>
  <c r="N69" i="89"/>
  <c r="J37" i="90"/>
  <c r="J68" i="90" s="1"/>
  <c r="P59" i="88"/>
  <c r="P83" i="88" s="1"/>
  <c r="N59" i="88"/>
  <c r="N83" i="88" s="1"/>
  <c r="N40" i="96"/>
  <c r="R40" i="96"/>
  <c r="O40" i="96"/>
  <c r="N56" i="96"/>
  <c r="R40" i="95"/>
  <c r="M59" i="88"/>
  <c r="M83" i="88" s="1"/>
  <c r="H60" i="90"/>
  <c r="M39" i="96"/>
  <c r="O54" i="90"/>
  <c r="R55" i="95"/>
  <c r="Q79" i="89"/>
  <c r="M69" i="89"/>
  <c r="Q60" i="88"/>
  <c r="S51" i="97"/>
  <c r="J58" i="97"/>
  <c r="O58" i="97"/>
  <c r="Q58" i="97"/>
  <c r="R58" i="97"/>
  <c r="P58" i="97"/>
  <c r="S52" i="97"/>
  <c r="N58" i="97"/>
  <c r="M42" i="97"/>
  <c r="J42" i="97"/>
  <c r="N42" i="97"/>
  <c r="O42" i="97"/>
  <c r="P42" i="97"/>
  <c r="M58" i="97"/>
  <c r="Q42" i="97"/>
  <c r="R42" i="97"/>
  <c r="J79" i="89"/>
  <c r="O69" i="89"/>
  <c r="N54" i="88"/>
  <c r="S45" i="96"/>
  <c r="P39" i="96"/>
  <c r="O39" i="96"/>
  <c r="M39" i="95"/>
  <c r="M40" i="95"/>
  <c r="M53" i="90"/>
  <c r="M78" i="90" s="1"/>
  <c r="O60" i="88"/>
  <c r="S43" i="88"/>
  <c r="S73" i="88" s="1"/>
  <c r="N37" i="90"/>
  <c r="N68" i="90" s="1"/>
  <c r="Q59" i="90"/>
  <c r="Q83" i="90" s="1"/>
  <c r="O53" i="90"/>
  <c r="O78" i="90" s="1"/>
  <c r="P37" i="90"/>
  <c r="P68" i="90" s="1"/>
  <c r="R38" i="90"/>
  <c r="S51" i="95"/>
  <c r="Q58" i="95"/>
  <c r="J58" i="95"/>
  <c r="S52" i="95"/>
  <c r="P58" i="95"/>
  <c r="O58" i="95"/>
  <c r="N58" i="95"/>
  <c r="R58" i="95"/>
  <c r="M42" i="95"/>
  <c r="N42" i="95"/>
  <c r="P42" i="95"/>
  <c r="M58" i="95"/>
  <c r="O42" i="95"/>
  <c r="R42" i="95"/>
  <c r="Q42" i="95"/>
  <c r="J42" i="95"/>
  <c r="M37" i="90"/>
  <c r="M68" i="90" s="1"/>
  <c r="R54" i="90"/>
  <c r="P44" i="90"/>
  <c r="P43" i="90"/>
  <c r="P73" i="90" s="1"/>
  <c r="R49" i="95"/>
  <c r="P49" i="95"/>
  <c r="R50" i="95"/>
  <c r="S49" i="95"/>
  <c r="M41" i="95"/>
  <c r="O57" i="95"/>
  <c r="J57" i="95"/>
  <c r="P41" i="95"/>
  <c r="O41" i="95"/>
  <c r="Q57" i="95"/>
  <c r="J41" i="95"/>
  <c r="N57" i="95"/>
  <c r="M57" i="95"/>
  <c r="P57" i="95"/>
  <c r="R41" i="95"/>
  <c r="R57" i="95"/>
  <c r="S41" i="95"/>
  <c r="Q41" i="95"/>
  <c r="N41" i="95"/>
  <c r="S44" i="88"/>
  <c r="N60" i="90"/>
  <c r="F35" i="95"/>
  <c r="X54" i="95" s="1"/>
  <c r="P40" i="97"/>
  <c r="R60" i="90"/>
  <c r="R60" i="88"/>
  <c r="P44" i="88"/>
  <c r="P43" i="88"/>
  <c r="P73" i="88" s="1"/>
  <c r="O55" i="97"/>
  <c r="P37" i="88"/>
  <c r="P68" i="88" s="1"/>
  <c r="O38" i="88"/>
  <c r="P55" i="95"/>
  <c r="S45" i="95"/>
  <c r="Q39" i="95"/>
  <c r="N40" i="95"/>
  <c r="P56" i="95"/>
  <c r="S49" i="97"/>
  <c r="R50" i="97"/>
  <c r="P49" i="97"/>
  <c r="R49" i="97"/>
  <c r="M41" i="97"/>
  <c r="M57" i="97"/>
  <c r="O57" i="97"/>
  <c r="J41" i="97"/>
  <c r="N41" i="97"/>
  <c r="P41" i="97"/>
  <c r="Q57" i="97"/>
  <c r="R57" i="97"/>
  <c r="O41" i="97"/>
  <c r="P57" i="97"/>
  <c r="N57" i="97"/>
  <c r="Q41" i="97"/>
  <c r="S41" i="97"/>
  <c r="J57" i="97"/>
  <c r="R41" i="97"/>
  <c r="P74" i="89"/>
  <c r="S47" i="97"/>
  <c r="M56" i="97"/>
  <c r="S59" i="88"/>
  <c r="S83" i="88" s="1"/>
  <c r="O39" i="97"/>
  <c r="N55" i="97"/>
  <c r="J55" i="97"/>
  <c r="J40" i="97"/>
  <c r="O56" i="97"/>
  <c r="J56" i="97"/>
  <c r="O40" i="97"/>
  <c r="S47" i="95"/>
  <c r="M56" i="95"/>
  <c r="N79" i="89"/>
  <c r="R59" i="88"/>
  <c r="R83" i="88" s="1"/>
  <c r="O38" i="90"/>
  <c r="R55" i="97"/>
  <c r="J60" i="90"/>
  <c r="P38" i="88"/>
  <c r="O39" i="95"/>
  <c r="J55" i="95"/>
  <c r="P56" i="97"/>
  <c r="Q40" i="97"/>
  <c r="N56" i="97"/>
  <c r="Q56" i="95"/>
  <c r="P40" i="95"/>
  <c r="R56" i="95"/>
  <c r="Q55" i="96"/>
  <c r="S47" i="96"/>
  <c r="M56" i="96"/>
  <c r="S60" i="88"/>
  <c r="O60" i="90"/>
  <c r="P54" i="88"/>
  <c r="O79" i="89"/>
  <c r="S45" i="97"/>
  <c r="R39" i="97"/>
  <c r="Q39" i="97"/>
  <c r="N54" i="90"/>
  <c r="P60" i="90"/>
  <c r="P79" i="89"/>
  <c r="Q54" i="90"/>
  <c r="Q59" i="88"/>
  <c r="Q83" i="88" s="1"/>
  <c r="O37" i="88"/>
  <c r="O68" i="88" s="1"/>
  <c r="N55" i="95"/>
  <c r="Q55" i="95"/>
  <c r="R39" i="95"/>
  <c r="N39" i="95"/>
  <c r="Q60" i="90"/>
  <c r="N40" i="97"/>
  <c r="R56" i="97"/>
  <c r="R40" i="97"/>
  <c r="J56" i="96"/>
  <c r="Q40" i="96"/>
  <c r="O56" i="95"/>
  <c r="O40" i="95"/>
  <c r="J56" i="95"/>
  <c r="H55" i="97"/>
  <c r="R45" i="97"/>
  <c r="M55" i="97"/>
  <c r="Q55" i="97"/>
  <c r="P39" i="97"/>
  <c r="N39" i="97"/>
  <c r="O55" i="96"/>
  <c r="Q37" i="88"/>
  <c r="Q68" i="88" s="1"/>
  <c r="O59" i="88"/>
  <c r="O83" i="88" s="1"/>
  <c r="AB59" i="89"/>
  <c r="M60" i="88"/>
  <c r="M59" i="90"/>
  <c r="M83" i="90" s="1"/>
  <c r="M39" i="97"/>
  <c r="H54" i="90"/>
  <c r="H55" i="95"/>
  <c r="R45" i="95"/>
  <c r="M55" i="95"/>
  <c r="R43" i="90"/>
  <c r="R73" i="90" s="1"/>
  <c r="R44" i="90"/>
  <c r="R44" i="88"/>
  <c r="R43" i="88"/>
  <c r="R73" i="88" s="1"/>
  <c r="H55" i="96"/>
  <c r="H53" i="96" s="1"/>
  <c r="H78" i="96" s="1"/>
  <c r="R45" i="96"/>
  <c r="M55" i="96"/>
  <c r="N84" i="89"/>
  <c r="R55" i="96"/>
  <c r="Q39" i="96"/>
  <c r="P55" i="96"/>
  <c r="M60" i="90"/>
  <c r="M54" i="90"/>
  <c r="F35" i="97"/>
  <c r="M44" i="97" s="1"/>
  <c r="I71" i="81"/>
  <c r="F35" i="96"/>
  <c r="M44" i="96" s="1"/>
  <c r="AA81" i="81"/>
  <c r="L18" i="49"/>
  <c r="L10" i="49" s="1"/>
  <c r="H43" i="11" s="1"/>
  <c r="T42" i="11"/>
  <c r="X77" i="81"/>
  <c r="I81" i="81"/>
  <c r="V76" i="81"/>
  <c r="AA76" i="81"/>
  <c r="S77" i="81"/>
  <c r="Y76" i="81"/>
  <c r="H77" i="81"/>
  <c r="P82" i="81"/>
  <c r="L77" i="81"/>
  <c r="V81" i="81"/>
  <c r="Q82" i="81"/>
  <c r="N76" i="81"/>
  <c r="Z71" i="81"/>
  <c r="M76" i="81"/>
  <c r="W71" i="81"/>
  <c r="O71" i="81"/>
  <c r="R71" i="81"/>
  <c r="H72" i="81"/>
  <c r="T76" i="81"/>
  <c r="U76" i="81"/>
  <c r="Y72" i="81"/>
  <c r="Y82" i="81"/>
  <c r="J77" i="81"/>
  <c r="U72" i="81"/>
  <c r="X81" i="81"/>
  <c r="S72" i="81"/>
  <c r="AA72" i="81"/>
  <c r="R76" i="81"/>
  <c r="L71" i="81"/>
  <c r="H37" i="97"/>
  <c r="H68" i="97" s="1"/>
  <c r="H38" i="97"/>
  <c r="H37" i="96"/>
  <c r="H68" i="96" s="1"/>
  <c r="H38" i="96"/>
  <c r="T84" i="89"/>
  <c r="H84" i="89"/>
  <c r="S84" i="89"/>
  <c r="R84" i="89"/>
  <c r="M84" i="89"/>
  <c r="K84" i="89"/>
  <c r="J84" i="89"/>
  <c r="Q84" i="89"/>
  <c r="O84" i="89"/>
  <c r="J72" i="81"/>
  <c r="Z76" i="81"/>
  <c r="U82" i="81"/>
  <c r="M71" i="81"/>
  <c r="T81" i="81"/>
  <c r="K81" i="81"/>
  <c r="Z81" i="81"/>
  <c r="Q71" i="81"/>
  <c r="H82" i="81"/>
  <c r="L85" i="81"/>
  <c r="L87" i="81" s="1"/>
  <c r="G18" i="55" s="1"/>
  <c r="T131" i="11" s="1"/>
  <c r="O81" i="81"/>
  <c r="J82" i="81"/>
  <c r="K71" i="81"/>
  <c r="K77" i="81"/>
  <c r="P71" i="81"/>
  <c r="N85" i="81"/>
  <c r="N86" i="81" s="1"/>
  <c r="S81" i="81"/>
  <c r="Q77" i="81"/>
  <c r="X71" i="81"/>
  <c r="N81" i="81"/>
  <c r="V72" i="81"/>
  <c r="P85" i="81"/>
  <c r="P86" i="81" s="1"/>
  <c r="L84" i="89"/>
  <c r="L81" i="81"/>
  <c r="P84" i="89"/>
  <c r="Q85" i="81"/>
  <c r="Q86" i="81" s="1"/>
  <c r="M82" i="81"/>
  <c r="M85" i="81"/>
  <c r="M87" i="81" s="1"/>
  <c r="G19" i="55" s="1"/>
  <c r="V131" i="11" s="1"/>
  <c r="W76" i="81"/>
  <c r="P76" i="81"/>
  <c r="I77" i="81"/>
  <c r="T71" i="81"/>
  <c r="X85" i="81"/>
  <c r="X87" i="81" s="1"/>
  <c r="G30" i="55" s="1"/>
  <c r="AR131" i="11" s="1"/>
  <c r="S85" i="81"/>
  <c r="S87" i="81" s="1"/>
  <c r="G25" i="55" s="1"/>
  <c r="AH131" i="11" s="1"/>
  <c r="R81" i="81"/>
  <c r="I54" i="96"/>
  <c r="I53" i="96"/>
  <c r="I78" i="96" s="1"/>
  <c r="V85" i="81"/>
  <c r="V87" i="81" s="1"/>
  <c r="G28" i="55" s="1"/>
  <c r="AN131" i="11" s="1"/>
  <c r="Z85" i="81"/>
  <c r="Z87" i="81" s="1"/>
  <c r="AV131" i="11" s="1"/>
  <c r="U85" i="81"/>
  <c r="U87" i="81" s="1"/>
  <c r="G27" i="55" s="1"/>
  <c r="AL131" i="11" s="1"/>
  <c r="W85" i="81"/>
  <c r="W86" i="81" s="1"/>
  <c r="Y85" i="81"/>
  <c r="Y87" i="81" s="1"/>
  <c r="G31" i="55" s="1"/>
  <c r="AT131" i="11" s="1"/>
  <c r="I85" i="81"/>
  <c r="I86" i="81" s="1"/>
  <c r="K85" i="81"/>
  <c r="K87" i="81" s="1"/>
  <c r="G17" i="55" s="1"/>
  <c r="R131" i="11" s="1"/>
  <c r="AA85" i="81"/>
  <c r="AA86" i="81" s="1"/>
  <c r="T85" i="81"/>
  <c r="T87" i="81" s="1"/>
  <c r="G26" i="55" s="1"/>
  <c r="AJ131" i="11" s="1"/>
  <c r="N72" i="81"/>
  <c r="W81" i="81"/>
  <c r="I54" i="97"/>
  <c r="I53" i="97"/>
  <c r="I78" i="97" s="1"/>
  <c r="J85" i="81"/>
  <c r="J87" i="81" s="1"/>
  <c r="G16" i="55" s="1"/>
  <c r="P131" i="11" s="1"/>
  <c r="R85" i="81"/>
  <c r="R87" i="81" s="1"/>
  <c r="G24" i="55" s="1"/>
  <c r="AF131" i="11" s="1"/>
  <c r="O85" i="81"/>
  <c r="O87" i="81" s="1"/>
  <c r="G21" i="55" s="1"/>
  <c r="Z131" i="11" s="1"/>
  <c r="H85" i="81"/>
  <c r="H87" i="81" s="1"/>
  <c r="I53" i="95"/>
  <c r="I78" i="95" s="1"/>
  <c r="H69" i="90" l="1"/>
  <c r="W69" i="90"/>
  <c r="W38" i="95"/>
  <c r="W37" i="95"/>
  <c r="W68" i="95" s="1"/>
  <c r="H37" i="95"/>
  <c r="H68" i="95" s="1"/>
  <c r="X79" i="90"/>
  <c r="H38" i="95"/>
  <c r="U79" i="90"/>
  <c r="W53" i="95"/>
  <c r="W78" i="95" s="1"/>
  <c r="W54" i="95"/>
  <c r="U54" i="95"/>
  <c r="U53" i="95"/>
  <c r="U78" i="95" s="1"/>
  <c r="H53" i="95"/>
  <c r="H78" i="95" s="1"/>
  <c r="H69" i="88"/>
  <c r="H79" i="88"/>
  <c r="I79" i="88"/>
  <c r="I79" i="90"/>
  <c r="H44" i="96"/>
  <c r="J44" i="97"/>
  <c r="L44" i="96"/>
  <c r="J44" i="96"/>
  <c r="L44" i="97"/>
  <c r="H44" i="97"/>
  <c r="H43" i="95"/>
  <c r="H73" i="95" s="1"/>
  <c r="H44" i="95"/>
  <c r="J44" i="95"/>
  <c r="J43" i="95"/>
  <c r="J73" i="95" s="1"/>
  <c r="L74" i="90"/>
  <c r="H74" i="90"/>
  <c r="L43" i="95"/>
  <c r="L73" i="95" s="1"/>
  <c r="L44" i="95"/>
  <c r="J74" i="90"/>
  <c r="H84" i="88"/>
  <c r="H74" i="88"/>
  <c r="J74" i="88"/>
  <c r="L74" i="88"/>
  <c r="M74" i="90"/>
  <c r="M44" i="95"/>
  <c r="M43" i="95"/>
  <c r="M73" i="95" s="1"/>
  <c r="M74" i="88"/>
  <c r="N43" i="95"/>
  <c r="N73" i="95" s="1"/>
  <c r="N44" i="95"/>
  <c r="N44" i="97"/>
  <c r="AB59" i="88"/>
  <c r="AB59" i="96"/>
  <c r="AB59" i="97"/>
  <c r="T37" i="97"/>
  <c r="T68" i="97" s="1"/>
  <c r="T69" i="90"/>
  <c r="T69" i="88"/>
  <c r="Q43" i="97"/>
  <c r="Q73" i="97" s="1"/>
  <c r="T38" i="95"/>
  <c r="V54" i="97"/>
  <c r="V53" i="97"/>
  <c r="V78" i="97" s="1"/>
  <c r="T37" i="96"/>
  <c r="T68" i="96" s="1"/>
  <c r="V54" i="96"/>
  <c r="V53" i="96"/>
  <c r="V78" i="96" s="1"/>
  <c r="V53" i="95"/>
  <c r="V78" i="95" s="1"/>
  <c r="V54" i="95"/>
  <c r="T38" i="97"/>
  <c r="T37" i="95"/>
  <c r="T68" i="95" s="1"/>
  <c r="U38" i="97"/>
  <c r="U37" i="97"/>
  <c r="U68" i="97" s="1"/>
  <c r="U37" i="95"/>
  <c r="U68" i="95" s="1"/>
  <c r="U38" i="95"/>
  <c r="U37" i="96"/>
  <c r="U68" i="96" s="1"/>
  <c r="U38" i="96"/>
  <c r="V69" i="90"/>
  <c r="Y60" i="96"/>
  <c r="Y44" i="96"/>
  <c r="Y59" i="96"/>
  <c r="Y83" i="96" s="1"/>
  <c r="Y43" i="96"/>
  <c r="Y73" i="96" s="1"/>
  <c r="T54" i="97"/>
  <c r="T53" i="97"/>
  <c r="T78" i="97" s="1"/>
  <c r="U59" i="97"/>
  <c r="U83" i="97" s="1"/>
  <c r="U43" i="97"/>
  <c r="U73" i="97" s="1"/>
  <c r="U60" i="97"/>
  <c r="U44" i="97"/>
  <c r="T79" i="88"/>
  <c r="T38" i="96"/>
  <c r="V69" i="88"/>
  <c r="V59" i="97"/>
  <c r="V83" i="97" s="1"/>
  <c r="V37" i="97"/>
  <c r="V68" i="97" s="1"/>
  <c r="V38" i="97"/>
  <c r="V60" i="97"/>
  <c r="W43" i="95"/>
  <c r="W73" i="95" s="1"/>
  <c r="W59" i="95"/>
  <c r="W83" i="95" s="1"/>
  <c r="W44" i="95"/>
  <c r="W60" i="95"/>
  <c r="Y59" i="95"/>
  <c r="Y83" i="95" s="1"/>
  <c r="Y44" i="95"/>
  <c r="Y60" i="95"/>
  <c r="Y43" i="95"/>
  <c r="Y73" i="95" s="1"/>
  <c r="T79" i="90"/>
  <c r="X43" i="97"/>
  <c r="X73" i="97" s="1"/>
  <c r="X60" i="97"/>
  <c r="X59" i="97"/>
  <c r="X83" i="97" s="1"/>
  <c r="X44" i="97"/>
  <c r="Y59" i="97"/>
  <c r="Y83" i="97" s="1"/>
  <c r="Y44" i="97"/>
  <c r="Y43" i="97"/>
  <c r="Y73" i="97" s="1"/>
  <c r="Y60" i="97"/>
  <c r="V38" i="95"/>
  <c r="V60" i="95"/>
  <c r="V59" i="95"/>
  <c r="V83" i="95" s="1"/>
  <c r="V37" i="95"/>
  <c r="V68" i="95" s="1"/>
  <c r="T54" i="95"/>
  <c r="T53" i="95"/>
  <c r="T78" i="95" s="1"/>
  <c r="U43" i="96"/>
  <c r="U73" i="96" s="1"/>
  <c r="U44" i="96"/>
  <c r="U60" i="96"/>
  <c r="U59" i="96"/>
  <c r="U83" i="96" s="1"/>
  <c r="V44" i="97"/>
  <c r="V43" i="97"/>
  <c r="V73" i="97" s="1"/>
  <c r="V60" i="96"/>
  <c r="V37" i="96"/>
  <c r="V68" i="96" s="1"/>
  <c r="V38" i="96"/>
  <c r="V59" i="96"/>
  <c r="V83" i="96" s="1"/>
  <c r="X59" i="95"/>
  <c r="X83" i="95" s="1"/>
  <c r="X60" i="95"/>
  <c r="X44" i="95"/>
  <c r="X43" i="95"/>
  <c r="X73" i="95" s="1"/>
  <c r="T54" i="96"/>
  <c r="T53" i="96"/>
  <c r="T78" i="96" s="1"/>
  <c r="V44" i="96"/>
  <c r="V43" i="96"/>
  <c r="V73" i="96" s="1"/>
  <c r="Q44" i="97"/>
  <c r="U43" i="95"/>
  <c r="U73" i="95" s="1"/>
  <c r="U44" i="95"/>
  <c r="U60" i="95"/>
  <c r="U59" i="95"/>
  <c r="U83" i="95" s="1"/>
  <c r="V44" i="95"/>
  <c r="V43" i="95"/>
  <c r="V73" i="95" s="1"/>
  <c r="X43" i="96"/>
  <c r="X73" i="96" s="1"/>
  <c r="X59" i="96"/>
  <c r="X83" i="96" s="1"/>
  <c r="X60" i="96"/>
  <c r="X44" i="96"/>
  <c r="W44" i="96"/>
  <c r="W60" i="96"/>
  <c r="W59" i="96"/>
  <c r="W83" i="96" s="1"/>
  <c r="W43" i="96"/>
  <c r="W73" i="96" s="1"/>
  <c r="W43" i="97"/>
  <c r="W73" i="97" s="1"/>
  <c r="W60" i="97"/>
  <c r="W59" i="97"/>
  <c r="W83" i="97" s="1"/>
  <c r="W44" i="97"/>
  <c r="L52" i="11"/>
  <c r="K10" i="51"/>
  <c r="H52" i="11" s="1"/>
  <c r="V84" i="90"/>
  <c r="U69" i="90"/>
  <c r="W79" i="90"/>
  <c r="X84" i="90"/>
  <c r="H79" i="90"/>
  <c r="V79" i="90"/>
  <c r="U84" i="90"/>
  <c r="W84" i="90"/>
  <c r="X74" i="90"/>
  <c r="Y74" i="90"/>
  <c r="U74" i="90"/>
  <c r="V74" i="90"/>
  <c r="W74" i="90"/>
  <c r="Y84" i="90"/>
  <c r="K53" i="97"/>
  <c r="K78" i="97" s="1"/>
  <c r="V79" i="88"/>
  <c r="U69" i="88"/>
  <c r="X84" i="88"/>
  <c r="Y84" i="88"/>
  <c r="V74" i="88"/>
  <c r="X74" i="88"/>
  <c r="W74" i="88"/>
  <c r="U74" i="88"/>
  <c r="Y74" i="88"/>
  <c r="V84" i="88"/>
  <c r="W84" i="88"/>
  <c r="U84" i="88"/>
  <c r="N44" i="96"/>
  <c r="N43" i="97"/>
  <c r="N73" i="97" s="1"/>
  <c r="S53" i="96"/>
  <c r="S78" i="96" s="1"/>
  <c r="S54" i="97"/>
  <c r="T43" i="97"/>
  <c r="T73" i="97" s="1"/>
  <c r="O43" i="97"/>
  <c r="O73" i="97" s="1"/>
  <c r="O44" i="97"/>
  <c r="K53" i="95"/>
  <c r="K78" i="95" s="1"/>
  <c r="O44" i="95"/>
  <c r="O43" i="95"/>
  <c r="O73" i="95" s="1"/>
  <c r="N74" i="90"/>
  <c r="N74" i="88"/>
  <c r="S54" i="95"/>
  <c r="O44" i="96"/>
  <c r="S54" i="96"/>
  <c r="S37" i="95"/>
  <c r="S68" i="95" s="1"/>
  <c r="S53" i="95"/>
  <c r="S78" i="95" s="1"/>
  <c r="S53" i="97"/>
  <c r="S78" i="97" s="1"/>
  <c r="O74" i="88"/>
  <c r="O74" i="90"/>
  <c r="O43" i="96"/>
  <c r="O73" i="96" s="1"/>
  <c r="S38" i="96"/>
  <c r="K54" i="96"/>
  <c r="S79" i="90"/>
  <c r="S79" i="88"/>
  <c r="L37" i="96"/>
  <c r="L68" i="96" s="1"/>
  <c r="Q44" i="95"/>
  <c r="Q43" i="95"/>
  <c r="Q73" i="95" s="1"/>
  <c r="Q74" i="88"/>
  <c r="Q43" i="96"/>
  <c r="Q73" i="96" s="1"/>
  <c r="Q44" i="96"/>
  <c r="Q74" i="90"/>
  <c r="T59" i="97"/>
  <c r="T83" i="97" s="1"/>
  <c r="L14" i="55"/>
  <c r="L15" i="55"/>
  <c r="N133" i="11" s="1"/>
  <c r="L13" i="55"/>
  <c r="X15" i="55"/>
  <c r="N139" i="11" s="1"/>
  <c r="X13" i="55"/>
  <c r="X14" i="55"/>
  <c r="S37" i="96"/>
  <c r="S68" i="96" s="1"/>
  <c r="K53" i="96"/>
  <c r="K78" i="96" s="1"/>
  <c r="K54" i="97"/>
  <c r="T60" i="95"/>
  <c r="L37" i="97"/>
  <c r="L68" i="97" s="1"/>
  <c r="M37" i="96"/>
  <c r="M68" i="96" s="1"/>
  <c r="P44" i="96"/>
  <c r="R53" i="96"/>
  <c r="R78" i="96" s="1"/>
  <c r="O53" i="95"/>
  <c r="O78" i="95" s="1"/>
  <c r="L38" i="96"/>
  <c r="T60" i="97"/>
  <c r="L59" i="96"/>
  <c r="L83" i="96" s="1"/>
  <c r="L53" i="97"/>
  <c r="L78" i="97" s="1"/>
  <c r="I37" i="96"/>
  <c r="I68" i="96" s="1"/>
  <c r="W69" i="96" s="1"/>
  <c r="L38" i="95"/>
  <c r="T44" i="96"/>
  <c r="K54" i="95"/>
  <c r="N53" i="96"/>
  <c r="N78" i="96" s="1"/>
  <c r="K79" i="90"/>
  <c r="K79" i="88"/>
  <c r="J37" i="96"/>
  <c r="J68" i="96" s="1"/>
  <c r="K37" i="97"/>
  <c r="K68" i="97" s="1"/>
  <c r="T59" i="96"/>
  <c r="T83" i="96" s="1"/>
  <c r="I38" i="95"/>
  <c r="T60" i="96"/>
  <c r="T43" i="96"/>
  <c r="T73" i="96" s="1"/>
  <c r="L37" i="95"/>
  <c r="L68" i="95" s="1"/>
  <c r="Q53" i="96"/>
  <c r="Q78" i="96" s="1"/>
  <c r="T44" i="97"/>
  <c r="L59" i="95"/>
  <c r="L83" i="95" s="1"/>
  <c r="I37" i="97"/>
  <c r="I68" i="97" s="1"/>
  <c r="W69" i="97" s="1"/>
  <c r="I38" i="97"/>
  <c r="L54" i="96"/>
  <c r="L53" i="95"/>
  <c r="L78" i="95" s="1"/>
  <c r="I60" i="96"/>
  <c r="I38" i="96"/>
  <c r="I60" i="97"/>
  <c r="L60" i="96"/>
  <c r="L53" i="96"/>
  <c r="L78" i="96" s="1"/>
  <c r="L54" i="95"/>
  <c r="L54" i="97"/>
  <c r="K59" i="95"/>
  <c r="K83" i="95" s="1"/>
  <c r="K59" i="96"/>
  <c r="K83" i="96" s="1"/>
  <c r="L38" i="97"/>
  <c r="L69" i="90"/>
  <c r="L60" i="95"/>
  <c r="T43" i="11"/>
  <c r="J53" i="96"/>
  <c r="J78" i="96" s="1"/>
  <c r="I44" i="96"/>
  <c r="I43" i="96"/>
  <c r="I73" i="96" s="1"/>
  <c r="I43" i="97"/>
  <c r="I73" i="97" s="1"/>
  <c r="I44" i="97"/>
  <c r="I59" i="96"/>
  <c r="I83" i="96" s="1"/>
  <c r="K60" i="97"/>
  <c r="K60" i="95"/>
  <c r="K60" i="96"/>
  <c r="K69" i="90"/>
  <c r="R38" i="97"/>
  <c r="T74" i="90"/>
  <c r="J37" i="95"/>
  <c r="J68" i="95" s="1"/>
  <c r="I69" i="90"/>
  <c r="I60" i="95"/>
  <c r="I74" i="90"/>
  <c r="I59" i="97"/>
  <c r="I83" i="97" s="1"/>
  <c r="K59" i="97"/>
  <c r="K83" i="97" s="1"/>
  <c r="K38" i="97"/>
  <c r="K37" i="95"/>
  <c r="K68" i="95" s="1"/>
  <c r="K37" i="96"/>
  <c r="K68" i="96" s="1"/>
  <c r="I43" i="95"/>
  <c r="I73" i="95" s="1"/>
  <c r="I44" i="95"/>
  <c r="I84" i="90"/>
  <c r="T43" i="95"/>
  <c r="T73" i="95" s="1"/>
  <c r="T44" i="95"/>
  <c r="L79" i="90"/>
  <c r="L59" i="97"/>
  <c r="L83" i="97" s="1"/>
  <c r="T59" i="95"/>
  <c r="T83" i="95" s="1"/>
  <c r="L60" i="97"/>
  <c r="I37" i="95"/>
  <c r="I68" i="95" s="1"/>
  <c r="K38" i="95"/>
  <c r="I59" i="95"/>
  <c r="I83" i="95" s="1"/>
  <c r="J59" i="96"/>
  <c r="J83" i="96" s="1"/>
  <c r="O53" i="96"/>
  <c r="O78" i="96" s="1"/>
  <c r="S38" i="95"/>
  <c r="R69" i="88"/>
  <c r="AA70" i="89"/>
  <c r="AA71" i="89" s="1"/>
  <c r="M38" i="96"/>
  <c r="M75" i="89"/>
  <c r="M76" i="89" s="1"/>
  <c r="M37" i="95"/>
  <c r="M68" i="95" s="1"/>
  <c r="P59" i="96"/>
  <c r="P83" i="96" s="1"/>
  <c r="T84" i="88"/>
  <c r="N37" i="96"/>
  <c r="N68" i="96" s="1"/>
  <c r="P69" i="90"/>
  <c r="J79" i="90"/>
  <c r="K80" i="89"/>
  <c r="K82" i="89" s="1"/>
  <c r="P37" i="95"/>
  <c r="P68" i="95" s="1"/>
  <c r="O59" i="95"/>
  <c r="O83" i="95" s="1"/>
  <c r="Q79" i="88"/>
  <c r="L69" i="88"/>
  <c r="R37" i="96"/>
  <c r="R68" i="96" s="1"/>
  <c r="J38" i="95"/>
  <c r="U75" i="89"/>
  <c r="U76" i="89" s="1"/>
  <c r="T74" i="88"/>
  <c r="I74" i="88"/>
  <c r="Q38" i="96"/>
  <c r="L84" i="88"/>
  <c r="N69" i="90"/>
  <c r="M79" i="88"/>
  <c r="U70" i="89"/>
  <c r="U72" i="89" s="1"/>
  <c r="K84" i="88"/>
  <c r="S69" i="88"/>
  <c r="N59" i="96"/>
  <c r="N83" i="96" s="1"/>
  <c r="K69" i="88"/>
  <c r="R70" i="89"/>
  <c r="R71" i="89" s="1"/>
  <c r="P69" i="88"/>
  <c r="O69" i="90"/>
  <c r="J69" i="90"/>
  <c r="S69" i="90"/>
  <c r="Q54" i="96"/>
  <c r="J38" i="96"/>
  <c r="M69" i="90"/>
  <c r="P53" i="96"/>
  <c r="P78" i="96" s="1"/>
  <c r="L79" i="88"/>
  <c r="I70" i="89"/>
  <c r="I71" i="89" s="1"/>
  <c r="J70" i="89"/>
  <c r="J72" i="89" s="1"/>
  <c r="I84" i="88"/>
  <c r="I69" i="88"/>
  <c r="P75" i="89"/>
  <c r="P77" i="89" s="1"/>
  <c r="R79" i="90"/>
  <c r="N75" i="89"/>
  <c r="N77" i="89" s="1"/>
  <c r="Z75" i="89"/>
  <c r="Z77" i="89" s="1"/>
  <c r="Q69" i="90"/>
  <c r="P37" i="96"/>
  <c r="P68" i="96" s="1"/>
  <c r="W75" i="89"/>
  <c r="W77" i="89" s="1"/>
  <c r="N79" i="88"/>
  <c r="R75" i="89"/>
  <c r="R77" i="89" s="1"/>
  <c r="H60" i="95"/>
  <c r="R74" i="90"/>
  <c r="R37" i="95"/>
  <c r="R68" i="95" s="1"/>
  <c r="P60" i="95"/>
  <c r="P54" i="97"/>
  <c r="J54" i="97"/>
  <c r="N54" i="97"/>
  <c r="S43" i="97"/>
  <c r="S73" i="97" s="1"/>
  <c r="M38" i="97"/>
  <c r="S43" i="95"/>
  <c r="S73" i="95" s="1"/>
  <c r="Q37" i="95"/>
  <c r="Q68" i="95" s="1"/>
  <c r="Q53" i="95"/>
  <c r="Q78" i="95" s="1"/>
  <c r="N37" i="95"/>
  <c r="N68" i="95" s="1"/>
  <c r="O79" i="90"/>
  <c r="O59" i="96"/>
  <c r="O83" i="96" s="1"/>
  <c r="Q70" i="89"/>
  <c r="Q71" i="89" s="1"/>
  <c r="P79" i="88"/>
  <c r="Q38" i="95"/>
  <c r="J80" i="89"/>
  <c r="J82" i="89" s="1"/>
  <c r="S59" i="97"/>
  <c r="S83" i="97" s="1"/>
  <c r="P54" i="95"/>
  <c r="J79" i="88"/>
  <c r="P53" i="97"/>
  <c r="P78" i="97" s="1"/>
  <c r="X70" i="89"/>
  <c r="X71" i="89" s="1"/>
  <c r="P70" i="89"/>
  <c r="P71" i="89" s="1"/>
  <c r="Y70" i="89"/>
  <c r="Y71" i="89" s="1"/>
  <c r="O70" i="89"/>
  <c r="O72" i="89" s="1"/>
  <c r="T70" i="89"/>
  <c r="T71" i="89" s="1"/>
  <c r="P79" i="90"/>
  <c r="P84" i="88"/>
  <c r="P53" i="95"/>
  <c r="P78" i="95" s="1"/>
  <c r="O60" i="95"/>
  <c r="Q79" i="90"/>
  <c r="Z70" i="89"/>
  <c r="Z72" i="89" s="1"/>
  <c r="N70" i="89"/>
  <c r="N72" i="89" s="1"/>
  <c r="K70" i="89"/>
  <c r="K72" i="89" s="1"/>
  <c r="M70" i="89"/>
  <c r="M72" i="89" s="1"/>
  <c r="W70" i="89"/>
  <c r="W71" i="89" s="1"/>
  <c r="O79" i="88"/>
  <c r="O37" i="96"/>
  <c r="O68" i="96" s="1"/>
  <c r="R79" i="88"/>
  <c r="N59" i="95"/>
  <c r="N83" i="95" s="1"/>
  <c r="X80" i="89"/>
  <c r="X82" i="89" s="1"/>
  <c r="I75" i="89"/>
  <c r="I77" i="89" s="1"/>
  <c r="M38" i="95"/>
  <c r="M79" i="90"/>
  <c r="S44" i="95"/>
  <c r="S37" i="97"/>
  <c r="S68" i="97" s="1"/>
  <c r="N79" i="90"/>
  <c r="P59" i="97"/>
  <c r="P83" i="97" s="1"/>
  <c r="J60" i="97"/>
  <c r="S70" i="89"/>
  <c r="S72" i="89" s="1"/>
  <c r="L70" i="89"/>
  <c r="L72" i="89" s="1"/>
  <c r="V70" i="89"/>
  <c r="V71" i="89" s="1"/>
  <c r="H70" i="89"/>
  <c r="H71" i="89" s="1"/>
  <c r="R69" i="90"/>
  <c r="J75" i="89"/>
  <c r="J77" i="89" s="1"/>
  <c r="M54" i="97"/>
  <c r="M53" i="97"/>
  <c r="M78" i="97" s="1"/>
  <c r="R53" i="95"/>
  <c r="R78" i="95" s="1"/>
  <c r="Q59" i="95"/>
  <c r="Q83" i="95" s="1"/>
  <c r="R38" i="95"/>
  <c r="H80" i="89"/>
  <c r="H81" i="89" s="1"/>
  <c r="R53" i="97"/>
  <c r="R78" i="97" s="1"/>
  <c r="P59" i="95"/>
  <c r="P83" i="95" s="1"/>
  <c r="R54" i="95"/>
  <c r="O54" i="95"/>
  <c r="J59" i="97"/>
  <c r="J83" i="97" s="1"/>
  <c r="N60" i="95"/>
  <c r="J53" i="97"/>
  <c r="J78" i="97" s="1"/>
  <c r="S44" i="97"/>
  <c r="AA75" i="89"/>
  <c r="AA77" i="89" s="1"/>
  <c r="S38" i="97"/>
  <c r="Q80" i="89"/>
  <c r="Q81" i="89" s="1"/>
  <c r="P80" i="89"/>
  <c r="P82" i="89" s="1"/>
  <c r="V80" i="89"/>
  <c r="V82" i="89" s="1"/>
  <c r="V75" i="89"/>
  <c r="V77" i="89" s="1"/>
  <c r="Y75" i="89"/>
  <c r="Y77" i="89" s="1"/>
  <c r="S75" i="89"/>
  <c r="S77" i="89" s="1"/>
  <c r="H54" i="96"/>
  <c r="M53" i="96"/>
  <c r="M78" i="96" s="1"/>
  <c r="R60" i="95"/>
  <c r="Q54" i="97"/>
  <c r="N54" i="95"/>
  <c r="I80" i="89"/>
  <c r="I81" i="89" s="1"/>
  <c r="N53" i="97"/>
  <c r="N78" i="97" s="1"/>
  <c r="O38" i="95"/>
  <c r="S60" i="95"/>
  <c r="J38" i="97"/>
  <c r="P44" i="97"/>
  <c r="P43" i="97"/>
  <c r="P73" i="97" s="1"/>
  <c r="P74" i="90"/>
  <c r="P43" i="95"/>
  <c r="P73" i="95" s="1"/>
  <c r="P44" i="95"/>
  <c r="P38" i="95"/>
  <c r="S74" i="90"/>
  <c r="S59" i="95"/>
  <c r="S83" i="95" s="1"/>
  <c r="W80" i="89"/>
  <c r="W82" i="89" s="1"/>
  <c r="U80" i="89"/>
  <c r="U81" i="89" s="1"/>
  <c r="H60" i="96"/>
  <c r="H75" i="89"/>
  <c r="H77" i="89" s="1"/>
  <c r="M80" i="89"/>
  <c r="M82" i="89" s="1"/>
  <c r="O75" i="89"/>
  <c r="O76" i="89" s="1"/>
  <c r="Q75" i="89"/>
  <c r="Q77" i="89" s="1"/>
  <c r="L75" i="89"/>
  <c r="L77" i="89" s="1"/>
  <c r="T75" i="89"/>
  <c r="T77" i="89" s="1"/>
  <c r="X75" i="89"/>
  <c r="X76" i="89" s="1"/>
  <c r="K75" i="89"/>
  <c r="K77" i="89" s="1"/>
  <c r="N38" i="95"/>
  <c r="J69" i="88"/>
  <c r="S60" i="97"/>
  <c r="P74" i="88"/>
  <c r="K38" i="96"/>
  <c r="N38" i="96"/>
  <c r="R38" i="96"/>
  <c r="O38" i="96"/>
  <c r="R54" i="96"/>
  <c r="O54" i="96"/>
  <c r="R60" i="96"/>
  <c r="O60" i="96"/>
  <c r="M54" i="96"/>
  <c r="J54" i="96"/>
  <c r="P38" i="96"/>
  <c r="N54" i="96"/>
  <c r="R74" i="88"/>
  <c r="S74" i="88"/>
  <c r="M53" i="95"/>
  <c r="M78" i="95" s="1"/>
  <c r="M59" i="95"/>
  <c r="M83" i="95" s="1"/>
  <c r="M54" i="95"/>
  <c r="M60" i="95"/>
  <c r="M59" i="97"/>
  <c r="M83" i="97" s="1"/>
  <c r="M37" i="97"/>
  <c r="M68" i="97" s="1"/>
  <c r="M60" i="97"/>
  <c r="O84" i="88"/>
  <c r="N84" i="88"/>
  <c r="J84" i="88"/>
  <c r="M84" i="88"/>
  <c r="P38" i="97"/>
  <c r="P60" i="97"/>
  <c r="P37" i="97"/>
  <c r="P68" i="97" s="1"/>
  <c r="H53" i="97"/>
  <c r="H78" i="97" s="1"/>
  <c r="H59" i="97"/>
  <c r="H83" i="97" s="1"/>
  <c r="H54" i="97"/>
  <c r="Q59" i="96"/>
  <c r="Q83" i="96" s="1"/>
  <c r="Q37" i="96"/>
  <c r="Q68" i="96" s="1"/>
  <c r="N37" i="97"/>
  <c r="N68" i="97" s="1"/>
  <c r="N38" i="97"/>
  <c r="Q60" i="95"/>
  <c r="Q54" i="95"/>
  <c r="Q37" i="97"/>
  <c r="Q68" i="97" s="1"/>
  <c r="Q59" i="97"/>
  <c r="Q83" i="97" s="1"/>
  <c r="Q38" i="97"/>
  <c r="S44" i="96"/>
  <c r="S43" i="96"/>
  <c r="S73" i="96" s="1"/>
  <c r="S60" i="96"/>
  <c r="J54" i="95"/>
  <c r="J59" i="95"/>
  <c r="J83" i="95" s="1"/>
  <c r="J60" i="95"/>
  <c r="O53" i="97"/>
  <c r="O78" i="97" s="1"/>
  <c r="O54" i="97"/>
  <c r="O37" i="97"/>
  <c r="O68" i="97" s="1"/>
  <c r="O60" i="97"/>
  <c r="O59" i="97"/>
  <c r="O83" i="97" s="1"/>
  <c r="R54" i="97"/>
  <c r="J53" i="95"/>
  <c r="J78" i="95" s="1"/>
  <c r="Q84" i="88"/>
  <c r="H60" i="97"/>
  <c r="J60" i="96"/>
  <c r="R60" i="97"/>
  <c r="S59" i="96"/>
  <c r="S83" i="96" s="1"/>
  <c r="N60" i="96"/>
  <c r="S84" i="88"/>
  <c r="Q60" i="97"/>
  <c r="O38" i="97"/>
  <c r="Q60" i="96"/>
  <c r="R84" i="88"/>
  <c r="P54" i="96"/>
  <c r="R37" i="97"/>
  <c r="R68" i="97" s="1"/>
  <c r="Q53" i="97"/>
  <c r="Q78" i="97" s="1"/>
  <c r="J37" i="97"/>
  <c r="J68" i="97" s="1"/>
  <c r="N53" i="95"/>
  <c r="N78" i="95" s="1"/>
  <c r="O37" i="95"/>
  <c r="O68" i="95" s="1"/>
  <c r="P60" i="96"/>
  <c r="N80" i="89"/>
  <c r="N82" i="89" s="1"/>
  <c r="Y80" i="89"/>
  <c r="Y81" i="89" s="1"/>
  <c r="AA80" i="89"/>
  <c r="AA82" i="89" s="1"/>
  <c r="L80" i="89"/>
  <c r="L81" i="89" s="1"/>
  <c r="S80" i="89"/>
  <c r="S82" i="89" s="1"/>
  <c r="N69" i="88"/>
  <c r="Z80" i="89"/>
  <c r="Z82" i="89" s="1"/>
  <c r="O80" i="89"/>
  <c r="O81" i="89" s="1"/>
  <c r="R80" i="89"/>
  <c r="R81" i="89" s="1"/>
  <c r="T80" i="89"/>
  <c r="T82" i="89" s="1"/>
  <c r="H59" i="95"/>
  <c r="H83" i="95" s="1"/>
  <c r="H54" i="95"/>
  <c r="R59" i="96"/>
  <c r="R83" i="96" s="1"/>
  <c r="N59" i="97"/>
  <c r="N83" i="97" s="1"/>
  <c r="R43" i="95"/>
  <c r="R73" i="95" s="1"/>
  <c r="R44" i="95"/>
  <c r="Q69" i="88"/>
  <c r="O69" i="88"/>
  <c r="N60" i="97"/>
  <c r="AB59" i="90"/>
  <c r="H59" i="96"/>
  <c r="H83" i="96" s="1"/>
  <c r="M59" i="96"/>
  <c r="M83" i="96" s="1"/>
  <c r="R43" i="96"/>
  <c r="R73" i="96" s="1"/>
  <c r="R44" i="96"/>
  <c r="M69" i="88"/>
  <c r="M60" i="96"/>
  <c r="R43" i="97"/>
  <c r="R73" i="97" s="1"/>
  <c r="R44" i="97"/>
  <c r="R59" i="97"/>
  <c r="R83" i="97" s="1"/>
  <c r="R59" i="95"/>
  <c r="R83" i="95" s="1"/>
  <c r="N87" i="81"/>
  <c r="G20" i="55" s="1"/>
  <c r="X131" i="11" s="1"/>
  <c r="P139" i="11"/>
  <c r="L133" i="11"/>
  <c r="O86" i="81"/>
  <c r="E21" i="55" s="1"/>
  <c r="Y86" i="81"/>
  <c r="F31" i="55" s="1"/>
  <c r="AT130" i="11" s="1"/>
  <c r="W87" i="81"/>
  <c r="G29" i="55" s="1"/>
  <c r="AP131" i="11" s="1"/>
  <c r="S86" i="81"/>
  <c r="E25" i="55" s="1"/>
  <c r="U86" i="81"/>
  <c r="F27" i="55" s="1"/>
  <c r="AL130" i="11" s="1"/>
  <c r="AA87" i="81"/>
  <c r="AX131" i="11" s="1"/>
  <c r="H86" i="81"/>
  <c r="E14" i="55" s="1"/>
  <c r="V86" i="81"/>
  <c r="F28" i="55" s="1"/>
  <c r="AN130" i="11" s="1"/>
  <c r="AX130" i="11"/>
  <c r="K84" i="90"/>
  <c r="T84" i="90"/>
  <c r="M84" i="90"/>
  <c r="H84" i="90"/>
  <c r="P85" i="89"/>
  <c r="P87" i="89" s="1"/>
  <c r="O22" i="55" s="1"/>
  <c r="AB135" i="11" s="1"/>
  <c r="R84" i="90"/>
  <c r="Y85" i="89"/>
  <c r="Y87" i="89" s="1"/>
  <c r="O31" i="55" s="1"/>
  <c r="AT135" i="11" s="1"/>
  <c r="AA85" i="89"/>
  <c r="AA87" i="89" s="1"/>
  <c r="AX135" i="11" s="1"/>
  <c r="S84" i="90"/>
  <c r="K85" i="89"/>
  <c r="K86" i="89" s="1"/>
  <c r="Z85" i="89"/>
  <c r="Z87" i="89" s="1"/>
  <c r="AV135" i="11" s="1"/>
  <c r="J85" i="89"/>
  <c r="J86" i="89" s="1"/>
  <c r="H85" i="89"/>
  <c r="H86" i="89" s="1"/>
  <c r="Q85" i="89"/>
  <c r="Q86" i="89" s="1"/>
  <c r="M85" i="89"/>
  <c r="M87" i="89" s="1"/>
  <c r="O19" i="55" s="1"/>
  <c r="V135" i="11" s="1"/>
  <c r="P87" i="81"/>
  <c r="G22" i="55" s="1"/>
  <c r="AB131" i="11" s="1"/>
  <c r="T86" i="81"/>
  <c r="E26" i="55" s="1"/>
  <c r="L86" i="81"/>
  <c r="E18" i="55" s="1"/>
  <c r="V85" i="89"/>
  <c r="V86" i="89" s="1"/>
  <c r="N85" i="89"/>
  <c r="N86" i="89" s="1"/>
  <c r="R85" i="89"/>
  <c r="R86" i="89" s="1"/>
  <c r="W85" i="89"/>
  <c r="W87" i="89" s="1"/>
  <c r="O85" i="89"/>
  <c r="O87" i="89" s="1"/>
  <c r="O21" i="55" s="1"/>
  <c r="Z135" i="11" s="1"/>
  <c r="L85" i="89"/>
  <c r="L86" i="89" s="1"/>
  <c r="I85" i="89"/>
  <c r="I86" i="89" s="1"/>
  <c r="X85" i="89"/>
  <c r="X86" i="89" s="1"/>
  <c r="T85" i="89"/>
  <c r="T87" i="89" s="1"/>
  <c r="S85" i="89"/>
  <c r="S86" i="89" s="1"/>
  <c r="U85" i="89"/>
  <c r="U87" i="89" s="1"/>
  <c r="Q87" i="81"/>
  <c r="G23" i="55" s="1"/>
  <c r="AD131" i="11" s="1"/>
  <c r="X86" i="81"/>
  <c r="E30" i="55" s="1"/>
  <c r="Q84" i="90"/>
  <c r="O84" i="90"/>
  <c r="J84" i="90"/>
  <c r="Z86" i="81"/>
  <c r="K86" i="81"/>
  <c r="E17" i="55" s="1"/>
  <c r="M86" i="81"/>
  <c r="F19" i="55" s="1"/>
  <c r="V130" i="11" s="1"/>
  <c r="P84" i="90"/>
  <c r="R86" i="81"/>
  <c r="E24" i="55" s="1"/>
  <c r="N84" i="90"/>
  <c r="L84" i="90"/>
  <c r="J86" i="81"/>
  <c r="F16" i="55" s="1"/>
  <c r="P130" i="11" s="1"/>
  <c r="I87" i="81"/>
  <c r="G15" i="55" s="1"/>
  <c r="N131" i="11" s="1"/>
  <c r="E22" i="55"/>
  <c r="F22" i="55"/>
  <c r="AB130" i="11" s="1"/>
  <c r="F20" i="55"/>
  <c r="X130" i="11" s="1"/>
  <c r="E20" i="55"/>
  <c r="F29" i="55"/>
  <c r="AP130" i="11" s="1"/>
  <c r="E29" i="55"/>
  <c r="G14" i="55"/>
  <c r="L131" i="11" s="1"/>
  <c r="G13" i="55"/>
  <c r="F23" i="55"/>
  <c r="AD130" i="11" s="1"/>
  <c r="E23" i="55"/>
  <c r="E15" i="55"/>
  <c r="F15" i="55"/>
  <c r="N130" i="11" s="1"/>
  <c r="W69" i="95" l="1"/>
  <c r="X79" i="95"/>
  <c r="X79" i="97"/>
  <c r="X79" i="96"/>
  <c r="H69" i="95"/>
  <c r="H69" i="96"/>
  <c r="H69" i="97"/>
  <c r="U79" i="97"/>
  <c r="H79" i="96"/>
  <c r="U79" i="96"/>
  <c r="U79" i="95"/>
  <c r="H79" i="95"/>
  <c r="I79" i="97"/>
  <c r="I79" i="95"/>
  <c r="I79" i="96"/>
  <c r="L74" i="95"/>
  <c r="L74" i="97"/>
  <c r="H74" i="97"/>
  <c r="J74" i="97"/>
  <c r="J74" i="95"/>
  <c r="H74" i="96"/>
  <c r="L74" i="96"/>
  <c r="J74" i="96"/>
  <c r="H74" i="95"/>
  <c r="M74" i="96"/>
  <c r="M74" i="97"/>
  <c r="M74" i="95"/>
  <c r="T69" i="96"/>
  <c r="T69" i="97"/>
  <c r="T69" i="95"/>
  <c r="T79" i="97"/>
  <c r="V69" i="97"/>
  <c r="R74" i="96"/>
  <c r="V69" i="95"/>
  <c r="T79" i="96"/>
  <c r="V69" i="96"/>
  <c r="T79" i="95"/>
  <c r="V79" i="96"/>
  <c r="V79" i="95"/>
  <c r="U69" i="97"/>
  <c r="W79" i="97"/>
  <c r="U69" i="96"/>
  <c r="W79" i="96"/>
  <c r="U69" i="95"/>
  <c r="W79" i="95"/>
  <c r="W74" i="97"/>
  <c r="U74" i="97"/>
  <c r="Y74" i="97"/>
  <c r="X74" i="97"/>
  <c r="V74" i="97"/>
  <c r="Y84" i="97"/>
  <c r="V84" i="97"/>
  <c r="X84" i="97"/>
  <c r="U84" i="97"/>
  <c r="W84" i="97"/>
  <c r="H79" i="97"/>
  <c r="V79" i="97"/>
  <c r="H84" i="96"/>
  <c r="W84" i="96"/>
  <c r="Y84" i="96"/>
  <c r="U84" i="96"/>
  <c r="X84" i="96"/>
  <c r="V84" i="96"/>
  <c r="U74" i="96"/>
  <c r="W74" i="96"/>
  <c r="Y74" i="96"/>
  <c r="V74" i="96"/>
  <c r="X74" i="96"/>
  <c r="Y84" i="95"/>
  <c r="V84" i="95"/>
  <c r="W84" i="95"/>
  <c r="U84" i="95"/>
  <c r="X84" i="95"/>
  <c r="U74" i="95"/>
  <c r="X74" i="95"/>
  <c r="V74" i="95"/>
  <c r="W74" i="95"/>
  <c r="Y74" i="95"/>
  <c r="O74" i="97"/>
  <c r="N74" i="95"/>
  <c r="O74" i="95"/>
  <c r="N74" i="97"/>
  <c r="N74" i="96"/>
  <c r="S79" i="96"/>
  <c r="O74" i="96"/>
  <c r="Q74" i="97"/>
  <c r="S79" i="95"/>
  <c r="S79" i="97"/>
  <c r="Q74" i="95"/>
  <c r="Q74" i="96"/>
  <c r="X10" i="55"/>
  <c r="H139" i="11" s="1"/>
  <c r="J139" i="11"/>
  <c r="U77" i="89"/>
  <c r="Z13" i="55"/>
  <c r="J140" i="11" s="1"/>
  <c r="L139" i="11"/>
  <c r="X48" i="55"/>
  <c r="S71" i="89"/>
  <c r="U71" i="89"/>
  <c r="AA72" i="89"/>
  <c r="X72" i="89"/>
  <c r="V81" i="89"/>
  <c r="I76" i="89"/>
  <c r="K79" i="95"/>
  <c r="I72" i="89"/>
  <c r="K79" i="96"/>
  <c r="K79" i="97"/>
  <c r="L79" i="96"/>
  <c r="L69" i="96"/>
  <c r="L69" i="95"/>
  <c r="K84" i="97"/>
  <c r="L79" i="97"/>
  <c r="I69" i="95"/>
  <c r="T84" i="95"/>
  <c r="K69" i="97"/>
  <c r="I69" i="96"/>
  <c r="T74" i="95"/>
  <c r="L69" i="97"/>
  <c r="T74" i="97"/>
  <c r="L84" i="97"/>
  <c r="I74" i="97"/>
  <c r="I74" i="96"/>
  <c r="I74" i="95"/>
  <c r="I84" i="97"/>
  <c r="L79" i="95"/>
  <c r="R74" i="95"/>
  <c r="T74" i="96"/>
  <c r="K84" i="95"/>
  <c r="T84" i="97"/>
  <c r="K69" i="95"/>
  <c r="I69" i="97"/>
  <c r="T84" i="96"/>
  <c r="L84" i="96"/>
  <c r="I84" i="96"/>
  <c r="K84" i="96"/>
  <c r="K69" i="96"/>
  <c r="L84" i="95"/>
  <c r="I84" i="95"/>
  <c r="S80" i="90"/>
  <c r="S81" i="90" s="1"/>
  <c r="Q79" i="96"/>
  <c r="P72" i="89"/>
  <c r="J71" i="89"/>
  <c r="J76" i="89"/>
  <c r="AA76" i="89"/>
  <c r="T72" i="89"/>
  <c r="P76" i="89"/>
  <c r="Q72" i="89"/>
  <c r="K71" i="89"/>
  <c r="R76" i="89"/>
  <c r="M77" i="89"/>
  <c r="Q84" i="95"/>
  <c r="S75" i="90"/>
  <c r="S77" i="90" s="1"/>
  <c r="N81" i="89"/>
  <c r="U80" i="90"/>
  <c r="U81" i="90" s="1"/>
  <c r="H80" i="90"/>
  <c r="H81" i="90" s="1"/>
  <c r="N76" i="89"/>
  <c r="L71" i="89"/>
  <c r="M71" i="89"/>
  <c r="L75" i="90"/>
  <c r="L77" i="90" s="1"/>
  <c r="H76" i="89"/>
  <c r="I75" i="90"/>
  <c r="I76" i="90" s="1"/>
  <c r="W76" i="89"/>
  <c r="S80" i="88"/>
  <c r="S81" i="88" s="1"/>
  <c r="H70" i="88"/>
  <c r="H72" i="88" s="1"/>
  <c r="U80" i="88"/>
  <c r="U82" i="88" s="1"/>
  <c r="Z70" i="90"/>
  <c r="Z72" i="90" s="1"/>
  <c r="H75" i="88"/>
  <c r="H76" i="88" s="1"/>
  <c r="P69" i="96"/>
  <c r="U70" i="90"/>
  <c r="U71" i="90" s="1"/>
  <c r="K75" i="90"/>
  <c r="K77" i="90" s="1"/>
  <c r="K81" i="89"/>
  <c r="V70" i="90"/>
  <c r="V71" i="90" s="1"/>
  <c r="J70" i="90"/>
  <c r="J71" i="90" s="1"/>
  <c r="X75" i="90"/>
  <c r="X77" i="90" s="1"/>
  <c r="O80" i="90"/>
  <c r="O81" i="90" s="1"/>
  <c r="S75" i="88"/>
  <c r="S76" i="88" s="1"/>
  <c r="I70" i="90"/>
  <c r="I71" i="90" s="1"/>
  <c r="R72" i="89"/>
  <c r="Z75" i="90"/>
  <c r="Z76" i="90" s="1"/>
  <c r="K80" i="90"/>
  <c r="K82" i="90" s="1"/>
  <c r="X77" i="89"/>
  <c r="H70" i="90"/>
  <c r="H71" i="90" s="1"/>
  <c r="N70" i="90"/>
  <c r="N72" i="90" s="1"/>
  <c r="S70" i="90"/>
  <c r="S72" i="90" s="1"/>
  <c r="W70" i="90"/>
  <c r="W71" i="90" s="1"/>
  <c r="X70" i="90"/>
  <c r="X72" i="90" s="1"/>
  <c r="AA75" i="90"/>
  <c r="AA76" i="90" s="1"/>
  <c r="O75" i="90"/>
  <c r="O77" i="90" s="1"/>
  <c r="P75" i="90"/>
  <c r="P76" i="90" s="1"/>
  <c r="P81" i="89"/>
  <c r="N80" i="90"/>
  <c r="N81" i="90" s="1"/>
  <c r="T80" i="90"/>
  <c r="T82" i="90" s="1"/>
  <c r="J80" i="88"/>
  <c r="J82" i="88" s="1"/>
  <c r="K70" i="90"/>
  <c r="K71" i="90" s="1"/>
  <c r="Q70" i="90"/>
  <c r="Q72" i="90" s="1"/>
  <c r="Y70" i="90"/>
  <c r="Y71" i="90" s="1"/>
  <c r="O70" i="90"/>
  <c r="O71" i="90" s="1"/>
  <c r="U82" i="89"/>
  <c r="T70" i="90"/>
  <c r="T72" i="90" s="1"/>
  <c r="L70" i="90"/>
  <c r="L72" i="90" s="1"/>
  <c r="M75" i="90"/>
  <c r="M76" i="90" s="1"/>
  <c r="T75" i="90"/>
  <c r="T76" i="90" s="1"/>
  <c r="R75" i="90"/>
  <c r="R76" i="90" s="1"/>
  <c r="V72" i="89"/>
  <c r="P80" i="90"/>
  <c r="P81" i="90" s="1"/>
  <c r="R80" i="90"/>
  <c r="R81" i="90" s="1"/>
  <c r="Z71" i="89"/>
  <c r="P79" i="95"/>
  <c r="Z76" i="89"/>
  <c r="R74" i="97"/>
  <c r="R69" i="95"/>
  <c r="M84" i="96"/>
  <c r="N84" i="97"/>
  <c r="T70" i="88"/>
  <c r="T72" i="88" s="1"/>
  <c r="N79" i="97"/>
  <c r="M80" i="88"/>
  <c r="M82" i="88" s="1"/>
  <c r="J81" i="89"/>
  <c r="AA70" i="90"/>
  <c r="AA71" i="90" s="1"/>
  <c r="R70" i="90"/>
  <c r="R71" i="90" s="1"/>
  <c r="M70" i="90"/>
  <c r="M71" i="90" s="1"/>
  <c r="P70" i="90"/>
  <c r="P71" i="90" s="1"/>
  <c r="O71" i="89"/>
  <c r="O82" i="89"/>
  <c r="AA80" i="88"/>
  <c r="AA82" i="88" s="1"/>
  <c r="S81" i="89"/>
  <c r="N75" i="90"/>
  <c r="N77" i="90" s="1"/>
  <c r="W75" i="90"/>
  <c r="W76" i="90" s="1"/>
  <c r="H75" i="90"/>
  <c r="H76" i="90" s="1"/>
  <c r="Q82" i="89"/>
  <c r="W80" i="90"/>
  <c r="W81" i="90" s="1"/>
  <c r="Z80" i="90"/>
  <c r="Z81" i="90" s="1"/>
  <c r="Q69" i="96"/>
  <c r="J79" i="96"/>
  <c r="N71" i="89"/>
  <c r="L80" i="88"/>
  <c r="L81" i="88" s="1"/>
  <c r="O77" i="89"/>
  <c r="S76" i="89"/>
  <c r="O80" i="88"/>
  <c r="O82" i="88" s="1"/>
  <c r="P75" i="88"/>
  <c r="P76" i="88" s="1"/>
  <c r="Q75" i="90"/>
  <c r="Q76" i="90" s="1"/>
  <c r="Q79" i="95"/>
  <c r="S74" i="96"/>
  <c r="N69" i="97"/>
  <c r="T85" i="88"/>
  <c r="T87" i="88" s="1"/>
  <c r="N79" i="95"/>
  <c r="J84" i="96"/>
  <c r="K75" i="88"/>
  <c r="K77" i="88" s="1"/>
  <c r="Z80" i="88"/>
  <c r="Z82" i="88" s="1"/>
  <c r="R80" i="88"/>
  <c r="R81" i="88" s="1"/>
  <c r="I80" i="88"/>
  <c r="I81" i="88" s="1"/>
  <c r="T80" i="88"/>
  <c r="T82" i="88" s="1"/>
  <c r="H85" i="88"/>
  <c r="H86" i="88" s="1"/>
  <c r="H72" i="89"/>
  <c r="O84" i="96"/>
  <c r="M79" i="95"/>
  <c r="Q85" i="88"/>
  <c r="Q86" i="88" s="1"/>
  <c r="O75" i="88"/>
  <c r="O77" i="88" s="1"/>
  <c r="Y72" i="89"/>
  <c r="W72" i="89"/>
  <c r="I82" i="89"/>
  <c r="S69" i="97"/>
  <c r="O79" i="96"/>
  <c r="T75" i="88"/>
  <c r="T77" i="88" s="1"/>
  <c r="H80" i="88"/>
  <c r="H82" i="88" s="1"/>
  <c r="W80" i="88"/>
  <c r="W81" i="88" s="1"/>
  <c r="Y80" i="88"/>
  <c r="Y82" i="88" s="1"/>
  <c r="Q80" i="88"/>
  <c r="Q82" i="88" s="1"/>
  <c r="P80" i="88"/>
  <c r="P81" i="88" s="1"/>
  <c r="R69" i="96"/>
  <c r="P85" i="88"/>
  <c r="P87" i="88" s="1"/>
  <c r="X81" i="89"/>
  <c r="Q80" i="90"/>
  <c r="Q82" i="90" s="1"/>
  <c r="X80" i="90"/>
  <c r="X81" i="90" s="1"/>
  <c r="Y80" i="90"/>
  <c r="Y81" i="90" s="1"/>
  <c r="I80" i="90"/>
  <c r="I82" i="90" s="1"/>
  <c r="L80" i="90"/>
  <c r="L81" i="90" s="1"/>
  <c r="M81" i="89"/>
  <c r="T81" i="89"/>
  <c r="S69" i="95"/>
  <c r="X80" i="88"/>
  <c r="X81" i="88" s="1"/>
  <c r="K80" i="88"/>
  <c r="K81" i="88" s="1"/>
  <c r="V80" i="88"/>
  <c r="V82" i="88" s="1"/>
  <c r="N80" i="88"/>
  <c r="N82" i="88" s="1"/>
  <c r="AA81" i="89"/>
  <c r="U75" i="90"/>
  <c r="U76" i="90" s="1"/>
  <c r="Y75" i="90"/>
  <c r="Y76" i="90" s="1"/>
  <c r="V75" i="90"/>
  <c r="V76" i="90" s="1"/>
  <c r="J75" i="90"/>
  <c r="J76" i="90" s="1"/>
  <c r="J69" i="96"/>
  <c r="O69" i="96"/>
  <c r="S69" i="96"/>
  <c r="M80" i="90"/>
  <c r="M82" i="90" s="1"/>
  <c r="AA80" i="90"/>
  <c r="AA82" i="90" s="1"/>
  <c r="V80" i="90"/>
  <c r="V82" i="90" s="1"/>
  <c r="J80" i="90"/>
  <c r="J82" i="90" s="1"/>
  <c r="K76" i="89"/>
  <c r="Q76" i="89"/>
  <c r="L75" i="88"/>
  <c r="L77" i="88" s="1"/>
  <c r="M75" i="88"/>
  <c r="M77" i="88" s="1"/>
  <c r="O69" i="95"/>
  <c r="Y76" i="89"/>
  <c r="W81" i="89"/>
  <c r="H82" i="89"/>
  <c r="R79" i="96"/>
  <c r="R75" i="88"/>
  <c r="R76" i="88" s="1"/>
  <c r="I75" i="88"/>
  <c r="I76" i="88" s="1"/>
  <c r="J75" i="88"/>
  <c r="J76" i="88" s="1"/>
  <c r="N69" i="95"/>
  <c r="N69" i="96"/>
  <c r="Y82" i="89"/>
  <c r="O84" i="97"/>
  <c r="N79" i="96"/>
  <c r="I85" i="88"/>
  <c r="I86" i="88" s="1"/>
  <c r="J69" i="95"/>
  <c r="P79" i="96"/>
  <c r="L76" i="89"/>
  <c r="V76" i="89"/>
  <c r="M69" i="95"/>
  <c r="M69" i="96"/>
  <c r="M79" i="96"/>
  <c r="R84" i="97"/>
  <c r="Y70" i="88"/>
  <c r="Y72" i="88" s="1"/>
  <c r="R69" i="97"/>
  <c r="P69" i="97"/>
  <c r="O85" i="88"/>
  <c r="O86" i="88" s="1"/>
  <c r="M69" i="97"/>
  <c r="O84" i="95"/>
  <c r="P74" i="96"/>
  <c r="X75" i="88"/>
  <c r="X76" i="88" s="1"/>
  <c r="Q75" i="88"/>
  <c r="Q76" i="88" s="1"/>
  <c r="Q69" i="95"/>
  <c r="H84" i="95"/>
  <c r="H84" i="97"/>
  <c r="P74" i="95"/>
  <c r="Z81" i="89"/>
  <c r="N75" i="88"/>
  <c r="N77" i="88" s="1"/>
  <c r="W75" i="88"/>
  <c r="W77" i="88" s="1"/>
  <c r="Y75" i="88"/>
  <c r="Y77" i="88" s="1"/>
  <c r="O79" i="95"/>
  <c r="P69" i="95"/>
  <c r="T76" i="89"/>
  <c r="Q79" i="97"/>
  <c r="P79" i="97"/>
  <c r="Q84" i="97"/>
  <c r="M84" i="97"/>
  <c r="J79" i="95"/>
  <c r="P74" i="97"/>
  <c r="O69" i="97"/>
  <c r="P84" i="95"/>
  <c r="M70" i="88"/>
  <c r="M72" i="88" s="1"/>
  <c r="N70" i="88"/>
  <c r="N71" i="88" s="1"/>
  <c r="U70" i="88"/>
  <c r="U71" i="88" s="1"/>
  <c r="N84" i="95"/>
  <c r="X85" i="88"/>
  <c r="X86" i="88" s="1"/>
  <c r="K85" i="88"/>
  <c r="K87" i="88" s="1"/>
  <c r="Y85" i="88"/>
  <c r="Y87" i="88" s="1"/>
  <c r="J85" i="88"/>
  <c r="J86" i="88" s="1"/>
  <c r="M85" i="88"/>
  <c r="M87" i="88" s="1"/>
  <c r="P84" i="97"/>
  <c r="Q69" i="97"/>
  <c r="J69" i="97"/>
  <c r="N84" i="96"/>
  <c r="R82" i="89"/>
  <c r="Z70" i="88"/>
  <c r="Z72" i="88" s="1"/>
  <c r="AA70" i="88"/>
  <c r="AA71" i="88" s="1"/>
  <c r="O70" i="88"/>
  <c r="O72" i="88" s="1"/>
  <c r="R79" i="95"/>
  <c r="L82" i="89"/>
  <c r="O79" i="97"/>
  <c r="J84" i="97"/>
  <c r="Z85" i="88"/>
  <c r="Z86" i="88" s="1"/>
  <c r="U85" i="88"/>
  <c r="U86" i="88" s="1"/>
  <c r="V85" i="88"/>
  <c r="V86" i="88" s="1"/>
  <c r="R85" i="88"/>
  <c r="R87" i="88" s="1"/>
  <c r="S85" i="88"/>
  <c r="S86" i="88" s="1"/>
  <c r="M79" i="97"/>
  <c r="J79" i="97"/>
  <c r="S74" i="95"/>
  <c r="S74" i="97"/>
  <c r="Z75" i="88"/>
  <c r="Z77" i="88" s="1"/>
  <c r="U75" i="88"/>
  <c r="U77" i="88" s="1"/>
  <c r="V75" i="88"/>
  <c r="V77" i="88" s="1"/>
  <c r="AA75" i="88"/>
  <c r="AA77" i="88" s="1"/>
  <c r="L70" i="88"/>
  <c r="L72" i="88" s="1"/>
  <c r="S84" i="97"/>
  <c r="N85" i="88"/>
  <c r="N86" i="88" s="1"/>
  <c r="AA85" i="88"/>
  <c r="AA87" i="88" s="1"/>
  <c r="L85" i="88"/>
  <c r="L86" i="88" s="1"/>
  <c r="W85" i="88"/>
  <c r="W87" i="88" s="1"/>
  <c r="R79" i="97"/>
  <c r="M84" i="95"/>
  <c r="S84" i="96"/>
  <c r="X70" i="88"/>
  <c r="X71" i="88" s="1"/>
  <c r="R84" i="96"/>
  <c r="S84" i="95"/>
  <c r="AB59" i="95"/>
  <c r="J70" i="88"/>
  <c r="J72" i="88" s="1"/>
  <c r="V70" i="88"/>
  <c r="V71" i="88" s="1"/>
  <c r="K70" i="88"/>
  <c r="K71" i="88" s="1"/>
  <c r="S70" i="88"/>
  <c r="S71" i="88" s="1"/>
  <c r="R70" i="88"/>
  <c r="R71" i="88" s="1"/>
  <c r="Q84" i="96"/>
  <c r="P84" i="96"/>
  <c r="J84" i="95"/>
  <c r="R84" i="95"/>
  <c r="P70" i="88"/>
  <c r="P72" i="88" s="1"/>
  <c r="W70" i="88"/>
  <c r="W72" i="88" s="1"/>
  <c r="Q70" i="88"/>
  <c r="Q72" i="88" s="1"/>
  <c r="I70" i="88"/>
  <c r="I72" i="88" s="1"/>
  <c r="E31" i="55"/>
  <c r="AS130" i="11" s="1"/>
  <c r="F30" i="55"/>
  <c r="AR130" i="11" s="1"/>
  <c r="F21" i="55"/>
  <c r="Z130" i="11" s="1"/>
  <c r="E27" i="55"/>
  <c r="AK131" i="11" s="1"/>
  <c r="J133" i="11"/>
  <c r="L48" i="55"/>
  <c r="L10" i="55"/>
  <c r="H133" i="11" s="1"/>
  <c r="F26" i="55"/>
  <c r="AJ130" i="11" s="1"/>
  <c r="F14" i="55"/>
  <c r="L130" i="11" s="1"/>
  <c r="F25" i="55"/>
  <c r="AH130" i="11" s="1"/>
  <c r="F13" i="55"/>
  <c r="J130" i="11" s="1"/>
  <c r="F24" i="55"/>
  <c r="AF130" i="11" s="1"/>
  <c r="E28" i="55"/>
  <c r="AM131" i="11" s="1"/>
  <c r="F18" i="55"/>
  <c r="T130" i="11" s="1"/>
  <c r="I87" i="89"/>
  <c r="O15" i="55" s="1"/>
  <c r="N135" i="11" s="1"/>
  <c r="AA86" i="89"/>
  <c r="O29" i="55"/>
  <c r="AP135" i="11" s="1"/>
  <c r="O26" i="55"/>
  <c r="AJ135" i="11" s="1"/>
  <c r="N30" i="55"/>
  <c r="AR134" i="11" s="1"/>
  <c r="M30" i="55"/>
  <c r="F17" i="55"/>
  <c r="R130" i="11" s="1"/>
  <c r="AV130" i="11"/>
  <c r="O27" i="55"/>
  <c r="AL135" i="11" s="1"/>
  <c r="N28" i="55"/>
  <c r="AN134" i="11" s="1"/>
  <c r="M28" i="55"/>
  <c r="AW131" i="11"/>
  <c r="AW130" i="11"/>
  <c r="AS131" i="11"/>
  <c r="K87" i="89"/>
  <c r="O17" i="55" s="1"/>
  <c r="R135" i="11" s="1"/>
  <c r="P86" i="89"/>
  <c r="M22" i="55" s="1"/>
  <c r="T86" i="89"/>
  <c r="R87" i="89"/>
  <c r="O24" i="55" s="1"/>
  <c r="AF135" i="11" s="1"/>
  <c r="X87" i="89"/>
  <c r="L87" i="89"/>
  <c r="O18" i="55" s="1"/>
  <c r="T135" i="11" s="1"/>
  <c r="J87" i="89"/>
  <c r="O16" i="55" s="1"/>
  <c r="P135" i="11" s="1"/>
  <c r="Y86" i="89"/>
  <c r="H87" i="89"/>
  <c r="O13" i="55" s="1"/>
  <c r="N87" i="89"/>
  <c r="O20" i="55" s="1"/>
  <c r="X135" i="11" s="1"/>
  <c r="N85" i="90"/>
  <c r="N86" i="90" s="1"/>
  <c r="M86" i="89"/>
  <c r="M19" i="55" s="1"/>
  <c r="Z86" i="89"/>
  <c r="S87" i="89"/>
  <c r="O25" i="55" s="1"/>
  <c r="AH135" i="11" s="1"/>
  <c r="W86" i="89"/>
  <c r="Q87" i="89"/>
  <c r="O23" i="55" s="1"/>
  <c r="AD135" i="11" s="1"/>
  <c r="X85" i="90"/>
  <c r="X87" i="90" s="1"/>
  <c r="V87" i="89"/>
  <c r="U86" i="89"/>
  <c r="O86" i="89"/>
  <c r="M21" i="55" s="1"/>
  <c r="Q85" i="90"/>
  <c r="Q87" i="90" s="1"/>
  <c r="AA23" i="55" s="1"/>
  <c r="AD141" i="11" s="1"/>
  <c r="Y85" i="90"/>
  <c r="Y86" i="90" s="1"/>
  <c r="E16" i="55"/>
  <c r="O130" i="11" s="1"/>
  <c r="K85" i="90"/>
  <c r="K86" i="90" s="1"/>
  <c r="W85" i="90"/>
  <c r="W87" i="90" s="1"/>
  <c r="E19" i="55"/>
  <c r="U131" i="11" s="1"/>
  <c r="L85" i="90"/>
  <c r="L86" i="90" s="1"/>
  <c r="AA85" i="90"/>
  <c r="AA87" i="90" s="1"/>
  <c r="AX141" i="11" s="1"/>
  <c r="V85" i="90"/>
  <c r="V87" i="90" s="1"/>
  <c r="J85" i="90"/>
  <c r="J87" i="90" s="1"/>
  <c r="AA16" i="55" s="1"/>
  <c r="P141" i="11" s="1"/>
  <c r="O85" i="90"/>
  <c r="O87" i="90" s="1"/>
  <c r="AA21" i="55" s="1"/>
  <c r="Z141" i="11" s="1"/>
  <c r="R85" i="90"/>
  <c r="R86" i="90" s="1"/>
  <c r="U85" i="90"/>
  <c r="U87" i="90" s="1"/>
  <c r="S85" i="90"/>
  <c r="S87" i="90" s="1"/>
  <c r="AA25" i="55" s="1"/>
  <c r="AH141" i="11" s="1"/>
  <c r="Z85" i="90"/>
  <c r="Z87" i="90" s="1"/>
  <c r="AV141" i="11" s="1"/>
  <c r="H85" i="90"/>
  <c r="H87" i="90" s="1"/>
  <c r="AA14" i="55" s="1"/>
  <c r="L141" i="11" s="1"/>
  <c r="I85" i="90"/>
  <c r="I87" i="90" s="1"/>
  <c r="AA15" i="55" s="1"/>
  <c r="N141" i="11" s="1"/>
  <c r="M85" i="90"/>
  <c r="M86" i="90" s="1"/>
  <c r="P85" i="90"/>
  <c r="P86" i="90" s="1"/>
  <c r="T85" i="90"/>
  <c r="T87" i="90" s="1"/>
  <c r="N18" i="55"/>
  <c r="T134" i="11" s="1"/>
  <c r="M18" i="55"/>
  <c r="R82" i="88"/>
  <c r="N15" i="55"/>
  <c r="N134" i="11" s="1"/>
  <c r="M15" i="55"/>
  <c r="N14" i="55"/>
  <c r="L134" i="11" s="1"/>
  <c r="M14" i="55"/>
  <c r="N13" i="55"/>
  <c r="M25" i="55"/>
  <c r="N25" i="55"/>
  <c r="AH134" i="11" s="1"/>
  <c r="N20" i="55"/>
  <c r="X134" i="11" s="1"/>
  <c r="M20" i="55"/>
  <c r="M23" i="55"/>
  <c r="N23" i="55"/>
  <c r="AD134" i="11" s="1"/>
  <c r="M17" i="55"/>
  <c r="N17" i="55"/>
  <c r="R134" i="11" s="1"/>
  <c r="M24" i="55"/>
  <c r="N24" i="55"/>
  <c r="AF134" i="11" s="1"/>
  <c r="M16" i="55"/>
  <c r="N16" i="55"/>
  <c r="P134" i="11" s="1"/>
  <c r="M131" i="11"/>
  <c r="M130" i="11"/>
  <c r="AQ131" i="11"/>
  <c r="AQ130" i="11"/>
  <c r="AI131" i="11"/>
  <c r="AI130" i="11"/>
  <c r="W131" i="11"/>
  <c r="W130" i="11"/>
  <c r="S131" i="11"/>
  <c r="S130" i="11"/>
  <c r="AG131" i="11"/>
  <c r="AG130" i="11"/>
  <c r="Y131" i="11"/>
  <c r="Y130" i="11"/>
  <c r="AO131" i="11"/>
  <c r="AO130" i="11"/>
  <c r="AE131" i="11"/>
  <c r="AE130" i="11"/>
  <c r="AC131" i="11"/>
  <c r="AC130" i="11"/>
  <c r="J131" i="11"/>
  <c r="G10" i="55"/>
  <c r="H131" i="11" s="1"/>
  <c r="K130" i="11"/>
  <c r="K131" i="11"/>
  <c r="Q131" i="11"/>
  <c r="Q130" i="11"/>
  <c r="AA131" i="11"/>
  <c r="AA130" i="11"/>
  <c r="AA72" i="88" l="1"/>
  <c r="O87" i="88"/>
  <c r="O76" i="88"/>
  <c r="H77" i="88"/>
  <c r="I72" i="90"/>
  <c r="I87" i="88"/>
  <c r="W82" i="88"/>
  <c r="H82" i="90"/>
  <c r="K72" i="90"/>
  <c r="T77" i="90"/>
  <c r="Z71" i="90"/>
  <c r="AA81" i="90"/>
  <c r="R82" i="90"/>
  <c r="O72" i="90"/>
  <c r="S75" i="95"/>
  <c r="S76" i="95" s="1"/>
  <c r="U82" i="90"/>
  <c r="X71" i="90"/>
  <c r="X76" i="90"/>
  <c r="S82" i="90"/>
  <c r="K76" i="90"/>
  <c r="X82" i="90"/>
  <c r="H72" i="90"/>
  <c r="S76" i="90"/>
  <c r="L76" i="90"/>
  <c r="S82" i="88"/>
  <c r="V72" i="90"/>
  <c r="X82" i="88"/>
  <c r="R77" i="90"/>
  <c r="P82" i="90"/>
  <c r="P77" i="90"/>
  <c r="J72" i="90"/>
  <c r="U81" i="88"/>
  <c r="U72" i="90"/>
  <c r="J81" i="88"/>
  <c r="P72" i="90"/>
  <c r="K81" i="90"/>
  <c r="T86" i="88"/>
  <c r="M77" i="90"/>
  <c r="Q81" i="90"/>
  <c r="Q77" i="90"/>
  <c r="W72" i="90"/>
  <c r="I77" i="90"/>
  <c r="AA81" i="88"/>
  <c r="Q75" i="96"/>
  <c r="Q76" i="96" s="1"/>
  <c r="H77" i="90"/>
  <c r="H71" i="88"/>
  <c r="J77" i="90"/>
  <c r="S77" i="88"/>
  <c r="L82" i="90"/>
  <c r="T81" i="90"/>
  <c r="L71" i="90"/>
  <c r="Z77" i="90"/>
  <c r="L82" i="88"/>
  <c r="U80" i="96"/>
  <c r="U81" i="96" s="1"/>
  <c r="J81" i="90"/>
  <c r="N82" i="90"/>
  <c r="Q71" i="90"/>
  <c r="H75" i="96"/>
  <c r="H76" i="96" s="1"/>
  <c r="O76" i="90"/>
  <c r="U77" i="90"/>
  <c r="O82" i="90"/>
  <c r="R86" i="88"/>
  <c r="Q77" i="88"/>
  <c r="AA77" i="90"/>
  <c r="V72" i="88"/>
  <c r="K82" i="88"/>
  <c r="Y82" i="90"/>
  <c r="I70" i="96"/>
  <c r="I71" i="96" s="1"/>
  <c r="M76" i="88"/>
  <c r="W77" i="90"/>
  <c r="Q80" i="95"/>
  <c r="Q81" i="95" s="1"/>
  <c r="H75" i="95"/>
  <c r="H76" i="95" s="1"/>
  <c r="V70" i="95"/>
  <c r="V71" i="95" s="1"/>
  <c r="M81" i="88"/>
  <c r="N71" i="90"/>
  <c r="S71" i="90"/>
  <c r="Z82" i="90"/>
  <c r="M72" i="90"/>
  <c r="Y72" i="90"/>
  <c r="P77" i="88"/>
  <c r="T76" i="88"/>
  <c r="T71" i="90"/>
  <c r="K70" i="97"/>
  <c r="K72" i="97" s="1"/>
  <c r="S85" i="95"/>
  <c r="S86" i="95" s="1"/>
  <c r="X70" i="96"/>
  <c r="X72" i="96" s="1"/>
  <c r="W80" i="96"/>
  <c r="W81" i="96" s="1"/>
  <c r="W75" i="97"/>
  <c r="W77" i="97" s="1"/>
  <c r="AA76" i="88"/>
  <c r="Q81" i="88"/>
  <c r="Z87" i="88"/>
  <c r="Y77" i="90"/>
  <c r="Y76" i="88"/>
  <c r="R72" i="90"/>
  <c r="T81" i="88"/>
  <c r="I81" i="90"/>
  <c r="I75" i="95"/>
  <c r="I76" i="95" s="1"/>
  <c r="O81" i="88"/>
  <c r="L76" i="88"/>
  <c r="V81" i="88"/>
  <c r="R75" i="96"/>
  <c r="R76" i="96" s="1"/>
  <c r="I82" i="88"/>
  <c r="Q70" i="95"/>
  <c r="Q71" i="95" s="1"/>
  <c r="U75" i="95"/>
  <c r="U76" i="95" s="1"/>
  <c r="O80" i="95"/>
  <c r="O82" i="95" s="1"/>
  <c r="X72" i="88"/>
  <c r="W82" i="90"/>
  <c r="AA75" i="95"/>
  <c r="AA77" i="95" s="1"/>
  <c r="N87" i="88"/>
  <c r="Y81" i="88"/>
  <c r="O71" i="88"/>
  <c r="T71" i="88"/>
  <c r="X77" i="88"/>
  <c r="AA72" i="90"/>
  <c r="V81" i="90"/>
  <c r="T75" i="95"/>
  <c r="T76" i="95" s="1"/>
  <c r="X75" i="97"/>
  <c r="X77" i="97" s="1"/>
  <c r="O70" i="95"/>
  <c r="O72" i="95" s="1"/>
  <c r="I77" i="88"/>
  <c r="X80" i="96"/>
  <c r="X82" i="96" s="1"/>
  <c r="X87" i="88"/>
  <c r="N76" i="90"/>
  <c r="Y71" i="88"/>
  <c r="N85" i="96"/>
  <c r="N86" i="96" s="1"/>
  <c r="N80" i="97"/>
  <c r="N82" i="97" s="1"/>
  <c r="Y70" i="97"/>
  <c r="Y71" i="97" s="1"/>
  <c r="T75" i="96"/>
  <c r="T76" i="96" s="1"/>
  <c r="S80" i="96"/>
  <c r="S82" i="96" s="1"/>
  <c r="Z80" i="95"/>
  <c r="Z81" i="95" s="1"/>
  <c r="V76" i="88"/>
  <c r="Q75" i="95"/>
  <c r="Q77" i="95" s="1"/>
  <c r="M86" i="88"/>
  <c r="R75" i="95"/>
  <c r="R77" i="95" s="1"/>
  <c r="P86" i="88"/>
  <c r="J75" i="95"/>
  <c r="J77" i="95" s="1"/>
  <c r="U75" i="97"/>
  <c r="U77" i="97" s="1"/>
  <c r="P71" i="88"/>
  <c r="K75" i="95"/>
  <c r="K77" i="95" s="1"/>
  <c r="M75" i="97"/>
  <c r="M76" i="97" s="1"/>
  <c r="M71" i="88"/>
  <c r="Y85" i="96"/>
  <c r="Y87" i="96" s="1"/>
  <c r="V75" i="97"/>
  <c r="V77" i="97" s="1"/>
  <c r="S80" i="95"/>
  <c r="S81" i="95" s="1"/>
  <c r="I80" i="95"/>
  <c r="I81" i="95" s="1"/>
  <c r="H70" i="96"/>
  <c r="H72" i="96" s="1"/>
  <c r="Y85" i="97"/>
  <c r="Y87" i="97" s="1"/>
  <c r="R80" i="95"/>
  <c r="R81" i="95" s="1"/>
  <c r="W70" i="97"/>
  <c r="W71" i="97" s="1"/>
  <c r="AA85" i="95"/>
  <c r="AA87" i="95" s="1"/>
  <c r="M70" i="95"/>
  <c r="M71" i="95" s="1"/>
  <c r="Q87" i="88"/>
  <c r="Q71" i="88"/>
  <c r="P82" i="88"/>
  <c r="H81" i="88"/>
  <c r="U85" i="96"/>
  <c r="U87" i="96" s="1"/>
  <c r="I75" i="96"/>
  <c r="I76" i="96" s="1"/>
  <c r="X70" i="95"/>
  <c r="X72" i="95" s="1"/>
  <c r="L80" i="96"/>
  <c r="L81" i="96" s="1"/>
  <c r="N80" i="96"/>
  <c r="N82" i="96" s="1"/>
  <c r="H87" i="88"/>
  <c r="V77" i="90"/>
  <c r="N81" i="88"/>
  <c r="M80" i="97"/>
  <c r="M82" i="97" s="1"/>
  <c r="W71" i="88"/>
  <c r="P85" i="97"/>
  <c r="P87" i="97" s="1"/>
  <c r="J77" i="88"/>
  <c r="K76" i="88"/>
  <c r="L75" i="96"/>
  <c r="L76" i="96" s="1"/>
  <c r="AA75" i="96"/>
  <c r="AA77" i="96" s="1"/>
  <c r="M81" i="90"/>
  <c r="S87" i="88"/>
  <c r="Z81" i="88"/>
  <c r="P70" i="95"/>
  <c r="P71" i="95" s="1"/>
  <c r="W70" i="95"/>
  <c r="W71" i="95" s="1"/>
  <c r="S72" i="88"/>
  <c r="S70" i="96"/>
  <c r="S71" i="96" s="1"/>
  <c r="W70" i="96"/>
  <c r="W72" i="96" s="1"/>
  <c r="Z80" i="96"/>
  <c r="Z81" i="96" s="1"/>
  <c r="K80" i="96"/>
  <c r="K82" i="96" s="1"/>
  <c r="Y86" i="88"/>
  <c r="U72" i="88"/>
  <c r="N72" i="88"/>
  <c r="Z71" i="88"/>
  <c r="Y75" i="96"/>
  <c r="Y77" i="96" s="1"/>
  <c r="N76" i="88"/>
  <c r="R70" i="95"/>
  <c r="R72" i="95" s="1"/>
  <c r="K75" i="96"/>
  <c r="K77" i="96" s="1"/>
  <c r="X75" i="96"/>
  <c r="X77" i="96" s="1"/>
  <c r="U75" i="96"/>
  <c r="U76" i="96" s="1"/>
  <c r="U70" i="95"/>
  <c r="U71" i="95" s="1"/>
  <c r="H70" i="95"/>
  <c r="H71" i="95" s="1"/>
  <c r="Y70" i="95"/>
  <c r="Y71" i="95" s="1"/>
  <c r="M80" i="96"/>
  <c r="M81" i="96" s="1"/>
  <c r="J80" i="96"/>
  <c r="J82" i="96" s="1"/>
  <c r="Q80" i="96"/>
  <c r="Q82" i="96" s="1"/>
  <c r="L71" i="88"/>
  <c r="V80" i="97"/>
  <c r="V81" i="97" s="1"/>
  <c r="U70" i="97"/>
  <c r="U71" i="97" s="1"/>
  <c r="K85" i="95"/>
  <c r="K86" i="95" s="1"/>
  <c r="K85" i="97"/>
  <c r="K86" i="97" s="1"/>
  <c r="J70" i="96"/>
  <c r="J71" i="96" s="1"/>
  <c r="L80" i="97"/>
  <c r="L82" i="97" s="1"/>
  <c r="W86" i="88"/>
  <c r="S70" i="97"/>
  <c r="S71" i="97" s="1"/>
  <c r="P70" i="97"/>
  <c r="P72" i="97" s="1"/>
  <c r="H70" i="97"/>
  <c r="H72" i="97" s="1"/>
  <c r="W76" i="88"/>
  <c r="O85" i="95"/>
  <c r="O87" i="95" s="1"/>
  <c r="H80" i="97"/>
  <c r="H81" i="97" s="1"/>
  <c r="J80" i="97"/>
  <c r="J81" i="97" s="1"/>
  <c r="I80" i="97"/>
  <c r="I82" i="97" s="1"/>
  <c r="I71" i="88"/>
  <c r="Z76" i="88"/>
  <c r="W85" i="97"/>
  <c r="W86" i="97" s="1"/>
  <c r="L87" i="88"/>
  <c r="T70" i="97"/>
  <c r="T72" i="97" s="1"/>
  <c r="O70" i="97"/>
  <c r="O72" i="97" s="1"/>
  <c r="M70" i="97"/>
  <c r="M71" i="97" s="1"/>
  <c r="X70" i="97"/>
  <c r="X71" i="97" s="1"/>
  <c r="J85" i="96"/>
  <c r="J86" i="96" s="1"/>
  <c r="O75" i="96"/>
  <c r="O76" i="96" s="1"/>
  <c r="W75" i="96"/>
  <c r="W76" i="96" s="1"/>
  <c r="V75" i="96"/>
  <c r="V77" i="96" s="1"/>
  <c r="J75" i="96"/>
  <c r="J76" i="96" s="1"/>
  <c r="S75" i="96"/>
  <c r="S77" i="96" s="1"/>
  <c r="U87" i="88"/>
  <c r="Z70" i="95"/>
  <c r="Z71" i="95" s="1"/>
  <c r="J70" i="95"/>
  <c r="J72" i="95" s="1"/>
  <c r="T70" i="95"/>
  <c r="T71" i="95" s="1"/>
  <c r="L70" i="95"/>
  <c r="L71" i="95" s="1"/>
  <c r="S70" i="95"/>
  <c r="S72" i="95" s="1"/>
  <c r="M70" i="96"/>
  <c r="M71" i="96" s="1"/>
  <c r="P70" i="96"/>
  <c r="P71" i="96" s="1"/>
  <c r="Z70" i="96"/>
  <c r="Z72" i="96" s="1"/>
  <c r="V70" i="96"/>
  <c r="V71" i="96" s="1"/>
  <c r="Q70" i="96"/>
  <c r="Q72" i="96" s="1"/>
  <c r="R80" i="96"/>
  <c r="R82" i="96" s="1"/>
  <c r="O80" i="96"/>
  <c r="O82" i="96" s="1"/>
  <c r="H80" i="96"/>
  <c r="H82" i="96" s="1"/>
  <c r="AA80" i="96"/>
  <c r="AA82" i="96" s="1"/>
  <c r="V80" i="96"/>
  <c r="V82" i="96" s="1"/>
  <c r="J87" i="88"/>
  <c r="R77" i="88"/>
  <c r="S85" i="96"/>
  <c r="S87" i="96" s="1"/>
  <c r="Y85" i="95"/>
  <c r="Y86" i="95" s="1"/>
  <c r="V85" i="95"/>
  <c r="V87" i="95" s="1"/>
  <c r="V85" i="97"/>
  <c r="V87" i="97" s="1"/>
  <c r="X80" i="97"/>
  <c r="X81" i="97" s="1"/>
  <c r="U76" i="88"/>
  <c r="Z85" i="97"/>
  <c r="Z86" i="97" s="1"/>
  <c r="I70" i="97"/>
  <c r="I72" i="97" s="1"/>
  <c r="V87" i="88"/>
  <c r="O70" i="96"/>
  <c r="O71" i="96" s="1"/>
  <c r="U70" i="96"/>
  <c r="U71" i="96" s="1"/>
  <c r="AA70" i="96"/>
  <c r="AA71" i="96" s="1"/>
  <c r="Y70" i="96"/>
  <c r="Y71" i="96" s="1"/>
  <c r="T70" i="96"/>
  <c r="T72" i="96" s="1"/>
  <c r="R80" i="97"/>
  <c r="R81" i="97" s="1"/>
  <c r="Q80" i="97"/>
  <c r="Q81" i="97" s="1"/>
  <c r="S80" i="97"/>
  <c r="S82" i="97" s="1"/>
  <c r="Q70" i="97"/>
  <c r="Q72" i="97" s="1"/>
  <c r="L70" i="97"/>
  <c r="L72" i="97" s="1"/>
  <c r="J70" i="97"/>
  <c r="J72" i="97" s="1"/>
  <c r="R70" i="97"/>
  <c r="R71" i="97" s="1"/>
  <c r="N75" i="96"/>
  <c r="N77" i="96" s="1"/>
  <c r="M75" i="96"/>
  <c r="M77" i="96" s="1"/>
  <c r="P75" i="96"/>
  <c r="P76" i="96" s="1"/>
  <c r="Z75" i="96"/>
  <c r="Z77" i="96" s="1"/>
  <c r="N70" i="95"/>
  <c r="N72" i="95" s="1"/>
  <c r="AA70" i="95"/>
  <c r="AA71" i="95" s="1"/>
  <c r="K70" i="95"/>
  <c r="K71" i="95" s="1"/>
  <c r="I70" i="95"/>
  <c r="I71" i="95" s="1"/>
  <c r="R72" i="88"/>
  <c r="N70" i="96"/>
  <c r="N72" i="96" s="1"/>
  <c r="K70" i="96"/>
  <c r="K71" i="96" s="1"/>
  <c r="R70" i="96"/>
  <c r="R71" i="96" s="1"/>
  <c r="L70" i="96"/>
  <c r="L72" i="96" s="1"/>
  <c r="N22" i="55"/>
  <c r="AB134" i="11" s="1"/>
  <c r="I80" i="96"/>
  <c r="I81" i="96" s="1"/>
  <c r="Y80" i="96"/>
  <c r="Y81" i="96" s="1"/>
  <c r="T80" i="96"/>
  <c r="T82" i="96" s="1"/>
  <c r="P80" i="96"/>
  <c r="P82" i="96" s="1"/>
  <c r="Y80" i="97"/>
  <c r="Y82" i="97" s="1"/>
  <c r="I85" i="97"/>
  <c r="I86" i="97" s="1"/>
  <c r="P85" i="96"/>
  <c r="P87" i="96" s="1"/>
  <c r="H80" i="95"/>
  <c r="H81" i="95" s="1"/>
  <c r="P80" i="95"/>
  <c r="P81" i="95" s="1"/>
  <c r="W80" i="95"/>
  <c r="W82" i="95" s="1"/>
  <c r="J80" i="95"/>
  <c r="J82" i="95" s="1"/>
  <c r="U80" i="95"/>
  <c r="U81" i="95" s="1"/>
  <c r="T85" i="95"/>
  <c r="T86" i="95" s="1"/>
  <c r="W85" i="95"/>
  <c r="W87" i="95" s="1"/>
  <c r="U85" i="95"/>
  <c r="U87" i="95" s="1"/>
  <c r="K75" i="97"/>
  <c r="K77" i="97" s="1"/>
  <c r="R85" i="97"/>
  <c r="R86" i="97" s="1"/>
  <c r="T85" i="97"/>
  <c r="T86" i="97" s="1"/>
  <c r="L85" i="97"/>
  <c r="L86" i="97" s="1"/>
  <c r="AA85" i="97"/>
  <c r="AA86" i="97" s="1"/>
  <c r="T75" i="97"/>
  <c r="T76" i="97" s="1"/>
  <c r="Q85" i="96"/>
  <c r="Q86" i="96" s="1"/>
  <c r="X85" i="96"/>
  <c r="X87" i="96" s="1"/>
  <c r="K85" i="96"/>
  <c r="K86" i="96" s="1"/>
  <c r="V85" i="96"/>
  <c r="V86" i="96" s="1"/>
  <c r="P75" i="97"/>
  <c r="P76" i="97" s="1"/>
  <c r="K86" i="88"/>
  <c r="O75" i="97"/>
  <c r="O77" i="97" s="1"/>
  <c r="Y75" i="97"/>
  <c r="AA75" i="97"/>
  <c r="AA76" i="97" s="1"/>
  <c r="L80" i="95"/>
  <c r="L81" i="95" s="1"/>
  <c r="Y80" i="95"/>
  <c r="Y82" i="95" s="1"/>
  <c r="M80" i="95"/>
  <c r="M81" i="95" s="1"/>
  <c r="K80" i="95"/>
  <c r="K82" i="95" s="1"/>
  <c r="V80" i="95"/>
  <c r="V81" i="95" s="1"/>
  <c r="O75" i="95"/>
  <c r="O77" i="95" s="1"/>
  <c r="R85" i="95"/>
  <c r="R86" i="95" s="1"/>
  <c r="X85" i="95"/>
  <c r="X87" i="95" s="1"/>
  <c r="M85" i="95"/>
  <c r="M86" i="95" s="1"/>
  <c r="P85" i="95"/>
  <c r="P87" i="95" s="1"/>
  <c r="Z75" i="97"/>
  <c r="Z77" i="97" s="1"/>
  <c r="O80" i="97"/>
  <c r="O82" i="97" s="1"/>
  <c r="Z80" i="97"/>
  <c r="Z82" i="97" s="1"/>
  <c r="W80" i="97"/>
  <c r="W81" i="97" s="1"/>
  <c r="K80" i="97"/>
  <c r="K81" i="97" s="1"/>
  <c r="O85" i="97"/>
  <c r="O87" i="97" s="1"/>
  <c r="X85" i="97"/>
  <c r="X86" i="97" s="1"/>
  <c r="Q85" i="97"/>
  <c r="Q86" i="97" s="1"/>
  <c r="H85" i="97"/>
  <c r="H87" i="97" s="1"/>
  <c r="S85" i="97"/>
  <c r="S87" i="97" s="1"/>
  <c r="X75" i="95"/>
  <c r="X76" i="95" s="1"/>
  <c r="AA86" i="88"/>
  <c r="I75" i="97"/>
  <c r="I76" i="97" s="1"/>
  <c r="L75" i="97"/>
  <c r="L77" i="97" s="1"/>
  <c r="H85" i="96"/>
  <c r="H86" i="96" s="1"/>
  <c r="Z85" i="96"/>
  <c r="Z87" i="96" s="1"/>
  <c r="AA85" i="96"/>
  <c r="AA86" i="96" s="1"/>
  <c r="L75" i="95"/>
  <c r="L77" i="95" s="1"/>
  <c r="M75" i="95"/>
  <c r="M77" i="95" s="1"/>
  <c r="Q75" i="97"/>
  <c r="Q77" i="97" s="1"/>
  <c r="W75" i="95"/>
  <c r="W76" i="95" s="1"/>
  <c r="S75" i="97"/>
  <c r="N80" i="95"/>
  <c r="N81" i="95" s="1"/>
  <c r="T80" i="95"/>
  <c r="T82" i="95" s="1"/>
  <c r="AA80" i="95"/>
  <c r="AA81" i="95" s="1"/>
  <c r="X80" i="95"/>
  <c r="X82" i="95" s="1"/>
  <c r="Y75" i="95"/>
  <c r="Y76" i="95" s="1"/>
  <c r="J85" i="95"/>
  <c r="J86" i="95" s="1"/>
  <c r="N85" i="95"/>
  <c r="N86" i="95" s="1"/>
  <c r="Q85" i="95"/>
  <c r="Q86" i="95" s="1"/>
  <c r="J75" i="97"/>
  <c r="J77" i="97" s="1"/>
  <c r="T80" i="97"/>
  <c r="T82" i="97" s="1"/>
  <c r="U80" i="97"/>
  <c r="U81" i="97" s="1"/>
  <c r="P80" i="97"/>
  <c r="P82" i="97" s="1"/>
  <c r="AA80" i="97"/>
  <c r="AA82" i="97" s="1"/>
  <c r="U85" i="97"/>
  <c r="U87" i="97" s="1"/>
  <c r="M85" i="97"/>
  <c r="M87" i="97" s="1"/>
  <c r="J85" i="97"/>
  <c r="J86" i="97" s="1"/>
  <c r="N85" i="97"/>
  <c r="N87" i="97" s="1"/>
  <c r="N75" i="95"/>
  <c r="N76" i="95" s="1"/>
  <c r="P75" i="95"/>
  <c r="P77" i="95" s="1"/>
  <c r="N75" i="97"/>
  <c r="N77" i="97" s="1"/>
  <c r="N70" i="97"/>
  <c r="N71" i="97" s="1"/>
  <c r="V70" i="97"/>
  <c r="V71" i="97" s="1"/>
  <c r="AA70" i="97"/>
  <c r="AA71" i="97" s="1"/>
  <c r="Z70" i="97"/>
  <c r="Z71" i="97" s="1"/>
  <c r="R85" i="96"/>
  <c r="R87" i="96" s="1"/>
  <c r="T85" i="96"/>
  <c r="T86" i="96" s="1"/>
  <c r="M85" i="96"/>
  <c r="M86" i="96" s="1"/>
  <c r="V75" i="95"/>
  <c r="V76" i="95" s="1"/>
  <c r="R75" i="97"/>
  <c r="R77" i="97" s="1"/>
  <c r="J71" i="88"/>
  <c r="Z75" i="95"/>
  <c r="Z77" i="95" s="1"/>
  <c r="H75" i="97"/>
  <c r="H76" i="97" s="1"/>
  <c r="K72" i="88"/>
  <c r="H85" i="95"/>
  <c r="H87" i="95" s="1"/>
  <c r="L85" i="95"/>
  <c r="L86" i="95" s="1"/>
  <c r="I85" i="95"/>
  <c r="I87" i="95" s="1"/>
  <c r="Z85" i="95"/>
  <c r="Z86" i="95" s="1"/>
  <c r="O85" i="96"/>
  <c r="O86" i="96" s="1"/>
  <c r="W85" i="96"/>
  <c r="W86" i="96" s="1"/>
  <c r="I85" i="96"/>
  <c r="I87" i="96" s="1"/>
  <c r="L85" i="96"/>
  <c r="L87" i="96" s="1"/>
  <c r="AK130" i="11"/>
  <c r="O131" i="11"/>
  <c r="I86" i="90"/>
  <c r="Y15" i="55" s="1"/>
  <c r="U130" i="11"/>
  <c r="AX134" i="11"/>
  <c r="AM130" i="11"/>
  <c r="F10" i="55"/>
  <c r="H130" i="11" s="1"/>
  <c r="AA29" i="55"/>
  <c r="AP141" i="11" s="1"/>
  <c r="AA30" i="55"/>
  <c r="AR141" i="11" s="1"/>
  <c r="AA27" i="55"/>
  <c r="AL141" i="11" s="1"/>
  <c r="M31" i="55"/>
  <c r="N31" i="55"/>
  <c r="AT134" i="11" s="1"/>
  <c r="AU130" i="11"/>
  <c r="AU131" i="11"/>
  <c r="AV134" i="11"/>
  <c r="O30" i="55"/>
  <c r="AR135" i="11" s="1"/>
  <c r="X86" i="90"/>
  <c r="Y30" i="55" s="1"/>
  <c r="AA26" i="55"/>
  <c r="AJ141" i="11" s="1"/>
  <c r="AA28" i="55"/>
  <c r="AN141" i="11" s="1"/>
  <c r="M27" i="55"/>
  <c r="AK135" i="11" s="1"/>
  <c r="N27" i="55"/>
  <c r="AL134" i="11" s="1"/>
  <c r="N29" i="55"/>
  <c r="AP134" i="11" s="1"/>
  <c r="M29" i="55"/>
  <c r="AO135" i="11" s="1"/>
  <c r="N26" i="55"/>
  <c r="AJ134" i="11" s="1"/>
  <c r="M26" i="55"/>
  <c r="AI134" i="11" s="1"/>
  <c r="AW135" i="11"/>
  <c r="AW134" i="11"/>
  <c r="Y31" i="55"/>
  <c r="Z31" i="55"/>
  <c r="AT140" i="11" s="1"/>
  <c r="O28" i="55"/>
  <c r="AN135" i="11" s="1"/>
  <c r="R87" i="90"/>
  <c r="AA24" i="55" s="1"/>
  <c r="AF141" i="11" s="1"/>
  <c r="V86" i="90"/>
  <c r="N87" i="90"/>
  <c r="AA20" i="55" s="1"/>
  <c r="X141" i="11" s="1"/>
  <c r="N19" i="55"/>
  <c r="V134" i="11" s="1"/>
  <c r="T86" i="90"/>
  <c r="O14" i="55"/>
  <c r="L135" i="11" s="1"/>
  <c r="K87" i="90"/>
  <c r="AA17" i="55" s="1"/>
  <c r="R141" i="11" s="1"/>
  <c r="U86" i="90"/>
  <c r="N21" i="55"/>
  <c r="Z134" i="11" s="1"/>
  <c r="H86" i="90"/>
  <c r="Y14" i="55" s="1"/>
  <c r="Y87" i="90"/>
  <c r="AA31" i="55" s="1"/>
  <c r="AT141" i="11" s="1"/>
  <c r="Q86" i="90"/>
  <c r="Z23" i="55" s="1"/>
  <c r="AD140" i="11" s="1"/>
  <c r="J86" i="90"/>
  <c r="Y16" i="55" s="1"/>
  <c r="M87" i="90"/>
  <c r="AA19" i="55" s="1"/>
  <c r="V141" i="11" s="1"/>
  <c r="W86" i="90"/>
  <c r="S86" i="90"/>
  <c r="Z25" i="55" s="1"/>
  <c r="AH140" i="11" s="1"/>
  <c r="L87" i="90"/>
  <c r="AA18" i="55" s="1"/>
  <c r="T141" i="11" s="1"/>
  <c r="O86" i="90"/>
  <c r="Z21" i="55" s="1"/>
  <c r="Z140" i="11" s="1"/>
  <c r="Z86" i="90"/>
  <c r="AA86" i="90"/>
  <c r="P87" i="90"/>
  <c r="AA22" i="55" s="1"/>
  <c r="AB141" i="11" s="1"/>
  <c r="U135" i="11"/>
  <c r="U134" i="11"/>
  <c r="W135" i="11"/>
  <c r="W134" i="11"/>
  <c r="Y22" i="55"/>
  <c r="Z22" i="55"/>
  <c r="AB140" i="11" s="1"/>
  <c r="K134" i="11"/>
  <c r="K135" i="11"/>
  <c r="Z17" i="55"/>
  <c r="R140" i="11" s="1"/>
  <c r="Y17" i="55"/>
  <c r="AA135" i="11"/>
  <c r="AA134" i="11"/>
  <c r="O135" i="11"/>
  <c r="O134" i="11"/>
  <c r="AE134" i="11"/>
  <c r="AE135" i="11"/>
  <c r="AC135" i="11"/>
  <c r="AC134" i="11"/>
  <c r="AQ135" i="11"/>
  <c r="AQ134" i="11"/>
  <c r="Z18" i="55"/>
  <c r="T140" i="11" s="1"/>
  <c r="Y18" i="55"/>
  <c r="Y20" i="55"/>
  <c r="Z20" i="55"/>
  <c r="X140" i="11" s="1"/>
  <c r="J135" i="11"/>
  <c r="Y135" i="11"/>
  <c r="Y134" i="11"/>
  <c r="M134" i="11"/>
  <c r="M135" i="11"/>
  <c r="S134" i="11"/>
  <c r="S135" i="11"/>
  <c r="Z19" i="55"/>
  <c r="V140" i="11" s="1"/>
  <c r="Y19" i="55"/>
  <c r="Q135" i="11"/>
  <c r="Q134" i="11"/>
  <c r="Y24" i="55"/>
  <c r="Z24" i="55"/>
  <c r="AF140" i="11" s="1"/>
  <c r="AG135" i="11"/>
  <c r="AG134" i="11"/>
  <c r="J134" i="11"/>
  <c r="AM135" i="11"/>
  <c r="AM134" i="11"/>
  <c r="J81" i="96" l="1"/>
  <c r="S77" i="95"/>
  <c r="U77" i="95"/>
  <c r="O76" i="97"/>
  <c r="W82" i="96"/>
  <c r="K87" i="95"/>
  <c r="T77" i="95"/>
  <c r="K76" i="96"/>
  <c r="S81" i="96"/>
  <c r="Q82" i="95"/>
  <c r="K71" i="97"/>
  <c r="K72" i="95"/>
  <c r="U82" i="96"/>
  <c r="H77" i="96"/>
  <c r="I77" i="97"/>
  <c r="AA87" i="96"/>
  <c r="S71" i="95"/>
  <c r="V76" i="96"/>
  <c r="R82" i="95"/>
  <c r="T77" i="96"/>
  <c r="J71" i="97"/>
  <c r="M77" i="97"/>
  <c r="M81" i="97"/>
  <c r="W87" i="96"/>
  <c r="H81" i="96"/>
  <c r="X81" i="96"/>
  <c r="I82" i="95"/>
  <c r="I87" i="97"/>
  <c r="H77" i="95"/>
  <c r="Q77" i="96"/>
  <c r="U76" i="97"/>
  <c r="T87" i="97"/>
  <c r="L76" i="95"/>
  <c r="V72" i="95"/>
  <c r="X71" i="96"/>
  <c r="P81" i="96"/>
  <c r="K87" i="96"/>
  <c r="H71" i="97"/>
  <c r="U72" i="97"/>
  <c r="K76" i="97"/>
  <c r="Y72" i="97"/>
  <c r="V72" i="97"/>
  <c r="W87" i="97"/>
  <c r="O81" i="96"/>
  <c r="T87" i="96"/>
  <c r="W82" i="97"/>
  <c r="U82" i="95"/>
  <c r="T81" i="97"/>
  <c r="U72" i="96"/>
  <c r="W72" i="95"/>
  <c r="U77" i="96"/>
  <c r="L71" i="97"/>
  <c r="N77" i="95"/>
  <c r="J87" i="95"/>
  <c r="K76" i="95"/>
  <c r="X71" i="95"/>
  <c r="Z87" i="97"/>
  <c r="R82" i="97"/>
  <c r="T81" i="95"/>
  <c r="N71" i="96"/>
  <c r="Z86" i="96"/>
  <c r="R71" i="95"/>
  <c r="O87" i="96"/>
  <c r="L81" i="97"/>
  <c r="Y81" i="95"/>
  <c r="AA87" i="97"/>
  <c r="U72" i="95"/>
  <c r="H86" i="95"/>
  <c r="M76" i="96"/>
  <c r="P86" i="96"/>
  <c r="H82" i="97"/>
  <c r="I72" i="96"/>
  <c r="H71" i="96"/>
  <c r="R77" i="96"/>
  <c r="R72" i="97"/>
  <c r="P86" i="97"/>
  <c r="J71" i="95"/>
  <c r="M82" i="96"/>
  <c r="N87" i="96"/>
  <c r="O81" i="95"/>
  <c r="S86" i="96"/>
  <c r="W72" i="97"/>
  <c r="K87" i="97"/>
  <c r="L87" i="95"/>
  <c r="R81" i="96"/>
  <c r="Z72" i="97"/>
  <c r="O77" i="96"/>
  <c r="S87" i="95"/>
  <c r="N81" i="97"/>
  <c r="AA86" i="95"/>
  <c r="R76" i="95"/>
  <c r="Y86" i="96"/>
  <c r="W71" i="96"/>
  <c r="AA76" i="96"/>
  <c r="L77" i="96"/>
  <c r="Y77" i="95"/>
  <c r="J72" i="96"/>
  <c r="N76" i="96"/>
  <c r="P81" i="97"/>
  <c r="W76" i="97"/>
  <c r="V82" i="97"/>
  <c r="Y87" i="95"/>
  <c r="V81" i="96"/>
  <c r="AA76" i="95"/>
  <c r="Z81" i="97"/>
  <c r="I77" i="95"/>
  <c r="P72" i="95"/>
  <c r="X76" i="97"/>
  <c r="X76" i="96"/>
  <c r="Z82" i="95"/>
  <c r="S72" i="96"/>
  <c r="Q71" i="96"/>
  <c r="S76" i="96"/>
  <c r="W86" i="95"/>
  <c r="V82" i="95"/>
  <c r="T81" i="96"/>
  <c r="V77" i="95"/>
  <c r="O71" i="97"/>
  <c r="X77" i="95"/>
  <c r="R72" i="96"/>
  <c r="K81" i="95"/>
  <c r="V72" i="96"/>
  <c r="Z72" i="95"/>
  <c r="U86" i="96"/>
  <c r="U82" i="97"/>
  <c r="Q82" i="97"/>
  <c r="Z82" i="96"/>
  <c r="Q76" i="95"/>
  <c r="Z71" i="96"/>
  <c r="L72" i="95"/>
  <c r="W77" i="96"/>
  <c r="X72" i="97"/>
  <c r="Q87" i="97"/>
  <c r="Y81" i="97"/>
  <c r="J76" i="95"/>
  <c r="H82" i="95"/>
  <c r="U86" i="97"/>
  <c r="R87" i="95"/>
  <c r="N81" i="96"/>
  <c r="L82" i="96"/>
  <c r="O71" i="95"/>
  <c r="Q72" i="95"/>
  <c r="M72" i="97"/>
  <c r="P76" i="95"/>
  <c r="V86" i="97"/>
  <c r="R87" i="97"/>
  <c r="J82" i="97"/>
  <c r="V86" i="95"/>
  <c r="O76" i="95"/>
  <c r="Z76" i="95"/>
  <c r="Y86" i="97"/>
  <c r="S82" i="95"/>
  <c r="M72" i="95"/>
  <c r="AA72" i="95"/>
  <c r="Q76" i="97"/>
  <c r="P86" i="95"/>
  <c r="V76" i="97"/>
  <c r="P82" i="95"/>
  <c r="Q81" i="96"/>
  <c r="K81" i="96"/>
  <c r="I71" i="97"/>
  <c r="N87" i="95"/>
  <c r="I81" i="97"/>
  <c r="AA82" i="95"/>
  <c r="K72" i="96"/>
  <c r="AA72" i="97"/>
  <c r="O86" i="95"/>
  <c r="Y82" i="96"/>
  <c r="Z76" i="96"/>
  <c r="M72" i="96"/>
  <c r="H86" i="97"/>
  <c r="K82" i="97"/>
  <c r="AA72" i="96"/>
  <c r="I77" i="96"/>
  <c r="Y76" i="96"/>
  <c r="S72" i="97"/>
  <c r="M82" i="95"/>
  <c r="I82" i="96"/>
  <c r="Y72" i="95"/>
  <c r="H72" i="95"/>
  <c r="L76" i="97"/>
  <c r="S81" i="97"/>
  <c r="Z76" i="97"/>
  <c r="P77" i="96"/>
  <c r="M87" i="96"/>
  <c r="T77" i="97"/>
  <c r="M86" i="97"/>
  <c r="P77" i="97"/>
  <c r="Y72" i="96"/>
  <c r="J77" i="96"/>
  <c r="T71" i="97"/>
  <c r="X82" i="97"/>
  <c r="W77" i="95"/>
  <c r="I72" i="95"/>
  <c r="V87" i="96"/>
  <c r="J87" i="96"/>
  <c r="T87" i="95"/>
  <c r="AA77" i="97"/>
  <c r="T71" i="96"/>
  <c r="P71" i="97"/>
  <c r="Q71" i="97"/>
  <c r="L71" i="96"/>
  <c r="L82" i="95"/>
  <c r="T72" i="95"/>
  <c r="J81" i="95"/>
  <c r="O72" i="96"/>
  <c r="X86" i="95"/>
  <c r="Z87" i="95"/>
  <c r="AA81" i="96"/>
  <c r="N71" i="95"/>
  <c r="U86" i="95"/>
  <c r="P72" i="96"/>
  <c r="X87" i="97"/>
  <c r="H87" i="96"/>
  <c r="N76" i="97"/>
  <c r="J87" i="97"/>
  <c r="I86" i="95"/>
  <c r="X81" i="95"/>
  <c r="M76" i="95"/>
  <c r="Q87" i="96"/>
  <c r="L87" i="97"/>
  <c r="J76" i="97"/>
  <c r="N72" i="97"/>
  <c r="R76" i="97"/>
  <c r="L86" i="96"/>
  <c r="N82" i="95"/>
  <c r="S77" i="97"/>
  <c r="S76" i="97"/>
  <c r="S86" i="97"/>
  <c r="O86" i="97"/>
  <c r="O81" i="97"/>
  <c r="M87" i="95"/>
  <c r="W81" i="95"/>
  <c r="N86" i="97"/>
  <c r="AA81" i="97"/>
  <c r="Q87" i="95"/>
  <c r="X86" i="96"/>
  <c r="R86" i="96"/>
  <c r="H77" i="97"/>
  <c r="Y77" i="97"/>
  <c r="Y76" i="97"/>
  <c r="I86" i="96"/>
  <c r="Z15" i="55"/>
  <c r="N140" i="11" s="1"/>
  <c r="AO134" i="11"/>
  <c r="AK134" i="11"/>
  <c r="AI135" i="11"/>
  <c r="Z14" i="55"/>
  <c r="L140" i="11" s="1"/>
  <c r="Z28" i="55"/>
  <c r="AN140" i="11" s="1"/>
  <c r="Y28" i="55"/>
  <c r="AM141" i="11" s="1"/>
  <c r="AU135" i="11"/>
  <c r="AU134" i="11"/>
  <c r="Z30" i="55"/>
  <c r="AR140" i="11" s="1"/>
  <c r="AQ141" i="11"/>
  <c r="AS135" i="11"/>
  <c r="AS134" i="11"/>
  <c r="AV140" i="11"/>
  <c r="Y27" i="55"/>
  <c r="AK140" i="11" s="1"/>
  <c r="Z27" i="55"/>
  <c r="AL140" i="11" s="1"/>
  <c r="Z29" i="55"/>
  <c r="Y29" i="55"/>
  <c r="AO140" i="11" s="1"/>
  <c r="AS141" i="11"/>
  <c r="AS140" i="11"/>
  <c r="AX140" i="11"/>
  <c r="Z26" i="55"/>
  <c r="AJ140" i="11" s="1"/>
  <c r="Y26" i="55"/>
  <c r="AI140" i="11" s="1"/>
  <c r="S48" i="55"/>
  <c r="O10" i="55"/>
  <c r="H135" i="11" s="1"/>
  <c r="S49" i="55"/>
  <c r="Z16" i="55"/>
  <c r="P140" i="11" s="1"/>
  <c r="N48" i="55"/>
  <c r="N10" i="55"/>
  <c r="H134" i="11" s="1"/>
  <c r="N49" i="55"/>
  <c r="Y23" i="55"/>
  <c r="AC141" i="11" s="1"/>
  <c r="AP140" i="11"/>
  <c r="Y25" i="55"/>
  <c r="AG140" i="11" s="1"/>
  <c r="Y21" i="55"/>
  <c r="Y141" i="11" s="1"/>
  <c r="M141" i="11"/>
  <c r="M140" i="11"/>
  <c r="AA140" i="11"/>
  <c r="AA141" i="11"/>
  <c r="S140" i="11"/>
  <c r="S141" i="11"/>
  <c r="Q140" i="11"/>
  <c r="Q141" i="11"/>
  <c r="AA13" i="55"/>
  <c r="K140" i="11"/>
  <c r="K141" i="11"/>
  <c r="U141" i="11"/>
  <c r="U140" i="11"/>
  <c r="AE140" i="11"/>
  <c r="AE141" i="11"/>
  <c r="W140" i="11"/>
  <c r="W141" i="11"/>
  <c r="O140" i="11"/>
  <c r="O141" i="11"/>
  <c r="AO141" i="11" l="1"/>
  <c r="AQ140" i="11"/>
  <c r="AI141" i="11"/>
  <c r="AW141" i="11"/>
  <c r="AW140" i="11"/>
  <c r="AU141" i="11"/>
  <c r="AU140" i="11"/>
  <c r="AK141" i="11"/>
  <c r="AM140" i="11"/>
  <c r="AG141" i="11"/>
  <c r="AC140" i="11"/>
  <c r="Y140" i="11"/>
  <c r="Z10" i="55"/>
  <c r="H140" i="11" s="1"/>
  <c r="Z48" i="55"/>
  <c r="AE48" i="55"/>
  <c r="AE49" i="55"/>
  <c r="Z49" i="55"/>
  <c r="AA10" i="55"/>
  <c r="H141" i="11" s="1"/>
  <c r="J141" i="11"/>
</calcChain>
</file>

<file path=xl/comments1.xml><?xml version="1.0" encoding="utf-8"?>
<comments xmlns="http://schemas.openxmlformats.org/spreadsheetml/2006/main">
  <authors>
    <author>REY Hervé</author>
  </authors>
  <commentList>
    <comment ref="C4" authorId="0">
      <text>
        <r>
          <rPr>
            <b/>
            <sz val="9"/>
            <color indexed="81"/>
            <rFont val="Tahoma"/>
            <family val="2"/>
          </rPr>
          <t xml:space="preserve">REY Hervé:
</t>
        </r>
        <r>
          <rPr>
            <sz val="9"/>
            <color indexed="81"/>
            <rFont val="Tahoma"/>
            <family val="2"/>
          </rPr>
          <t xml:space="preserve">
Version du moteur PRINCIPES
pour ce fichier paramètre
</t>
        </r>
      </text>
    </comment>
    <comment ref="E4" authorId="0">
      <text>
        <r>
          <rPr>
            <b/>
            <sz val="9"/>
            <color indexed="81"/>
            <rFont val="Tahoma"/>
            <family val="2"/>
          </rPr>
          <t xml:space="preserve">REY Hervé:
</t>
        </r>
        <r>
          <rPr>
            <sz val="9"/>
            <color indexed="81"/>
            <rFont val="Tahoma"/>
            <family val="2"/>
          </rPr>
          <t xml:space="preserve">
Palm-tree name :
botanical Name,
Variety name,
Cultivar,
Progeny,
Llocalisation…</t>
        </r>
      </text>
    </comment>
    <comment ref="G4" authorId="0">
      <text>
        <r>
          <rPr>
            <b/>
            <sz val="9"/>
            <color indexed="81"/>
            <rFont val="Tahoma"/>
            <family val="2"/>
          </rPr>
          <t xml:space="preserve">REY Hervé:
</t>
        </r>
        <r>
          <rPr>
            <sz val="9"/>
            <color indexed="81"/>
            <rFont val="Tahoma"/>
            <family val="2"/>
          </rPr>
          <t xml:space="preserve">
Palm-tree Age expressed in total number of phytomeres (Internodes, Fronds and inflorescences) initiated since germination.
In the present model, One computing unit produces  One phyllochrone.
</t>
        </r>
      </text>
    </comment>
    <comment ref="I4" authorId="0">
      <text>
        <r>
          <rPr>
            <b/>
            <sz val="9"/>
            <color indexed="81"/>
            <rFont val="Tahoma"/>
            <family val="2"/>
          </rPr>
          <t xml:space="preserve">REY Hervé:
</t>
        </r>
        <r>
          <rPr>
            <sz val="9"/>
            <color indexed="81"/>
            <rFont val="Tahoma"/>
            <family val="2"/>
          </rPr>
          <t xml:space="preserve">
PalmTree Sex :
0 = Dioecious Male Tree (male Phoenix date palm tree),
1 = Dioecious Femele Tree (female Phoenix date palm tree),
2 = Monoecious Tree, with Male OR Femele exclusive Inflorescences (Elaeis oil palm tree),
3 = Monoecious Tree, with Male AND Femele mixed Flowers Inflorescences (Cocos coconut tree with male &amp; female flowers on the same spikelet).
In case "sex code =2" :
"Frequency" gives the relative number of Female bunches on total number of bunches produced (in %).</t>
        </r>
      </text>
    </comment>
    <comment ref="M4" authorId="0">
      <text>
        <r>
          <rPr>
            <b/>
            <sz val="9"/>
            <color indexed="81"/>
            <rFont val="Tahoma"/>
            <family val="2"/>
          </rPr>
          <t>REY Hervé:</t>
        </r>
        <r>
          <rPr>
            <sz val="9"/>
            <color indexed="81"/>
            <rFont val="Tahoma"/>
            <family val="2"/>
          </rPr>
          <t xml:space="preserve">
Torsion Direction for most of Fronds of Palm-tree.
Lateral Deviation &amp; Torsion are linked !.
"Exception Frequency" is for Fronds which have a reverse torsion (and lateral deviation) according to "normal" torsion.</t>
        </r>
      </text>
    </comment>
    <comment ref="Q4" authorId="0">
      <text>
        <r>
          <rPr>
            <b/>
            <sz val="9"/>
            <color indexed="81"/>
            <rFont val="Tahoma"/>
            <family val="2"/>
          </rPr>
          <t xml:space="preserve">REY Hervé:
</t>
        </r>
        <r>
          <rPr>
            <sz val="9"/>
            <color indexed="81"/>
            <rFont val="Tahoma"/>
            <family val="2"/>
          </rPr>
          <t xml:space="preserve">
Aperture orientation for Pinnae :
 1 =  Uupwards opening (Date Palm like);
-1 = Downwards opening (Oil Palm and Coconut palm like).</t>
        </r>
      </text>
    </comment>
    <comment ref="C16" authorId="0">
      <text>
        <r>
          <rPr>
            <b/>
            <sz val="9"/>
            <color indexed="81"/>
            <rFont val="Tahoma"/>
            <family val="2"/>
          </rPr>
          <t xml:space="preserve">REY Hervé:
</t>
        </r>
        <r>
          <rPr>
            <sz val="9"/>
            <color indexed="81"/>
            <rFont val="Tahoma"/>
            <family val="2"/>
          </rPr>
          <t xml:space="preserve">
"Seed Number" is a random number used to initiate simulation to mimic Palm_tree plasticity using standard deviation values.
</t>
        </r>
      </text>
    </comment>
    <comment ref="E16" authorId="0">
      <text>
        <r>
          <rPr>
            <b/>
            <sz val="9"/>
            <color indexed="81"/>
            <rFont val="Tahoma"/>
            <family val="2"/>
          </rPr>
          <t xml:space="preserve">REY Hervé:
</t>
        </r>
        <r>
          <rPr>
            <sz val="9"/>
            <color indexed="81"/>
            <rFont val="Tahoma"/>
            <family val="2"/>
          </rPr>
          <t xml:space="preserve">
Step for geometrical output during simulation.
If this number is equal to plant age, only final step will be displayed.
Otherwise, "10" will produce a geometrical output each 10 plant ages (10, 20, 30 …) until final plant age.</t>
        </r>
      </text>
    </comment>
    <comment ref="G16" authorId="0">
      <text>
        <r>
          <rPr>
            <b/>
            <sz val="9"/>
            <color indexed="81"/>
            <rFont val="Tahoma"/>
            <family val="2"/>
          </rPr>
          <t xml:space="preserve">REY Hervé:
</t>
        </r>
        <r>
          <rPr>
            <sz val="9"/>
            <color indexed="81"/>
            <rFont val="Tahoma"/>
            <family val="2"/>
          </rPr>
          <t xml:space="preserve">
Position in the crown (from top, i.e. young palms) of simulated reference Frond and inflorescence.</t>
        </r>
      </text>
    </comment>
    <comment ref="I16" authorId="0">
      <text>
        <r>
          <rPr>
            <b/>
            <sz val="9"/>
            <color indexed="81"/>
            <rFont val="Tahoma"/>
            <family val="2"/>
          </rPr>
          <t xml:space="preserve">REY Hervé:
</t>
        </r>
        <r>
          <rPr>
            <sz val="9"/>
            <color indexed="81"/>
            <rFont val="Tahoma"/>
            <family val="2"/>
          </rPr>
          <t xml:space="preserve">
For 2013 version, only structural mode available.
For 2014 version, descriptive growth added to structural 2013 mode for some parameters.
For 2015…?, functional mode to come with Xplam ecophysiological model interacting with this structural model…!.</t>
        </r>
      </text>
    </comment>
    <comment ref="K16" authorId="0">
      <text>
        <r>
          <rPr>
            <b/>
            <sz val="9"/>
            <color indexed="81"/>
            <rFont val="Tahoma"/>
            <family val="2"/>
          </rPr>
          <t xml:space="preserve">REY Hervé:
</t>
        </r>
        <r>
          <rPr>
            <sz val="9"/>
            <color indexed="81"/>
            <rFont val="Tahoma"/>
            <family val="2"/>
          </rPr>
          <t xml:space="preserve">
Structure simplification during simulation :
Stipe, Reference Frond and inflorescence can be simulated alone, in 2D or 3D.
3D structure is simulated with standard deviation values;
2D structure is simulated without standard Deviation.</t>
        </r>
      </text>
    </comment>
    <comment ref="M16" authorId="0">
      <text>
        <r>
          <rPr>
            <b/>
            <sz val="9"/>
            <color indexed="81"/>
            <rFont val="Tahoma"/>
            <family val="2"/>
          </rPr>
          <t xml:space="preserve">REY Hervé:
</t>
        </r>
        <r>
          <rPr>
            <sz val="9"/>
            <color indexed="81"/>
            <rFont val="Tahoma"/>
            <family val="2"/>
          </rPr>
          <t xml:space="preserve">
ELU (Elementary Lenth Unit) is Length (in cm)  used to discretize organ Lengthes (Arrow, Frond Nervure &amp; Stump).
It is a parameter for geometrical organs representation.</t>
        </r>
      </text>
    </comment>
  </commentList>
</comments>
</file>

<file path=xl/comments10.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Enable presence (or not) of a Bract on Stalk.
0 = not possible (NO)
1 = possible (YES)
This value can evolves as a function of relative length position of the Bract on the Stalk.</t>
        </r>
      </text>
    </comment>
    <comment ref="G4" authorId="0">
      <text>
        <r>
          <rPr>
            <b/>
            <sz val="9"/>
            <color indexed="81"/>
            <rFont val="Tahoma"/>
            <family val="2"/>
          </rPr>
          <t>REY Hervé:</t>
        </r>
        <r>
          <rPr>
            <sz val="9"/>
            <color indexed="81"/>
            <rFont val="Tahoma"/>
            <family val="2"/>
          </rPr>
          <t xml:space="preserve">
Bract Average Number and distance between Bracts according to Relative Length Position of Bract on the Stalk.</t>
        </r>
      </text>
    </comment>
    <comment ref="O4" authorId="0">
      <text>
        <r>
          <rPr>
            <b/>
            <sz val="9"/>
            <color indexed="81"/>
            <rFont val="Tahoma"/>
            <family val="2"/>
          </rPr>
          <t>REY Hervé:</t>
        </r>
        <r>
          <rPr>
            <sz val="9"/>
            <color indexed="81"/>
            <rFont val="Tahoma"/>
            <family val="2"/>
          </rPr>
          <t xml:space="preserve">
'Phyllotaxic Angle of Bracts on the Stalk (in degrees).
This value can evolve according to Bract Relative Length Position on the Stalk (from base).</t>
        </r>
      </text>
    </comment>
    <comment ref="S4" authorId="0">
      <text>
        <r>
          <rPr>
            <b/>
            <sz val="9"/>
            <color indexed="81"/>
            <rFont val="Tahoma"/>
            <family val="2"/>
          </rPr>
          <t>REY Hervé:</t>
        </r>
        <r>
          <rPr>
            <sz val="9"/>
            <color indexed="81"/>
            <rFont val="Tahoma"/>
            <family val="2"/>
          </rPr>
          <t xml:space="preserve">
Insertion Angle of Bract on the Stalk :
[0] = the same Direction than Stem,
[90] = perpendicular to Stem.
This value can evolve according to Bract Relative Length Position on the Stalk (from base).
This value can also evolve according to time (inflorescence position inside the crown).
</t>
        </r>
      </text>
    </comment>
  </commentList>
</comments>
</file>

<file path=xl/comments11.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Bract Length.
This Length can evolves as a function of Position of the Stalk on the Stem.
This length can also evolves as a function of time (inflorescence position inside the crown).</t>
        </r>
      </text>
    </comment>
    <comment ref="I4" authorId="0">
      <text>
        <r>
          <rPr>
            <b/>
            <sz val="9"/>
            <color indexed="81"/>
            <rFont val="Tahoma"/>
            <family val="2"/>
          </rPr>
          <t xml:space="preserve">REY Hervé:
</t>
        </r>
        <r>
          <rPr>
            <sz val="9"/>
            <color indexed="81"/>
            <rFont val="Tahoma"/>
            <family val="2"/>
          </rPr>
          <t>Bract Width.
This Width can evolve as a function of Position of the Stalk on the Stem.
A shape factor is applied according to relative position along the Bract.</t>
        </r>
      </text>
    </comment>
    <comment ref="O4" authorId="0">
      <text>
        <r>
          <rPr>
            <b/>
            <sz val="9"/>
            <color indexed="81"/>
            <rFont val="Tahoma"/>
            <family val="2"/>
          </rPr>
          <t>REY Hervé:</t>
        </r>
        <r>
          <rPr>
            <sz val="9"/>
            <color indexed="81"/>
            <rFont val="Tahoma"/>
            <family val="2"/>
          </rPr>
          <t xml:space="preserve">
Bract Height.
This Height can evolve as a function of Position of the Stalk on the Stem.
A shape factor is applied according to relative position along the Bract.</t>
        </r>
      </text>
    </comment>
    <comment ref="U4" authorId="0">
      <text>
        <r>
          <rPr>
            <b/>
            <sz val="9"/>
            <color indexed="81"/>
            <rFont val="Tahoma"/>
            <family val="2"/>
          </rPr>
          <t>REY Hervé:</t>
        </r>
        <r>
          <rPr>
            <sz val="9"/>
            <color indexed="81"/>
            <rFont val="Tahoma"/>
            <family val="2"/>
          </rPr>
          <t xml:space="preserve">
Bract Bending Angle refers for each control points to Initial "primary" Bract Direction.
These values can evolve along time according to inflorescence position inside the crown.</t>
        </r>
      </text>
    </comment>
    <comment ref="AB4" authorId="0">
      <text>
        <r>
          <rPr>
            <b/>
            <sz val="9"/>
            <color indexed="81"/>
            <rFont val="Tahoma"/>
            <family val="2"/>
          </rPr>
          <t>REY Hervé:</t>
        </r>
        <r>
          <rPr>
            <sz val="9"/>
            <color indexed="81"/>
            <rFont val="Tahoma"/>
            <family val="2"/>
          </rPr>
          <t xml:space="preserve">
Bract Torsion Angle refers for each control point to Initial "secondary" Bract Direction.
This value can evolve with time, i.e. Inflorescence position inside the crown.</t>
        </r>
      </text>
    </comment>
    <comment ref="AH4" authorId="0">
      <text>
        <r>
          <rPr>
            <b/>
            <sz val="9"/>
            <color indexed="81"/>
            <rFont val="Tahoma"/>
            <family val="2"/>
          </rPr>
          <t>REY Hervé:</t>
        </r>
        <r>
          <rPr>
            <sz val="9"/>
            <color indexed="81"/>
            <rFont val="Tahoma"/>
            <family val="2"/>
          </rPr>
          <t xml:space="preserve">
Bract Lateral Deviation Angle is described in a horizontal plane.
This value refers for each control point to Initial "primary" Bract Direction.
This value can evolve with time, i.e. Inflorescence position inside the crown.</t>
        </r>
      </text>
    </comment>
  </commentList>
</comments>
</file>

<file path=xl/comments12.xml><?xml version="1.0" encoding="utf-8"?>
<comments xmlns="http://schemas.openxmlformats.org/spreadsheetml/2006/main">
  <authors>
    <author>REY Hervé</author>
  </authors>
  <commentList>
    <comment ref="P4" authorId="0">
      <text>
        <r>
          <rPr>
            <b/>
            <sz val="9"/>
            <color indexed="81"/>
            <rFont val="Tahoma"/>
            <family val="2"/>
          </rPr>
          <t>REY Hervé:</t>
        </r>
        <r>
          <rPr>
            <sz val="9"/>
            <color indexed="81"/>
            <rFont val="Tahoma"/>
            <family val="2"/>
          </rPr>
          <t xml:space="preserve">
'Average Distance between Pseudo-Verticilles and between Spikelets inside Pseudo-Verticilles on Stalk.
These distances can evolve as a function of relative length position of Pseudo-Verticilles on the Stalk.</t>
        </r>
      </text>
    </comment>
    <comment ref="X4" authorId="0">
      <text>
        <r>
          <rPr>
            <b/>
            <sz val="9"/>
            <color indexed="81"/>
            <rFont val="Tahoma"/>
            <family val="2"/>
          </rPr>
          <t>REY Hervé:</t>
        </r>
        <r>
          <rPr>
            <sz val="9"/>
            <color indexed="81"/>
            <rFont val="Tahoma"/>
            <family val="2"/>
          </rPr>
          <t xml:space="preserve">
Spikelets Average Number in Pseudo-Verticilles
These values can evolve according to Relative Length Position of Pseudo-Verticille on the Stalk.</t>
        </r>
      </text>
    </comment>
    <comment ref="AB4" authorId="0">
      <text>
        <r>
          <rPr>
            <b/>
            <sz val="9"/>
            <color indexed="81"/>
            <rFont val="Tahoma"/>
            <family val="2"/>
          </rPr>
          <t>REY Hervé:</t>
        </r>
        <r>
          <rPr>
            <sz val="9"/>
            <color indexed="81"/>
            <rFont val="Tahoma"/>
            <family val="2"/>
          </rPr>
          <t xml:space="preserve">
Phyllotaxic Angle of Pseudo-verticilles on the Stalk (in degrees).
This value can evolve according to Pseudo-verticilles Relative Length Position on the Stalk (from base).</t>
        </r>
      </text>
    </comment>
    <comment ref="AF4" authorId="0">
      <text>
        <r>
          <rPr>
            <b/>
            <sz val="9"/>
            <color indexed="81"/>
            <rFont val="Tahoma"/>
            <family val="2"/>
          </rPr>
          <t>REY Hervé:</t>
        </r>
        <r>
          <rPr>
            <sz val="9"/>
            <color indexed="81"/>
            <rFont val="Tahoma"/>
            <family val="2"/>
          </rPr>
          <t xml:space="preserve">
Insertion Angle of Pseudo-verticille on Stalk.
[0] = the same Direction than Stalk,
[90] = perpendicular to Stalk.
This value can evolves according to Pseud-verticille relative length position on the Stalk.
These values can also evolve in time according to Inflorescence position inside the crown.</t>
        </r>
      </text>
    </comment>
    <comment ref="AL4" authorId="0">
      <text>
        <r>
          <rPr>
            <b/>
            <sz val="9"/>
            <color indexed="81"/>
            <rFont val="Tahoma"/>
            <family val="2"/>
          </rPr>
          <t>REY Hervé:</t>
        </r>
        <r>
          <rPr>
            <sz val="9"/>
            <color indexed="81"/>
            <rFont val="Tahoma"/>
            <family val="2"/>
          </rPr>
          <t xml:space="preserve">
Radial and Axial Divergence Angles between extreme spikelets inside the same pseudo-verticille.
Divergence Angles between spikelets is obtained by division of Divergence Angle of Pseudo-verticille by (spikelets number -1) in same pseudo-verticille.
+ = trigonometric,
- = antitrigonometric.
Theses values can also evolve as a function of time, i.e.  Inflorescence position inside the crown during Inflorescence opening.</t>
        </r>
      </text>
    </comment>
  </commentList>
</comments>
</file>

<file path=xl/comments13.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Spikelet Length on Stalk.
This value can evolve :
- as a function of the Position of the bearing Stalk on the Stem (from base)
- as a function of the spikelet relative length position on the stalk.
- as a function of time (growth).</t>
        </r>
      </text>
    </comment>
    <comment ref="K4" authorId="0">
      <text>
        <r>
          <rPr>
            <b/>
            <sz val="9"/>
            <color indexed="81"/>
            <rFont val="Tahoma"/>
            <family val="2"/>
          </rPr>
          <t>REY Hervé:</t>
        </r>
        <r>
          <rPr>
            <sz val="9"/>
            <color indexed="81"/>
            <rFont val="Tahoma"/>
            <family val="2"/>
          </rPr>
          <t xml:space="preserve">
Spikelet diameter on Stalk.
This value can evolve :
- as a function of the Position of the bearing Stalk on the Stem (from base)
- as a function of the spikelet relative length position on the stalk,
- as a function of relative length position of spikelet itself.</t>
        </r>
      </text>
    </comment>
    <comment ref="S4" authorId="0">
      <text>
        <r>
          <rPr>
            <b/>
            <sz val="9"/>
            <color indexed="81"/>
            <rFont val="Tahoma"/>
            <family val="2"/>
          </rPr>
          <t>REY Hervé:</t>
        </r>
        <r>
          <rPr>
            <sz val="9"/>
            <color indexed="81"/>
            <rFont val="Tahoma"/>
            <family val="2"/>
          </rPr>
          <t xml:space="preserve">
Spikelet Bending Angle computed according to Stiffness coefficient (Young Module Model).
These values can evolve according to :
- relative length position of the Spikelet on the bearing Stalk,
- Time, i.e. bearing Stalk position inside the crown.
</t>
        </r>
      </text>
    </comment>
    <comment ref="Y4" authorId="0">
      <text>
        <r>
          <rPr>
            <b/>
            <sz val="9"/>
            <color indexed="81"/>
            <rFont val="Tahoma"/>
            <family val="2"/>
          </rPr>
          <t>REY Hervé:</t>
        </r>
        <r>
          <rPr>
            <sz val="9"/>
            <color indexed="81"/>
            <rFont val="Tahoma"/>
            <family val="2"/>
          </rPr>
          <t xml:space="preserve">
Successive Deviation (ZigZag) Angles  produced by flowers on bearing Spikelet.
These Angles are provided in a solid Angle given by mean and standard Deviation values.
Thses angles can evolve according to relative length position of the spikelet on the bearing Stalk.</t>
        </r>
      </text>
    </comment>
  </commentList>
</comments>
</file>

<file path=xl/comments14.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Beginning position of female flowers on Spikelet.
This position depends on the relative length position of the Spikelet on the Stalk.
Standard deviation is applied to this mean beginning location.</t>
        </r>
      </text>
    </comment>
    <comment ref="G4" authorId="0">
      <text>
        <r>
          <rPr>
            <b/>
            <sz val="9"/>
            <color indexed="81"/>
            <rFont val="Tahoma"/>
            <family val="2"/>
          </rPr>
          <t>REY Hervé:</t>
        </r>
        <r>
          <rPr>
            <sz val="9"/>
            <color indexed="81"/>
            <rFont val="Tahoma"/>
            <family val="2"/>
          </rPr>
          <t xml:space="preserve">
Frequency  ( in %) of female flowers Groups with :
1 flower
2 flowers,
3 flowers,
4 flowers.
These values can evolve as a function of the Relative Length Position of the Group on the Spikelet.</t>
        </r>
      </text>
    </comment>
    <comment ref="M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U4" authorId="0">
      <text>
        <r>
          <rPr>
            <b/>
            <sz val="9"/>
            <color indexed="81"/>
            <rFont val="Tahoma"/>
            <family val="2"/>
          </rPr>
          <t>REY Hervé:</t>
        </r>
        <r>
          <rPr>
            <sz val="9"/>
            <color indexed="81"/>
            <rFont val="Tahoma"/>
            <family val="2"/>
          </rPr>
          <t xml:space="preserve">
Female flower radial Insertion Angle on Spikelet.
This angle is the phyllotaxic angle of female flowers on the spikelet.
This value can evolves as a function of female flower relative length position on the spikelet.</t>
        </r>
      </text>
    </comment>
    <comment ref="Y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15.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Female flower length : mean and standard deviation.
This value can evolves as a function of relative length position of Flower on Spikelet.
</t>
        </r>
      </text>
    </comment>
    <comment ref="I4" authorId="0">
      <text>
        <r>
          <rPr>
            <b/>
            <sz val="9"/>
            <color indexed="81"/>
            <rFont val="Tahoma"/>
            <family val="2"/>
          </rPr>
          <t>REY Hervé:</t>
        </r>
        <r>
          <rPr>
            <sz val="9"/>
            <color indexed="81"/>
            <rFont val="Tahoma"/>
            <family val="2"/>
          </rPr>
          <t xml:space="preserve">
Female flower diameter : mean and standard deviation.
This value can evolves as a function of relative length position of Flower on Spikelet.
</t>
        </r>
      </text>
    </comment>
  </commentList>
</comments>
</file>

<file path=xl/comments16.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Beginning position of Male flowers on Spikelet.
This position depends on the relative length position of the spikelet on the stalk.
Standard deviation is applied to this mean beginning location.
</t>
        </r>
      </text>
    </comment>
    <comment ref="G4" authorId="0">
      <text>
        <r>
          <rPr>
            <b/>
            <sz val="9"/>
            <color indexed="81"/>
            <rFont val="Tahoma"/>
            <family val="2"/>
          </rPr>
          <t>REY Hervé:</t>
        </r>
        <r>
          <rPr>
            <sz val="9"/>
            <color indexed="81"/>
            <rFont val="Tahoma"/>
            <family val="2"/>
          </rPr>
          <t xml:space="preserve">
Frequency  ( in %) of Male flowers Groups with :
1 flower
2 flowers,
3 flowers,
4 flowers.
These values can evolve as a function of the Relative Length Position of the Group on the Spikelet.
</t>
        </r>
      </text>
    </comment>
    <comment ref="M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U4" authorId="0">
      <text>
        <r>
          <rPr>
            <b/>
            <sz val="9"/>
            <color indexed="81"/>
            <rFont val="Tahoma"/>
            <family val="2"/>
          </rPr>
          <t>REY Hervé:</t>
        </r>
        <r>
          <rPr>
            <sz val="9"/>
            <color indexed="81"/>
            <rFont val="Tahoma"/>
            <family val="2"/>
          </rPr>
          <t xml:space="preserve">
Male flower radial Insertion Angle on Spikelet.
This angle is the phyllotaxic angle of Male flowers on the spikelet.
This value can evolves as a function of Male flower relative length position on the spikelet.</t>
        </r>
      </text>
    </comment>
    <comment ref="Y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17.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Male flower length : mean and standard deviation.
This value can evolves as a function of relative length position of Flower on Spikelet.
</t>
        </r>
      </text>
    </comment>
    <comment ref="G4" authorId="0">
      <text>
        <r>
          <rPr>
            <b/>
            <sz val="9"/>
            <color indexed="81"/>
            <rFont val="Tahoma"/>
            <family val="2"/>
          </rPr>
          <t>REY Hervé:</t>
        </r>
        <r>
          <rPr>
            <sz val="9"/>
            <color indexed="81"/>
            <rFont val="Tahoma"/>
            <family val="2"/>
          </rPr>
          <t xml:space="preserve">
Male flower diameter : mean and standard deviation.
This value can evolves as a function of relative length position of Flower on Spikelet.
</t>
        </r>
      </text>
    </comment>
  </commentList>
</comments>
</file>

<file path=xl/comments18.xml><?xml version="1.0" encoding="utf-8"?>
<comments xmlns="http://schemas.openxmlformats.org/spreadsheetml/2006/main">
  <authors>
    <author>REY Hervé</author>
  </authors>
  <commentList>
    <comment ref="G4" authorId="0">
      <text>
        <r>
          <rPr>
            <b/>
            <sz val="9"/>
            <color indexed="81"/>
            <rFont val="Tahoma"/>
            <family val="2"/>
          </rPr>
          <t>REY Hervé:</t>
        </r>
        <r>
          <rPr>
            <sz val="9"/>
            <color indexed="81"/>
            <rFont val="Tahoma"/>
            <family val="2"/>
          </rPr>
          <t xml:space="preserve">
Beginning position of Mixed flowers on Spikelet.
This position depends on the relative length position of the spikelet on the stalk.
Standard deviation is applied to this mean beginning location.</t>
        </r>
      </text>
    </comment>
    <comment ref="K4" authorId="0">
      <text>
        <r>
          <rPr>
            <b/>
            <sz val="9"/>
            <color indexed="81"/>
            <rFont val="Tahoma"/>
            <family val="2"/>
          </rPr>
          <t>REY Hervé:</t>
        </r>
        <r>
          <rPr>
            <sz val="9"/>
            <color indexed="81"/>
            <rFont val="Tahoma"/>
            <family val="2"/>
          </rPr>
          <t xml:space="preserve">
Frequency  ( in %) of Mixed flowers Groups with :
1 flower
2 flowers,
3 flowers,
4 flowers.
These values can evolve as a function of the Relative Length Position of the Group on the Spikelet.
</t>
        </r>
      </text>
    </comment>
    <comment ref="Q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Y4" authorId="0">
      <text>
        <r>
          <rPr>
            <b/>
            <sz val="9"/>
            <color indexed="81"/>
            <rFont val="Tahoma"/>
            <family val="2"/>
          </rPr>
          <t>REY Hervé:</t>
        </r>
        <r>
          <rPr>
            <sz val="9"/>
            <color indexed="81"/>
            <rFont val="Tahoma"/>
            <family val="2"/>
          </rPr>
          <t xml:space="preserve">
Mixed flower radial Insertion Angle on Spikelet.
This angle is the phyllotaxic angle of female flowers on the spikelet.
This value can evolves as a function of Mixed flower relative length position on the spikelet.
</t>
        </r>
      </text>
    </comment>
    <comment ref="AC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2.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Plantation Angle of the Palm-tree on the ground (0 = vertical upward).
Beginning and end of stem straightening are counted in internode number from stem base.
The end of straightening is vertical upward.</t>
        </r>
      </text>
    </comment>
    <comment ref="J4" authorId="0">
      <text>
        <r>
          <rPr>
            <b/>
            <sz val="9"/>
            <color indexed="81"/>
            <rFont val="Tahoma"/>
            <family val="2"/>
          </rPr>
          <t>REY Hervé:</t>
        </r>
        <r>
          <rPr>
            <sz val="9"/>
            <color indexed="81"/>
            <rFont val="Tahoma"/>
            <family val="2"/>
          </rPr>
          <t xml:space="preserve">
Stem internode Length and diameter.
Theses values can evolve according to internode Position along the Stem (from the Stem base).
Theses values can also evoluate (growth) along time to reach final value.</t>
        </r>
      </text>
    </comment>
  </commentList>
</comments>
</file>

<file path=xl/comments3.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Spear frond Life span.
Gives the number of Spears on PalmTree before Frond opening (i.e. F1).</t>
        </r>
      </text>
    </comment>
    <comment ref="F4" authorId="0">
      <text>
        <r>
          <rPr>
            <b/>
            <sz val="9"/>
            <color indexed="81"/>
            <rFont val="Tahoma"/>
            <family val="2"/>
          </rPr>
          <t>REY Hervé:</t>
        </r>
        <r>
          <rPr>
            <sz val="9"/>
            <color indexed="81"/>
            <rFont val="Tahoma"/>
            <family val="2"/>
          </rPr>
          <t xml:space="preserve">
Spear frond Insertion Angle on top of the Stem :
[0] = the same Direction than Stem,
[90] = perpendicular to Stem.</t>
        </r>
      </text>
    </comment>
    <comment ref="I4" authorId="0">
      <text>
        <r>
          <rPr>
            <b/>
            <sz val="9"/>
            <color indexed="81"/>
            <rFont val="Tahoma"/>
            <family val="2"/>
          </rPr>
          <t>REY Hervé:</t>
        </r>
        <r>
          <rPr>
            <sz val="9"/>
            <color indexed="81"/>
            <rFont val="Tahoma"/>
            <family val="2"/>
          </rPr>
          <t xml:space="preserve">
Spear frond length.</t>
        </r>
      </text>
    </comment>
    <comment ref="M4" authorId="0">
      <text>
        <r>
          <rPr>
            <b/>
            <sz val="9"/>
            <color indexed="81"/>
            <rFont val="Tahoma"/>
            <family val="2"/>
          </rPr>
          <t xml:space="preserve">REY Hervé:
</t>
        </r>
        <r>
          <rPr>
            <sz val="9"/>
            <color indexed="81"/>
            <rFont val="Tahoma"/>
            <family val="2"/>
          </rPr>
          <t xml:space="preserve">
Spear frond base Diameter.</t>
        </r>
      </text>
    </comment>
    <comment ref="P4" authorId="0">
      <text>
        <r>
          <rPr>
            <b/>
            <sz val="9"/>
            <color indexed="81"/>
            <rFont val="Tahoma"/>
            <family val="2"/>
          </rPr>
          <t>REY Hervé:</t>
        </r>
        <r>
          <rPr>
            <sz val="9"/>
            <color indexed="81"/>
            <rFont val="Tahoma"/>
            <family val="2"/>
          </rPr>
          <t xml:space="preserve">
Spear frond Bending angle.
For each control points, values refer to initial axial insertion angle.</t>
        </r>
      </text>
    </comment>
  </commentList>
</comments>
</file>

<file path=xl/comments4.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Frond Life Span.
Gives the number of living Fronds on PalmTree.</t>
        </r>
      </text>
    </comment>
    <comment ref="F4" authorId="0">
      <text>
        <r>
          <rPr>
            <b/>
            <sz val="9"/>
            <color indexed="81"/>
            <rFont val="Tahoma"/>
            <family val="2"/>
          </rPr>
          <t>REY Hervé:</t>
        </r>
        <r>
          <rPr>
            <sz val="9"/>
            <color indexed="81"/>
            <rFont val="Tahoma"/>
            <family val="2"/>
          </rPr>
          <t xml:space="preserve">
Time during which Stumps stay on Stem of the Palm-tree.
This value can evolve as a function of Position of the Stump on Stem.</t>
        </r>
      </text>
    </comment>
    <comment ref="I4" authorId="0">
      <text>
        <r>
          <rPr>
            <b/>
            <sz val="9"/>
            <color indexed="81"/>
            <rFont val="Tahoma"/>
            <family val="2"/>
          </rPr>
          <t>REY Hervé:</t>
        </r>
        <r>
          <rPr>
            <sz val="9"/>
            <color indexed="81"/>
            <rFont val="Tahoma"/>
            <family val="2"/>
          </rPr>
          <t xml:space="preserve">
Enable presence (or not) of a Frond on stem internode.
0 = not possible (NO)
1 = possible (YES)
This parameter is only used to simplifiy simulation if necessary, as in real life every internode bears a frond (phytomer).</t>
        </r>
      </text>
    </comment>
    <comment ref="L4" authorId="0">
      <text>
        <r>
          <rPr>
            <b/>
            <sz val="9"/>
            <color indexed="81"/>
            <rFont val="Tahoma"/>
            <family val="2"/>
          </rPr>
          <t>REY Hervé:</t>
        </r>
        <r>
          <rPr>
            <sz val="9"/>
            <color indexed="81"/>
            <rFont val="Tahoma"/>
            <family val="2"/>
          </rPr>
          <t xml:space="preserve">
Phyllotaxic Angle of Fronds and inflorescences on the Stem (in degrees).
This value can evolve according to Frond (inflorescence) Position on the Stem (from Stem base).</t>
        </r>
      </text>
    </comment>
    <comment ref="P4" authorId="0">
      <text>
        <r>
          <rPr>
            <b/>
            <sz val="9"/>
            <color indexed="81"/>
            <rFont val="Tahoma"/>
            <family val="2"/>
          </rPr>
          <t>REY Hervé:</t>
        </r>
        <r>
          <rPr>
            <sz val="9"/>
            <color indexed="81"/>
            <rFont val="Tahoma"/>
            <family val="2"/>
          </rPr>
          <t xml:space="preserve">
Frond Insertion Angle on the stem and evolution :
[0] = the same Direction than Stem,
[90] = perpendicular to Stem. 
This value evolve according to frond position in the crown from initial value (phyllo = 1) for F1 to last position with final value.</t>
        </r>
      </text>
    </comment>
    <comment ref="V4" authorId="0">
      <text>
        <r>
          <rPr>
            <b/>
            <sz val="9"/>
            <color indexed="81"/>
            <rFont val="Tahoma"/>
            <family val="2"/>
          </rPr>
          <t>REY Hervé:</t>
        </r>
        <r>
          <rPr>
            <sz val="9"/>
            <color indexed="81"/>
            <rFont val="Tahoma"/>
            <family val="2"/>
          </rPr>
          <t xml:space="preserve">
Insertion Angle of inflorescence stalk on the Stem and evolution :
[0] = the same Direction than Stem,
[90] = perpendicular to Stem.
This value ca evolve as a function of inflorescence position on the stem and in the crown (evolution).
</t>
        </r>
      </text>
    </comment>
  </commentList>
</comments>
</file>

<file path=xl/comments5.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Frond Nervure Length :
- i.e. from petiole insertion on the Stem point to Rachis "A" point.
This Length can evolve as a function of Position of the Frond on the Stem.
This Length can also evolves along time (growth).</t>
        </r>
      </text>
    </comment>
    <comment ref="F4" authorId="0">
      <text>
        <r>
          <rPr>
            <b/>
            <sz val="9"/>
            <color indexed="81"/>
            <rFont val="Tahoma"/>
            <family val="2"/>
          </rPr>
          <t>REY Hervé:</t>
        </r>
        <r>
          <rPr>
            <sz val="9"/>
            <color indexed="81"/>
            <rFont val="Tahoma"/>
            <family val="2"/>
          </rPr>
          <t xml:space="preserve">
Mean Stump Length (remaining bases of Frond on the Stem).
This value can evolve as a function of Position of the Stump on Stem.</t>
        </r>
      </text>
    </comment>
    <comment ref="I4" authorId="0">
      <text>
        <r>
          <rPr>
            <b/>
            <sz val="9"/>
            <color indexed="81"/>
            <rFont val="Tahoma"/>
            <family val="2"/>
          </rPr>
          <t>REY Hervé:</t>
        </r>
        <r>
          <rPr>
            <sz val="9"/>
            <color indexed="81"/>
            <rFont val="Tahoma"/>
            <family val="2"/>
          </rPr>
          <t xml:space="preserve">
Frond Nervure Width.
This value is a mean value taken at any representative point of frond nervure, "C" point for example.
Other parts of frond nervure are expressed relatively to this reference point (shape factor).</t>
        </r>
      </text>
    </comment>
    <comment ref="Q4" authorId="0">
      <text>
        <r>
          <rPr>
            <b/>
            <sz val="9"/>
            <color indexed="81"/>
            <rFont val="Tahoma"/>
            <family val="2"/>
          </rPr>
          <t>REY Hervé:</t>
        </r>
        <r>
          <rPr>
            <sz val="9"/>
            <color indexed="81"/>
            <rFont val="Tahoma"/>
            <family val="2"/>
          </rPr>
          <t xml:space="preserve">
Frond Nervure Height
This value is a mean value taken at any representative point of frond nervure, "C" point for example.
Other parts of frond nervure are expressed relatively to this reference point (shape factor).</t>
        </r>
      </text>
    </comment>
    <comment ref="Y4" authorId="0">
      <text>
        <r>
          <rPr>
            <b/>
            <sz val="9"/>
            <color indexed="81"/>
            <rFont val="Tahoma"/>
            <family val="2"/>
          </rPr>
          <t>REY Hervé:</t>
        </r>
        <r>
          <rPr>
            <sz val="9"/>
            <color indexed="81"/>
            <rFont val="Tahoma"/>
            <family val="2"/>
          </rPr>
          <t xml:space="preserve">
Frond Nervure Bending Angle refers for each control points to Initial "primary" Frond Nervure Direction.
These values can evolve according to frond position in the crown.</t>
        </r>
      </text>
    </comment>
    <comment ref="AF4" authorId="0">
      <text>
        <r>
          <rPr>
            <b/>
            <sz val="9"/>
            <color indexed="81"/>
            <rFont val="Tahoma"/>
            <family val="2"/>
          </rPr>
          <t>REY Hervé:</t>
        </r>
        <r>
          <rPr>
            <sz val="9"/>
            <color indexed="81"/>
            <rFont val="Tahoma"/>
            <family val="2"/>
          </rPr>
          <t xml:space="preserve">
Torsion Angle of Frond Nervure plane refers for each control point to Initial "secondary" Frond Nervure Direction.
This value can evolve with time, i.e. Frond position inside the crown.</t>
        </r>
      </text>
    </comment>
    <comment ref="AL4" authorId="0">
      <text>
        <r>
          <rPr>
            <b/>
            <sz val="9"/>
            <color indexed="81"/>
            <rFont val="Tahoma"/>
            <family val="2"/>
          </rPr>
          <t>REY Hervé:</t>
        </r>
        <r>
          <rPr>
            <sz val="9"/>
            <color indexed="81"/>
            <rFont val="Tahoma"/>
            <family val="2"/>
          </rPr>
          <t xml:space="preserve">
Lateral Deviation Angle of Frond Nervure is described in a horizontal plane.
 This value refers for each control point to Initial "primary" Frond Nervure Direction.
This value can evolve with time, i.e. Frond position inside the crown.</t>
        </r>
      </text>
    </comment>
  </commentList>
</comments>
</file>

<file path=xl/comments6.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Pinnae Type determined by beginning of its location on Frond Nervure.
These values can evolve as a function of Frond position on the Stem.
The standard deviation is applied to this mean beginning location.</t>
        </r>
      </text>
    </comment>
    <comment ref="Z4" authorId="0">
      <text>
        <r>
          <rPr>
            <b/>
            <sz val="9"/>
            <color indexed="81"/>
            <rFont val="Tahoma"/>
            <family val="2"/>
          </rPr>
          <t>REY Hervé:</t>
        </r>
        <r>
          <rPr>
            <sz val="9"/>
            <color indexed="81"/>
            <rFont val="Tahoma"/>
            <family val="2"/>
          </rPr>
          <t xml:space="preserve">
Frequency  ( in %) of Groups with :
1 Pinnae,
2 pinnaes,
3 pinnaes,
4 pinnaes.
These values can evolve as a function of the Relative Length Position of the Group on the Frond Nervure.</t>
        </r>
      </text>
    </comment>
    <comment ref="AF4" authorId="0">
      <text>
        <r>
          <rPr>
            <b/>
            <sz val="9"/>
            <color indexed="81"/>
            <rFont val="Tahoma"/>
            <family val="2"/>
          </rPr>
          <t>REY Hervé:</t>
        </r>
        <r>
          <rPr>
            <sz val="9"/>
            <color indexed="81"/>
            <rFont val="Tahoma"/>
            <family val="2"/>
          </rPr>
          <t xml:space="preserve">
Average Distance between Pinnae Groups and Pinnaes inside Groups on Frond Nervure (apart from Group type).
These distances can evolve as a function of the Relative Length Position of the Group on the Frond Nervure.
These distances can also evolve at the same growth rate than Frond nervure length evolution (see this parameter for more information).</t>
        </r>
      </text>
    </comment>
    <comment ref="AN4" authorId="0">
      <text>
        <r>
          <rPr>
            <b/>
            <sz val="9"/>
            <color indexed="81"/>
            <rFont val="Tahoma"/>
            <family val="2"/>
          </rPr>
          <t>REY Hervé:</t>
        </r>
        <r>
          <rPr>
            <sz val="9"/>
            <color indexed="81"/>
            <rFont val="Tahoma"/>
            <family val="2"/>
          </rPr>
          <t xml:space="preserve">
Pinnae Rotation Insertion Angle :
0 = radial plane, 
+ = trigonometric circle for right side of nervure, anti-trigonometric circle for left side of nervure
These values can evolve as a function of the Relative Length Position of the Pinnae on the Frond Nervure.</t>
        </r>
      </text>
    </comment>
    <comment ref="AX4" authorId="0">
      <text>
        <r>
          <rPr>
            <b/>
            <sz val="9"/>
            <color indexed="81"/>
            <rFont val="Tahoma"/>
            <family val="2"/>
          </rPr>
          <t>REY Hervé:</t>
        </r>
        <r>
          <rPr>
            <sz val="9"/>
            <color indexed="81"/>
            <rFont val="Tahoma"/>
            <family val="2"/>
          </rPr>
          <t xml:space="preserve">
Radial Insertion Angle of Pinnae  :
0 = Middle plan, 
+1 = upper plan,
-1 = lower plan.
These values can evolve as a function of the Relative Length Position of the Pinnae on the Frond Nervure.</t>
        </r>
      </text>
    </comment>
    <comment ref="BH4" authorId="0">
      <text>
        <r>
          <rPr>
            <b/>
            <sz val="9"/>
            <color indexed="81"/>
            <rFont val="Tahoma"/>
            <family val="2"/>
          </rPr>
          <t>REY Hervé:</t>
        </r>
        <r>
          <rPr>
            <sz val="9"/>
            <color indexed="81"/>
            <rFont val="Tahoma"/>
            <family val="2"/>
          </rPr>
          <t xml:space="preserve">
Pinnae Axial Insertion Angle on Frond Nervure. 
[0] = the same Direction than Frond Nervure, 
[90} = perpendicular to Frond Nervure.
These angles can evolve as a function of the Relative Length Position of the Pinnae on the Frond Nervure.</t>
        </r>
      </text>
    </comment>
  </commentList>
</comments>
</file>

<file path=xl/comments7.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Pinnae Length.
This value evolves as :
- a function of the Position its bearing Frond Nervure on the Stem (from base),
- a function of the relative length position of the Pinnae on its bearing Frond Nervure.
This value evolves also along time (growth).</t>
        </r>
      </text>
    </comment>
    <comment ref="K4" authorId="0">
      <text>
        <r>
          <rPr>
            <b/>
            <sz val="9"/>
            <color indexed="81"/>
            <rFont val="Tahoma"/>
            <family val="2"/>
          </rPr>
          <t>REY Hervé:</t>
        </r>
        <r>
          <rPr>
            <sz val="9"/>
            <color indexed="81"/>
            <rFont val="Tahoma"/>
            <family val="2"/>
          </rPr>
          <t xml:space="preserve">
Pinnae Aperture.
This value evolves as :
- a function of the Position of its bearing Frond Nervure on the Stem (from base),
- a function of the relative length position of the Pinnae on its bearing Frond Nervure.
- a function of relative length position along the pinnae according to its type.
</t>
        </r>
      </text>
    </comment>
    <comment ref="W4" authorId="0">
      <text>
        <r>
          <rPr>
            <b/>
            <sz val="9"/>
            <color indexed="81"/>
            <rFont val="Tahoma"/>
            <family val="2"/>
          </rPr>
          <t>REY Hervé:</t>
        </r>
        <r>
          <rPr>
            <sz val="9"/>
            <color indexed="81"/>
            <rFont val="Tahoma"/>
            <family val="2"/>
          </rPr>
          <t xml:space="preserve">
Pinnae Height
This value evolves as :
- a function of the Position of its bearing Frond Nervure on the Stem (from base),
- a function of the relative length position of the Pinnae on its bearing Frond Nervure.
- a function of relative length position along the pinnae according to its type.
</t>
        </r>
      </text>
    </comment>
    <comment ref="AI4" authorId="0">
      <text>
        <r>
          <rPr>
            <b/>
            <sz val="9"/>
            <color indexed="81"/>
            <rFont val="Tahoma"/>
            <family val="2"/>
          </rPr>
          <t>REY Hervé:</t>
        </r>
        <r>
          <rPr>
            <sz val="9"/>
            <color indexed="81"/>
            <rFont val="Tahoma"/>
            <family val="2"/>
          </rPr>
          <t xml:space="preserve">
Pinnae Bending Angle computed according to Stiffness coefficient (Young Module Model).
These values can evolve as a function of relative length position of the Pinnae on its bearing Frond nervure.
These values can also evolve according to bearing Frond-nervure position inside the crown (i.e. according to time).
The higher the value of stiffness, ths straighter the Pinnae.
100 to 1000 : soft
10 000 to &gt; 100 000 : straight
</t>
        </r>
      </text>
    </comment>
    <comment ref="AO4" authorId="0">
      <text>
        <r>
          <rPr>
            <b/>
            <sz val="9"/>
            <color indexed="81"/>
            <rFont val="Tahoma"/>
            <family val="2"/>
          </rPr>
          <t xml:space="preserve">REY Hervé:
</t>
        </r>
        <r>
          <rPr>
            <sz val="9"/>
            <color indexed="81"/>
            <rFont val="Tahoma"/>
            <family val="2"/>
          </rPr>
          <t xml:space="preserve">
Pinnae Bending Angle
can be perturbed by "breaking" phenomena (Elaeis for example).
We can describe this breaking point :
- by its location along the Pinnae,
- and the frequency of this phenomena.
 These values can evolve as a function of Pinnae relative length position on its bearing Frond-nervure.</t>
        </r>
      </text>
    </comment>
  </commentList>
</comments>
</file>

<file path=xl/comments8.xml><?xml version="1.0" encoding="utf-8"?>
<comments xmlns="http://schemas.openxmlformats.org/spreadsheetml/2006/main">
  <authors>
    <author>REY Hervé</author>
  </authors>
  <commentList>
    <comment ref="U2" authorId="0">
      <text>
        <r>
          <rPr>
            <b/>
            <sz val="9"/>
            <color indexed="81"/>
            <rFont val="Tahoma"/>
            <family val="2"/>
          </rPr>
          <t>REY Hervé:</t>
        </r>
        <r>
          <rPr>
            <sz val="9"/>
            <color indexed="81"/>
            <rFont val="Tahoma"/>
            <family val="2"/>
          </rPr>
          <t xml:space="preserve">
Female flower phenology
FROM INIT:
life span : total female flower life span. After this period, ther is no more inflorescence
Dormancy : duration between init an inflorescence apparition
Flower life span : period between init anf end of flowerind (be careful with dormancy period which is included inside)
After flower life span, there is fructification until end of inflorescence life span</t>
        </r>
      </text>
    </comment>
    <comment ref="W2" authorId="0">
      <text>
        <r>
          <rPr>
            <b/>
            <sz val="9"/>
            <color indexed="81"/>
            <rFont val="Tahoma"/>
            <family val="2"/>
          </rPr>
          <t>REY Hervé:</t>
        </r>
        <r>
          <rPr>
            <sz val="9"/>
            <color indexed="81"/>
            <rFont val="Tahoma"/>
            <family val="2"/>
          </rPr>
          <t xml:space="preserve">
Female flower phenology
FROM INIT:
life span : total female flower life span. After this period, ther is no more inflorescence
Dormancy : duration between init an inflorescence apparition
Flower life span : period between init anf end of flowerind (be careful with dormancy period which is included inside)
After flower life span, there is no more male flower until end of inflorescence life span</t>
        </r>
      </text>
    </comment>
    <comment ref="C4" authorId="0">
      <text>
        <r>
          <rPr>
            <b/>
            <sz val="9"/>
            <color indexed="81"/>
            <rFont val="Tahoma"/>
            <family val="2"/>
          </rPr>
          <t>REY Hervé:</t>
        </r>
        <r>
          <rPr>
            <sz val="9"/>
            <color indexed="81"/>
            <rFont val="Tahoma"/>
            <family val="2"/>
          </rPr>
          <t xml:space="preserve">
'Inflorescence Life Span gives the number of living inflorescences in the crown.
- Anthesis gives the number of inflorescences before anthesis, i.e. inflorescences still considered as primordia.
- Flower Life span gives the number of inflorescences flowering after anthesis.
- After flowering, flowers transform in Fruits till end of inflorescence life span.
This is done with a frequency of transformation in relation with flower relative length position of the flower on its bearing spikelet. </t>
        </r>
      </text>
    </comment>
    <comment ref="L4" authorId="0">
      <text>
        <r>
          <rPr>
            <b/>
            <sz val="9"/>
            <color indexed="81"/>
            <rFont val="Tahoma"/>
            <family val="2"/>
          </rPr>
          <t>REY Hervé:</t>
        </r>
        <r>
          <rPr>
            <sz val="9"/>
            <color indexed="81"/>
            <rFont val="Tahoma"/>
            <family val="2"/>
          </rPr>
          <t xml:space="preserve">
Enable presence (or not) of an Inflorescence on stem internode.
0 = not possible (NO)
1 = possible (YES)
For example, when palm tree is very young, there is not yet sexualisation and inflorescences.</t>
        </r>
      </text>
    </comment>
  </commentList>
</comments>
</file>

<file path=xl/comments9.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Mean Stalk Length.
This Length can evolve as a function of Position of the Stalk on the Stem.
This length can also evolve according to time (growth).</t>
        </r>
      </text>
    </comment>
    <comment ref="G4" authorId="0">
      <text>
        <r>
          <rPr>
            <b/>
            <sz val="9"/>
            <color indexed="81"/>
            <rFont val="Tahoma"/>
            <family val="2"/>
          </rPr>
          <t>REY Hervé:</t>
        </r>
        <r>
          <rPr>
            <sz val="9"/>
            <color indexed="81"/>
            <rFont val="Tahoma"/>
            <family val="2"/>
          </rPr>
          <t xml:space="preserve">
Stalk mean Width.
This Width can evolve as a function of Position of the Stalk on the Stem.
Shape factor is applied according to relative position along the Stalk.</t>
        </r>
      </text>
    </comment>
    <comment ref="M4" authorId="0">
      <text>
        <r>
          <rPr>
            <b/>
            <sz val="9"/>
            <color indexed="81"/>
            <rFont val="Tahoma"/>
            <family val="2"/>
          </rPr>
          <t>REY Hervé:</t>
        </r>
        <r>
          <rPr>
            <sz val="9"/>
            <color indexed="81"/>
            <rFont val="Tahoma"/>
            <family val="2"/>
          </rPr>
          <t xml:space="preserve">
Stalk mean Haight.
This Height can evolve as a function of Position of the Stalk on the Stem.
Shape factor is applied according to relative position along the Stalk.</t>
        </r>
      </text>
    </comment>
    <comment ref="S4" authorId="0">
      <text>
        <r>
          <rPr>
            <b/>
            <sz val="9"/>
            <color indexed="81"/>
            <rFont val="Tahoma"/>
            <family val="2"/>
          </rPr>
          <t>REY Hervé:</t>
        </r>
        <r>
          <rPr>
            <sz val="9"/>
            <color indexed="81"/>
            <rFont val="Tahoma"/>
            <family val="2"/>
          </rPr>
          <t xml:space="preserve">
Stalk Bending Angle refers for each control points to Initial "primary" Stalk Direction.
These values can evolve along time according to inflorescence position evolution inside the crown.</t>
        </r>
      </text>
    </comment>
    <comment ref="Z4" authorId="0">
      <text>
        <r>
          <rPr>
            <b/>
            <sz val="9"/>
            <color indexed="81"/>
            <rFont val="Tahoma"/>
            <family val="2"/>
          </rPr>
          <t>REY Hervé:</t>
        </r>
        <r>
          <rPr>
            <sz val="9"/>
            <color indexed="81"/>
            <rFont val="Tahoma"/>
            <family val="2"/>
          </rPr>
          <t xml:space="preserve">
Stalk Torsion Angle refers for each control point to Initial "secondary" Stalk Direction.
This value can evolve with time, i.e. Inflorescence position inside the crown.</t>
        </r>
      </text>
    </comment>
    <comment ref="AF4" authorId="0">
      <text>
        <r>
          <rPr>
            <b/>
            <sz val="9"/>
            <color indexed="81"/>
            <rFont val="Tahoma"/>
            <family val="2"/>
          </rPr>
          <t>REY Hervé:</t>
        </r>
        <r>
          <rPr>
            <sz val="9"/>
            <color indexed="81"/>
            <rFont val="Tahoma"/>
            <family val="2"/>
          </rPr>
          <t xml:space="preserve">
Stalk Lateral Deviation Angle is described in a horizontal plane.
This value refers for each control point to Initial "primary" Stalk Direction.
This value can evolve with time, i.e. Inflorescence position inside the crown.</t>
        </r>
      </text>
    </comment>
  </commentList>
</comments>
</file>

<file path=xl/sharedStrings.xml><?xml version="1.0" encoding="utf-8"?>
<sst xmlns="http://schemas.openxmlformats.org/spreadsheetml/2006/main" count="6389" uniqueCount="1380">
  <si>
    <t>cm</t>
  </si>
  <si>
    <t>without unit</t>
  </si>
  <si>
    <t>number</t>
  </si>
  <si>
    <t>degree</t>
  </si>
  <si>
    <t>%</t>
  </si>
  <si>
    <t>factor</t>
  </si>
  <si>
    <t>[0, 180]</t>
  </si>
  <si>
    <t>[0, 999]</t>
  </si>
  <si>
    <t>[0, 1]</t>
  </si>
  <si>
    <t>ratio</t>
  </si>
  <si>
    <t>[-90, 90]</t>
  </si>
  <si>
    <t>[0, 100]</t>
  </si>
  <si>
    <t>2D</t>
  </si>
  <si>
    <t>StemGrowthDirection_1</t>
  </si>
  <si>
    <t>StemGrowthDirection_2</t>
  </si>
  <si>
    <t>StemGrowthDirection_3</t>
  </si>
  <si>
    <t>StemGrowthDirection_4</t>
  </si>
  <si>
    <t>StemInternodeLength_1</t>
  </si>
  <si>
    <t>StemInternodeLength_2</t>
  </si>
  <si>
    <t>StemInternodeDiameter_1</t>
  </si>
  <si>
    <t>StemInternodeDiameter_2</t>
  </si>
  <si>
    <t>ArrowFrondLength_1</t>
  </si>
  <si>
    <t>ArrowFrondLength_2</t>
  </si>
  <si>
    <t>ArrowFrondInsertionAngle</t>
  </si>
  <si>
    <t>FrondNervureInsertionAngle_1</t>
  </si>
  <si>
    <t>FrondNervureInsertionAngle_3</t>
  </si>
  <si>
    <t>Seed</t>
  </si>
  <si>
    <t>FrondNervureLength_1</t>
  </si>
  <si>
    <t>FrondNervureLength_2</t>
  </si>
  <si>
    <t>PalmTreeName</t>
  </si>
  <si>
    <t>ArrowFrondBendingAngle</t>
  </si>
  <si>
    <t>ArrowFrondBaseDiameter</t>
  </si>
  <si>
    <t>StumpLength_1</t>
  </si>
  <si>
    <t>StumpLength_2</t>
  </si>
  <si>
    <t>StemPhyllotaxy_1</t>
  </si>
  <si>
    <t>StemPhyllotaxy_2</t>
  </si>
  <si>
    <t>SpikeletDistance_1</t>
  </si>
  <si>
    <t>SpikeletDistance_2</t>
  </si>
  <si>
    <t>SpikeletDistance_3</t>
  </si>
  <si>
    <t>SpikeletDistance_4</t>
  </si>
  <si>
    <t>SpikeletInsertionAngle_1</t>
  </si>
  <si>
    <t>SpikeletInsertionAngle_3</t>
  </si>
  <si>
    <t>SpikeletLength_1</t>
  </si>
  <si>
    <t>Spikelet length : standard deviation</t>
  </si>
  <si>
    <t>SpikeletDiameter_1</t>
  </si>
  <si>
    <t>SpikeletLength_2</t>
  </si>
  <si>
    <t>SpikeletLength_3</t>
  </si>
  <si>
    <t>Spikelet diameter : standard deviation</t>
  </si>
  <si>
    <t>SpikeletDiameter_2</t>
  </si>
  <si>
    <t>SpikeletDiameter_3</t>
  </si>
  <si>
    <t>SpikeletDiameter_4</t>
  </si>
  <si>
    <t>SpikeletPhyllotaxy_1</t>
  </si>
  <si>
    <t>SpikeletPhyllotaxy_2</t>
  </si>
  <si>
    <t>Spikelet phyllotaxy : standard deviation</t>
  </si>
  <si>
    <t>SimulationAge</t>
  </si>
  <si>
    <t>SimulationStructureComplexity</t>
  </si>
  <si>
    <t>SimulationSeed</t>
  </si>
  <si>
    <t>SimulationOutputStep</t>
  </si>
  <si>
    <t>SimulationMode</t>
  </si>
  <si>
    <t>string</t>
  </si>
  <si>
    <t>S</t>
  </si>
  <si>
    <t>E</t>
  </si>
  <si>
    <t>F</t>
  </si>
  <si>
    <t>Inflorescence</t>
  </si>
  <si>
    <t>Spikelet</t>
  </si>
  <si>
    <t>FrondNervureLateralDeviationAngle_1</t>
  </si>
  <si>
    <t>FrondNervureLateralDeviationAngle_2</t>
  </si>
  <si>
    <t>FrondNervureRotationAngle_1</t>
  </si>
  <si>
    <t>FrondNervureRotationAngle_2</t>
  </si>
  <si>
    <t>#</t>
  </si>
  <si>
    <t>Stem growth direction : straightening begin (from palm base)</t>
  </si>
  <si>
    <t>Stem growth direction : straightening end (from palm base)</t>
  </si>
  <si>
    <t>Stem growth direction : initial plantation direction (0 = upwards, 180 = downwards)</t>
  </si>
  <si>
    <t>Palm tree name</t>
  </si>
  <si>
    <t>v1</t>
  </si>
  <si>
    <t>v2</t>
  </si>
  <si>
    <t>v3</t>
  </si>
  <si>
    <t>v4</t>
  </si>
  <si>
    <t>v5</t>
  </si>
  <si>
    <t>FrondNervureBendingAngle_1</t>
  </si>
  <si>
    <t>FrondNervureBendingAngle_2</t>
  </si>
  <si>
    <t>FrondNervureBendingAngle_3</t>
  </si>
  <si>
    <t>FrondNervureBendingAngle_4</t>
  </si>
  <si>
    <t>PalmTreeDeviationDirection_1</t>
  </si>
  <si>
    <t>PalmTreeDeviationDirection_2</t>
  </si>
  <si>
    <t>[-1 ou +1]</t>
  </si>
  <si>
    <t>any</t>
  </si>
  <si>
    <t>FrondNervureWidth_1</t>
  </si>
  <si>
    <t>FrondNervureWidth_2</t>
  </si>
  <si>
    <t>FrondNervureWidth_3</t>
  </si>
  <si>
    <t>FrondNervureHeight_1</t>
  </si>
  <si>
    <t>FrondNervureHeight_2</t>
  </si>
  <si>
    <t>FrondNervureHeight_3</t>
  </si>
  <si>
    <t>SimulationStructureAge</t>
  </si>
  <si>
    <t>v6</t>
  </si>
  <si>
    <t>v7</t>
  </si>
  <si>
    <t>v8</t>
  </si>
  <si>
    <t>v9</t>
  </si>
  <si>
    <t>v10</t>
  </si>
  <si>
    <t>v11</t>
  </si>
  <si>
    <t>v12</t>
  </si>
  <si>
    <t>v13</t>
  </si>
  <si>
    <t>Spikelet number in pseudo-verticille : mean</t>
  </si>
  <si>
    <t>SpikeletNumber_1</t>
  </si>
  <si>
    <t>SpikeletNumber_2</t>
  </si>
  <si>
    <t>Spikelet number in pseudo-verticille : standard deviation</t>
  </si>
  <si>
    <t>cp1</t>
  </si>
  <si>
    <t>cp2</t>
  </si>
  <si>
    <t>cp3</t>
  </si>
  <si>
    <t>cp4</t>
  </si>
  <si>
    <t>cp5</t>
  </si>
  <si>
    <t>cp6</t>
  </si>
  <si>
    <t>cp7</t>
  </si>
  <si>
    <t>cp8</t>
  </si>
  <si>
    <t>cp9</t>
  </si>
  <si>
    <t>cp10</t>
  </si>
  <si>
    <t>cp11</t>
  </si>
  <si>
    <t>cp12</t>
  </si>
  <si>
    <t>cp13</t>
  </si>
  <si>
    <t>Spikelet length : position ratio</t>
  </si>
  <si>
    <t>Spikelet diameter : position ratio</t>
  </si>
  <si>
    <t>Spikelet diameter : shape ratio</t>
  </si>
  <si>
    <t>Frond Nervure width : mean</t>
  </si>
  <si>
    <t>Frond Nervure width : standard deviation</t>
  </si>
  <si>
    <t>Frond Nervure width : shape factor</t>
  </si>
  <si>
    <t>Frond Nervure height : mean</t>
  </si>
  <si>
    <t>Frond Nervure height : standard deviation</t>
  </si>
  <si>
    <t>Frond Nervure height : shape factor</t>
  </si>
  <si>
    <t>Frond Nervure bending angle : initial (young Fronds) (control points 1 &amp; 100 required)</t>
  </si>
  <si>
    <t>Frond Nervure bending angle : variation duration</t>
  </si>
  <si>
    <t>PalmTreeLeafletChoice</t>
  </si>
  <si>
    <t>Frond Life Span - gives the number of Fronds on PalmTree</t>
  </si>
  <si>
    <t>ArrowLifeSpan_1</t>
  </si>
  <si>
    <t>FrondLifeSpan_1</t>
  </si>
  <si>
    <t>StumpLifeSpan_1</t>
  </si>
  <si>
    <t>Male Flower Life Span</t>
  </si>
  <si>
    <t>cp14</t>
  </si>
  <si>
    <t>v14</t>
  </si>
  <si>
    <t>cp15</t>
  </si>
  <si>
    <t>v15</t>
  </si>
  <si>
    <t>cp16</t>
  </si>
  <si>
    <t>v16</t>
  </si>
  <si>
    <t>cp17</t>
  </si>
  <si>
    <t>v17</t>
  </si>
  <si>
    <t>cp18</t>
  </si>
  <si>
    <t>v18</t>
  </si>
  <si>
    <t>cp19</t>
  </si>
  <si>
    <t>v19</t>
  </si>
  <si>
    <t>cp20</t>
  </si>
  <si>
    <t>v20</t>
  </si>
  <si>
    <t>cp21</t>
  </si>
  <si>
    <t>v21</t>
  </si>
  <si>
    <t>cp22</t>
  </si>
  <si>
    <t>v22</t>
  </si>
  <si>
    <t>cp23</t>
  </si>
  <si>
    <t>v23</t>
  </si>
  <si>
    <t>cp24</t>
  </si>
  <si>
    <t>v24</t>
  </si>
  <si>
    <t>cp25</t>
  </si>
  <si>
    <t>v25</t>
  </si>
  <si>
    <t>MaleFlowerLength_1</t>
  </si>
  <si>
    <t>MaleFlowerLength_2</t>
  </si>
  <si>
    <t>MaleFlowerDiameter_1</t>
  </si>
  <si>
    <t>MaleFlowerDiameter_2</t>
  </si>
  <si>
    <t>Male Flower length : mean</t>
  </si>
  <si>
    <t>Male Flower length : standard deviation</t>
  </si>
  <si>
    <t>Male Flower diameter : mean</t>
  </si>
  <si>
    <t>Male Flower diameter : standard deviation</t>
  </si>
  <si>
    <t>Stump Life Span</t>
  </si>
  <si>
    <t>Stump length : mean</t>
  </si>
  <si>
    <t>Stump length : standard deviation</t>
  </si>
  <si>
    <t>SpikeletStiffness_1</t>
  </si>
  <si>
    <t>SpikeletStiffness_2</t>
  </si>
  <si>
    <t>SpikeletStiffness_4</t>
  </si>
  <si>
    <t>PinnaeGroupFrequency_1</t>
  </si>
  <si>
    <t>PinnaeGroupFrequency_2</t>
  </si>
  <si>
    <t>PinnaeGroupFrequency_3</t>
  </si>
  <si>
    <t>PinnaeGroupFrequency_4</t>
  </si>
  <si>
    <t>PinnaeDistance_1</t>
  </si>
  <si>
    <t>PinnaeDistance_2</t>
  </si>
  <si>
    <t>PinnaeDistance_3</t>
  </si>
  <si>
    <t>PinnaeDistance_4</t>
  </si>
  <si>
    <t>UpperPinnaeInsertionAngle_1</t>
  </si>
  <si>
    <t>UpperPinnaeInsertionAngle_2</t>
  </si>
  <si>
    <t>UpperPinnaeInsertionAngle_3</t>
  </si>
  <si>
    <t>UpperPinnaeInsertionAngle_4</t>
  </si>
  <si>
    <t>MiddlePinnaeInsertionAngle_1</t>
  </si>
  <si>
    <t>MiddlePinnaeInsertionAngle_2</t>
  </si>
  <si>
    <t>MiddlePinnaeInsertionAngle_3</t>
  </si>
  <si>
    <t>MiddlePinnaeInsertionAngle_4</t>
  </si>
  <si>
    <t>LowerPinnaeInsertionAngle_1</t>
  </si>
  <si>
    <t>LowerPinnaeInsertionAngle_2</t>
  </si>
  <si>
    <t>LowerPinnaeInsertionAngle_3</t>
  </si>
  <si>
    <t>LowerPinnaeInsertionAngle_4</t>
  </si>
  <si>
    <t>PinnaeLength_1</t>
  </si>
  <si>
    <t>PinnaeLength_2</t>
  </si>
  <si>
    <t>PinnaeLength_3</t>
  </si>
  <si>
    <t>PinnaeWidth_1</t>
  </si>
  <si>
    <t>PinnaeWidth_2</t>
  </si>
  <si>
    <t>PinnaeWidth_3</t>
  </si>
  <si>
    <t>PinnaeWidth_4</t>
  </si>
  <si>
    <t>PinnaeHeight_1</t>
  </si>
  <si>
    <t>Pinnae height : maximum on Frond Nervure</t>
  </si>
  <si>
    <t>PinnaeHeight_2</t>
  </si>
  <si>
    <t>Pinnae height : Pinnae position ratio</t>
  </si>
  <si>
    <t>PinnaeHeight_3</t>
  </si>
  <si>
    <t>Pinnae height : standard deviation</t>
  </si>
  <si>
    <t>PinnaeHeight_4</t>
  </si>
  <si>
    <t>PinnaeWidth_5</t>
  </si>
  <si>
    <t>PinnaeWidth_6</t>
  </si>
  <si>
    <t>PinnaeHeight_5</t>
  </si>
  <si>
    <t>PinnaeHeight_6</t>
  </si>
  <si>
    <t>PinnaeStiffness_1</t>
  </si>
  <si>
    <t>PinnaeStiffness_2</t>
  </si>
  <si>
    <t>Pinnae height : Pinnae_1_Type shape ratio</t>
  </si>
  <si>
    <t>Pinnae height : Pinnae_2_Type shape ratio</t>
  </si>
  <si>
    <t>Pinnae height : Pinnae_3_Type shape ratio</t>
  </si>
  <si>
    <t>FruitLocalisation_1</t>
  </si>
  <si>
    <t>END</t>
  </si>
  <si>
    <t>Pinnae</t>
  </si>
  <si>
    <t>Height</t>
  </si>
  <si>
    <t>Name</t>
  </si>
  <si>
    <t>Width</t>
  </si>
  <si>
    <t>BractInsertionAngle_1</t>
  </si>
  <si>
    <t>BractInsertionAngle_3</t>
  </si>
  <si>
    <t>BractLength_1</t>
  </si>
  <si>
    <t>BractLength_2</t>
  </si>
  <si>
    <t>BractWidth_1</t>
  </si>
  <si>
    <t>BractWidth_2</t>
  </si>
  <si>
    <t>Bract width : standard deviation</t>
  </si>
  <si>
    <t>BractWidth_3</t>
  </si>
  <si>
    <t>Bract width : shape factor</t>
  </si>
  <si>
    <t>BractHeight_1</t>
  </si>
  <si>
    <t>Bract height : mean</t>
  </si>
  <si>
    <t>BractHeight_2</t>
  </si>
  <si>
    <t>Bract height : standard deviation</t>
  </si>
  <si>
    <t>BractHeight_3</t>
  </si>
  <si>
    <t>Bract height : shape factor</t>
  </si>
  <si>
    <t>BractBendingAngle_1</t>
  </si>
  <si>
    <t>Bract bending angle : initial (young Inflorescences)</t>
  </si>
  <si>
    <t>BractBendingAngle_2</t>
  </si>
  <si>
    <t>BractBendingAngle_3</t>
  </si>
  <si>
    <t>Bract bending angle : standard deviation on final</t>
  </si>
  <si>
    <t>BractBendingAngle_4</t>
  </si>
  <si>
    <t>Bract bending angle : variation duration</t>
  </si>
  <si>
    <t>BractLateralDeviationAngle_1</t>
  </si>
  <si>
    <t>BractLateralDeviationAngle_2</t>
  </si>
  <si>
    <t>BractRotationAngle_1</t>
  </si>
  <si>
    <t>BractRotationAngle_2</t>
  </si>
  <si>
    <t>Bract</t>
  </si>
  <si>
    <t>SpikeletDivergenceAngle_1</t>
  </si>
  <si>
    <t>SpikeletDivergenceAngle_2</t>
  </si>
  <si>
    <t>PINNAE</t>
  </si>
  <si>
    <t>STEM</t>
  </si>
  <si>
    <t>BRACT</t>
  </si>
  <si>
    <t>SPIKELET</t>
  </si>
  <si>
    <t>BractNumber_1</t>
  </si>
  <si>
    <t>BractDistance_1</t>
  </si>
  <si>
    <t>Bract number : mean</t>
  </si>
  <si>
    <t>Bract distance : mean</t>
  </si>
  <si>
    <t>Bract distance : standard deviation</t>
  </si>
  <si>
    <t>PalmGeometryLengthUnit_1</t>
  </si>
  <si>
    <t>PalmGeometryLengthUnit_2</t>
  </si>
  <si>
    <t>PalmGeometryLengthUnit_3</t>
  </si>
  <si>
    <t>Length Unit : Short (for Pinnae_Element &amp; Spikelet_Element).</t>
  </si>
  <si>
    <t>Nb</t>
  </si>
  <si>
    <t>Pinnae group frequency : 2 Pinnaes (Upper, Lower)</t>
  </si>
  <si>
    <t>Pinnae group frequency : 1 Pinnae (Middle)</t>
  </si>
  <si>
    <t>Pinnae group frequency : 3 Pinnaes (Upper, Middle, Lower)</t>
  </si>
  <si>
    <t>Pinnae group frequency : 4 Pinnaes (Upper, Middle, Middle, Lower)</t>
  </si>
  <si>
    <t>Length Unit : Medium (for Stalk_Element &amp; Bract_Element).</t>
  </si>
  <si>
    <t>StalkInsertionAngle_1</t>
  </si>
  <si>
    <t>StalkInsertionAngle_3</t>
  </si>
  <si>
    <t>StalkLength_1</t>
  </si>
  <si>
    <t>StalkLength_2</t>
  </si>
  <si>
    <t>StalkWidth_1</t>
  </si>
  <si>
    <t>Stalk width : mean</t>
  </si>
  <si>
    <t>StalkWidth_2</t>
  </si>
  <si>
    <t>Stalk width : standard deviation</t>
  </si>
  <si>
    <t>StalkWidth_3</t>
  </si>
  <si>
    <t>Stalk width : shape factor</t>
  </si>
  <si>
    <t>StalkHeight_1</t>
  </si>
  <si>
    <t>Stalk height : mean</t>
  </si>
  <si>
    <t>StalkHeight_2</t>
  </si>
  <si>
    <t>Stalk height : standard deviation</t>
  </si>
  <si>
    <t>StalkHeight_3</t>
  </si>
  <si>
    <t>Stalk height : shape factor</t>
  </si>
  <si>
    <t>StalkLateralDeviationAngle_1</t>
  </si>
  <si>
    <t>StalkLateralDeviationAngle_2</t>
  </si>
  <si>
    <t>StalkRotationAngle_1</t>
  </si>
  <si>
    <t>StalkRotationAngle_2</t>
  </si>
  <si>
    <t>StalkBendingAngle_1</t>
  </si>
  <si>
    <t>Stalk bending angle : initial (young Inflorescences)</t>
  </si>
  <si>
    <t>StalkBendingAngle_2</t>
  </si>
  <si>
    <t>StalkBendingAngle_3</t>
  </si>
  <si>
    <t>StalkBendingAngle_4</t>
  </si>
  <si>
    <t>Stalk bending angle : variation duration</t>
  </si>
  <si>
    <t>Type number</t>
  </si>
  <si>
    <t>SpikeletDivergenceAngle_3</t>
  </si>
  <si>
    <t>SpikeletDivergenceAngle_4</t>
  </si>
  <si>
    <t>FRUIT</t>
  </si>
  <si>
    <t>MaleFlowerInsertionAngle_1</t>
  </si>
  <si>
    <t>MaleFlowerInsertionAngle_2</t>
  </si>
  <si>
    <t>MaleFlowerLifeSpan_1</t>
  </si>
  <si>
    <t>[0  1]</t>
  </si>
  <si>
    <t>MaleFlowerLocalisation_1</t>
  </si>
  <si>
    <t>FrondLocalisation_1</t>
  </si>
  <si>
    <t>InflorescenceLocalisation_1</t>
  </si>
  <si>
    <t>[-90, +90]</t>
  </si>
  <si>
    <t>PALM TREE</t>
  </si>
  <si>
    <t>Interpol</t>
  </si>
  <si>
    <t>Nb  val</t>
  </si>
  <si>
    <t>Stem growth direction : initial plantation direction standard variation</t>
  </si>
  <si>
    <t>PalmTreeSex</t>
  </si>
  <si>
    <t>InfloLifeSpan_1</t>
  </si>
  <si>
    <t>BractDistance_2</t>
  </si>
  <si>
    <t>Type</t>
  </si>
  <si>
    <t>Unit</t>
  </si>
  <si>
    <t>JAVA Internal Variable Name</t>
  </si>
  <si>
    <t>CU Nb</t>
  </si>
  <si>
    <t>Internode Nb</t>
  </si>
  <si>
    <t>Palm tree age</t>
  </si>
  <si>
    <t>Spikelet ZigZag deviation angle : mean</t>
  </si>
  <si>
    <t>Spikelet ZigZag deviation angle : standard deviation</t>
  </si>
  <si>
    <t>Index is RELATIVE-LENGTH-POSITION (%) of  ORGAN : Frond-Nervure, Stalk or Spikelet (SHAPE RATIO parameter).</t>
  </si>
  <si>
    <t>Stalk</t>
  </si>
  <si>
    <t>FROND</t>
  </si>
  <si>
    <t>Folder</t>
  </si>
  <si>
    <t>Subject</t>
  </si>
  <si>
    <t>IGAP!A1</t>
  </si>
  <si>
    <t>The Principes Palm_Tree Model : Parameter File</t>
  </si>
  <si>
    <t>[0, 3]</t>
  </si>
  <si>
    <t>Index is RELATIVE-LENGTH-POSITION (% ) on BEARER : Pinnae on Frond Nervure, Bract &amp; Spikelet on Stalk, Flowers &amp; Dates on Spikelet (POSITION RATIO parameter).</t>
  </si>
  <si>
    <t>MixedFlowerLocalisation_1</t>
  </si>
  <si>
    <t>MixedFlowerLocalisation_2</t>
  </si>
  <si>
    <t>MixedFlowerLocalisation_3</t>
  </si>
  <si>
    <t>InfloLifeSpan_2</t>
  </si>
  <si>
    <t>MaleFlowerLocalisation_2</t>
  </si>
  <si>
    <t>Pinnae aperture : maximum aperture on Frond Nervure</t>
  </si>
  <si>
    <t>Pinnae aperture : position ratio</t>
  </si>
  <si>
    <t>Pinnae aperture : standard deviation</t>
  </si>
  <si>
    <t>Pinnae aperture : Pinnae_1_Type shape ratio</t>
  </si>
  <si>
    <t>Pinnae aperture : Pinnae_2_Type shape ratio</t>
  </si>
  <si>
    <t>Pinnae aperture : Pinnae_3_Type shape ratio</t>
  </si>
  <si>
    <t>Index is ABSOLUTE POSITION  on the STEM.</t>
  </si>
  <si>
    <t>Male Flower axial insertion angle : mean</t>
  </si>
  <si>
    <t>Male Flower axial insertion angle : standard deviation</t>
  </si>
  <si>
    <t>Pattern used to render Pinnae orientation (1 = induplicate (Phoenix), -1 = reduplicate (Elaeis))</t>
  </si>
  <si>
    <t>[-1, +1]</t>
  </si>
  <si>
    <t>Simulation mode : 0 = structural vs 1 = functional</t>
  </si>
  <si>
    <t>[0 … 6]</t>
  </si>
  <si>
    <t>InflorescenceSex_1</t>
  </si>
  <si>
    <t>Fronds &amp; Inflorescences phyllotaxy : standard variation</t>
  </si>
  <si>
    <t>Fronds &amp; Inflorescences phyllotaxy : mean (radial insertion angle of fronds and stalks on stem)</t>
  </si>
  <si>
    <t>BractPhyllotaxy_1</t>
  </si>
  <si>
    <t>BractPhyllotaxy_2</t>
  </si>
  <si>
    <t>Bract phyllotaxy : standard deviation</t>
  </si>
  <si>
    <t>Spikelet phyllotaxy : mean (radial insertion angle of spikelets pseudo-verticilles on stalk)</t>
  </si>
  <si>
    <t>Male Flower group frequency : 1 Flower</t>
  </si>
  <si>
    <t>Male Flower group frequency : 2 Flowers</t>
  </si>
  <si>
    <t>Male Flower group frequency : 3 Flowers</t>
  </si>
  <si>
    <t>Male Flower group frequency : 4 Flowers</t>
  </si>
  <si>
    <t>Male flower phyllotaxy : standard deviation</t>
  </si>
  <si>
    <t>Female Flower group frequency : 1 Flower</t>
  </si>
  <si>
    <t>Female Flower group frequency : 2 Flowers</t>
  </si>
  <si>
    <t>Female Flower group frequency : 3 Flowers</t>
  </si>
  <si>
    <t>Female Flower group frequency : 4 Flowers</t>
  </si>
  <si>
    <t>MaleFlowerPhyllotaxy_1</t>
  </si>
  <si>
    <t>MaleFlowerPhyllotaxy_2</t>
  </si>
  <si>
    <t>MaleFlowerGroupFrequency_1</t>
  </si>
  <si>
    <t>MaleFlowerGroupFrequency_2</t>
  </si>
  <si>
    <t>MaleFlowerGroupFrequency_3</t>
  </si>
  <si>
    <t>MaleFlowerGroupFrequency_4</t>
  </si>
  <si>
    <t>MaleFlowerDistance_1</t>
  </si>
  <si>
    <t>MaleFlowerDistance_2</t>
  </si>
  <si>
    <t>MaleFlowerDistance_3</t>
  </si>
  <si>
    <t>MaleFlowerDistance_4</t>
  </si>
  <si>
    <t>Female Flower Life Span</t>
  </si>
  <si>
    <t>FemaleFlowerLifeSpan_1</t>
  </si>
  <si>
    <t>FemaleFlowerPhyllotaxy_1</t>
  </si>
  <si>
    <t>FemaleFlowerPhyllotaxy_2</t>
  </si>
  <si>
    <t>Female flower phyllotaxy : standard deviation</t>
  </si>
  <si>
    <t>FemaleFlowerGroupFrequency_1</t>
  </si>
  <si>
    <t>FemaleFlowerGroupFrequency_2</t>
  </si>
  <si>
    <t>FemaleFlowerGroupFrequency_3</t>
  </si>
  <si>
    <t>FemaleFlowerGroupFrequency_4</t>
  </si>
  <si>
    <t>FemaleFlowerDistance_1</t>
  </si>
  <si>
    <t>FemaleFlowerDistance_2</t>
  </si>
  <si>
    <t>FemaleFlowerDistance_3</t>
  </si>
  <si>
    <t>FemaleFlowerDistance_4</t>
  </si>
  <si>
    <t>FemaleFlowerInsertionAngle_1</t>
  </si>
  <si>
    <t>FemaleFlowerInsertionAngle_2</t>
  </si>
  <si>
    <t>FemaleFlowerLength_1</t>
  </si>
  <si>
    <t>FemaleFlowerLength_2</t>
  </si>
  <si>
    <t>FemaleFlowerDiameter_1</t>
  </si>
  <si>
    <t>FemaleFlowerDiameter_2</t>
  </si>
  <si>
    <t>Female Flower axial insertion angle : mean</t>
  </si>
  <si>
    <t>Female Flower axial insertion angle : standard deviation</t>
  </si>
  <si>
    <t>female Inflorescences Frequency on total number of inflorescences</t>
  </si>
  <si>
    <t>Mixed flowers phyllotaxy : standard deviation</t>
  </si>
  <si>
    <t>MixedFlowerGroupFrequency_1</t>
  </si>
  <si>
    <t>MixedFlowerGroupFrequency_2</t>
  </si>
  <si>
    <t>MixedFlowerGroupFrequency_3</t>
  </si>
  <si>
    <t>MixedFlowerGroupFrequency_4</t>
  </si>
  <si>
    <t>MixedFlowerDistance_1</t>
  </si>
  <si>
    <t>MixedFlowerDistance_2</t>
  </si>
  <si>
    <t>MixedFlowerDistance_3</t>
  </si>
  <si>
    <t>MixedFlowerDistance_4</t>
  </si>
  <si>
    <t>Mixed Flowers group frequency : 1 Flower</t>
  </si>
  <si>
    <t>Mixed Flowers group frequency : 2 Flowers</t>
  </si>
  <si>
    <t>Mixed Flowers group frequency : 3 Flowers</t>
  </si>
  <si>
    <t>Mixed Flowers group frequency : 4 Flowers</t>
  </si>
  <si>
    <t>Mixed Flowers inter-groups distance : mean</t>
  </si>
  <si>
    <t>Mixed Flowers inter-groups distance : standard deviation</t>
  </si>
  <si>
    <t>Mixed Flowers intra-groups distance : mean</t>
  </si>
  <si>
    <t>Mixed Flowers intra-groups distance : standard deviation</t>
  </si>
  <si>
    <t>SpikeletZigzagAngle_1</t>
  </si>
  <si>
    <t>SpikeletZigzagAngle_2</t>
  </si>
  <si>
    <t>MixedFlowerPhyllotaxy_1</t>
  </si>
  <si>
    <t>MixedFlowerPhyllotaxy_2</t>
  </si>
  <si>
    <t>FemaleFlowerLocalisation_2</t>
  </si>
  <si>
    <t>FemaleFlowerLocalisation_1</t>
  </si>
  <si>
    <t>Inflorescence Life Span since initiation</t>
  </si>
  <si>
    <t>Inflorescence Dormancy before Growth  (since initiation)</t>
  </si>
  <si>
    <t>INTERNODE</t>
  </si>
  <si>
    <t>Straightening</t>
  </si>
  <si>
    <t>Mean</t>
  </si>
  <si>
    <t>STD</t>
  </si>
  <si>
    <t>Begin</t>
  </si>
  <si>
    <t>End</t>
  </si>
  <si>
    <t>Shape</t>
  </si>
  <si>
    <t>INFLORESCENCES</t>
  </si>
  <si>
    <t>CU nb</t>
  </si>
  <si>
    <t>Pos Organ %</t>
  </si>
  <si>
    <t>Pos Stem</t>
  </si>
  <si>
    <t>Initial</t>
  </si>
  <si>
    <t>Final</t>
  </si>
  <si>
    <t>Duration</t>
  </si>
  <si>
    <t>Pos Bearer %</t>
  </si>
  <si>
    <t>STUMP</t>
  </si>
  <si>
    <t>total</t>
  </si>
  <si>
    <t>Max</t>
  </si>
  <si>
    <t>Pos Ratio</t>
  </si>
  <si>
    <t>val</t>
  </si>
  <si>
    <t>STIPE</t>
  </si>
  <si>
    <t>TIME</t>
  </si>
  <si>
    <t>ORGAN</t>
  </si>
  <si>
    <t>BEARER</t>
  </si>
  <si>
    <t>Vegetative Datas Collections</t>
  </si>
  <si>
    <t>Reproductive Datas Collections</t>
  </si>
  <si>
    <t>Stalk bending angle : final (old Inflorescences)</t>
  </si>
  <si>
    <t>Bract phyllotaxy : mean (radial insertion angle of bracts on stalk)</t>
  </si>
  <si>
    <t>To input values of  parameters by organ's types</t>
  </si>
  <si>
    <t>Bract bending angle : final (old Inflorescences)</t>
  </si>
  <si>
    <t>Ratio</t>
  </si>
  <si>
    <t>Position Ratio</t>
  </si>
  <si>
    <t>Presence</t>
  </si>
  <si>
    <t>MixedFlowerLocalisation_4</t>
  </si>
  <si>
    <t>Mixed Flowers : Female flowers on Total Flower frequency on spikelet : mean</t>
  </si>
  <si>
    <t>Mixed Flowers : Female flowers on Total Flower frequency on spikelet : standard deviation</t>
  </si>
  <si>
    <t>Femele on total frequency</t>
  </si>
  <si>
    <t>FruitLocalisation_2</t>
  </si>
  <si>
    <t>String</t>
  </si>
  <si>
    <t>Age</t>
  </si>
  <si>
    <t>Nb of CU</t>
  </si>
  <si>
    <t>Output</t>
  </si>
  <si>
    <t>Mode</t>
  </si>
  <si>
    <t>Complexity</t>
  </si>
  <si>
    <t>Reference</t>
  </si>
  <si>
    <t>rank</t>
  </si>
  <si>
    <t>Sex</t>
  </si>
  <si>
    <t>0 = structural</t>
  </si>
  <si>
    <t>0 = Male</t>
  </si>
  <si>
    <t>1 = Female</t>
  </si>
  <si>
    <t>3 = M &amp; F</t>
  </si>
  <si>
    <t>2 = M or F</t>
  </si>
  <si>
    <t>-1 = counterc</t>
  </si>
  <si>
    <t>Exception</t>
  </si>
  <si>
    <t>Direction</t>
  </si>
  <si>
    <t>1 = clockwise</t>
  </si>
  <si>
    <t>Element Length Unit</t>
  </si>
  <si>
    <t>Frond Nervure</t>
  </si>
  <si>
    <t>F on Total</t>
  </si>
  <si>
    <t>1 = Induplicate = Phoenix</t>
  </si>
  <si>
    <t>-1 = Reduplicate = Elaeis</t>
  </si>
  <si>
    <t>Frond Nervure bending angle : final (old Fronds)</t>
  </si>
  <si>
    <t>Upper Pinnae rotation insertion angle : mean</t>
  </si>
  <si>
    <t>Upper Pinnae rotation insertion angle : standard deviation</t>
  </si>
  <si>
    <t>Middle Pinnae rotation insertion angle : mean</t>
  </si>
  <si>
    <t>Middle Pinnae rotation insertion angle : standard deviation</t>
  </si>
  <si>
    <t>Lower Pinnae rotation insertion angle : mean</t>
  </si>
  <si>
    <t>Lower Pinnae rotation insertion angle : standard deviation</t>
  </si>
  <si>
    <t>SIMULATION</t>
  </si>
  <si>
    <t>0 = Upwards</t>
  </si>
  <si>
    <t>180= Downwards</t>
  </si>
  <si>
    <t>Frequency</t>
  </si>
  <si>
    <t>Frond &amp;</t>
  </si>
  <si>
    <t>BENDING ANGLE</t>
  </si>
  <si>
    <t>on position</t>
  </si>
  <si>
    <t>random</t>
  </si>
  <si>
    <t>geometry</t>
  </si>
  <si>
    <t>simulation</t>
  </si>
  <si>
    <t>for geometry</t>
  </si>
  <si>
    <t>Verif</t>
  </si>
  <si>
    <t>GROUP FREQUENCY</t>
  </si>
  <si>
    <t>GROUP DISTANCE</t>
  </si>
  <si>
    <t>ROTATION INSERTION ANGLE</t>
  </si>
  <si>
    <t>100 = very soft (bending)</t>
  </si>
  <si>
    <t>10 000 = very straight (no bending)</t>
  </si>
  <si>
    <t>DEVELOPMENT</t>
  </si>
  <si>
    <t>LATERAL DEVIATION ANGLE</t>
  </si>
  <si>
    <t>HEIGHT</t>
  </si>
  <si>
    <t>WIDTH</t>
  </si>
  <si>
    <t>LENGTH</t>
  </si>
  <si>
    <t>BASE DIAMETER</t>
  </si>
  <si>
    <t>AXIAL INSERTION ANGLE</t>
  </si>
  <si>
    <t>RADIAL INSERTION ANGLE</t>
  </si>
  <si>
    <t>DIAMETER</t>
  </si>
  <si>
    <t>Zig Zag ANGLE</t>
  </si>
  <si>
    <t>SEXUALISATION</t>
  </si>
  <si>
    <t>LOCATION</t>
  </si>
  <si>
    <t>Code</t>
  </si>
  <si>
    <t>if Type = 2</t>
  </si>
  <si>
    <t>Pinnae Orientation</t>
  </si>
  <si>
    <t>max</t>
  </si>
  <si>
    <t>min</t>
  </si>
  <si>
    <t>²</t>
  </si>
  <si>
    <t>2 = Whole Inflos</t>
  </si>
  <si>
    <t>0 = Whole Palm-tree</t>
  </si>
  <si>
    <t>SPIKELETS NUMBER</t>
  </si>
  <si>
    <t>INFLORESCENCE</t>
  </si>
  <si>
    <t>[Middle]</t>
  </si>
  <si>
    <t>1 = Whole Fronds</t>
  </si>
  <si>
    <t>Female Flower in Fruit transformation frequency : mean</t>
  </si>
  <si>
    <t>Female Flower in Fruit transformation frequency : standard deviation</t>
  </si>
  <si>
    <t>MALE FLOWER</t>
  </si>
  <si>
    <t>FEMALE FLOWER</t>
  </si>
  <si>
    <t>PHYLLOTAXY</t>
  </si>
  <si>
    <t>STALK</t>
  </si>
  <si>
    <t>GROWTH DIRECTION</t>
  </si>
  <si>
    <t>*</t>
  </si>
  <si>
    <t>FROND_NERVURE</t>
  </si>
  <si>
    <t>BENDING ANGLE (same nb of CP for Initial &amp; Final)</t>
  </si>
  <si>
    <t>Inter-Group</t>
  </si>
  <si>
    <t>Intra-Group</t>
  </si>
  <si>
    <t>UPPER</t>
  </si>
  <si>
    <t>MIDDLE</t>
  </si>
  <si>
    <t>LOWER</t>
  </si>
  <si>
    <t>FROND_NERVURE SIZE &amp; GEOMETRY</t>
  </si>
  <si>
    <t>STEM GEOMETRY &amp; INTERNODE SIZE</t>
  </si>
  <si>
    <t>NUMBER</t>
  </si>
  <si>
    <t>APERTURE</t>
  </si>
  <si>
    <t>PINNAE_1</t>
  </si>
  <si>
    <t>PINNAE_2</t>
  </si>
  <si>
    <t>PINNAE_3</t>
  </si>
  <si>
    <t>STALK SIZE &amp; GEOMETRY</t>
  </si>
  <si>
    <t>BRACT on STALK LOCATION &amp; INSERTION</t>
  </si>
  <si>
    <t>INFLORESCENCE on STEM DEVELOPMENT, LOCATION &amp; INSERTION</t>
  </si>
  <si>
    <t>DISTANCE</t>
  </si>
  <si>
    <t>BRACT SIZE &amp; GEOMETRY</t>
  </si>
  <si>
    <t>Intra-Pseudo-Verticille</t>
  </si>
  <si>
    <t>Inter-Pseudo-Verticille</t>
  </si>
  <si>
    <t>SPIKELET in PSEUDO-VERTICILLE on STALK LOCATION &amp; INSERTION</t>
  </si>
  <si>
    <t>SPIKELET DIVERGENCE ANGLE</t>
  </si>
  <si>
    <t>PSEUDO VERTICILLE</t>
  </si>
  <si>
    <t>SPIKELET SIZE &amp; GEOMETRY</t>
  </si>
  <si>
    <t>Number</t>
  </si>
  <si>
    <t>MALE FLOWER SIZE</t>
  </si>
  <si>
    <t>MIXED FLOWER</t>
  </si>
  <si>
    <t>PLANT</t>
  </si>
  <si>
    <t>STEM &amp; INTERNODE</t>
  </si>
  <si>
    <t>STEM_Geom</t>
  </si>
  <si>
    <t>FROND_Prod</t>
  </si>
  <si>
    <t>FROND_NERVURE_Geom</t>
  </si>
  <si>
    <t>PINNAE_PROD</t>
  </si>
  <si>
    <t>PINNAE_Geom</t>
  </si>
  <si>
    <t>Organs</t>
  </si>
  <si>
    <t>INFLO_Prod</t>
  </si>
  <si>
    <t>STALK_Geom</t>
  </si>
  <si>
    <t>BRACT_Prod</t>
  </si>
  <si>
    <t>BRACT_Geom</t>
  </si>
  <si>
    <t>SPIKELET_Prod</t>
  </si>
  <si>
    <t>SPIKELET_Geom</t>
  </si>
  <si>
    <t>FEMALE_FLOWER_Prod</t>
  </si>
  <si>
    <t>FEMALE_FLOWER_Geom</t>
  </si>
  <si>
    <t>MALE_FLOWER_Prod</t>
  </si>
  <si>
    <t>MALE_FLOWER_Geom</t>
  </si>
  <si>
    <t>MIXED_FLOWER_Prod</t>
  </si>
  <si>
    <t>FEMALE_FLOWER</t>
  </si>
  <si>
    <t>MALE_FLOWER</t>
  </si>
  <si>
    <t>MIXED_FLOWER</t>
  </si>
  <si>
    <t>according to spikelet on stalk position</t>
  </si>
  <si>
    <t>FROND &amp; INFLORESCENCE</t>
  </si>
  <si>
    <t>Frond on Stem Localisation, 0 = nada, 1 =  presence</t>
  </si>
  <si>
    <t>Inflorescence on Stem Localisation, 0 = nada, 1 =  presence</t>
  </si>
  <si>
    <t>Bract on Stalk mean Localisation : 0 = Nada, 1 = Presence</t>
  </si>
  <si>
    <t>BractLocalisation_1</t>
  </si>
  <si>
    <t>BractLocalisation_2</t>
  </si>
  <si>
    <t>Female Flower on Spikelet mean Beginning Position</t>
  </si>
  <si>
    <t>Female Flower on Spikelet  standard deviation on mean Beginning Position</t>
  </si>
  <si>
    <t>Male Flower on Spikelet mean Beginning Position</t>
  </si>
  <si>
    <t>Male Flower on Spikelet  standard deviation on mean Beginning Position</t>
  </si>
  <si>
    <t>Mixed Flower on Spikelet  standard deviation on mean Beginning Position</t>
  </si>
  <si>
    <t>BEGINNING POSITION</t>
  </si>
  <si>
    <t>FEMALE FLOWER LOCATION</t>
  </si>
  <si>
    <t>MALE FLOWER LOCATION</t>
  </si>
  <si>
    <t>MIXED FLOWER LOCATION</t>
  </si>
  <si>
    <t>PRODUCTION</t>
  </si>
  <si>
    <t>GEOMETRY</t>
  </si>
  <si>
    <t>Stump</t>
  </si>
  <si>
    <t>GENERAL</t>
  </si>
  <si>
    <t>Spear</t>
  </si>
  <si>
    <t>SPEAR</t>
  </si>
  <si>
    <t>INFLO &amp; STALK</t>
  </si>
  <si>
    <t>Spear Frond base diameter : mean</t>
  </si>
  <si>
    <t>Spear Frond axial insertion angle</t>
  </si>
  <si>
    <t>SPear Frond bending angle : mean</t>
  </si>
  <si>
    <t>Reference Frond &amp; Inflorescence rank (position in the crown from Spear downwards)</t>
  </si>
  <si>
    <t>Length Unit : Long (for Spear_Element &amp; Frond_Nervure_Element &amp; Stump).</t>
  </si>
  <si>
    <t>Spear Life Span - gives the number of Spears on PalmTree</t>
  </si>
  <si>
    <t>TORSION ANGLE</t>
  </si>
  <si>
    <t>Fronds Torsion</t>
  </si>
  <si>
    <t>STIFFNESS (Young Module Value)</t>
  </si>
  <si>
    <t>3 = Stem</t>
  </si>
  <si>
    <t>4 = One Frond 3D</t>
  </si>
  <si>
    <t>5 = One Inflo 3D</t>
  </si>
  <si>
    <t>6 = One Leaflet 3D</t>
  </si>
  <si>
    <t>8 = One Frond 2D</t>
  </si>
  <si>
    <t>9 = One Inflo 2D</t>
  </si>
  <si>
    <t>10 = One Leaflet 2D</t>
  </si>
  <si>
    <t>11 = One Spikelet 2D</t>
  </si>
  <si>
    <t>7 = One Spikelet 3 D</t>
  </si>
  <si>
    <t>Si Pos Bearer = 100 est renseigné pour MIDDLE, alors foliole terminale, sinon tartinage normal de chaque coté</t>
  </si>
  <si>
    <t>EVOLUTION</t>
  </si>
  <si>
    <t>FINAL</t>
  </si>
  <si>
    <t>Phyllo</t>
  </si>
  <si>
    <t>Position</t>
  </si>
  <si>
    <t>Growth</t>
  </si>
  <si>
    <t>Time</t>
  </si>
  <si>
    <t>EVOLUTION *</t>
  </si>
  <si>
    <t xml:space="preserve">EVOLUTION </t>
  </si>
  <si>
    <t>SpikeletInsertionAngleEvol_</t>
  </si>
  <si>
    <t>Nb Values</t>
  </si>
  <si>
    <t>Variable Name</t>
  </si>
  <si>
    <t>Interpolation</t>
  </si>
  <si>
    <t>Item</t>
  </si>
  <si>
    <t>Beginning</t>
  </si>
  <si>
    <t>on Beginning</t>
  </si>
  <si>
    <t>Shape Ratio</t>
  </si>
  <si>
    <t>Shape Factor</t>
  </si>
  <si>
    <t>Pos Breaking %</t>
  </si>
  <si>
    <t>according to Pinnae on Frond-nervure position</t>
  </si>
  <si>
    <t>MIXED FLOWER on SPIKELET LOCATION &amp; INSERTION (for Sex Code = 3, Male &amp; Female flowers)</t>
  </si>
  <si>
    <t>PalmTree Sex</t>
  </si>
  <si>
    <t>StemInternodeLengthEvol_1</t>
  </si>
  <si>
    <t>StemInternodeDiameterEvol_1</t>
  </si>
  <si>
    <t>FrondNervureInsertionAngleEvol_1</t>
  </si>
  <si>
    <t>FrondNervureRotationAngleEvol_1</t>
  </si>
  <si>
    <t>FrondNervureLateralDeviationAngleEvol_1</t>
  </si>
  <si>
    <t>PINNAE_Prod</t>
  </si>
  <si>
    <t>UpperPinnaeInsertionAngle_5</t>
  </si>
  <si>
    <t>UpperPinnaeInsertionAngle_6</t>
  </si>
  <si>
    <t>MiddlePinnaeInsertionAngle_5</t>
  </si>
  <si>
    <t>MiddlePinnaeInsertionAngle_6</t>
  </si>
  <si>
    <t>LowerPinnaeInsertionAngle_5</t>
  </si>
  <si>
    <t>LowerPinnaeInsertionAngle_6</t>
  </si>
  <si>
    <t>Upper Pinnae radial insertion angle : mean</t>
  </si>
  <si>
    <t>Upper Pinnae radial insertion angle : standard deviation</t>
  </si>
  <si>
    <t>Middle Pinnae radial insertion angle : mean</t>
  </si>
  <si>
    <t>Middle Pinnae radial insertion angle : standard deviation</t>
  </si>
  <si>
    <t>Lower Pinnae radial insertion angle : mean</t>
  </si>
  <si>
    <t>Lower Pinnae radial insertion angle : standard deviation</t>
  </si>
  <si>
    <t>PinnaeInsertionAngleEvol_1</t>
  </si>
  <si>
    <t>PinnaeLengthEvol_1</t>
  </si>
  <si>
    <t>PinnaeBreaking_1</t>
  </si>
  <si>
    <t>Pinnae breaking point : mean location</t>
  </si>
  <si>
    <t>Pinnae breaking point : standard deviation</t>
  </si>
  <si>
    <t>StalkInsertionAngleEvol_1</t>
  </si>
  <si>
    <t>StalkRotationAngleEvol_1</t>
  </si>
  <si>
    <t>StalkLateralDeviationAngleEvol_1</t>
  </si>
  <si>
    <t>BractInsertionAngleEvol_1</t>
  </si>
  <si>
    <t>BractLengthEvol_1</t>
  </si>
  <si>
    <t>BractRotationAngleEvol_1</t>
  </si>
  <si>
    <t>SpikeletInsertionAngleEvol_1</t>
  </si>
  <si>
    <t>SpikeletDivergenceAngleEvol_1</t>
  </si>
  <si>
    <t>SpikeletLengthEvol_1</t>
  </si>
  <si>
    <t>Spikelet length : maximum Final on Stalk</t>
  </si>
  <si>
    <t>FEMALE_FLOWER_Prod (PalmTreeSex = 1 or 2 Female)</t>
  </si>
  <si>
    <t>FEMALE_FLOWER_Geom (PalmTreeSex = 1 or 2 Female)</t>
  </si>
  <si>
    <t>MALE_FLOWER_Prod (PalmTreeSex = 0 or 2 Male)</t>
  </si>
  <si>
    <t>MALE_FLOWER_Geom (PalmTreeSex = 0 or 2 Male)</t>
  </si>
  <si>
    <t>MIXED_FLOWERS_Prod (PalmTreeSex = 3)</t>
  </si>
  <si>
    <t>Mixed Flower on Spikelet mean Beginning Position according to spikelet on stalk position</t>
  </si>
  <si>
    <t>Parameter with EVOLUTION ALONG TIME. Presently, this evolution is represented by a number of emitted Palms (Phyllochrone). During simulation, "one Palm (one phyllochrone)" is created each "Computing Unit".</t>
  </si>
  <si>
    <t>Frond Nervure deviation and torsion angles : Direction (1 = clockwise, -1 = counterclockwise)</t>
  </si>
  <si>
    <t>Frond Nervure deviation and torsion angles : Exception frequency</t>
  </si>
  <si>
    <t>Seed to simulate stochastic variability</t>
  </si>
  <si>
    <t>Output Step for geometry (opf file generated)</t>
  </si>
  <si>
    <t>Structure_complexity : reference code for structure simulation (whole palm, frond, inflo...)</t>
  </si>
  <si>
    <t>PinnaeBreaking_2</t>
  </si>
  <si>
    <t>BREAKING LOCATION &amp; FREQUENCY</t>
  </si>
  <si>
    <t>FREQUENCY</t>
  </si>
  <si>
    <t>PinnaeBreaking_3</t>
  </si>
  <si>
    <t>Pinnae breaking point : Frequency</t>
  </si>
  <si>
    <t>*Applies to Flower Group Distance</t>
  </si>
  <si>
    <t>INFLORESCENCE DEVELOPMENT PHENOLOGY</t>
  </si>
  <si>
    <t>before Flowering</t>
  </si>
  <si>
    <t>Fructification Frequency</t>
  </si>
  <si>
    <t>PRINCIPES Parameter Name</t>
  </si>
  <si>
    <t>FEMALE FLOWER on SPIKELET DEVELOPMENT, LOCATION &amp; INSERTION</t>
  </si>
  <si>
    <t>MALE FLOWER on SPIKELET DEVELOPMENT, LOCATION &amp; INSERTION</t>
  </si>
  <si>
    <t>1 = Growth</t>
  </si>
  <si>
    <t>2 = functional</t>
  </si>
  <si>
    <t>Factor</t>
  </si>
  <si>
    <t>Stem Internode length : final mean</t>
  </si>
  <si>
    <t>Stem Internode length : final standard deviation</t>
  </si>
  <si>
    <t>Stem Internode diameter  : final mean</t>
  </si>
  <si>
    <t>Stem Internode diameter : final standard deviation</t>
  </si>
  <si>
    <t>Spear Frond length : final mean</t>
  </si>
  <si>
    <t>Spear Frond length : final standard deviation</t>
  </si>
  <si>
    <t>Frond Nervure axial insertion angle : final mean</t>
  </si>
  <si>
    <t>Frond Nervure axial insertion angle : final standard deviation</t>
  </si>
  <si>
    <t>Frond Nervure length : final mean</t>
  </si>
  <si>
    <t>Frond Nervure length : final standard deviation</t>
  </si>
  <si>
    <t>Frond Nervure bending angle : final standard deviation</t>
  </si>
  <si>
    <t>Frond Nervure Torsion angle of Leaflets plane : final mean (control points 1 &amp; 100 required)</t>
  </si>
  <si>
    <t>Frond Nervure Torsion angle of Leaflets plane : final standard deviation</t>
  </si>
  <si>
    <t>Frond Nervure lateral deviation angle : final mean (control points 1 &amp; 100 required)</t>
  </si>
  <si>
    <t>Frond Nervure lateral deviation angle : final standard deviation</t>
  </si>
  <si>
    <t>Pinnae inter-groups distance : final mean</t>
  </si>
  <si>
    <t>Pinnae inter-groups distance : final standard deviation</t>
  </si>
  <si>
    <t>Pinnae intra-groups distance : final mean</t>
  </si>
  <si>
    <t>Pinnae intra-groups distance : final standard deviation</t>
  </si>
  <si>
    <t>Pinnae bending : final mean (old Fronds)</t>
  </si>
  <si>
    <t>Pinnae bending : final standard deviation (old Fronds)</t>
  </si>
  <si>
    <t>PinnaeStiffnessEvol_1</t>
  </si>
  <si>
    <t>Stalk axial insertion angle : final standard deviation</t>
  </si>
  <si>
    <t>Stalk length : final mean</t>
  </si>
  <si>
    <t>Stalk length : final standard deviation</t>
  </si>
  <si>
    <t>Stalk bending angle : final standard deviation</t>
  </si>
  <si>
    <t>Stalk torsion angle : final mean (control points 1 &amp; 100 required)</t>
  </si>
  <si>
    <t>Stalk lateral deviation angle : final mean (control points 1 &amp; 100 required)</t>
  </si>
  <si>
    <t>Stalk lateral deviation angle : final standard deviation (same control points)</t>
  </si>
  <si>
    <t>Bract on Stalk localisation : standard deviation on "Bract on Stalk" mean Localisation</t>
  </si>
  <si>
    <t>Bract axial insertion angle : final mean</t>
  </si>
  <si>
    <t>Bract axial insertion angle : final standard deviation</t>
  </si>
  <si>
    <t>Bract length : final mean</t>
  </si>
  <si>
    <t>Bract length : final standard deviation</t>
  </si>
  <si>
    <t>Bract width : mean</t>
  </si>
  <si>
    <t>Bract torsion angle : final mean (control points 1 &amp; 100 required)</t>
  </si>
  <si>
    <t>Bract torsion angle : final standard deviation</t>
  </si>
  <si>
    <t>Bract lateral deviation angle : final mean (control points 1 &amp; 100 required)</t>
  </si>
  <si>
    <t>Bract lateral deviation angle : final standard deviation</t>
  </si>
  <si>
    <t>Spikelet axial insertion angle : final mean</t>
  </si>
  <si>
    <t>Spikelet axial insertion angle : final standard deviation</t>
  </si>
  <si>
    <t>Pinnae length : final maximum on Frond Nervure</t>
  </si>
  <si>
    <t>Spikelet diameter : maximum on stalk</t>
  </si>
  <si>
    <t>Spikelet bending : final mean (old Inflorescence)</t>
  </si>
  <si>
    <t>Spikelet bending : final standard deviation (old Inflorescence)</t>
  </si>
  <si>
    <t>Female Flower inter-groups distance : final mean</t>
  </si>
  <si>
    <t>Female Flower inter-groups distance : final standard deviation</t>
  </si>
  <si>
    <t>Female Flower intra-groups distance : final mean</t>
  </si>
  <si>
    <t>Female Flower intra-groups distance : final standard deviation</t>
  </si>
  <si>
    <t>Female flower phyllotaxy : mean</t>
  </si>
  <si>
    <t>Male Flower inter-groups distance : final mean</t>
  </si>
  <si>
    <t>Male Flower inter-groups distance : final standard deviation</t>
  </si>
  <si>
    <t>Male Flower intra-groups distance : final mean</t>
  </si>
  <si>
    <t>Male Flower intra-groups distance : final standard deviation</t>
  </si>
  <si>
    <t>Male flower phyllotaxy : mean</t>
  </si>
  <si>
    <t>Mixed flowers phyllotaxy : mean</t>
  </si>
  <si>
    <t>0 = NO</t>
  </si>
  <si>
    <t>1 = YES</t>
  </si>
  <si>
    <t>PINNAE SIZE &amp; GEOMETRY (right and left sides of Frond come from separate simulations)</t>
  </si>
  <si>
    <t>bck</t>
  </si>
  <si>
    <t>Evolution</t>
  </si>
  <si>
    <t>Evolution *</t>
  </si>
  <si>
    <t>Life Span</t>
  </si>
  <si>
    <t>BENDING ANGLE &amp; EVOLUTION</t>
  </si>
  <si>
    <t>Final (same Nb)</t>
  </si>
  <si>
    <t>Stem Phyllotaxy</t>
  </si>
  <si>
    <t>Phyllotaxy</t>
  </si>
  <si>
    <t>BENDING ANGLE &amp;EVOLUTION</t>
  </si>
  <si>
    <t>Final (same nb)</t>
  </si>
  <si>
    <t>Radial Final</t>
  </si>
  <si>
    <t>Axial Final</t>
  </si>
  <si>
    <t>See Spikelet Evolution</t>
  </si>
  <si>
    <t>See Female &amp; Male Flowers</t>
  </si>
  <si>
    <t>SPEAR FROND ON STEM : DEVELOPMENT, INSERTION, SIZE &amp; GEOMETRY</t>
  </si>
  <si>
    <t>GROUPS :</t>
  </si>
  <si>
    <t xml:space="preserve">1 Pinnae : </t>
  </si>
  <si>
    <t xml:space="preserve">2 Pinnaes : </t>
  </si>
  <si>
    <t xml:space="preserve">3 Pinnaes : </t>
  </si>
  <si>
    <t xml:space="preserve">4 Pinnaes : </t>
  </si>
  <si>
    <t>Pinnae Types:</t>
  </si>
  <si>
    <t>[Upper]</t>
  </si>
  <si>
    <t>[Lower]</t>
  </si>
  <si>
    <t>BractLateralDeviationAngleEvol_1</t>
  </si>
  <si>
    <t>PINNAE on FROND_NERVURE LOCATION, REPARTITION &amp; INSERTION (right and left sides of Frond come from separate simulations)</t>
  </si>
  <si>
    <t>Factor *</t>
  </si>
  <si>
    <t>PINNAE REPARTITION</t>
  </si>
  <si>
    <t>PINNAE INSERTION</t>
  </si>
  <si>
    <t>PETIOLE ZONE</t>
  </si>
  <si>
    <t>PINNAE_1 ZONE</t>
  </si>
  <si>
    <t>PINNAE_2 ZONE</t>
  </si>
  <si>
    <t>PINNAE_3 ZONE</t>
  </si>
  <si>
    <t>PinnaeLocalisation_01</t>
  </si>
  <si>
    <t>PinnaeLocalisation_11</t>
  </si>
  <si>
    <t>PinnaeLocalisation_12</t>
  </si>
  <si>
    <t>PinnaeLocalisation_21</t>
  </si>
  <si>
    <t>PinnaeLocalisation_22</t>
  </si>
  <si>
    <t>PinnaeLocalisation_31</t>
  </si>
  <si>
    <t>PinnaeLocalisation_32</t>
  </si>
  <si>
    <t>See Pinnae_Location</t>
  </si>
  <si>
    <t xml:space="preserve">Petiole </t>
  </si>
  <si>
    <t>Pinnae_1</t>
  </si>
  <si>
    <t>Pinnae_2</t>
  </si>
  <si>
    <t>Pinnae_3</t>
  </si>
  <si>
    <t>=</t>
  </si>
  <si>
    <t>Without Pinnae</t>
  </si>
  <si>
    <t>Thorns</t>
  </si>
  <si>
    <t>Leaflets</t>
  </si>
  <si>
    <t>Do not exist</t>
  </si>
  <si>
    <t>PinnaeLocalisation_13</t>
  </si>
  <si>
    <t>PinnaeLocalisation_23</t>
  </si>
  <si>
    <t>PinnaeLocalisation_33</t>
  </si>
  <si>
    <t>PSEUDO-VERTICILLE REPARTITION</t>
  </si>
  <si>
    <t>SPIKELET DISTANCE</t>
  </si>
  <si>
    <t>PEDONCULE ZONE</t>
  </si>
  <si>
    <t>SPIKELET ZONE</t>
  </si>
  <si>
    <t>Without Spikelet</t>
  </si>
  <si>
    <t>Spikelets</t>
  </si>
  <si>
    <t>Pedoncule</t>
  </si>
  <si>
    <t>Zone</t>
  </si>
  <si>
    <t>Productions</t>
  </si>
  <si>
    <t>SpikeletLocalisation_11</t>
  </si>
  <si>
    <t>SpikeletLocalisation_01</t>
  </si>
  <si>
    <t>SpikeletLocalisation_12</t>
  </si>
  <si>
    <t>SpikeletLocalisation_13</t>
  </si>
  <si>
    <t>SpikeletLocalisation_02</t>
  </si>
  <si>
    <t>PinnaeLocalisation_02</t>
  </si>
  <si>
    <t>YEuler</t>
  </si>
  <si>
    <t>YInsertionAngle</t>
  </si>
  <si>
    <t>Orthotropy</t>
  </si>
  <si>
    <t>XInsertionAngle</t>
  </si>
  <si>
    <t>Xeuler</t>
  </si>
  <si>
    <t>HorizontalAngle</t>
  </si>
  <si>
    <t>Length</t>
  </si>
  <si>
    <t>GroupName &amp; GroupID</t>
  </si>
  <si>
    <t>DistanceFromPrevious &amp; PositionInGroup</t>
  </si>
  <si>
    <t>OrientationType &amp; Xeuler</t>
  </si>
  <si>
    <t>OrientationType &amp; XInsertionAngle</t>
  </si>
  <si>
    <t>OrientationType &amp; ZInsertionAngle</t>
  </si>
  <si>
    <t>Width &amp; TopWidth</t>
  </si>
  <si>
    <t>Height &amp; TopHeight</t>
  </si>
  <si>
    <t>Stiffness</t>
  </si>
  <si>
    <t>Stifness</t>
  </si>
  <si>
    <t>Zeuler</t>
  </si>
  <si>
    <t>ZInsertionAngle</t>
  </si>
  <si>
    <t>RELATIVE LENGTH of PINNAE ZONES at FINAL STAGE (after evolution)</t>
  </si>
  <si>
    <t>Rel. Length</t>
  </si>
  <si>
    <t>PinnaeLocalisation_03</t>
  </si>
  <si>
    <t>Long Zone %</t>
  </si>
  <si>
    <t>SPIKELET ZONE LOCATION &amp; EVOLUTION ON STALK</t>
  </si>
  <si>
    <t>PINNAE ZONES LOCATION &amp; EVOLUTION ON FROND-NERVURE</t>
  </si>
  <si>
    <t>RELATIVE LENGTH OF SPIKELET ZONE ay FINAL STAGE (after evolution)</t>
  </si>
  <si>
    <t>See Spikelet Location</t>
  </si>
  <si>
    <t>SpikeletLocalisation_03</t>
  </si>
  <si>
    <t>BRACT REPARTITION</t>
  </si>
  <si>
    <t>Dormancy</t>
  </si>
  <si>
    <t>Flowering</t>
  </si>
  <si>
    <t>Fructification</t>
  </si>
  <si>
    <t>Broken</t>
  </si>
  <si>
    <t>DistanceFromPrevious</t>
  </si>
  <si>
    <t>PalmTreeDeviationDIrection_1_2</t>
  </si>
  <si>
    <t>PalmTreeGeometryLengthUnit_1_2_3</t>
  </si>
  <si>
    <t>StemGrowthDirection_1_2</t>
  </si>
  <si>
    <t>StemGrowthDirecion_3_4</t>
  </si>
  <si>
    <t>StemInternodeLength_1_2</t>
  </si>
  <si>
    <t>StemInternodeDiameter_1_2</t>
  </si>
  <si>
    <t>ArrowFrondLength_1_2</t>
  </si>
  <si>
    <t>StemPhyllotaxy_1_2</t>
  </si>
  <si>
    <t>FrondNervureInsertionAngle_1_3</t>
  </si>
  <si>
    <t>FronNervureLength_1_2</t>
  </si>
  <si>
    <t>FronNervureBendingAngle_1_2_3_4</t>
  </si>
  <si>
    <t>FronNervureRotationAngle_1_2_Evol_1</t>
  </si>
  <si>
    <t>FronNervureLateralDeviationAngle_1_2_Evol_1</t>
  </si>
  <si>
    <t>StumpLength_1_2</t>
  </si>
  <si>
    <t>PinnaeLocalisation_01_02_03</t>
  </si>
  <si>
    <t>PinnaeLocalisation_11_12_13</t>
  </si>
  <si>
    <t>PinnaeLocalisation_21_22_23</t>
  </si>
  <si>
    <t>PinnaeLocalisation_31_32_33</t>
  </si>
  <si>
    <t>PinnaeGroupFrequency_1_2_3_4</t>
  </si>
  <si>
    <t>PinnaeDistance_1_2_3_4</t>
  </si>
  <si>
    <t>UpperPinnaeInsertionAngle_3_4</t>
  </si>
  <si>
    <t>MiddlePinnaeInsertionAngle_3_4</t>
  </si>
  <si>
    <t>LowerPinnaeInsertionAngle_3_4</t>
  </si>
  <si>
    <t>UpperPinnaeInsertionAngle_5_6</t>
  </si>
  <si>
    <t>MiddlePinnaeInsertionAngle_5_6</t>
  </si>
  <si>
    <t>LowerPinnaeInsertionAngle_5_6</t>
  </si>
  <si>
    <t>UpperPinnaeInsertionAngle_1_2</t>
  </si>
  <si>
    <t>MiddlePinnaeInsertionAngle_1_2</t>
  </si>
  <si>
    <t>LowerPinnaeInsertionAngle_1_2</t>
  </si>
  <si>
    <t>PinnaeLength_1_2_3</t>
  </si>
  <si>
    <t>PinnaeWidth_1_2_3_4_5_6</t>
  </si>
  <si>
    <t>PinnaeHeight_1_2_3_4_5_6</t>
  </si>
  <si>
    <t>PinnaeStiffness_1_2</t>
  </si>
  <si>
    <t>PinnaeBreaking_1_2_3</t>
  </si>
  <si>
    <t>InfloLifeSpan_1_2</t>
  </si>
  <si>
    <t>FruitLocalisation_1_2</t>
  </si>
  <si>
    <t>StalkLength_1_2</t>
  </si>
  <si>
    <t>StalkWidth_1_2_3</t>
  </si>
  <si>
    <t>StalkHeight_1_2_3</t>
  </si>
  <si>
    <t>StalkBendingAngle_1_2_3_4</t>
  </si>
  <si>
    <t>StalkRotationAngle_1_2</t>
  </si>
  <si>
    <t>StalkLateralDeviationAngle_1_2</t>
  </si>
  <si>
    <t>BractLocalisation_1_2</t>
  </si>
  <si>
    <t>BractDistance_1_2</t>
  </si>
  <si>
    <t>BractPhyllotaxy_1_2</t>
  </si>
  <si>
    <t>BractInsertionAngleEvol_1_3</t>
  </si>
  <si>
    <t>BractLengthEvol_1_2</t>
  </si>
  <si>
    <t>BractWidth_1_2_3</t>
  </si>
  <si>
    <t>BractHeight_1_2_3</t>
  </si>
  <si>
    <t>BractBendingAngle_1_2_3_4</t>
  </si>
  <si>
    <t>BractRotationAngle_1_2</t>
  </si>
  <si>
    <t>BractLateralDeviationAngle_1_2</t>
  </si>
  <si>
    <t>SpikeletLocalisation_01_02_03</t>
  </si>
  <si>
    <t>SpikeletLocalisation_11_12_13</t>
  </si>
  <si>
    <t>SpikeletDistance_1_2_3_4</t>
  </si>
  <si>
    <t>SpikeletNumber_1_2</t>
  </si>
  <si>
    <t>SpikeletPhyllotaxy_1_2</t>
  </si>
  <si>
    <t>SpikeletDivergenceAngle_1_2_3_4</t>
  </si>
  <si>
    <t>SpikeletLength_1_2_3</t>
  </si>
  <si>
    <t>SpikeletDiameter_1_2_3_4</t>
  </si>
  <si>
    <t>SpikeletStiffnesse_1_2_4</t>
  </si>
  <si>
    <t>SpikeletZigZagAngle_1_2</t>
  </si>
  <si>
    <t>FemaleFlowerLocalisation_1_2</t>
  </si>
  <si>
    <t>FemaleFlowerGroupFrequency_1_2_3_4</t>
  </si>
  <si>
    <t>FemaleFlowerDistance_1_2_3_4</t>
  </si>
  <si>
    <t>FemaleFlowerPhyllotaxy_1_2</t>
  </si>
  <si>
    <t>FemaleFlowerInsertionAngle_1_2</t>
  </si>
  <si>
    <t>FemaleFlowerLength_1_2</t>
  </si>
  <si>
    <t>FemaleFlowerDiameter_1_2</t>
  </si>
  <si>
    <t>MaleFlowerLocalisation_1_2</t>
  </si>
  <si>
    <t>MaleFlowerGroupFrequency_1_2_3_4</t>
  </si>
  <si>
    <t>MaleFlowerDistanceEvol_1_2_3_4</t>
  </si>
  <si>
    <t>MaleFlowerPhyllotaxy_1_2</t>
  </si>
  <si>
    <t>MaleFlowerInsertionAngle_1_2</t>
  </si>
  <si>
    <t>MaleFlowerLength_1_2</t>
  </si>
  <si>
    <t>MaleFlowerDiameter_1_2</t>
  </si>
  <si>
    <t>MixedFlowerLocalisation_3_4</t>
  </si>
  <si>
    <t>MixedFlowerLocalisation_1_2</t>
  </si>
  <si>
    <t>MixedFlowerGroupFrequency_1_2_3_4</t>
  </si>
  <si>
    <t>MixedFlowerDistance_1_2_3_4</t>
  </si>
  <si>
    <t>MixedFlowerPhyllotaxy_1_2</t>
  </si>
  <si>
    <t>FruitLengthEvol_1</t>
  </si>
  <si>
    <t>FruitDiameterEvol_1</t>
  </si>
  <si>
    <t>Spikelet bending : evolution</t>
  </si>
  <si>
    <t>Spikelet length : evolution</t>
  </si>
  <si>
    <t>Spikelet divergence angle : evolution</t>
  </si>
  <si>
    <t>Spikelet axial insertion angle : evolution</t>
  </si>
  <si>
    <t>Spikelet radial divergence angle : final mean (variation of phyllotaxic angle, 50% +, 50% -)</t>
  </si>
  <si>
    <t>Spikelet radial Divergence angle : final standard deviation</t>
  </si>
  <si>
    <t>Spikelet axial  divergence angle : final mean (variation of insertion angle)</t>
  </si>
  <si>
    <t>Spikelet axial divergence angle : final standard deviation</t>
  </si>
  <si>
    <t>Pedoncule on Stalk Location : final mean length</t>
  </si>
  <si>
    <t>Pedoncule on Stalk Location : final standard deviation length</t>
  </si>
  <si>
    <t>Pedoncule on Stalk Location : evolution</t>
  </si>
  <si>
    <t>Spikelet on Stalk Location : final mean length</t>
  </si>
  <si>
    <t>Spikelet on Stalk Location : final standard deviation length</t>
  </si>
  <si>
    <t>Spikelet on Stalk Location : evolution</t>
  </si>
  <si>
    <t>Spikelet inter-pseudo-verticille distance : final mean</t>
  </si>
  <si>
    <t>Spikelet inter-pseudo-verticille distance : final standard deviation</t>
  </si>
  <si>
    <t>Spikelet intra-pseudo-verticille distance : final mean</t>
  </si>
  <si>
    <t>Spikelet intra-pseudo-verticille distance : final standard deviation</t>
  </si>
  <si>
    <t>Bract torsion angle : evolution</t>
  </si>
  <si>
    <t>Bract lateral deviation angle : evolution</t>
  </si>
  <si>
    <t>Bract length : evolution</t>
  </si>
  <si>
    <t>Bract axial insertion angle : evolution</t>
  </si>
  <si>
    <t>Stalk torsion angle : standard deviation on final (same control points)</t>
  </si>
  <si>
    <t>Stalk torsion angle : evolution</t>
  </si>
  <si>
    <t>Stalk lateral deviation angle : evolution</t>
  </si>
  <si>
    <t>Stalk axial insertion angle : final mean</t>
  </si>
  <si>
    <t>Stalk axial insertion angle : evolution</t>
  </si>
  <si>
    <t>Pinnae bending : evolution</t>
  </si>
  <si>
    <t>Pinnae length : position mean ratio</t>
  </si>
  <si>
    <t>Pinnae length : position standard deviation ratio</t>
  </si>
  <si>
    <t>Pinnae length : evolution</t>
  </si>
  <si>
    <t xml:space="preserve">Upper Pinnae axial insertion angle : final </t>
  </si>
  <si>
    <t>Upper Pinnae axial insertion angle : final standard deviation</t>
  </si>
  <si>
    <t>Middle Pinnae axial insertion angle : final mean</t>
  </si>
  <si>
    <t>Middle Pinnae axial insertion angle : final standard deviation</t>
  </si>
  <si>
    <t>Lower Pinnae axial insertion angle : final mean</t>
  </si>
  <si>
    <t>Lower Pinnae axial insertion angle : final standard deviation</t>
  </si>
  <si>
    <t>Pinnae axial insertion angle : final evolution</t>
  </si>
  <si>
    <t>Petiole on Frond Nervure Location : final standard deviation length</t>
  </si>
  <si>
    <t>Petiole on Frond Nervure Location : evolution</t>
  </si>
  <si>
    <t>Pinnae_1 Type on Frond Nervure Location : final mean length</t>
  </si>
  <si>
    <t>Pinnae_1 Type on Frond Nervure Location : final standard deviation length</t>
  </si>
  <si>
    <t>Pinnae_1 Type on Frond Nervure Location : evolution</t>
  </si>
  <si>
    <t>Pinnae_2 Type on Frond Nervure Location : final mean length</t>
  </si>
  <si>
    <t>Petiole on Frond Nervure Location : final mean length</t>
  </si>
  <si>
    <t>Pinnae_2 Type on Frond Nervure Location : final standard deviation length</t>
  </si>
  <si>
    <t>Pinnae_2 Type on Frond Nervure Location : evolution</t>
  </si>
  <si>
    <t>Pinnae_3 Type on Frond Nervure Location : final mean length</t>
  </si>
  <si>
    <t>Pinnae_3 Type on Frond Nervure Location : final standard deviation length</t>
  </si>
  <si>
    <t>Pinnae_3 Type on Frond Nervure Location : evolution</t>
  </si>
  <si>
    <t>Frond Nervure Torsion angle of Leaflets plane : evolution</t>
  </si>
  <si>
    <t>Frond Nervure lateral deviation angle : evolution</t>
  </si>
  <si>
    <t>Frond Nervure axial insertion angle evolution : evolution</t>
  </si>
  <si>
    <t>Stem Internode length : evolution</t>
  </si>
  <si>
    <t>Stem Internode diameter : evolution</t>
  </si>
  <si>
    <t>Version</t>
  </si>
  <si>
    <t>ParameterFileVersion</t>
  </si>
  <si>
    <t>Parameter File Version</t>
  </si>
  <si>
    <t>COLORS</t>
  </si>
  <si>
    <t>C</t>
  </si>
  <si>
    <t>[0, 255]</t>
  </si>
  <si>
    <t>COULEURS</t>
  </si>
  <si>
    <t>Frond_Nervure</t>
  </si>
  <si>
    <t>Stem</t>
  </si>
  <si>
    <t>R</t>
  </si>
  <si>
    <t>V</t>
  </si>
  <si>
    <t>B</t>
  </si>
  <si>
    <t>Inflo_Stalk</t>
  </si>
  <si>
    <t>Female Flower</t>
  </si>
  <si>
    <t>Male Flower</t>
  </si>
  <si>
    <t>Fruit</t>
  </si>
  <si>
    <t>FrondNervureColor</t>
  </si>
  <si>
    <t>Frond Color</t>
  </si>
  <si>
    <t>SpearColor</t>
  </si>
  <si>
    <t>Spear Color</t>
  </si>
  <si>
    <t>StemColor</t>
  </si>
  <si>
    <t>Stem Color</t>
  </si>
  <si>
    <t>StumpColor</t>
  </si>
  <si>
    <t>Stump Color</t>
  </si>
  <si>
    <t>Pinnae_1Color</t>
  </si>
  <si>
    <t>Pinnae_1 Color</t>
  </si>
  <si>
    <t>Pinnae_2Color</t>
  </si>
  <si>
    <t>Pinnae_2 Color</t>
  </si>
  <si>
    <t>Pinnae_3Color</t>
  </si>
  <si>
    <t>Pinnae_3 Color</t>
  </si>
  <si>
    <t>Inflo_StalkColor</t>
  </si>
  <si>
    <t>Inflo_Stalk Color</t>
  </si>
  <si>
    <t>Bract_Color</t>
  </si>
  <si>
    <t>SpikeletColor</t>
  </si>
  <si>
    <t>Spikelet Color</t>
  </si>
  <si>
    <t>FemaleFlowerColor</t>
  </si>
  <si>
    <t>Female Flower Color</t>
  </si>
  <si>
    <t>MaleFlowerColor</t>
  </si>
  <si>
    <t>Male Flower Color</t>
  </si>
  <si>
    <t>FruitColor</t>
  </si>
  <si>
    <t>Fruit Color</t>
  </si>
  <si>
    <t>FemaleFlowerLengthEvol_1</t>
  </si>
  <si>
    <t>FemaleFlowerDiameterEvol_1</t>
  </si>
  <si>
    <t>FEMALE FLOWER Then FRUIT SIZE (according to phenology)</t>
  </si>
  <si>
    <t>Female Flower &amp; Fruit length : final standard deviation</t>
  </si>
  <si>
    <t>Female Flower &amp; Fruit length : final mean</t>
  </si>
  <si>
    <t>Female Flower &amp; Fruit length : evolution</t>
  </si>
  <si>
    <t>Female Flower &amp; Fruit diameter : final mean</t>
  </si>
  <si>
    <t>Female Flower &amp; Fruit diameter : final standard deviation</t>
  </si>
  <si>
    <t>Female Flower &amp; Fruit diameter : evolution</t>
  </si>
  <si>
    <t>FEMALE FLOWER &amp; FRUIT</t>
  </si>
  <si>
    <t>Phyllo Number</t>
  </si>
  <si>
    <t>Frond-Nervure</t>
  </si>
  <si>
    <t>Petiole</t>
  </si>
  <si>
    <t>Pinnae1</t>
  </si>
  <si>
    <t>Pinnae3</t>
  </si>
  <si>
    <t>Prolepsy</t>
  </si>
  <si>
    <t>Peduncle</t>
  </si>
  <si>
    <t>Rachis</t>
  </si>
  <si>
    <t>Sterile</t>
  </si>
  <si>
    <t>Fertile</t>
  </si>
  <si>
    <t>% Total Length</t>
  </si>
  <si>
    <t>Duration in Phyllochrones</t>
  </si>
  <si>
    <t>% total Length</t>
  </si>
  <si>
    <t>Palm-Tree</t>
  </si>
  <si>
    <t>Seedling</t>
  </si>
  <si>
    <t>Juvenile</t>
  </si>
  <si>
    <t>Young</t>
  </si>
  <si>
    <t>Yield begin</t>
  </si>
  <si>
    <t>Mature</t>
  </si>
  <si>
    <t>Old</t>
  </si>
  <si>
    <t>Senescent</t>
  </si>
  <si>
    <t>FronNervureWidth_1_2_3_Evol_1</t>
  </si>
  <si>
    <t>FronNervureHeight_1_2_3_Evol_1</t>
  </si>
  <si>
    <t>FROND &amp; STUMP ON STEM DEVELOPMENT, LOCATION &amp; INSERTION</t>
  </si>
  <si>
    <t>FROND &amp; STUMP</t>
  </si>
  <si>
    <t>Cumulé</t>
  </si>
  <si>
    <t>FrondNervureWidth_4</t>
  </si>
  <si>
    <t>FrondNervureHeight_4</t>
  </si>
  <si>
    <t>Frond Nervure width : evolution</t>
  </si>
  <si>
    <t>Frond Nervure height : evolution</t>
  </si>
  <si>
    <t>FROND &amp; FROND-NERVURE &amp; STUMP</t>
  </si>
  <si>
    <t>This folder is to summarize your mean data about your reference palm-tree,  fronds and inflorescences</t>
  </si>
  <si>
    <t>MALE</t>
  </si>
  <si>
    <t>FEMALE</t>
  </si>
  <si>
    <t>Nothing</t>
  </si>
  <si>
    <t>Female Phenology</t>
  </si>
  <si>
    <t>Inflorescence Stages</t>
  </si>
  <si>
    <t>Male Phenology</t>
  </si>
  <si>
    <t>v2015a</t>
  </si>
  <si>
    <t>MOCAF</t>
  </si>
  <si>
    <t>Morphotype ou cultivar</t>
  </si>
  <si>
    <t>Num identification</t>
  </si>
  <si>
    <t>Observateur</t>
  </si>
  <si>
    <t>Mâle = 0 ; Femelle = 1</t>
  </si>
  <si>
    <t>Fiche de mesures Stipe (croissance et phyllotaxie)</t>
  </si>
  <si>
    <t xml:space="preserve">Date </t>
  </si>
  <si>
    <t>Numéro d'identification</t>
  </si>
  <si>
    <t>Sens des parastyches (1=sens trigo, -1 sens hor,)</t>
  </si>
  <si>
    <t>Nombre de flèches visibles</t>
  </si>
  <si>
    <t>Nombre de palmes estimé</t>
  </si>
  <si>
    <t>Nombre de palmes à déviation inverse / généralité</t>
  </si>
  <si>
    <t>Hauteur de la dernière base pétiolaire sous palmes (cm)</t>
  </si>
  <si>
    <t>Nombre de bases pétiolaires sur parastiche d'ordre 8 à 20cm</t>
  </si>
  <si>
    <t>Nombre de bases pétiolaires sur parastiche d'ordre 8</t>
  </si>
  <si>
    <t>Nombre de bases pétiolaires sur parastiche d'ordre 8 à 50cm</t>
  </si>
  <si>
    <t>Nombre de bases pétiolaires sur parastiche d'ordre 8 à 100cm</t>
  </si>
  <si>
    <t>Angle d'implantation à la base du stipe (id. rejet)</t>
  </si>
  <si>
    <t>Circonférence du stipe à 20cm</t>
  </si>
  <si>
    <t>Début zone de redressement du stipe (nb palmes)</t>
  </si>
  <si>
    <t>Circonférence du stipe à 50cm</t>
  </si>
  <si>
    <t>Fin de zone de redressement du stipe (nb palmes)</t>
  </si>
  <si>
    <t>Circonférence du stipe à 100cm</t>
  </si>
  <si>
    <t>Rang de la palme (par ex 41 et 65)</t>
  </si>
  <si>
    <t>Distances entre les projections au sol des points de la jauge</t>
  </si>
  <si>
    <t>D1</t>
  </si>
  <si>
    <t>D2</t>
  </si>
  <si>
    <t>Angle d'azimuth de la palme au point "C"</t>
  </si>
  <si>
    <t>renseigner si mêmes palmes que pour morphométrie palme</t>
  </si>
  <si>
    <t>Valeurs des paramètres calculés d'après les mesures</t>
  </si>
  <si>
    <t>Correction référence spire 13</t>
  </si>
  <si>
    <t>Demi-distance</t>
  </si>
  <si>
    <t>Angle 5/13</t>
  </si>
  <si>
    <t>Angle de divergence</t>
  </si>
  <si>
    <t>Nombre de palmes</t>
  </si>
  <si>
    <t>Angle de phyllotaxie</t>
  </si>
  <si>
    <t xml:space="preserve">Longueur entrenoeud moy = </t>
  </si>
  <si>
    <t>Longueurs entrenoeuds début  et maturité  20cm          50 cm          100cm      maturité</t>
  </si>
  <si>
    <t>Total palmes</t>
  </si>
  <si>
    <t xml:space="preserve">Angle phyllotaxique = </t>
  </si>
  <si>
    <t>Flenn</t>
  </si>
  <si>
    <t>2015_05_13</t>
  </si>
  <si>
    <t>Fiche de mesures Nervure (pétiole et rachis)</t>
  </si>
  <si>
    <t>Mesures de hauteur (flexibilité selon pesanteur)</t>
  </si>
  <si>
    <t>Rang de la palme (par ex : 41 et 65)</t>
  </si>
  <si>
    <t>Rang moyen</t>
  </si>
  <si>
    <t>Etape</t>
  </si>
  <si>
    <t>A</t>
  </si>
  <si>
    <t>Ne pas renseigner si mêmes palmes que pour la phyllotaxie ou B renseigné</t>
  </si>
  <si>
    <t>Palmes  1 &amp;</t>
  </si>
  <si>
    <t>Position métrique du point culminant du rachis </t>
  </si>
  <si>
    <t>Pos rel point culmin palmes 1 &amp; +basse</t>
  </si>
  <si>
    <t>Mesures des angles pétiolaires</t>
  </si>
  <si>
    <t>Rang palme +basse</t>
  </si>
  <si>
    <t>Angle inse pétiole</t>
  </si>
  <si>
    <t>Rang de la palme</t>
  </si>
  <si>
    <t>Angle du pétiole/verticale à la base</t>
  </si>
  <si>
    <t>Angle du pétiole/verticale au point "C" </t>
  </si>
  <si>
    <t>Angle du pétiole/vertic. à 50 cm du point "C" </t>
  </si>
  <si>
    <t>Ne pas renseigner si A renseigné</t>
  </si>
  <si>
    <t>Angles/verticale ext palmes 1 &amp; +basse</t>
  </si>
  <si>
    <t>Angle du rachis/verticale à l'extrémité </t>
  </si>
  <si>
    <t>Angle au milieu de la jauge (estimation projection ou mesure au clinomètre)</t>
  </si>
  <si>
    <t>Position métrique du milieu de la jauge </t>
  </si>
  <si>
    <t>Position métrique du premier point de la jauge </t>
  </si>
  <si>
    <t>Ne pas renseigner si point "C"</t>
  </si>
  <si>
    <t>Pos rels 1/2 jauge palmes 1 &amp; +basse</t>
  </si>
  <si>
    <t>Pos rels deb jauge palmes 1 &amp; +basse</t>
  </si>
  <si>
    <t>Mesures des angles de rotation</t>
  </si>
  <si>
    <t>Angles bending point "C" palmes 1 &amp; +basse</t>
  </si>
  <si>
    <t>Ang bend 1/2 jauge palmes 1 &amp; +basse</t>
  </si>
  <si>
    <t>Sens de déviation (dos au stipe)</t>
  </si>
  <si>
    <t>Distance au stipe du début de déviation sensible du rachis</t>
  </si>
  <si>
    <t>Angle azimutal de la nervure de la palme au point "C"</t>
  </si>
  <si>
    <t>Angle azimutal de la nervure de la palme à son extrémité</t>
  </si>
  <si>
    <t>Angle final de déviation à l’extrémité de la palme mesure sur photo </t>
  </si>
  <si>
    <t>Angle final de déviation à l’extrémité de la palme </t>
  </si>
  <si>
    <t>Distance au stipe du début de rotation sensible du rachis</t>
  </si>
  <si>
    <t>Angle orthogonal au plan foliaire à l’extrémité de la palme </t>
  </si>
  <si>
    <t>Fiche de mesures feuilles (description générale)</t>
  </si>
  <si>
    <t>Longueur pétiole </t>
  </si>
  <si>
    <t>Longueur partie épineuse </t>
  </si>
  <si>
    <t>Longueur partie foliololée </t>
  </si>
  <si>
    <t>Long totale </t>
  </si>
  <si>
    <t>Gauche</t>
  </si>
  <si>
    <t>Droite</t>
  </si>
  <si>
    <t>Nombre d’épines </t>
  </si>
  <si>
    <t>Nombre de pennes intermédiaires </t>
  </si>
  <si>
    <t>Nombre de folioles </t>
  </si>
  <si>
    <t>Nombre total de pennes </t>
  </si>
  <si>
    <t>Foliole terminale </t>
  </si>
  <si>
    <t>Fiche de mesures feuilles de rejets (description générale)</t>
  </si>
  <si>
    <t>rejet 1</t>
  </si>
  <si>
    <t>Nombre de bases pétiolaires</t>
  </si>
  <si>
    <t>Nombre de flèches</t>
  </si>
  <si>
    <t>Longueur plus grande foliole </t>
  </si>
  <si>
    <t>Largeur plus grande foliole </t>
  </si>
  <si>
    <t>rejet 2</t>
  </si>
  <si>
    <t>Long épineuse </t>
  </si>
  <si>
    <t>Long foliolée </t>
  </si>
  <si>
    <t>Long pétiole</t>
  </si>
  <si>
    <t>Code identification</t>
  </si>
  <si>
    <t>Données palmplugin sur mesures folioles (disposition et groupes pennes)</t>
  </si>
  <si>
    <t>Calculs sur mesures folioles (disposition et groupes)</t>
  </si>
  <si>
    <t>Demi-palme gauche</t>
  </si>
  <si>
    <t>Demi-palme droite</t>
  </si>
  <si>
    <t>Nombre d'occurrence de n pennes par groupe</t>
  </si>
  <si>
    <t>Positions</t>
  </si>
  <si>
    <t>Groupes</t>
  </si>
  <si>
    <t>Distances</t>
  </si>
  <si>
    <t>Position métrique de la penne</t>
  </si>
  <si>
    <t>Position normée de l'épine</t>
  </si>
  <si>
    <t>Position normée de la foliole</t>
  </si>
  <si>
    <t>Position normée de la penne</t>
  </si>
  <si>
    <t>comptage nb folioles /groupe</t>
  </si>
  <si>
    <t>affiche groupes par nb folioles</t>
  </si>
  <si>
    <t>entre groupes</t>
  </si>
  <si>
    <t>intra  groupes</t>
  </si>
  <si>
    <t>Position normée pennes</t>
  </si>
  <si>
    <t>Demi-palmes gauche</t>
  </si>
  <si>
    <t>Demi-palmes droite</t>
  </si>
  <si>
    <t>1 penne /groupe</t>
  </si>
  <si>
    <t>2 pennes /groupe</t>
  </si>
  <si>
    <t>3 pennes /groupe</t>
  </si>
  <si>
    <t>4-5 pennes /groupe</t>
  </si>
  <si>
    <t>position normée</t>
  </si>
  <si>
    <t>Total</t>
  </si>
  <si>
    <t>Fiche de mesures sections rachis, dimensions des pennes</t>
  </si>
  <si>
    <t xml:space="preserve">Rang de la palme </t>
  </si>
  <si>
    <t>Sections du Rachis</t>
  </si>
  <si>
    <t>Longueur des Pennes</t>
  </si>
  <si>
    <t>Rang de section</t>
  </si>
  <si>
    <t>Position relative</t>
  </si>
  <si>
    <t>Position métrique</t>
  </si>
  <si>
    <t>Largeur</t>
  </si>
  <si>
    <t>Epaisseur</t>
  </si>
  <si>
    <t>1/2 palme gauche</t>
  </si>
  <si>
    <t>1/2 palme droite</t>
  </si>
  <si>
    <t>+ ou sup</t>
  </si>
  <si>
    <t>0 ou med</t>
  </si>
  <si>
    <t>- ou inf</t>
  </si>
  <si>
    <t>section basale</t>
  </si>
  <si>
    <t>1ère épine</t>
  </si>
  <si>
    <t>dern épine</t>
  </si>
  <si>
    <t>1ère foliole</t>
  </si>
  <si>
    <t>1ère penne</t>
  </si>
  <si>
    <t>GT1</t>
  </si>
  <si>
    <t>GT2</t>
  </si>
  <si>
    <t>GT3</t>
  </si>
  <si>
    <t>Rang de foliole maximum</t>
  </si>
  <si>
    <t>GT4</t>
  </si>
  <si>
    <t>GT5</t>
  </si>
  <si>
    <t>Longueur maximum</t>
  </si>
  <si>
    <t>FT</t>
  </si>
  <si>
    <t>Dimensions (cm et normées) en positions normées du Rachis</t>
  </si>
  <si>
    <t>position relative</t>
  </si>
  <si>
    <t>ET sur position</t>
  </si>
  <si>
    <t>Largeur initiale (1ère penne)</t>
  </si>
  <si>
    <t>Epaisseur initiale (1ère penne)</t>
  </si>
  <si>
    <t>1ère penne type 1</t>
  </si>
  <si>
    <t>ET sur Largeur initiale (1ère penne)</t>
  </si>
  <si>
    <t>ET sur Epaisseur initiale (1ère penne)</t>
  </si>
  <si>
    <t>1ère penne type 2</t>
  </si>
  <si>
    <t>Position normée</t>
  </si>
  <si>
    <t>Carrés</t>
  </si>
  <si>
    <t>Largeur normée</t>
  </si>
  <si>
    <t>ET sur largeur</t>
  </si>
  <si>
    <t>Epaisseur normée</t>
  </si>
  <si>
    <t>ET sur épaisseur</t>
  </si>
  <si>
    <t>Non calculé</t>
  </si>
  <si>
    <t>Paramètre</t>
  </si>
  <si>
    <t>Valeur</t>
  </si>
  <si>
    <t>X orig</t>
  </si>
  <si>
    <t>Xrel orig</t>
  </si>
  <si>
    <t>pr1</t>
  </si>
  <si>
    <t>pr2</t>
  </si>
  <si>
    <t>L Moy</t>
  </si>
  <si>
    <t>pr3</t>
  </si>
  <si>
    <t>Longueur des  Pennes</t>
  </si>
  <si>
    <t xml:space="preserve">E                T                A                P             E              S     </t>
  </si>
  <si>
    <t>Positions relatives moyennes</t>
  </si>
  <si>
    <t>+</t>
  </si>
  <si>
    <t>Moyenne</t>
  </si>
  <si>
    <t>Ecart Type</t>
  </si>
  <si>
    <t>G</t>
  </si>
  <si>
    <t>D</t>
  </si>
  <si>
    <t>-</t>
  </si>
  <si>
    <t>Longueurs relatives des folioles selon leur position relative (rapportées à la plus longue foliole moyenne)</t>
  </si>
  <si>
    <t>Ouvertures des Pennes</t>
  </si>
  <si>
    <t>1er tiers</t>
  </si>
  <si>
    <t>2ème tiers</t>
  </si>
  <si>
    <t>Ouvertur MAX</t>
  </si>
  <si>
    <t>H Initiale</t>
  </si>
  <si>
    <t/>
  </si>
  <si>
    <t>Ouvertures relatives des folioles selon leur position relative (rapportées à la plus longue foliole moyenne)</t>
  </si>
  <si>
    <t>Ouverture Pennes à 2/3</t>
  </si>
  <si>
    <t>Ouverture Pennes à 1/3</t>
  </si>
  <si>
    <t>Ouverture Maximum Pennes</t>
  </si>
  <si>
    <t>Largeurs des Pennes</t>
  </si>
  <si>
    <t>base</t>
  </si>
  <si>
    <t>Largeur MAX</t>
  </si>
  <si>
    <t>Hauteurs relatives des folioles selon leur position relative (rapportées à la plus longue foliole moyenne)</t>
  </si>
  <si>
    <t>Angle des pennes terminales</t>
  </si>
  <si>
    <t>Angle par rapport à l'axe longitudinal du rachis position métrique (Angle axial)</t>
  </si>
  <si>
    <t>Angle par rapport à l'axe vertical du rachis position métrique (Angle radial)</t>
  </si>
  <si>
    <t>Angle d'insertion des folioles par rapport à l'axe longitudinal  du rachis position métrique (Angle de rotation)</t>
  </si>
  <si>
    <t>Fonction liant l'angle de rotation (dit "de phase") à l'angle radial (vertical)</t>
  </si>
  <si>
    <t>Pente (a)</t>
  </si>
  <si>
    <t>Ordonnée à l'origine (b)</t>
  </si>
  <si>
    <t xml:space="preserve">Ecart Type sur a </t>
  </si>
  <si>
    <t xml:space="preserve">Ecart Type sur b </t>
  </si>
  <si>
    <t>Fonction liant l'angle radial (vertical) à l'angle de rotation (dit "de phase")</t>
  </si>
  <si>
    <t>Angles horizontaux des folioles selon leur position relative (rapportées à la plus longue foliole moyenne)</t>
  </si>
  <si>
    <t>Angle de rotation des folioles selon leur position relative (rapportées à la plus longue foliole moyenne)</t>
  </si>
  <si>
    <t>Pinnae2</t>
  </si>
  <si>
    <t>radial=a*rot+b</t>
  </si>
  <si>
    <t>a</t>
  </si>
  <si>
    <t>b</t>
  </si>
  <si>
    <t>Données palmplugin sur mesures folioles (disposition et groupes folioles)</t>
  </si>
  <si>
    <t>Fiche de mesures folioles (disposition et groupes)</t>
  </si>
  <si>
    <t>Longueur de nervure laissée sur stipe</t>
  </si>
  <si>
    <t>Carrés Distances</t>
  </si>
  <si>
    <t>Distances entre groupes de pennes</t>
  </si>
  <si>
    <t>Rang de la penne</t>
  </si>
  <si>
    <t>Position + 0 -  (sup med inf) t=terminale</t>
  </si>
  <si>
    <t>Distance métrique insertion</t>
  </si>
  <si>
    <t>Position 1ère Foliole</t>
  </si>
  <si>
    <t xml:space="preserve">Position normée pennes </t>
  </si>
  <si>
    <t>( F ou f )</t>
  </si>
  <si>
    <t>Somme</t>
  </si>
  <si>
    <t>Somme des carrés</t>
  </si>
  <si>
    <t>Nombre mesures</t>
  </si>
  <si>
    <t>Ecart-Type</t>
  </si>
  <si>
    <t>Distances entre pennes au sein d'un groupe</t>
  </si>
  <si>
    <t>Distance entre groupes</t>
  </si>
  <si>
    <t>Distance au sein des  groupes</t>
  </si>
  <si>
    <t>Position max</t>
  </si>
  <si>
    <t>Fol. terminale</t>
  </si>
  <si>
    <t>Total groupes</t>
  </si>
  <si>
    <t>Nb folioles /groupe</t>
  </si>
  <si>
    <t>Nb groupes</t>
  </si>
  <si>
    <t>Fréquences</t>
  </si>
  <si>
    <t>Dernière épine</t>
  </si>
  <si>
    <t>5 et plus</t>
  </si>
  <si>
    <t>Distance entre bases pétiolaires à 20cm</t>
  </si>
  <si>
    <t>Distance entre bases pétiolaires à 50cm</t>
  </si>
  <si>
    <t>Distance entre bases pétiolaires à 100cm</t>
  </si>
  <si>
    <t>Ecart en nb de bases pétiolaires à 20cm</t>
  </si>
  <si>
    <t>Ecart en nb de bases pétiolaires à 50cm</t>
  </si>
  <si>
    <t>Ecart en nb de bases pétiolaires à 100cm</t>
  </si>
  <si>
    <t>Circonférence du stipe sous dernière base pétiolaire (cm)</t>
  </si>
  <si>
    <t>Ecart en nb de bases pétiolaires sous dernière BP</t>
  </si>
  <si>
    <t>Distance entre bases pétio-laires sous dernière BP (cm)</t>
  </si>
  <si>
    <t>V6.01</t>
  </si>
  <si>
    <t>Méthode de mesure de la phyllotaxie :    1= barres et projections,                               2= utilisation de la boussole,                      3= méthode bases pétiolaires (Rey-Biskra)</t>
  </si>
  <si>
    <t>Toujours Renseigner !</t>
  </si>
  <si>
    <t>Position métrique du premier point de la jauge par rapport au point "C" </t>
  </si>
  <si>
    <t>Ne pas renseigner si E renseigné</t>
  </si>
  <si>
    <t>Ne pas renseigner si D renseigné</t>
  </si>
  <si>
    <t>Position métrique du premier point de la jauge / point "C" (cm)</t>
  </si>
  <si>
    <t>Attention, les distances entre pennes ne peuvent pas être nulles, respecter au moins 1 mm d'écart</t>
  </si>
  <si>
    <t>ATTENTION LES DISTANCES INTER-GROUPE ET INTRA-GROUPE NE PEUVENT PAS ETRE NULLES</t>
  </si>
  <si>
    <t>Hmax/lamax</t>
  </si>
  <si>
    <t>Omax/lamax</t>
  </si>
  <si>
    <t>Angle de r otation des pennes</t>
  </si>
  <si>
    <t>Angle de rotation des pennes</t>
  </si>
  <si>
    <t>Fiche de mesures de dimensions des pennes</t>
  </si>
  <si>
    <t>Fiche de mesures de l'angle axial des pennes</t>
  </si>
  <si>
    <t>Fiche de mesures de l'angle radial des pennes</t>
  </si>
  <si>
    <t>Fiche de mesures de l'angle de rotation des pennes</t>
  </si>
  <si>
    <t>Hauteur Pennes à 1/3</t>
  </si>
  <si>
    <t>Fiche de mesures des angles des pennes</t>
  </si>
  <si>
    <t>Angle axial des pennes</t>
  </si>
  <si>
    <t>Sana</t>
  </si>
  <si>
    <t>01</t>
  </si>
  <si>
    <t>Rochdi</t>
  </si>
  <si>
    <t>f</t>
  </si>
  <si>
    <t>T</t>
  </si>
  <si>
    <t>Phoenix rochdi</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</si>
</sst>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0"/>
    <numFmt numFmtId="166" formatCode="00000"/>
    <numFmt numFmtId="167" formatCode="0.000000"/>
    <numFmt numFmtId="168" formatCode="0.00000"/>
    <numFmt numFmtId="169" formatCode="0.000"/>
    <numFmt numFmtId="170" formatCode="0.0000000000000000000000"/>
    <numFmt numFmtId="171" formatCode="#,##0.00\ &quot;€&quot;"/>
  </numFmts>
  <fonts count="144">
    <font>
      <sz val="10"/>
      <name val="Arial"/>
      <family val="2"/>
    </font>
    <font>
      <sz val="10"/>
      <name val="Arial"/>
      <family val="2"/>
    </font>
    <font>
      <sz val="10"/>
      <name val="Calibri"/>
      <family val="2"/>
    </font>
    <font>
      <b/>
      <sz val="10"/>
      <color indexed="9"/>
      <name val="Calibri"/>
      <family val="2"/>
    </font>
    <font>
      <b/>
      <sz val="10"/>
      <color indexed="18"/>
      <name val="Calibri"/>
      <family val="2"/>
    </font>
    <font>
      <b/>
      <i/>
      <sz val="20"/>
      <color indexed="13"/>
      <name val="Calibri"/>
      <family val="2"/>
    </font>
    <font>
      <b/>
      <sz val="10"/>
      <color indexed="8"/>
      <name val="Calibri"/>
      <family val="2"/>
    </font>
    <font>
      <sz val="10"/>
      <color theme="1"/>
      <name val="Calibri"/>
      <family val="2"/>
    </font>
    <font>
      <b/>
      <sz val="10"/>
      <color theme="0"/>
      <name val="Calibri"/>
      <family val="2"/>
    </font>
    <font>
      <sz val="10"/>
      <color theme="0"/>
      <name val="Calibri"/>
      <family val="2"/>
    </font>
    <font>
      <b/>
      <sz val="10"/>
      <color rgb="FFFF0000"/>
      <name val="Calibri"/>
      <family val="2"/>
    </font>
    <font>
      <b/>
      <sz val="10"/>
      <color theme="1"/>
      <name val="Calibri"/>
      <family val="2"/>
    </font>
    <font>
      <b/>
      <sz val="10"/>
      <color indexed="10"/>
      <name val="Calibri"/>
      <family val="2"/>
    </font>
    <font>
      <sz val="10"/>
      <color rgb="FFFF0000"/>
      <name val="Calibri"/>
      <family val="2"/>
    </font>
    <font>
      <b/>
      <i/>
      <sz val="10"/>
      <color indexed="9"/>
      <name val="Calibri"/>
      <family val="2"/>
    </font>
    <font>
      <b/>
      <i/>
      <sz val="10"/>
      <color indexed="13"/>
      <name val="Calibri"/>
      <family val="2"/>
    </font>
    <font>
      <b/>
      <sz val="10"/>
      <name val="Calibri"/>
      <family val="2"/>
      <scheme val="minor"/>
    </font>
    <font>
      <b/>
      <sz val="12"/>
      <color rgb="FFFFFF00"/>
      <name val="Calibri"/>
      <family val="2"/>
      <scheme val="minor"/>
    </font>
    <font>
      <b/>
      <sz val="12"/>
      <name val="Calibri"/>
      <family val="2"/>
      <scheme val="minor"/>
    </font>
    <font>
      <b/>
      <sz val="12"/>
      <color theme="0"/>
      <name val="Calibri"/>
      <family val="2"/>
      <scheme val="minor"/>
    </font>
    <font>
      <b/>
      <i/>
      <sz val="12"/>
      <color rgb="FFFF0000"/>
      <name val="Calibri"/>
      <family val="2"/>
      <scheme val="minor"/>
    </font>
    <font>
      <b/>
      <i/>
      <sz val="12"/>
      <name val="Calibri"/>
      <family val="2"/>
      <scheme val="minor"/>
    </font>
    <font>
      <b/>
      <sz val="10"/>
      <color rgb="FFFFFF00"/>
      <name val="Calibri"/>
      <family val="2"/>
    </font>
    <font>
      <b/>
      <i/>
      <sz val="10"/>
      <color rgb="FFFFFF00"/>
      <name val="Calibri"/>
      <family val="2"/>
    </font>
    <font>
      <i/>
      <sz val="10"/>
      <color theme="0"/>
      <name val="Calibri"/>
      <family val="2"/>
    </font>
    <font>
      <i/>
      <sz val="10"/>
      <color indexed="9"/>
      <name val="Calibri"/>
      <family val="2"/>
    </font>
    <font>
      <i/>
      <sz val="10"/>
      <name val="Calibri"/>
      <family val="2"/>
    </font>
    <font>
      <i/>
      <sz val="10"/>
      <name val="Arial"/>
      <family val="2"/>
    </font>
    <font>
      <b/>
      <i/>
      <sz val="10"/>
      <color rgb="FFFF0000"/>
      <name val="Calibri"/>
      <family val="2"/>
    </font>
    <font>
      <i/>
      <sz val="10"/>
      <name val="Calibri"/>
      <family val="2"/>
      <scheme val="minor"/>
    </font>
    <font>
      <u/>
      <sz val="10"/>
      <color theme="10"/>
      <name val="Arial"/>
      <family val="2"/>
    </font>
    <font>
      <u/>
      <sz val="10"/>
      <color rgb="FFFFFF00"/>
      <name val="Arial"/>
      <family val="2"/>
    </font>
    <font>
      <b/>
      <sz val="14"/>
      <color indexed="13"/>
      <name val="Calibri"/>
      <family val="2"/>
    </font>
    <font>
      <b/>
      <i/>
      <sz val="14"/>
      <color indexed="13"/>
      <name val="Calibri"/>
      <family val="2"/>
    </font>
    <font>
      <sz val="14"/>
      <name val="Calibri"/>
      <family val="2"/>
    </font>
    <font>
      <sz val="14"/>
      <name val="Arial"/>
      <family val="2"/>
    </font>
    <font>
      <b/>
      <sz val="16"/>
      <color rgb="FFFFFF00"/>
      <name val="Calibri"/>
      <family val="2"/>
      <scheme val="minor"/>
    </font>
    <font>
      <b/>
      <i/>
      <sz val="12"/>
      <color theme="0"/>
      <name val="Calibri"/>
      <family val="2"/>
      <scheme val="minor"/>
    </font>
    <font>
      <b/>
      <i/>
      <sz val="10"/>
      <color theme="0"/>
      <name val="Calibri"/>
      <family val="2"/>
      <scheme val="minor"/>
    </font>
    <font>
      <b/>
      <i/>
      <sz val="14"/>
      <color rgb="FFFFFF00"/>
      <name val="Calibri"/>
      <family val="2"/>
      <scheme val="minor"/>
    </font>
    <font>
      <u/>
      <sz val="10"/>
      <color rgb="FFFFFF00"/>
      <name val="Calibri"/>
      <family val="2"/>
      <scheme val="minor"/>
    </font>
    <font>
      <i/>
      <sz val="10"/>
      <color theme="0"/>
      <name val="Calibri"/>
      <family val="2"/>
      <scheme val="minor"/>
    </font>
    <font>
      <b/>
      <sz val="12"/>
      <color rgb="FFFF0000"/>
      <name val="Calibri"/>
      <family val="2"/>
      <scheme val="minor"/>
    </font>
    <font>
      <b/>
      <i/>
      <sz val="20"/>
      <name val="Calibri"/>
      <family val="2"/>
      <scheme val="minor"/>
    </font>
    <font>
      <b/>
      <i/>
      <sz val="12"/>
      <color theme="3" tint="-0.499984740745262"/>
      <name val="Calibri"/>
      <family val="2"/>
      <scheme val="minor"/>
    </font>
    <font>
      <b/>
      <i/>
      <sz val="12"/>
      <color rgb="FFFFFF00"/>
      <name val="Calibri"/>
      <family val="2"/>
      <scheme val="minor"/>
    </font>
    <font>
      <i/>
      <sz val="10"/>
      <color rgb="FFFF0000"/>
      <name val="Calibri"/>
      <family val="2"/>
      <scheme val="minor"/>
    </font>
    <font>
      <b/>
      <i/>
      <sz val="36"/>
      <color indexed="13"/>
      <name val="Calibri"/>
      <family val="2"/>
      <scheme val="minor"/>
    </font>
    <font>
      <b/>
      <i/>
      <sz val="36"/>
      <color theme="6" tint="-0.249977111117893"/>
      <name val="Calibri"/>
      <family val="2"/>
      <scheme val="minor"/>
    </font>
    <font>
      <b/>
      <i/>
      <sz val="36"/>
      <color rgb="FFFF0000"/>
      <name val="Calibri"/>
      <family val="2"/>
      <scheme val="minor"/>
    </font>
    <font>
      <sz val="10"/>
      <color rgb="FFFF0000"/>
      <name val="Arial"/>
      <family val="2"/>
    </font>
    <font>
      <i/>
      <sz val="8"/>
      <color rgb="FFFF0000"/>
      <name val="Calibri"/>
      <family val="2"/>
      <scheme val="minor"/>
    </font>
    <font>
      <sz val="9"/>
      <color indexed="81"/>
      <name val="Tahoma"/>
      <family val="2"/>
    </font>
    <font>
      <b/>
      <sz val="9"/>
      <color indexed="81"/>
      <name val="Tahoma"/>
      <family val="2"/>
    </font>
    <font>
      <b/>
      <i/>
      <sz val="10"/>
      <color rgb="FFFF0000"/>
      <name val="Arial"/>
      <family val="2"/>
    </font>
    <font>
      <sz val="10"/>
      <color indexed="18"/>
      <name val="Calibri"/>
      <family val="2"/>
    </font>
    <font>
      <sz val="10"/>
      <color indexed="9"/>
      <name val="Calibri"/>
      <family val="2"/>
    </font>
    <font>
      <b/>
      <i/>
      <sz val="10"/>
      <color theme="0"/>
      <name val="Calibri"/>
      <family val="2"/>
    </font>
    <font>
      <i/>
      <sz val="8"/>
      <color theme="0" tint="-0.499984740745262"/>
      <name val="Calibri"/>
      <family val="2"/>
      <scheme val="minor"/>
    </font>
    <font>
      <i/>
      <sz val="10"/>
      <color theme="0" tint="-0.499984740745262"/>
      <name val="Calibri"/>
      <family val="2"/>
      <scheme val="minor"/>
    </font>
    <font>
      <b/>
      <sz val="12"/>
      <color theme="0" tint="-0.499984740745262"/>
      <name val="Calibri"/>
      <family val="2"/>
      <scheme val="minor"/>
    </font>
    <font>
      <b/>
      <i/>
      <sz val="12"/>
      <color theme="0" tint="-0.499984740745262"/>
      <name val="Calibri"/>
      <family val="2"/>
      <scheme val="minor"/>
    </font>
    <font>
      <sz val="10"/>
      <color theme="0" tint="-0.499984740745262"/>
      <name val="Arial"/>
      <family val="2"/>
    </font>
    <font>
      <sz val="8"/>
      <color theme="0" tint="-0.499984740745262"/>
      <name val="Calibri"/>
      <family val="2"/>
      <scheme val="minor"/>
    </font>
    <font>
      <sz val="12"/>
      <color theme="0" tint="-0.499984740745262"/>
      <name val="Calibri"/>
      <family val="2"/>
      <scheme val="minor"/>
    </font>
    <font>
      <b/>
      <sz val="10"/>
      <color rgb="FFFFFF00"/>
      <name val="Calibri"/>
      <family val="2"/>
      <scheme val="minor"/>
    </font>
    <font>
      <b/>
      <i/>
      <sz val="10"/>
      <color rgb="FFFF0000"/>
      <name val="Calibri"/>
      <family val="2"/>
      <scheme val="minor"/>
    </font>
    <font>
      <b/>
      <sz val="12"/>
      <color theme="2" tint="-0.499984740745262"/>
      <name val="Calibri"/>
      <family val="2"/>
      <scheme val="minor"/>
    </font>
    <font>
      <b/>
      <sz val="12"/>
      <color rgb="FF1AE64B"/>
      <name val="Calibri"/>
      <family val="2"/>
      <scheme val="minor"/>
    </font>
    <font>
      <b/>
      <i/>
      <sz val="14"/>
      <color theme="0"/>
      <name val="Calibri"/>
      <family val="2"/>
    </font>
    <font>
      <b/>
      <sz val="16"/>
      <color rgb="FFFF0000"/>
      <name val="Calibri"/>
      <family val="2"/>
      <scheme val="minor"/>
    </font>
    <font>
      <b/>
      <sz val="16"/>
      <name val="Calibri"/>
      <family val="2"/>
      <scheme val="minor"/>
    </font>
    <font>
      <b/>
      <i/>
      <sz val="20"/>
      <color rgb="FFFFFF00"/>
      <name val="Calibri"/>
      <family val="2"/>
      <scheme val="minor"/>
    </font>
    <font>
      <b/>
      <sz val="12"/>
      <color theme="6" tint="-0.249977111117893"/>
      <name val="Calibri"/>
      <family val="2"/>
      <scheme val="minor"/>
    </font>
    <font>
      <b/>
      <sz val="12"/>
      <color theme="0" tint="-0.14999847407452621"/>
      <name val="Calibri"/>
      <family val="2"/>
      <scheme val="minor"/>
    </font>
    <font>
      <b/>
      <sz val="16"/>
      <color theme="0"/>
      <name val="Calibri"/>
      <family val="2"/>
      <scheme val="minor"/>
    </font>
    <font>
      <b/>
      <sz val="14"/>
      <name val="Arial"/>
      <family val="2"/>
    </font>
    <font>
      <b/>
      <sz val="12"/>
      <name val="Arial"/>
      <family val="2"/>
    </font>
    <font>
      <b/>
      <sz val="10"/>
      <name val="Arial"/>
      <family val="2"/>
    </font>
    <font>
      <sz val="12"/>
      <name val="Arial"/>
      <family val="2"/>
    </font>
    <font>
      <b/>
      <sz val="11"/>
      <name val="Arial"/>
      <family val="2"/>
    </font>
    <font>
      <sz val="10"/>
      <color indexed="22"/>
      <name val="Arial"/>
      <family val="2"/>
    </font>
    <font>
      <b/>
      <sz val="10"/>
      <color indexed="10"/>
      <name val="Arial"/>
      <family val="2"/>
    </font>
    <font>
      <u/>
      <sz val="12"/>
      <color indexed="10"/>
      <name val="Arial"/>
      <family val="2"/>
    </font>
    <font>
      <sz val="10"/>
      <color indexed="10"/>
      <name val="Arial"/>
      <family val="2"/>
    </font>
    <font>
      <sz val="12"/>
      <color indexed="10"/>
      <name val="Arial"/>
      <family val="2"/>
    </font>
    <font>
      <sz val="11"/>
      <color indexed="10"/>
      <name val="Arial"/>
      <family val="2"/>
    </font>
    <font>
      <b/>
      <sz val="11"/>
      <color indexed="10"/>
      <name val="Arial"/>
      <family val="2"/>
    </font>
    <font>
      <sz val="12"/>
      <color indexed="23"/>
      <name val="Arial"/>
      <family val="2"/>
    </font>
    <font>
      <sz val="10"/>
      <color indexed="62"/>
      <name val="Arial"/>
      <family val="2"/>
    </font>
    <font>
      <sz val="10"/>
      <name val="Starliner BTN"/>
      <family val="2"/>
    </font>
    <font>
      <sz val="8"/>
      <name val="Starliner BTN"/>
      <family val="2"/>
    </font>
    <font>
      <b/>
      <sz val="12"/>
      <color rgb="FF00FFFF"/>
      <name val="Arial"/>
      <family val="2"/>
    </font>
    <font>
      <sz val="10"/>
      <color indexed="15"/>
      <name val="Arial"/>
      <family val="2"/>
    </font>
    <font>
      <sz val="10"/>
      <color indexed="49"/>
      <name val="Arial"/>
      <family val="2"/>
    </font>
    <font>
      <b/>
      <u/>
      <sz val="11"/>
      <name val="Arial"/>
      <family val="2"/>
    </font>
    <font>
      <b/>
      <sz val="12"/>
      <color rgb="FFFF0000"/>
      <name val="Arial"/>
      <family val="2"/>
    </font>
    <font>
      <b/>
      <sz val="11"/>
      <color indexed="49"/>
      <name val="Arial"/>
      <family val="2"/>
    </font>
    <font>
      <b/>
      <sz val="18"/>
      <color rgb="FFFF0000"/>
      <name val="Arial"/>
      <family val="2"/>
    </font>
    <font>
      <b/>
      <sz val="11"/>
      <color indexed="63"/>
      <name val="Arial"/>
      <family val="2"/>
    </font>
    <font>
      <b/>
      <sz val="12"/>
      <color indexed="63"/>
      <name val="Arial"/>
      <family val="2"/>
    </font>
    <font>
      <b/>
      <sz val="8"/>
      <color indexed="10"/>
      <name val="Arial"/>
      <family val="2"/>
    </font>
    <font>
      <b/>
      <sz val="10"/>
      <color theme="8" tint="0.39997558519241921"/>
      <name val="Arial"/>
      <family val="2"/>
    </font>
    <font>
      <b/>
      <sz val="10"/>
      <color indexed="49"/>
      <name val="Arial"/>
      <family val="2"/>
    </font>
    <font>
      <sz val="10"/>
      <color theme="8" tint="0.39997558519241921"/>
      <name val="Arial"/>
      <family val="2"/>
    </font>
    <font>
      <sz val="11"/>
      <color indexed="15"/>
      <name val="Arial"/>
      <family val="2"/>
    </font>
    <font>
      <sz val="10"/>
      <color indexed="9"/>
      <name val="Arial"/>
      <family val="2"/>
    </font>
    <font>
      <b/>
      <sz val="10"/>
      <color rgb="FF92D050"/>
      <name val="Arial"/>
      <family val="2"/>
    </font>
    <font>
      <sz val="10"/>
      <color rgb="FF92D050"/>
      <name val="Arial"/>
      <family val="2"/>
    </font>
    <font>
      <sz val="10"/>
      <color indexed="63"/>
      <name val="Arial"/>
      <family val="2"/>
    </font>
    <font>
      <sz val="10"/>
      <color rgb="FF00FFFF"/>
      <name val="Arial"/>
      <family val="2"/>
    </font>
    <font>
      <b/>
      <sz val="10"/>
      <color rgb="FFFFFF00"/>
      <name val="Arial"/>
      <family val="2"/>
    </font>
    <font>
      <sz val="11"/>
      <color indexed="55"/>
      <name val="Arial"/>
      <family val="2"/>
    </font>
    <font>
      <sz val="10"/>
      <color indexed="55"/>
      <name val="Arial"/>
      <family val="2"/>
    </font>
    <font>
      <b/>
      <sz val="11"/>
      <color indexed="15"/>
      <name val="Arial"/>
      <family val="2"/>
    </font>
    <font>
      <b/>
      <sz val="10"/>
      <color indexed="15"/>
      <name val="Arial"/>
      <family val="2"/>
    </font>
    <font>
      <sz val="11"/>
      <name val="Arial"/>
      <family val="2"/>
    </font>
    <font>
      <sz val="11"/>
      <color indexed="49"/>
      <name val="Arial"/>
      <family val="2"/>
    </font>
    <font>
      <sz val="14"/>
      <color indexed="15"/>
      <name val="Arial"/>
      <family val="2"/>
    </font>
    <font>
      <sz val="12"/>
      <color indexed="15"/>
      <name val="Arial"/>
      <family val="2"/>
    </font>
    <font>
      <sz val="14"/>
      <color indexed="55"/>
      <name val="Arial"/>
      <family val="2"/>
    </font>
    <font>
      <sz val="12"/>
      <color indexed="55"/>
      <name val="Arial"/>
      <family val="2"/>
    </font>
    <font>
      <sz val="10"/>
      <color theme="9" tint="0.59999389629810485"/>
      <name val="Arial"/>
      <family val="2"/>
    </font>
    <font>
      <sz val="10"/>
      <color indexed="23"/>
      <name val="Arial"/>
      <family val="2"/>
    </font>
    <font>
      <b/>
      <sz val="11"/>
      <color indexed="23"/>
      <name val="Arial"/>
      <family val="2"/>
    </font>
    <font>
      <b/>
      <sz val="14"/>
      <color indexed="23"/>
      <name val="Arial"/>
      <family val="2"/>
    </font>
    <font>
      <b/>
      <sz val="10"/>
      <color rgb="FF00FFFF"/>
      <name val="Arial"/>
      <family val="2"/>
    </font>
    <font>
      <sz val="11"/>
      <color indexed="23"/>
      <name val="Arial"/>
      <family val="2"/>
    </font>
    <font>
      <b/>
      <sz val="11"/>
      <color rgb="FF00FFFF"/>
      <name val="Arial"/>
      <family val="2"/>
    </font>
    <font>
      <b/>
      <sz val="10"/>
      <color indexed="23"/>
      <name val="Arial"/>
      <family val="2"/>
    </font>
    <font>
      <sz val="10"/>
      <color indexed="13"/>
      <name val="Arial"/>
      <family val="2"/>
    </font>
    <font>
      <b/>
      <sz val="22"/>
      <name val="Arial"/>
      <family val="2"/>
    </font>
    <font>
      <b/>
      <sz val="20"/>
      <name val="Arial"/>
      <family val="2"/>
    </font>
    <font>
      <sz val="10"/>
      <color indexed="8"/>
      <name val="Arial"/>
      <family val="2"/>
    </font>
    <font>
      <sz val="16"/>
      <name val="Arial"/>
      <family val="2"/>
    </font>
    <font>
      <sz val="10"/>
      <color indexed="8"/>
      <name val="Verdana"/>
      <family val="2"/>
    </font>
    <font>
      <sz val="10"/>
      <color theme="3" tint="0.39997558519241921"/>
      <name val="Arial"/>
      <family val="2"/>
    </font>
    <font>
      <sz val="10"/>
      <color rgb="FF00FFCC"/>
      <name val="Arial"/>
      <family val="2"/>
    </font>
    <font>
      <sz val="10"/>
      <color rgb="FFFFC000"/>
      <name val="Arial"/>
      <family val="2"/>
    </font>
    <font>
      <b/>
      <sz val="11"/>
      <color rgb="FF99FF99"/>
      <name val="Arial"/>
      <family val="2"/>
    </font>
    <font>
      <b/>
      <sz val="10"/>
      <color rgb="FFFF0000"/>
      <name val="Calibri"/>
      <family val="2"/>
      <scheme val="minor"/>
    </font>
    <font>
      <b/>
      <sz val="11"/>
      <color rgb="FFFF0000"/>
      <name val="Calibri"/>
      <family val="2"/>
      <scheme val="minor"/>
    </font>
    <font>
      <sz val="11"/>
      <color theme="8" tint="0.39997558519241921"/>
      <name val="Arial"/>
      <family val="2"/>
    </font>
    <font>
      <sz val="12"/>
      <name val="Arial"/>
      <family val="2"/>
    </font>
  </fonts>
  <fills count="45">
    <fill>
      <patternFill patternType="none"/>
    </fill>
    <fill>
      <patternFill patternType="gray125"/>
    </fill>
    <fill>
      <patternFill patternType="solid">
        <fgColor indexed="8"/>
        <bgColor indexed="64"/>
      </patternFill>
    </fill>
    <fill>
      <patternFill patternType="solid">
        <fgColor indexed="62"/>
        <bgColor indexed="64"/>
      </patternFill>
    </fill>
    <fill>
      <patternFill patternType="solid">
        <fgColor theme="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rgb="FFFFFF00"/>
        <bgColor indexed="21"/>
      </patternFill>
    </fill>
    <fill>
      <patternFill patternType="solid">
        <fgColor theme="9" tint="-0.249977111117893"/>
        <bgColor indexed="64"/>
      </patternFill>
    </fill>
    <fill>
      <patternFill patternType="solid">
        <fgColor rgb="FFFF0000"/>
        <bgColor indexed="64"/>
      </patternFill>
    </fill>
    <fill>
      <patternFill patternType="solid">
        <fgColor theme="6" tint="0.39997558519241921"/>
        <bgColor indexed="64"/>
      </patternFill>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theme="8" tint="0.59999389629810485"/>
        <bgColor indexed="64"/>
      </patternFill>
    </fill>
    <fill>
      <patternFill patternType="solid">
        <fgColor theme="1"/>
        <bgColor indexed="21"/>
      </patternFill>
    </fill>
    <fill>
      <patternFill patternType="solid">
        <fgColor theme="1"/>
        <bgColor indexed="60"/>
      </patternFill>
    </fill>
    <fill>
      <patternFill patternType="solid">
        <fgColor theme="6" tint="-0.249977111117893"/>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rgb="FF008000"/>
        <bgColor indexed="64"/>
      </patternFill>
    </fill>
    <fill>
      <patternFill patternType="solid">
        <fgColor rgb="FF1CE41C"/>
        <bgColor indexed="64"/>
      </patternFill>
    </fill>
    <fill>
      <patternFill patternType="solid">
        <fgColor rgb="FF32C832"/>
        <bgColor indexed="64"/>
      </patternFill>
    </fill>
    <fill>
      <patternFill patternType="solid">
        <fgColor rgb="FFFFFF66"/>
        <bgColor indexed="64"/>
      </patternFill>
    </fill>
    <fill>
      <patternFill patternType="solid">
        <fgColor rgb="FF73694F"/>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34998626667073579"/>
        <bgColor indexed="64"/>
      </patternFill>
    </fill>
    <fill>
      <patternFill patternType="solid">
        <fgColor indexed="23"/>
        <bgColor indexed="64"/>
      </patternFill>
    </fill>
    <fill>
      <patternFill patternType="solid">
        <fgColor rgb="FF808080"/>
        <bgColor indexed="64"/>
      </patternFill>
    </fill>
    <fill>
      <patternFill patternType="solid">
        <fgColor indexed="55"/>
        <bgColor indexed="64"/>
      </patternFill>
    </fill>
    <fill>
      <patternFill patternType="solid">
        <fgColor indexed="47"/>
        <bgColor indexed="64"/>
      </patternFill>
    </fill>
    <fill>
      <patternFill patternType="solid">
        <fgColor rgb="FF969696"/>
        <bgColor indexed="64"/>
      </patternFill>
    </fill>
    <fill>
      <patternFill patternType="solid">
        <fgColor indexed="52"/>
        <bgColor indexed="64"/>
      </patternFill>
    </fill>
    <fill>
      <patternFill patternType="solid">
        <fgColor rgb="FF99FF99"/>
        <bgColor indexed="64"/>
      </patternFill>
    </fill>
    <fill>
      <patternFill patternType="solid">
        <fgColor rgb="FF483018"/>
        <bgColor indexed="64"/>
      </patternFill>
    </fill>
    <fill>
      <patternFill patternType="solid">
        <fgColor rgb="FF593B1D"/>
        <bgColor indexed="64"/>
      </patternFill>
    </fill>
    <fill>
      <patternFill patternType="solid">
        <fgColor rgb="FF8C3C1E"/>
        <bgColor indexed="64"/>
      </patternFill>
    </fill>
  </fills>
  <borders count="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theme="0"/>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s>
  <cellStyleXfs count="4">
    <xf numFmtId="0" fontId="0" fillId="0" borderId="0"/>
    <xf numFmtId="0" fontId="1" fillId="0" borderId="0"/>
    <xf numFmtId="9" fontId="1" fillId="0" borderId="0" applyFont="0" applyFill="0" applyBorder="0" applyAlignment="0" applyProtection="0"/>
    <xf numFmtId="0" fontId="30" fillId="0" borderId="0" applyNumberFormat="0" applyFill="0" applyBorder="0" applyAlignment="0" applyProtection="0">
      <alignment vertical="top"/>
      <protection locked="0"/>
    </xf>
  </cellStyleXfs>
  <cellXfs count="1698">
    <xf numFmtId="0" fontId="0" fillId="0" borderId="0" xfId="0"/>
    <xf numFmtId="0" fontId="2" fillId="0" borderId="0" xfId="1" applyFont="1" applyBorder="1" applyAlignment="1">
      <alignment horizontal="left" vertical="center" wrapText="1"/>
    </xf>
    <xf numFmtId="0" fontId="2" fillId="0" borderId="0" xfId="1" quotePrefix="1" applyFont="1" applyFill="1" applyBorder="1" applyAlignment="1">
      <alignment horizontal="left" vertical="center" wrapText="1"/>
    </xf>
    <xf numFmtId="0" fontId="2" fillId="0" borderId="0" xfId="1" applyFont="1" applyFill="1" applyBorder="1" applyAlignment="1">
      <alignment vertical="center" wrapText="1"/>
    </xf>
    <xf numFmtId="0" fontId="2" fillId="0" borderId="0" xfId="1" applyFont="1" applyBorder="1" applyAlignment="1">
      <alignment horizontal="center" vertical="center" wrapText="1"/>
    </xf>
    <xf numFmtId="0" fontId="2" fillId="0" borderId="0" xfId="1" applyFont="1" applyBorder="1" applyAlignment="1">
      <alignment horizontal="left" vertical="center"/>
    </xf>
    <xf numFmtId="0" fontId="8" fillId="4" borderId="0" xfId="1" applyFont="1" applyFill="1" applyBorder="1" applyAlignment="1">
      <alignment horizontal="center" vertical="center" wrapText="1"/>
    </xf>
    <xf numFmtId="0" fontId="10" fillId="7" borderId="0" xfId="1" quotePrefix="1" applyFont="1" applyFill="1" applyBorder="1" applyAlignment="1">
      <alignment horizontal="center" vertical="center" wrapText="1"/>
    </xf>
    <xf numFmtId="0" fontId="11" fillId="5" borderId="1" xfId="1" applyFont="1" applyFill="1" applyBorder="1" applyAlignment="1">
      <alignment horizontal="center" vertical="center" wrapText="1"/>
    </xf>
    <xf numFmtId="0" fontId="2" fillId="0" borderId="0" xfId="1" applyFont="1" applyFill="1" applyBorder="1" applyAlignment="1">
      <alignment horizontal="left" vertical="center" wrapText="1"/>
    </xf>
    <xf numFmtId="0" fontId="2" fillId="0" borderId="0" xfId="1" applyFont="1" applyFill="1" applyBorder="1" applyAlignment="1">
      <alignment horizontal="left" vertical="center"/>
    </xf>
    <xf numFmtId="0" fontId="2" fillId="0" borderId="0" xfId="1" quotePrefix="1" applyFont="1" applyFill="1" applyBorder="1" applyAlignment="1">
      <alignment horizontal="left" vertical="center"/>
    </xf>
    <xf numFmtId="0" fontId="2" fillId="0" borderId="0" xfId="0" quotePrefix="1" applyFont="1" applyFill="1" applyAlignment="1">
      <alignment horizontal="left" vertical="center"/>
    </xf>
    <xf numFmtId="0" fontId="12" fillId="12" borderId="0" xfId="1" quotePrefix="1" applyFont="1" applyFill="1" applyBorder="1" applyAlignment="1">
      <alignment horizontal="center" vertical="center" wrapText="1"/>
    </xf>
    <xf numFmtId="0" fontId="6" fillId="13" borderId="1" xfId="1" applyFont="1" applyFill="1" applyBorder="1" applyAlignment="1">
      <alignment horizontal="center" vertical="center" wrapText="1"/>
    </xf>
    <xf numFmtId="0" fontId="3" fillId="14" borderId="0" xfId="1" quotePrefix="1" applyFont="1" applyFill="1" applyBorder="1" applyAlignment="1">
      <alignment horizontal="center" vertical="center" wrapText="1"/>
    </xf>
    <xf numFmtId="2" fontId="2" fillId="0" borderId="0" xfId="2" applyNumberFormat="1" applyFont="1" applyAlignment="1">
      <alignment horizontal="center" vertical="center"/>
    </xf>
    <xf numFmtId="0" fontId="2" fillId="0" borderId="0" xfId="0" applyFont="1"/>
    <xf numFmtId="2" fontId="3" fillId="14" borderId="0" xfId="1" quotePrefix="1" applyNumberFormat="1" applyFont="1" applyFill="1" applyBorder="1" applyAlignment="1">
      <alignment horizontal="center" vertical="center" wrapText="1"/>
    </xf>
    <xf numFmtId="0" fontId="3" fillId="16" borderId="0" xfId="0" applyFont="1" applyFill="1" applyAlignment="1">
      <alignment horizontal="center" vertical="center" wrapText="1"/>
    </xf>
    <xf numFmtId="0" fontId="4" fillId="4" borderId="0" xfId="1" applyFont="1" applyFill="1" applyBorder="1" applyAlignment="1">
      <alignment horizontal="center" vertical="center" wrapText="1"/>
    </xf>
    <xf numFmtId="2" fontId="6" fillId="19" borderId="0" xfId="1" applyNumberFormat="1" applyFont="1" applyFill="1" applyBorder="1" applyAlignment="1">
      <alignment horizontal="right" vertical="center" wrapText="1" indent="1"/>
    </xf>
    <xf numFmtId="2" fontId="2" fillId="0" borderId="0" xfId="2" applyNumberFormat="1" applyFont="1" applyAlignment="1">
      <alignment horizontal="right" vertical="center" indent="1"/>
    </xf>
    <xf numFmtId="0" fontId="2" fillId="0" borderId="0" xfId="0" applyFont="1" applyAlignment="1">
      <alignment horizontal="right" vertical="center" indent="1"/>
    </xf>
    <xf numFmtId="0" fontId="10" fillId="7" borderId="0" xfId="1" quotePrefix="1" applyFont="1" applyFill="1" applyBorder="1" applyAlignment="1">
      <alignment horizontal="right" vertical="center" wrapText="1" indent="1"/>
    </xf>
    <xf numFmtId="0" fontId="8" fillId="9" borderId="0" xfId="1" quotePrefix="1" applyFont="1" applyFill="1" applyBorder="1" applyAlignment="1">
      <alignment horizontal="right" vertical="center" wrapText="1" indent="1"/>
    </xf>
    <xf numFmtId="1" fontId="6" fillId="19" borderId="0" xfId="1" applyNumberFormat="1" applyFont="1" applyFill="1" applyBorder="1" applyAlignment="1">
      <alignment horizontal="right" vertical="center" wrapText="1" indent="1"/>
    </xf>
    <xf numFmtId="164" fontId="6" fillId="19" borderId="0" xfId="1" applyNumberFormat="1" applyFont="1" applyFill="1" applyBorder="1" applyAlignment="1">
      <alignment horizontal="right" vertical="center" wrapText="1" indent="1"/>
    </xf>
    <xf numFmtId="2" fontId="6" fillId="19" borderId="0" xfId="0" applyNumberFormat="1" applyFont="1" applyFill="1" applyAlignment="1">
      <alignment horizontal="right" vertical="center" wrapText="1" indent="1"/>
    </xf>
    <xf numFmtId="0" fontId="7" fillId="0" borderId="0" xfId="1" quotePrefix="1" applyFont="1" applyFill="1" applyBorder="1" applyAlignment="1">
      <alignment horizontal="left" vertical="center" wrapText="1"/>
    </xf>
    <xf numFmtId="0" fontId="7" fillId="0" borderId="0" xfId="1" quotePrefix="1" applyFont="1" applyFill="1" applyBorder="1" applyAlignment="1">
      <alignment horizontal="left" vertical="center"/>
    </xf>
    <xf numFmtId="2" fontId="10" fillId="19" borderId="0" xfId="1" applyNumberFormat="1" applyFont="1" applyFill="1" applyBorder="1" applyAlignment="1">
      <alignment horizontal="right" vertical="center" wrapText="1" indent="1"/>
    </xf>
    <xf numFmtId="1" fontId="10" fillId="19" borderId="0" xfId="1" applyNumberFormat="1" applyFont="1" applyFill="1" applyBorder="1" applyAlignment="1">
      <alignment horizontal="right" vertical="center" wrapText="1" indent="1"/>
    </xf>
    <xf numFmtId="0" fontId="8" fillId="18" borderId="0" xfId="1" applyFont="1" applyFill="1" applyBorder="1" applyAlignment="1">
      <alignment horizontal="center" vertical="center" wrapText="1"/>
    </xf>
    <xf numFmtId="0" fontId="8" fillId="18" borderId="0" xfId="1" applyFont="1" applyFill="1" applyBorder="1" applyAlignment="1">
      <alignment horizontal="right" vertical="center" wrapText="1" indent="1"/>
    </xf>
    <xf numFmtId="2" fontId="8" fillId="18" borderId="0" xfId="1" applyNumberFormat="1" applyFont="1" applyFill="1" applyBorder="1" applyAlignment="1">
      <alignment horizontal="center" vertical="center" wrapText="1"/>
    </xf>
    <xf numFmtId="0" fontId="15" fillId="17" borderId="0" xfId="0" applyFont="1" applyFill="1" applyBorder="1" applyAlignment="1">
      <alignment horizontal="left" vertical="center"/>
    </xf>
    <xf numFmtId="0" fontId="15" fillId="17" borderId="0" xfId="0" quotePrefix="1" applyFont="1" applyFill="1" applyBorder="1" applyAlignment="1">
      <alignment horizontal="left" vertical="center"/>
    </xf>
    <xf numFmtId="0" fontId="0" fillId="0" borderId="0" xfId="0" applyFont="1"/>
    <xf numFmtId="0" fontId="22" fillId="4" borderId="0" xfId="0" applyFont="1" applyFill="1" applyAlignment="1">
      <alignment horizontal="left" vertical="center"/>
    </xf>
    <xf numFmtId="0" fontId="2" fillId="0" borderId="0" xfId="1" quotePrefix="1" applyFont="1" applyFill="1" applyBorder="1" applyAlignment="1">
      <alignment horizontal="center" vertical="center" wrapText="1"/>
    </xf>
    <xf numFmtId="0" fontId="2" fillId="0" borderId="0" xfId="1" applyFont="1" applyFill="1" applyBorder="1" applyAlignment="1">
      <alignment horizontal="center" vertical="center" wrapText="1"/>
    </xf>
    <xf numFmtId="0" fontId="0" fillId="0" borderId="0" xfId="0" applyFont="1" applyAlignment="1">
      <alignment horizontal="right" vertical="center" indent="1"/>
    </xf>
    <xf numFmtId="0" fontId="15" fillId="2" borderId="0" xfId="0" applyFont="1" applyFill="1" applyAlignment="1">
      <alignment horizontal="center" vertical="center" wrapText="1"/>
    </xf>
    <xf numFmtId="0" fontId="23" fillId="4" borderId="0" xfId="0" applyFont="1" applyFill="1" applyAlignment="1">
      <alignment horizontal="left" vertical="center" wrapText="1"/>
    </xf>
    <xf numFmtId="0" fontId="23" fillId="4" borderId="0" xfId="0" applyFont="1" applyFill="1" applyAlignment="1">
      <alignment horizontal="center" vertical="center" wrapText="1"/>
    </xf>
    <xf numFmtId="0" fontId="24" fillId="6" borderId="0" xfId="0" quotePrefix="1" applyFont="1" applyFill="1" applyAlignment="1">
      <alignment horizontal="center" vertical="center" wrapText="1"/>
    </xf>
    <xf numFmtId="0" fontId="15" fillId="2" borderId="0" xfId="0" quotePrefix="1" applyFont="1" applyFill="1" applyAlignment="1">
      <alignment horizontal="right" vertical="center" wrapText="1" indent="1"/>
    </xf>
    <xf numFmtId="2" fontId="15" fillId="2" borderId="0" xfId="2" quotePrefix="1" applyNumberFormat="1" applyFont="1" applyFill="1" applyAlignment="1">
      <alignment horizontal="right" vertical="center" wrapText="1" indent="1"/>
    </xf>
    <xf numFmtId="0" fontId="26" fillId="0" borderId="0" xfId="1" applyFont="1" applyFill="1" applyBorder="1" applyAlignment="1">
      <alignment vertical="center" wrapText="1"/>
    </xf>
    <xf numFmtId="0" fontId="27" fillId="0" borderId="0" xfId="0" applyFont="1"/>
    <xf numFmtId="2" fontId="28" fillId="19" borderId="0" xfId="2" quotePrefix="1" applyNumberFormat="1" applyFont="1" applyFill="1" applyAlignment="1">
      <alignment horizontal="right" vertical="center" wrapText="1" indent="1"/>
    </xf>
    <xf numFmtId="0" fontId="14" fillId="16" borderId="0" xfId="0" quotePrefix="1" applyFont="1" applyFill="1" applyAlignment="1">
      <alignment horizontal="right" vertical="center" wrapText="1" indent="1"/>
    </xf>
    <xf numFmtId="0" fontId="15" fillId="17" borderId="0" xfId="0" quotePrefix="1" applyFont="1" applyFill="1" applyBorder="1" applyAlignment="1">
      <alignment horizontal="right" vertical="center" indent="1"/>
    </xf>
    <xf numFmtId="1" fontId="3" fillId="2" borderId="0" xfId="1" applyNumberFormat="1" applyFont="1" applyFill="1" applyBorder="1" applyAlignment="1">
      <alignment horizontal="right" vertical="center" wrapText="1" indent="1"/>
    </xf>
    <xf numFmtId="2" fontId="2" fillId="4" borderId="0" xfId="2" applyNumberFormat="1" applyFont="1" applyFill="1" applyAlignment="1">
      <alignment horizontal="right" vertical="center" indent="1"/>
    </xf>
    <xf numFmtId="0" fontId="12" fillId="12" borderId="0" xfId="1" quotePrefix="1" applyFont="1" applyFill="1" applyBorder="1" applyAlignment="1">
      <alignment horizontal="right" vertical="center" wrapText="1" indent="1"/>
    </xf>
    <xf numFmtId="2" fontId="8" fillId="18" borderId="0" xfId="1" applyNumberFormat="1" applyFont="1" applyFill="1" applyBorder="1" applyAlignment="1">
      <alignment horizontal="right" vertical="center" wrapText="1" indent="1"/>
    </xf>
    <xf numFmtId="2" fontId="3" fillId="14" borderId="0" xfId="1" quotePrefix="1" applyNumberFormat="1" applyFont="1" applyFill="1" applyBorder="1" applyAlignment="1">
      <alignment horizontal="right" vertical="center" wrapText="1" indent="1"/>
    </xf>
    <xf numFmtId="165" fontId="3" fillId="14" borderId="0" xfId="1" quotePrefix="1" applyNumberFormat="1" applyFont="1" applyFill="1" applyBorder="1" applyAlignment="1">
      <alignment horizontal="right" vertical="center" wrapText="1" indent="1"/>
    </xf>
    <xf numFmtId="0" fontId="5" fillId="17" borderId="0" xfId="0" quotePrefix="1" applyFont="1" applyFill="1" applyBorder="1" applyAlignment="1">
      <alignment horizontal="left" vertical="center"/>
    </xf>
    <xf numFmtId="0" fontId="33" fillId="17" borderId="0" xfId="0" applyFont="1" applyFill="1" applyBorder="1" applyAlignment="1">
      <alignment horizontal="left" vertical="center"/>
    </xf>
    <xf numFmtId="0" fontId="33" fillId="17" borderId="0" xfId="0" quotePrefix="1" applyFont="1" applyFill="1" applyBorder="1" applyAlignment="1">
      <alignment horizontal="left" vertical="center"/>
    </xf>
    <xf numFmtId="0" fontId="33" fillId="17" borderId="0" xfId="0" quotePrefix="1" applyFont="1" applyFill="1" applyBorder="1" applyAlignment="1">
      <alignment horizontal="right" vertical="center" indent="1"/>
    </xf>
    <xf numFmtId="2" fontId="34" fillId="0" borderId="0" xfId="2" applyNumberFormat="1" applyFont="1" applyAlignment="1">
      <alignment horizontal="center" vertical="center"/>
    </xf>
    <xf numFmtId="0" fontId="35" fillId="0" borderId="0" xfId="0" applyFont="1"/>
    <xf numFmtId="164" fontId="25" fillId="3" borderId="0" xfId="0" quotePrefix="1" applyNumberFormat="1" applyFont="1" applyFill="1" applyAlignment="1">
      <alignment horizontal="right" vertical="center" wrapText="1" indent="1"/>
    </xf>
    <xf numFmtId="164" fontId="33" fillId="17" borderId="0" xfId="0" quotePrefix="1" applyNumberFormat="1" applyFont="1" applyFill="1" applyBorder="1" applyAlignment="1">
      <alignment horizontal="right" vertical="center" indent="1"/>
    </xf>
    <xf numFmtId="164" fontId="15" fillId="17" borderId="0" xfId="0" quotePrefix="1" applyNumberFormat="1" applyFont="1" applyFill="1" applyBorder="1" applyAlignment="1">
      <alignment horizontal="right" vertical="center" indent="1"/>
    </xf>
    <xf numFmtId="0" fontId="8" fillId="6" borderId="0" xfId="0" quotePrefix="1" applyFont="1" applyFill="1" applyAlignment="1">
      <alignment horizontal="center" vertical="center" wrapText="1"/>
    </xf>
    <xf numFmtId="0" fontId="18" fillId="4" borderId="0" xfId="0" applyFont="1" applyFill="1" applyBorder="1" applyAlignment="1">
      <alignment horizontal="center"/>
    </xf>
    <xf numFmtId="0" fontId="18" fillId="0" borderId="0" xfId="0" applyFont="1" applyBorder="1" applyAlignment="1">
      <alignment horizontal="center"/>
    </xf>
    <xf numFmtId="164" fontId="25" fillId="3" borderId="0" xfId="0" applyNumberFormat="1" applyFont="1" applyFill="1" applyAlignment="1">
      <alignment horizontal="right" vertical="center" wrapText="1" indent="1"/>
    </xf>
    <xf numFmtId="164" fontId="26" fillId="0" borderId="0" xfId="1" applyNumberFormat="1" applyFont="1" applyBorder="1" applyAlignment="1">
      <alignment horizontal="right" vertical="center" wrapText="1" indent="1"/>
    </xf>
    <xf numFmtId="164" fontId="27" fillId="0" borderId="0" xfId="0" applyNumberFormat="1" applyFont="1" applyAlignment="1">
      <alignment horizontal="right" indent="1"/>
    </xf>
    <xf numFmtId="0" fontId="38" fillId="4" borderId="0" xfId="0" applyFont="1" applyFill="1" applyBorder="1" applyAlignment="1">
      <alignment horizontal="center"/>
    </xf>
    <xf numFmtId="0" fontId="8" fillId="6" borderId="0" xfId="1" applyFont="1" applyFill="1" applyBorder="1" applyAlignment="1">
      <alignment horizontal="right" vertical="center" wrapText="1" indent="1"/>
    </xf>
    <xf numFmtId="0" fontId="9" fillId="6" borderId="0" xfId="1" quotePrefix="1" applyFont="1" applyFill="1" applyBorder="1" applyAlignment="1">
      <alignment horizontal="right" vertical="center" indent="1"/>
    </xf>
    <xf numFmtId="2" fontId="9" fillId="6" borderId="0" xfId="2" applyNumberFormat="1" applyFont="1" applyFill="1" applyAlignment="1">
      <alignment horizontal="right" vertical="center" indent="1"/>
    </xf>
    <xf numFmtId="0" fontId="7" fillId="0" borderId="0" xfId="1" quotePrefix="1" applyFont="1" applyFill="1" applyBorder="1" applyAlignment="1">
      <alignment horizontal="center" vertical="center" wrapText="1"/>
    </xf>
    <xf numFmtId="0" fontId="7" fillId="0" borderId="0" xfId="1" applyFont="1" applyFill="1" applyBorder="1" applyAlignment="1">
      <alignment horizontal="left" vertical="center" wrapText="1"/>
    </xf>
    <xf numFmtId="0" fontId="21" fillId="4" borderId="0" xfId="0" applyFont="1" applyFill="1" applyBorder="1" applyAlignment="1">
      <alignment horizontal="center" vertical="center"/>
    </xf>
    <xf numFmtId="0" fontId="37" fillId="4" borderId="0" xfId="0" applyFont="1" applyFill="1" applyBorder="1" applyAlignment="1">
      <alignment horizontal="left" vertical="center" indent="1"/>
    </xf>
    <xf numFmtId="0" fontId="21" fillId="4" borderId="0" xfId="0" applyFont="1" applyFill="1" applyAlignment="1">
      <alignment horizontal="center" vertical="center"/>
    </xf>
    <xf numFmtId="0" fontId="21" fillId="0" borderId="0" xfId="0" applyFont="1" applyAlignment="1">
      <alignment horizontal="center" vertic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38" fillId="4" borderId="0" xfId="0" quotePrefix="1" applyFont="1" applyFill="1" applyBorder="1" applyAlignment="1">
      <alignment horizontal="center"/>
    </xf>
    <xf numFmtId="1" fontId="8" fillId="6" borderId="0" xfId="1" applyNumberFormat="1" applyFont="1" applyFill="1" applyBorder="1" applyAlignment="1">
      <alignment horizontal="right" vertical="center" wrapText="1" indent="1"/>
    </xf>
    <xf numFmtId="1" fontId="12" fillId="12" borderId="0" xfId="1" quotePrefix="1" applyNumberFormat="1" applyFont="1" applyFill="1" applyBorder="1" applyAlignment="1">
      <alignment horizontal="right" vertical="center" wrapText="1" indent="1"/>
    </xf>
    <xf numFmtId="0" fontId="20" fillId="4" borderId="0" xfId="0" applyFont="1" applyFill="1" applyBorder="1" applyAlignment="1">
      <alignment horizontal="left" vertical="center" indent="1"/>
    </xf>
    <xf numFmtId="0" fontId="20" fillId="4" borderId="0" xfId="0" applyFont="1" applyFill="1" applyAlignment="1">
      <alignment horizontal="left" vertical="center" indent="1"/>
    </xf>
    <xf numFmtId="0" fontId="20" fillId="0" borderId="0" xfId="0" applyFont="1" applyAlignment="1">
      <alignment horizontal="left" vertical="center" indent="1"/>
    </xf>
    <xf numFmtId="0" fontId="43" fillId="4" borderId="0" xfId="0" applyFont="1" applyFill="1" applyBorder="1" applyAlignment="1">
      <alignment horizontal="center" vertical="center"/>
    </xf>
    <xf numFmtId="0" fontId="43" fillId="0" borderId="0" xfId="0" applyFont="1" applyAlignment="1">
      <alignment horizontal="center" vertical="center"/>
    </xf>
    <xf numFmtId="0" fontId="39" fillId="10" borderId="0" xfId="0" quotePrefix="1" applyFont="1" applyFill="1" applyBorder="1" applyAlignment="1">
      <alignment horizontal="left" vertical="center" indent="1"/>
    </xf>
    <xf numFmtId="0" fontId="44" fillId="10" borderId="0" xfId="0" quotePrefix="1" applyFont="1" applyFill="1" applyBorder="1" applyAlignment="1">
      <alignment horizontal="left" vertical="center" indent="1"/>
    </xf>
    <xf numFmtId="0" fontId="21" fillId="0" borderId="0" xfId="0" applyFont="1" applyFill="1" applyAlignment="1">
      <alignment horizontal="center" vertical="center"/>
    </xf>
    <xf numFmtId="0" fontId="43" fillId="0" borderId="0" xfId="0" applyFont="1" applyFill="1" applyAlignment="1">
      <alignment horizontal="center" vertical="center"/>
    </xf>
    <xf numFmtId="0" fontId="21" fillId="9" borderId="0" xfId="0" quotePrefix="1" applyFont="1" applyFill="1" applyBorder="1" applyAlignment="1">
      <alignment horizontal="left" vertical="center" indent="1"/>
    </xf>
    <xf numFmtId="0" fontId="37" fillId="9" borderId="0" xfId="0" quotePrefix="1" applyFont="1" applyFill="1" applyBorder="1" applyAlignment="1">
      <alignment horizontal="left" vertical="center" indent="1"/>
    </xf>
    <xf numFmtId="0" fontId="37" fillId="18" borderId="0" xfId="0" quotePrefix="1" applyFont="1" applyFill="1" applyBorder="1" applyAlignment="1">
      <alignment vertical="center"/>
    </xf>
    <xf numFmtId="0" fontId="18" fillId="22" borderId="1" xfId="0" applyFont="1" applyFill="1" applyBorder="1" applyAlignment="1">
      <alignment horizontal="center"/>
    </xf>
    <xf numFmtId="0" fontId="42" fillId="4" borderId="0" xfId="0" applyFont="1" applyFill="1" applyBorder="1" applyAlignment="1">
      <alignment horizontal="center"/>
    </xf>
    <xf numFmtId="0" fontId="18" fillId="9" borderId="0" xfId="0" quotePrefix="1" applyFont="1" applyFill="1" applyBorder="1" applyAlignment="1" applyProtection="1">
      <alignment horizontal="left"/>
    </xf>
    <xf numFmtId="2" fontId="18" fillId="0" borderId="0" xfId="0" applyNumberFormat="1" applyFont="1" applyBorder="1" applyAlignment="1" applyProtection="1">
      <alignment horizontal="right" indent="1"/>
      <protection locked="0"/>
    </xf>
    <xf numFmtId="2" fontId="19" fillId="9" borderId="0" xfId="0" applyNumberFormat="1" applyFont="1" applyFill="1" applyBorder="1" applyAlignment="1" applyProtection="1">
      <alignment horizontal="right" indent="1"/>
      <protection locked="0"/>
    </xf>
    <xf numFmtId="2" fontId="18" fillId="19" borderId="0" xfId="0" applyNumberFormat="1" applyFont="1" applyFill="1" applyBorder="1" applyAlignment="1" applyProtection="1">
      <alignment horizontal="right" indent="1"/>
      <protection locked="0"/>
    </xf>
    <xf numFmtId="0" fontId="40" fillId="21" borderId="0" xfId="3" quotePrefix="1" applyFont="1" applyFill="1" applyBorder="1" applyAlignment="1" applyProtection="1">
      <alignment horizontal="center" vertical="center" wrapText="1"/>
      <protection locked="0"/>
    </xf>
    <xf numFmtId="0" fontId="31" fillId="21" borderId="0" xfId="3" quotePrefix="1" applyFont="1" applyFill="1" applyAlignment="1" applyProtection="1">
      <alignment horizontal="center" vertical="center" wrapText="1"/>
      <protection locked="0"/>
    </xf>
    <xf numFmtId="0" fontId="46" fillId="4" borderId="0" xfId="0" quotePrefix="1" applyFont="1" applyFill="1" applyBorder="1" applyAlignment="1">
      <alignment horizontal="center" vertical="center" wrapText="1"/>
    </xf>
    <xf numFmtId="164" fontId="46" fillId="4" borderId="0" xfId="0" applyNumberFormat="1" applyFont="1" applyFill="1" applyBorder="1" applyAlignment="1">
      <alignment horizontal="center" vertical="center" wrapText="1"/>
    </xf>
    <xf numFmtId="0" fontId="47" fillId="17" borderId="4" xfId="0" quotePrefix="1" applyFont="1" applyFill="1" applyBorder="1" applyAlignment="1">
      <alignment horizontal="left" vertical="center"/>
    </xf>
    <xf numFmtId="0" fontId="48" fillId="17" borderId="4" xfId="0" quotePrefix="1" applyFont="1" applyFill="1" applyBorder="1" applyAlignment="1">
      <alignment horizontal="left" vertical="center"/>
    </xf>
    <xf numFmtId="0" fontId="49" fillId="17" borderId="4" xfId="0" quotePrefix="1" applyFont="1" applyFill="1" applyBorder="1" applyAlignment="1">
      <alignment horizontal="left" vertical="center"/>
    </xf>
    <xf numFmtId="0" fontId="50" fillId="0" borderId="0" xfId="0" applyFont="1"/>
    <xf numFmtId="0" fontId="45" fillId="10" borderId="0" xfId="0" quotePrefix="1" applyFont="1" applyFill="1" applyBorder="1" applyAlignment="1">
      <alignment horizontal="left" vertical="center" indent="1"/>
    </xf>
    <xf numFmtId="0" fontId="48" fillId="17" borderId="4" xfId="0" quotePrefix="1" applyFont="1" applyFill="1" applyBorder="1" applyAlignment="1">
      <alignment horizontal="center" vertical="center"/>
    </xf>
    <xf numFmtId="0" fontId="44" fillId="4" borderId="0" xfId="0" applyFont="1" applyFill="1" applyBorder="1" applyAlignment="1">
      <alignment horizontal="center" vertical="center"/>
    </xf>
    <xf numFmtId="0" fontId="30" fillId="11" borderId="0" xfId="3" quotePrefix="1" applyFill="1" applyBorder="1" applyAlignment="1" applyProtection="1">
      <alignment horizontal="center" vertical="center"/>
      <protection locked="0"/>
    </xf>
    <xf numFmtId="0" fontId="20" fillId="4" borderId="0" xfId="0" applyFont="1" applyFill="1" applyAlignment="1">
      <alignment horizontal="center" vertical="center"/>
    </xf>
    <xf numFmtId="0" fontId="30" fillId="19" borderId="0" xfId="3" quotePrefix="1" applyFill="1" applyBorder="1" applyAlignment="1" applyProtection="1">
      <alignment horizontal="center" vertical="center"/>
      <protection locked="0"/>
    </xf>
    <xf numFmtId="0" fontId="37" fillId="18" borderId="0" xfId="0" quotePrefix="1" applyFont="1" applyFill="1" applyBorder="1" applyAlignment="1">
      <alignment horizontal="left" vertical="center"/>
    </xf>
    <xf numFmtId="0" fontId="41" fillId="4" borderId="0" xfId="0" quotePrefix="1" applyFont="1" applyFill="1" applyBorder="1" applyAlignment="1" applyProtection="1">
      <alignment horizontal="center" vertical="center" wrapText="1"/>
      <protection locked="0"/>
    </xf>
    <xf numFmtId="0" fontId="19" fillId="6" borderId="0" xfId="0" applyFont="1" applyFill="1" applyBorder="1" applyAlignment="1" applyProtection="1">
      <alignment horizontal="center" vertical="center"/>
      <protection locked="0"/>
    </xf>
    <xf numFmtId="0" fontId="18" fillId="4" borderId="0" xfId="0" applyFont="1" applyFill="1" applyBorder="1" applyAlignment="1">
      <alignment horizontal="center" vertical="center"/>
    </xf>
    <xf numFmtId="0" fontId="42" fillId="4" borderId="0" xfId="0" applyFont="1" applyFill="1" applyBorder="1" applyAlignment="1">
      <alignment horizontal="center" vertical="center"/>
    </xf>
    <xf numFmtId="0" fontId="18" fillId="0" borderId="0" xfId="0" applyFont="1" applyBorder="1" applyAlignment="1">
      <alignment horizontal="center" vertical="center"/>
    </xf>
    <xf numFmtId="0" fontId="20" fillId="4" borderId="0" xfId="0" applyFont="1" applyFill="1" applyBorder="1" applyAlignment="1">
      <alignment horizontal="center" vertical="center"/>
    </xf>
    <xf numFmtId="0" fontId="42" fillId="0" borderId="0" xfId="0" applyFont="1" applyBorder="1" applyAlignment="1">
      <alignment horizontal="center" vertical="center"/>
    </xf>
    <xf numFmtId="0" fontId="38" fillId="4" borderId="0" xfId="0" applyFont="1" applyFill="1" applyBorder="1" applyAlignment="1">
      <alignment horizontal="center" vertical="center"/>
    </xf>
    <xf numFmtId="0" fontId="38" fillId="4" borderId="0" xfId="0" quotePrefix="1" applyFont="1" applyFill="1" applyBorder="1" applyAlignment="1">
      <alignment horizontal="center" vertical="center"/>
    </xf>
    <xf numFmtId="1" fontId="19" fillId="4" borderId="0" xfId="0" applyNumberFormat="1" applyFont="1" applyFill="1" applyBorder="1" applyAlignment="1">
      <alignment horizontal="center" vertical="center"/>
    </xf>
    <xf numFmtId="2" fontId="18" fillId="0" borderId="0" xfId="0" applyNumberFormat="1" applyFont="1" applyBorder="1" applyAlignment="1" applyProtection="1">
      <alignment horizontal="center" vertical="center"/>
      <protection locked="0"/>
    </xf>
    <xf numFmtId="1" fontId="42" fillId="7" borderId="0" xfId="0" applyNumberFormat="1" applyFont="1" applyFill="1" applyBorder="1" applyAlignment="1" applyProtection="1">
      <alignment horizontal="center" vertical="center"/>
      <protection locked="0"/>
    </xf>
    <xf numFmtId="0" fontId="8" fillId="6" borderId="0" xfId="1" applyFont="1" applyFill="1" applyBorder="1" applyAlignment="1">
      <alignment horizontal="center" vertical="center" wrapText="1"/>
    </xf>
    <xf numFmtId="0" fontId="18" fillId="4" borderId="9" xfId="0" applyFont="1" applyFill="1" applyBorder="1" applyAlignment="1">
      <alignment horizontal="center" vertical="center"/>
    </xf>
    <xf numFmtId="0" fontId="16" fillId="9" borderId="2" xfId="0" quotePrefix="1" applyFont="1" applyFill="1" applyBorder="1" applyAlignment="1">
      <alignment horizontal="center" vertical="center"/>
    </xf>
    <xf numFmtId="0" fontId="18" fillId="4" borderId="2" xfId="0" applyFont="1" applyFill="1" applyBorder="1" applyAlignment="1">
      <alignment horizontal="center" vertical="center"/>
    </xf>
    <xf numFmtId="0" fontId="51" fillId="4" borderId="0" xfId="0" applyFont="1" applyFill="1" applyBorder="1" applyAlignment="1">
      <alignment horizontal="center" vertical="center"/>
    </xf>
    <xf numFmtId="0" fontId="51" fillId="0" borderId="0" xfId="0" applyFont="1" applyBorder="1" applyAlignment="1">
      <alignment horizontal="center" vertical="center"/>
    </xf>
    <xf numFmtId="0" fontId="42" fillId="7" borderId="0" xfId="0" applyFont="1" applyFill="1" applyBorder="1" applyAlignment="1" applyProtection="1">
      <alignment horizontal="center" vertical="center"/>
      <protection locked="0"/>
    </xf>
    <xf numFmtId="2" fontId="18" fillId="20" borderId="0" xfId="0" applyNumberFormat="1" applyFont="1" applyFill="1" applyBorder="1" applyAlignment="1" applyProtection="1">
      <alignment horizontal="center" vertical="center"/>
      <protection locked="0"/>
    </xf>
    <xf numFmtId="2" fontId="18" fillId="15" borderId="0" xfId="0" applyNumberFormat="1" applyFont="1" applyFill="1" applyBorder="1" applyAlignment="1" applyProtection="1">
      <alignment horizontal="center" vertical="center"/>
      <protection locked="0"/>
    </xf>
    <xf numFmtId="0" fontId="18" fillId="4" borderId="8" xfId="0" applyFont="1" applyFill="1" applyBorder="1" applyAlignment="1">
      <alignment horizontal="center" vertical="center"/>
    </xf>
    <xf numFmtId="0" fontId="19" fillId="6" borderId="0" xfId="0" applyFont="1" applyFill="1" applyBorder="1" applyAlignment="1" applyProtection="1">
      <alignment horizontal="center" vertical="center"/>
      <protection locked="0"/>
    </xf>
    <xf numFmtId="0" fontId="18" fillId="22" borderId="1" xfId="0" applyFont="1" applyFill="1" applyBorder="1" applyAlignment="1">
      <alignment horizontal="center" vertical="center"/>
    </xf>
    <xf numFmtId="1" fontId="18" fillId="0" borderId="0" xfId="0" applyNumberFormat="1" applyFont="1" applyBorder="1" applyAlignment="1" applyProtection="1">
      <alignment horizontal="center" vertical="center"/>
      <protection locked="0"/>
    </xf>
    <xf numFmtId="2" fontId="19" fillId="18" borderId="0" xfId="0" applyNumberFormat="1" applyFont="1" applyFill="1" applyBorder="1" applyAlignment="1" applyProtection="1">
      <alignment horizontal="center" vertical="center"/>
      <protection locked="0"/>
    </xf>
    <xf numFmtId="1" fontId="18" fillId="15" borderId="0" xfId="0" applyNumberFormat="1" applyFont="1" applyFill="1" applyBorder="1" applyAlignment="1" applyProtection="1">
      <alignment horizontal="center" vertical="center"/>
      <protection locked="0"/>
    </xf>
    <xf numFmtId="2" fontId="18" fillId="11" borderId="0" xfId="0" applyNumberFormat="1" applyFont="1" applyFill="1" applyBorder="1" applyAlignment="1" applyProtection="1">
      <alignment horizontal="center" vertical="center"/>
      <protection locked="0"/>
    </xf>
    <xf numFmtId="0" fontId="18" fillId="0" borderId="0" xfId="0" applyFont="1" applyFill="1" applyBorder="1" applyAlignment="1">
      <alignment horizontal="center" vertical="center"/>
    </xf>
    <xf numFmtId="0" fontId="42" fillId="0" borderId="0" xfId="0" applyFont="1" applyFill="1" applyBorder="1" applyAlignment="1">
      <alignment horizontal="center" vertical="center"/>
    </xf>
    <xf numFmtId="1" fontId="18" fillId="20" borderId="0" xfId="0" applyNumberFormat="1" applyFont="1" applyFill="1" applyBorder="1" applyAlignment="1" applyProtection="1">
      <alignment horizontal="center" vertical="center"/>
      <protection locked="0"/>
    </xf>
    <xf numFmtId="0" fontId="18" fillId="22" borderId="1" xfId="0" quotePrefix="1" applyFont="1" applyFill="1" applyBorder="1" applyAlignment="1">
      <alignment horizontal="center" vertical="center"/>
    </xf>
    <xf numFmtId="0" fontId="18" fillId="4" borderId="1" xfId="0" applyFont="1" applyFill="1" applyBorder="1" applyAlignment="1">
      <alignment horizontal="center" vertical="center"/>
    </xf>
    <xf numFmtId="0" fontId="16" fillId="9" borderId="4" xfId="0" quotePrefix="1" applyFont="1" applyFill="1" applyBorder="1" applyAlignment="1">
      <alignment horizontal="center" vertical="center"/>
    </xf>
    <xf numFmtId="0" fontId="16" fillId="9" borderId="16" xfId="0" quotePrefix="1" applyFont="1" applyFill="1" applyBorder="1" applyAlignment="1">
      <alignment horizontal="center" vertical="center"/>
    </xf>
    <xf numFmtId="0" fontId="18" fillId="22" borderId="2" xfId="0" applyFont="1" applyFill="1" applyBorder="1" applyAlignment="1">
      <alignment horizontal="center" vertical="center"/>
    </xf>
    <xf numFmtId="0" fontId="0" fillId="0" borderId="0" xfId="0" applyAlignment="1">
      <alignment horizontal="center" vertical="center"/>
    </xf>
    <xf numFmtId="0" fontId="50" fillId="0" borderId="0" xfId="0" applyFont="1" applyAlignment="1">
      <alignment horizontal="center" vertical="center"/>
    </xf>
    <xf numFmtId="2" fontId="19" fillId="9" borderId="0" xfId="0" applyNumberFormat="1" applyFont="1" applyFill="1" applyBorder="1" applyAlignment="1" applyProtection="1">
      <alignment horizontal="center" vertical="center"/>
      <protection locked="0"/>
    </xf>
    <xf numFmtId="1" fontId="18" fillId="19" borderId="0" xfId="0" applyNumberFormat="1" applyFont="1" applyFill="1" applyBorder="1" applyAlignment="1" applyProtection="1">
      <alignment horizontal="center" vertical="center"/>
      <protection locked="0"/>
    </xf>
    <xf numFmtId="2" fontId="18" fillId="19" borderId="0" xfId="0" applyNumberFormat="1" applyFont="1" applyFill="1" applyBorder="1" applyAlignment="1" applyProtection="1">
      <alignment horizontal="center" vertical="center"/>
      <protection locked="0"/>
    </xf>
    <xf numFmtId="0" fontId="18" fillId="22" borderId="6" xfId="0" applyFont="1" applyFill="1" applyBorder="1" applyAlignment="1">
      <alignment horizontal="center" vertical="center"/>
    </xf>
    <xf numFmtId="0" fontId="21" fillId="22" borderId="6" xfId="0" applyFont="1" applyFill="1" applyBorder="1" applyAlignment="1">
      <alignment horizontal="center" vertical="center"/>
    </xf>
    <xf numFmtId="0" fontId="0" fillId="4" borderId="0" xfId="0" applyFill="1" applyAlignment="1">
      <alignment horizontal="center" vertical="center"/>
    </xf>
    <xf numFmtId="0" fontId="0" fillId="4" borderId="0" xfId="0" applyFill="1" applyBorder="1" applyAlignment="1">
      <alignment horizontal="center" vertical="center"/>
    </xf>
    <xf numFmtId="0" fontId="50" fillId="4" borderId="0" xfId="0" applyFont="1" applyFill="1" applyAlignment="1">
      <alignment horizontal="center" vertical="center"/>
    </xf>
    <xf numFmtId="0" fontId="29" fillId="22" borderId="1" xfId="0" quotePrefix="1" applyFont="1" applyFill="1" applyBorder="1" applyAlignment="1">
      <alignment horizontal="center" vertical="center"/>
    </xf>
    <xf numFmtId="0" fontId="0" fillId="0" borderId="0" xfId="0" applyBorder="1" applyAlignment="1">
      <alignment horizontal="center" vertical="center"/>
    </xf>
    <xf numFmtId="165" fontId="19" fillId="9" borderId="0" xfId="0" applyNumberFormat="1" applyFont="1" applyFill="1" applyBorder="1" applyAlignment="1" applyProtection="1">
      <alignment horizontal="center" vertical="center"/>
      <protection locked="0"/>
    </xf>
    <xf numFmtId="2" fontId="19" fillId="9" borderId="0" xfId="0" applyNumberFormat="1" applyFont="1" applyFill="1" applyBorder="1" applyAlignment="1">
      <alignment horizontal="center" vertical="center"/>
    </xf>
    <xf numFmtId="2" fontId="18" fillId="0" borderId="0" xfId="0" applyNumberFormat="1" applyFont="1" applyBorder="1" applyAlignment="1">
      <alignment horizontal="center" vertical="center"/>
    </xf>
    <xf numFmtId="2" fontId="42" fillId="4" borderId="0" xfId="0" applyNumberFormat="1" applyFont="1" applyFill="1" applyBorder="1" applyAlignment="1">
      <alignment horizontal="center" vertical="center"/>
    </xf>
    <xf numFmtId="0" fontId="17" fillId="4" borderId="0" xfId="0" applyFont="1" applyFill="1" applyBorder="1" applyAlignment="1">
      <alignment horizontal="center" vertical="center"/>
    </xf>
    <xf numFmtId="2" fontId="17" fillId="4" borderId="0" xfId="0" applyNumberFormat="1" applyFont="1" applyFill="1" applyBorder="1" applyAlignment="1">
      <alignment horizontal="center" vertical="center"/>
    </xf>
    <xf numFmtId="0" fontId="19" fillId="6" borderId="0" xfId="0" applyFont="1" applyFill="1" applyBorder="1" applyAlignment="1" applyProtection="1">
      <alignment horizontal="center" vertical="center"/>
      <protection locked="0"/>
    </xf>
    <xf numFmtId="0" fontId="46" fillId="4" borderId="0" xfId="0" applyFont="1" applyFill="1" applyBorder="1" applyAlignment="1">
      <alignment horizontal="center" vertical="center"/>
    </xf>
    <xf numFmtId="0" fontId="29" fillId="4" borderId="0" xfId="0" applyFont="1" applyFill="1" applyBorder="1" applyAlignment="1">
      <alignment horizontal="center" vertical="center"/>
    </xf>
    <xf numFmtId="2" fontId="46" fillId="4" borderId="0" xfId="0" applyNumberFormat="1" applyFont="1" applyFill="1" applyBorder="1" applyAlignment="1">
      <alignment horizontal="center" vertical="center"/>
    </xf>
    <xf numFmtId="0" fontId="18" fillId="7" borderId="0" xfId="0" quotePrefix="1" applyFont="1" applyFill="1" applyBorder="1" applyAlignment="1">
      <alignment horizontal="center" vertical="center"/>
    </xf>
    <xf numFmtId="0" fontId="21" fillId="22" borderId="1" xfId="0" applyFont="1" applyFill="1" applyBorder="1" applyAlignment="1">
      <alignment horizontal="center" vertical="center"/>
    </xf>
    <xf numFmtId="1" fontId="18" fillId="0" borderId="0" xfId="0" applyNumberFormat="1" applyFont="1" applyBorder="1" applyAlignment="1">
      <alignment horizontal="center" vertical="center"/>
    </xf>
    <xf numFmtId="1" fontId="18" fillId="19" borderId="0" xfId="0" applyNumberFormat="1" applyFont="1" applyFill="1" applyBorder="1" applyAlignment="1">
      <alignment horizontal="center" vertical="center"/>
    </xf>
    <xf numFmtId="2" fontId="18" fillId="19" borderId="0" xfId="0" applyNumberFormat="1" applyFont="1" applyFill="1" applyBorder="1" applyAlignment="1">
      <alignment horizontal="center" vertical="center"/>
    </xf>
    <xf numFmtId="0" fontId="21" fillId="22" borderId="1" xfId="0" quotePrefix="1" applyFont="1" applyFill="1" applyBorder="1" applyAlignment="1">
      <alignment horizontal="center" vertical="center"/>
    </xf>
    <xf numFmtId="0" fontId="18" fillId="4" borderId="0" xfId="0" applyFont="1" applyFill="1" applyBorder="1" applyAlignment="1" applyProtection="1">
      <alignment horizontal="center" vertical="center"/>
      <protection locked="0"/>
    </xf>
    <xf numFmtId="0" fontId="19" fillId="6" borderId="0" xfId="0" applyFont="1" applyFill="1" applyBorder="1" applyAlignment="1" applyProtection="1">
      <alignment horizontal="center" vertical="center"/>
      <protection locked="0"/>
    </xf>
    <xf numFmtId="0" fontId="17" fillId="4" borderId="0" xfId="0" quotePrefix="1" applyFont="1" applyFill="1" applyBorder="1" applyAlignment="1">
      <alignment vertical="center"/>
    </xf>
    <xf numFmtId="0" fontId="17" fillId="4" borderId="0" xfId="0" applyFont="1" applyFill="1" applyBorder="1" applyAlignment="1">
      <alignment vertical="center"/>
    </xf>
    <xf numFmtId="2" fontId="2" fillId="0" borderId="0" xfId="2" applyNumberFormat="1" applyFont="1" applyFill="1" applyAlignment="1">
      <alignment horizontal="right" vertical="center" indent="1"/>
    </xf>
    <xf numFmtId="0" fontId="55" fillId="4" borderId="0" xfId="1" applyFont="1" applyFill="1" applyBorder="1" applyAlignment="1">
      <alignment horizontal="center" vertical="center" wrapText="1"/>
    </xf>
    <xf numFmtId="0" fontId="9" fillId="4" borderId="0" xfId="1" applyFont="1" applyFill="1" applyBorder="1" applyAlignment="1">
      <alignment horizontal="center" vertical="center" wrapText="1"/>
    </xf>
    <xf numFmtId="1" fontId="56" fillId="2" borderId="0" xfId="1" applyNumberFormat="1" applyFont="1" applyFill="1" applyBorder="1" applyAlignment="1">
      <alignment horizontal="right" vertical="center" wrapText="1" indent="1"/>
    </xf>
    <xf numFmtId="1" fontId="13" fillId="19" borderId="0" xfId="1" applyNumberFormat="1" applyFont="1" applyFill="1" applyBorder="1" applyAlignment="1">
      <alignment horizontal="right" vertical="center" wrapText="1" indent="1"/>
    </xf>
    <xf numFmtId="0" fontId="2" fillId="0" borderId="0" xfId="0" applyFont="1" applyFill="1" applyAlignment="1">
      <alignment horizontal="left" vertical="center"/>
    </xf>
    <xf numFmtId="0" fontId="15" fillId="0" borderId="0" xfId="0" quotePrefix="1" applyFont="1" applyFill="1" applyBorder="1" applyAlignment="1">
      <alignment horizontal="right" vertical="center" indent="1"/>
    </xf>
    <xf numFmtId="0" fontId="57" fillId="17" borderId="0" xfId="0" quotePrefix="1" applyFont="1" applyFill="1" applyBorder="1" applyAlignment="1">
      <alignment horizontal="left" vertical="center"/>
    </xf>
    <xf numFmtId="0" fontId="8" fillId="6" borderId="0" xfId="1" quotePrefix="1" applyFont="1" applyFill="1" applyBorder="1" applyAlignment="1">
      <alignment vertical="center" wrapText="1"/>
    </xf>
    <xf numFmtId="2" fontId="18" fillId="0" borderId="0" xfId="0" applyNumberFormat="1" applyFont="1" applyBorder="1" applyAlignment="1">
      <alignment horizontal="right" indent="1"/>
    </xf>
    <xf numFmtId="165" fontId="19" fillId="9" borderId="0" xfId="0" applyNumberFormat="1" applyFont="1" applyFill="1" applyBorder="1" applyAlignment="1">
      <alignment horizontal="right" indent="1"/>
    </xf>
    <xf numFmtId="2" fontId="18" fillId="19" borderId="0" xfId="0" applyNumberFormat="1" applyFont="1" applyFill="1" applyBorder="1" applyAlignment="1">
      <alignment horizontal="right" indent="1"/>
    </xf>
    <xf numFmtId="2" fontId="19" fillId="18" borderId="0" xfId="0" applyNumberFormat="1" applyFont="1" applyFill="1" applyBorder="1" applyAlignment="1">
      <alignment horizontal="right" indent="1"/>
    </xf>
    <xf numFmtId="2" fontId="18" fillId="11" borderId="0" xfId="0" applyNumberFormat="1" applyFont="1" applyFill="1" applyBorder="1" applyAlignment="1">
      <alignment horizontal="right" indent="1"/>
    </xf>
    <xf numFmtId="2" fontId="19" fillId="9" borderId="0" xfId="0" applyNumberFormat="1" applyFont="1" applyFill="1" applyBorder="1" applyAlignment="1">
      <alignment horizontal="right" indent="1"/>
    </xf>
    <xf numFmtId="0" fontId="32" fillId="2" borderId="0" xfId="0" quotePrefix="1" applyFont="1" applyFill="1" applyAlignment="1">
      <alignment horizontal="center" vertical="center" wrapText="1"/>
    </xf>
    <xf numFmtId="0" fontId="24" fillId="4" borderId="0" xfId="0" quotePrefix="1" applyFont="1" applyFill="1" applyAlignment="1">
      <alignment horizontal="center" vertical="center" wrapText="1"/>
    </xf>
    <xf numFmtId="164" fontId="25" fillId="4" borderId="0" xfId="0" quotePrefix="1" applyNumberFormat="1" applyFont="1" applyFill="1" applyAlignment="1">
      <alignment horizontal="right" vertical="center" wrapText="1" indent="1"/>
    </xf>
    <xf numFmtId="0" fontId="15" fillId="4" borderId="0" xfId="0" quotePrefix="1" applyFont="1" applyFill="1" applyAlignment="1">
      <alignment horizontal="right" vertical="center" wrapText="1" indent="1"/>
    </xf>
    <xf numFmtId="2" fontId="28" fillId="4" borderId="0" xfId="2" quotePrefix="1" applyNumberFormat="1" applyFont="1" applyFill="1" applyAlignment="1">
      <alignment horizontal="right" vertical="center" wrapText="1" indent="1"/>
    </xf>
    <xf numFmtId="2" fontId="15" fillId="4" borderId="0" xfId="2" quotePrefix="1" applyNumberFormat="1" applyFont="1" applyFill="1" applyAlignment="1">
      <alignment horizontal="right" vertical="center" wrapText="1" indent="1"/>
    </xf>
    <xf numFmtId="0" fontId="19" fillId="6" borderId="0" xfId="0" applyFont="1" applyFill="1" applyBorder="1" applyAlignment="1" applyProtection="1">
      <alignment horizontal="center" vertical="center"/>
      <protection locked="0"/>
    </xf>
    <xf numFmtId="0" fontId="2" fillId="15" borderId="0" xfId="1" quotePrefix="1" applyFont="1" applyFill="1" applyBorder="1" applyAlignment="1">
      <alignment horizontal="left" vertical="center" wrapText="1"/>
    </xf>
    <xf numFmtId="0" fontId="2" fillId="15" borderId="0" xfId="0" quotePrefix="1" applyFont="1" applyFill="1" applyAlignment="1">
      <alignment horizontal="left" vertical="center"/>
    </xf>
    <xf numFmtId="0" fontId="17" fillId="23" borderId="16" xfId="0" applyFont="1" applyFill="1" applyBorder="1" applyAlignment="1">
      <alignment horizontal="center" vertical="center"/>
    </xf>
    <xf numFmtId="0" fontId="46" fillId="4" borderId="14" xfId="0" quotePrefix="1" applyFont="1" applyFill="1" applyBorder="1" applyAlignment="1">
      <alignment horizontal="center" vertical="center" wrapText="1"/>
    </xf>
    <xf numFmtId="0" fontId="42" fillId="4" borderId="13" xfId="0" applyFont="1" applyFill="1" applyBorder="1" applyAlignment="1">
      <alignment horizontal="center" vertical="center"/>
    </xf>
    <xf numFmtId="0" fontId="46" fillId="4" borderId="15" xfId="0" quotePrefix="1" applyFont="1" applyFill="1" applyBorder="1" applyAlignment="1" applyProtection="1">
      <alignment horizontal="center" vertical="center" wrapText="1"/>
      <protection locked="0"/>
    </xf>
    <xf numFmtId="0" fontId="17" fillId="23" borderId="3" xfId="0" applyFont="1" applyFill="1" applyBorder="1" applyAlignment="1" applyProtection="1">
      <alignment horizontal="center" vertical="center"/>
      <protection locked="0"/>
    </xf>
    <xf numFmtId="164" fontId="59" fillId="4" borderId="12" xfId="0" quotePrefix="1" applyNumberFormat="1" applyFont="1" applyFill="1" applyBorder="1" applyAlignment="1">
      <alignment horizontal="center" vertical="center" wrapText="1"/>
    </xf>
    <xf numFmtId="0" fontId="60" fillId="4" borderId="0" xfId="0" applyFont="1" applyFill="1" applyBorder="1" applyAlignment="1">
      <alignment horizontal="center" vertical="center"/>
    </xf>
    <xf numFmtId="164" fontId="59" fillId="4" borderId="0" xfId="0" applyNumberFormat="1" applyFont="1" applyFill="1" applyBorder="1" applyAlignment="1">
      <alignment horizontal="center" vertical="center" wrapText="1"/>
    </xf>
    <xf numFmtId="0" fontId="58" fillId="4" borderId="0" xfId="0" quotePrefix="1" applyFont="1" applyFill="1" applyBorder="1" applyAlignment="1">
      <alignment horizontal="center" vertical="center"/>
    </xf>
    <xf numFmtId="0" fontId="61" fillId="4" borderId="0" xfId="0" applyFont="1" applyFill="1" applyBorder="1" applyAlignment="1">
      <alignment horizontal="center" vertical="center"/>
    </xf>
    <xf numFmtId="0" fontId="62" fillId="4" borderId="0" xfId="0" applyFont="1" applyFill="1" applyAlignment="1">
      <alignment horizontal="center" vertical="center"/>
    </xf>
    <xf numFmtId="0" fontId="62" fillId="0" borderId="0" xfId="0" applyFont="1" applyAlignment="1">
      <alignment horizontal="center" vertical="center"/>
    </xf>
    <xf numFmtId="0" fontId="60" fillId="0" borderId="0" xfId="0" applyFont="1" applyFill="1" applyBorder="1" applyAlignment="1">
      <alignment horizontal="center" vertical="center"/>
    </xf>
    <xf numFmtId="0" fontId="60" fillId="0" borderId="0" xfId="0" applyFont="1" applyBorder="1" applyAlignment="1">
      <alignment horizontal="center" vertical="center"/>
    </xf>
    <xf numFmtId="0" fontId="59" fillId="4" borderId="0" xfId="0" applyFont="1" applyFill="1" applyBorder="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vertical="center"/>
    </xf>
    <xf numFmtId="0" fontId="63" fillId="4" borderId="0"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0" xfId="0" applyFont="1" applyBorder="1" applyAlignment="1">
      <alignment horizontal="center" vertical="center"/>
    </xf>
    <xf numFmtId="0" fontId="64" fillId="4" borderId="0" xfId="0" applyFont="1" applyFill="1" applyBorder="1" applyAlignment="1">
      <alignment horizontal="center" vertical="center"/>
    </xf>
    <xf numFmtId="0" fontId="46" fillId="4" borderId="14" xfId="0" quotePrefix="1" applyFont="1" applyFill="1" applyBorder="1" applyAlignment="1" applyProtection="1">
      <alignment horizontal="center" vertical="center" wrapText="1"/>
      <protection locked="0"/>
    </xf>
    <xf numFmtId="0" fontId="46" fillId="4" borderId="0" xfId="0" quotePrefix="1" applyFont="1" applyFill="1" applyBorder="1" applyAlignment="1" applyProtection="1">
      <alignment horizontal="center" vertical="center" wrapText="1"/>
      <protection locked="0"/>
    </xf>
    <xf numFmtId="0" fontId="60" fillId="4" borderId="0" xfId="0" applyFont="1" applyFill="1" applyBorder="1" applyAlignment="1">
      <alignment horizontal="center"/>
    </xf>
    <xf numFmtId="0" fontId="62" fillId="0" borderId="0" xfId="0" applyFont="1"/>
    <xf numFmtId="0" fontId="64" fillId="4" borderId="0" xfId="0" applyFont="1" applyFill="1" applyBorder="1" applyAlignment="1">
      <alignment horizontal="center"/>
    </xf>
    <xf numFmtId="0" fontId="36" fillId="23" borderId="0" xfId="0" quotePrefix="1" applyFont="1" applyFill="1" applyBorder="1" applyAlignment="1">
      <alignment horizontal="left" vertical="center"/>
    </xf>
    <xf numFmtId="0" fontId="36" fillId="23" borderId="0" xfId="0" quotePrefix="1" applyFont="1" applyFill="1" applyBorder="1" applyAlignment="1">
      <alignment horizontal="center" vertical="center"/>
    </xf>
    <xf numFmtId="0" fontId="36" fillId="23" borderId="0" xfId="0" quotePrefix="1" applyFont="1" applyFill="1" applyBorder="1" applyAlignment="1">
      <alignment vertical="center"/>
    </xf>
    <xf numFmtId="0" fontId="17" fillId="23" borderId="8" xfId="0" applyFont="1" applyFill="1" applyBorder="1" applyAlignment="1" applyProtection="1">
      <alignment horizontal="center" vertical="center"/>
      <protection locked="0"/>
    </xf>
    <xf numFmtId="0" fontId="17" fillId="23" borderId="1" xfId="0" quotePrefix="1" applyFont="1" applyFill="1" applyBorder="1" applyAlignment="1" applyProtection="1">
      <alignment horizontal="center" vertical="center"/>
      <protection locked="0"/>
    </xf>
    <xf numFmtId="0" fontId="36" fillId="23" borderId="0" xfId="0" applyFont="1" applyFill="1" applyBorder="1" applyAlignment="1">
      <alignment horizontal="center" vertical="center"/>
    </xf>
    <xf numFmtId="0" fontId="17" fillId="23" borderId="1" xfId="0" quotePrefix="1" applyFont="1" applyFill="1" applyBorder="1" applyAlignment="1">
      <alignment horizontal="center" vertical="center"/>
    </xf>
    <xf numFmtId="0" fontId="17" fillId="23" borderId="1" xfId="0" applyFont="1" applyFill="1" applyBorder="1" applyAlignment="1">
      <alignment horizontal="center" vertical="center"/>
    </xf>
    <xf numFmtId="0" fontId="17" fillId="23" borderId="4" xfId="0" quotePrefix="1" applyFont="1" applyFill="1" applyBorder="1" applyAlignment="1">
      <alignment horizontal="center" vertical="center"/>
    </xf>
    <xf numFmtId="0" fontId="17" fillId="23" borderId="1" xfId="0" applyFont="1" applyFill="1" applyBorder="1" applyAlignment="1" applyProtection="1">
      <alignment horizontal="center" vertical="center"/>
      <protection locked="0"/>
    </xf>
    <xf numFmtId="0" fontId="17" fillId="23" borderId="0" xfId="0" applyFont="1" applyFill="1" applyBorder="1" applyAlignment="1" applyProtection="1">
      <alignment horizontal="center" vertical="center"/>
      <protection locked="0"/>
    </xf>
    <xf numFmtId="0" fontId="18" fillId="23" borderId="0" xfId="0" applyFont="1" applyFill="1" applyBorder="1" applyAlignment="1">
      <alignment horizontal="center" vertical="center"/>
    </xf>
    <xf numFmtId="0" fontId="17" fillId="23" borderId="16" xfId="0" applyFont="1" applyFill="1" applyBorder="1" applyAlignment="1" applyProtection="1">
      <alignment horizontal="center" vertical="center"/>
      <protection locked="0"/>
    </xf>
    <xf numFmtId="0" fontId="17" fillId="23" borderId="8" xfId="0" quotePrefix="1" applyFont="1" applyFill="1" applyBorder="1" applyAlignment="1" applyProtection="1">
      <alignment horizontal="center" vertical="center"/>
      <protection locked="0"/>
    </xf>
    <xf numFmtId="0" fontId="17" fillId="23" borderId="0" xfId="0" applyFont="1" applyFill="1" applyBorder="1" applyAlignment="1">
      <alignment horizontal="center" vertical="center"/>
    </xf>
    <xf numFmtId="0" fontId="17" fillId="23" borderId="4" xfId="0" applyFont="1" applyFill="1" applyBorder="1" applyAlignment="1">
      <alignment horizontal="center" vertical="center"/>
    </xf>
    <xf numFmtId="0" fontId="17" fillId="23" borderId="4" xfId="0" quotePrefix="1" applyFont="1" applyFill="1" applyBorder="1" applyAlignment="1" applyProtection="1">
      <alignment horizontal="center" vertical="center"/>
      <protection locked="0"/>
    </xf>
    <xf numFmtId="0" fontId="36" fillId="23" borderId="0" xfId="0" quotePrefix="1" applyFont="1" applyFill="1" applyBorder="1" applyAlignment="1">
      <alignment horizontal="left"/>
    </xf>
    <xf numFmtId="0" fontId="36" fillId="23" borderId="2" xfId="0" quotePrefix="1" applyFont="1" applyFill="1" applyBorder="1" applyAlignment="1">
      <alignment horizontal="left" vertical="center"/>
    </xf>
    <xf numFmtId="0" fontId="36" fillId="23" borderId="3" xfId="0" quotePrefix="1" applyFont="1" applyFill="1" applyBorder="1" applyAlignment="1">
      <alignment horizontal="center" vertical="center"/>
    </xf>
    <xf numFmtId="0" fontId="36" fillId="23" borderId="6" xfId="0" quotePrefix="1" applyFont="1" applyFill="1" applyBorder="1" applyAlignment="1">
      <alignment horizontal="center" vertical="center"/>
    </xf>
    <xf numFmtId="0" fontId="58" fillId="4" borderId="0" xfId="0" quotePrefix="1" applyFont="1" applyFill="1" applyBorder="1" applyAlignment="1" applyProtection="1">
      <alignment vertical="center"/>
    </xf>
    <xf numFmtId="0" fontId="58" fillId="4" borderId="0" xfId="0" quotePrefix="1" applyFont="1" applyFill="1" applyBorder="1" applyAlignment="1" applyProtection="1">
      <alignment horizontal="left" vertical="center"/>
    </xf>
    <xf numFmtId="2" fontId="6" fillId="15" borderId="0" xfId="1" applyNumberFormat="1" applyFont="1" applyFill="1" applyBorder="1" applyAlignment="1">
      <alignment horizontal="right" vertical="center" wrapText="1" indent="1"/>
    </xf>
    <xf numFmtId="2" fontId="19" fillId="18" borderId="0" xfId="0" applyNumberFormat="1" applyFont="1" applyFill="1" applyBorder="1" applyAlignment="1" applyProtection="1">
      <alignment horizontal="right" indent="1"/>
      <protection locked="0"/>
    </xf>
    <xf numFmtId="2" fontId="18" fillId="11" borderId="0" xfId="0" applyNumberFormat="1" applyFont="1" applyFill="1" applyBorder="1" applyAlignment="1" applyProtection="1">
      <alignment horizontal="right" indent="1"/>
      <protection locked="0"/>
    </xf>
    <xf numFmtId="165" fontId="19" fillId="9" borderId="0" xfId="0" applyNumberFormat="1" applyFont="1" applyFill="1" applyBorder="1" applyAlignment="1" applyProtection="1">
      <alignment horizontal="right" indent="1"/>
      <protection locked="0"/>
    </xf>
    <xf numFmtId="0" fontId="18" fillId="7" borderId="0" xfId="0" quotePrefix="1" applyFont="1" applyFill="1" applyBorder="1" applyAlignment="1" applyProtection="1">
      <alignment horizontal="left" vertical="center"/>
    </xf>
    <xf numFmtId="0" fontId="18" fillId="7" borderId="0" xfId="0" applyFont="1" applyFill="1" applyBorder="1" applyAlignment="1">
      <alignment horizontal="center" vertical="center"/>
    </xf>
    <xf numFmtId="0" fontId="19" fillId="6" borderId="0" xfId="0" applyFont="1" applyFill="1" applyBorder="1" applyAlignment="1" applyProtection="1">
      <alignment horizontal="right" indent="1"/>
      <protection locked="0"/>
    </xf>
    <xf numFmtId="0" fontId="18" fillId="4" borderId="0" xfId="0" applyFont="1" applyFill="1" applyBorder="1" applyAlignment="1">
      <alignment horizontal="right" indent="1"/>
    </xf>
    <xf numFmtId="164" fontId="65" fillId="4" borderId="0" xfId="0" applyNumberFormat="1" applyFont="1" applyFill="1" applyBorder="1" applyAlignment="1">
      <alignment horizontal="center" vertical="center" wrapText="1"/>
    </xf>
    <xf numFmtId="2" fontId="18" fillId="0" borderId="0" xfId="0" applyNumberFormat="1" applyFont="1" applyBorder="1" applyAlignment="1" applyProtection="1">
      <alignment horizontal="center"/>
      <protection locked="0"/>
    </xf>
    <xf numFmtId="2" fontId="18" fillId="19" borderId="0" xfId="0" applyNumberFormat="1" applyFont="1" applyFill="1" applyBorder="1" applyAlignment="1" applyProtection="1">
      <alignment horizontal="center"/>
      <protection locked="0"/>
    </xf>
    <xf numFmtId="2" fontId="66" fillId="4" borderId="0" xfId="0" applyNumberFormat="1" applyFont="1" applyFill="1" applyBorder="1" applyAlignment="1">
      <alignment horizontal="center" vertical="center"/>
    </xf>
    <xf numFmtId="0" fontId="58" fillId="4" borderId="0" xfId="0" quotePrefix="1" applyFont="1" applyFill="1" applyBorder="1" applyAlignment="1">
      <alignment horizontal="center" vertical="center"/>
    </xf>
    <xf numFmtId="0" fontId="17" fillId="23" borderId="9" xfId="0" applyFont="1" applyFill="1" applyBorder="1" applyAlignment="1">
      <alignment horizontal="center" vertical="center"/>
    </xf>
    <xf numFmtId="0" fontId="58" fillId="4" borderId="0" xfId="0" quotePrefix="1" applyFont="1" applyFill="1" applyBorder="1" applyAlignment="1">
      <alignment horizontal="center" vertical="center"/>
    </xf>
    <xf numFmtId="0" fontId="18" fillId="24" borderId="0" xfId="0" applyFont="1" applyFill="1" applyBorder="1" applyAlignment="1">
      <alignment horizontal="center" vertical="center"/>
    </xf>
    <xf numFmtId="0" fontId="18" fillId="21" borderId="0" xfId="0" applyFont="1" applyFill="1" applyBorder="1" applyAlignment="1">
      <alignment horizontal="center" vertical="center"/>
    </xf>
    <xf numFmtId="0" fontId="58" fillId="4" borderId="0" xfId="0" quotePrefix="1" applyFont="1" applyFill="1" applyBorder="1" applyAlignment="1">
      <alignment horizontal="left" vertical="center"/>
    </xf>
    <xf numFmtId="0" fontId="17" fillId="23" borderId="18" xfId="0" quotePrefix="1" applyFont="1" applyFill="1" applyBorder="1" applyAlignment="1" applyProtection="1">
      <alignment horizontal="center" vertical="center"/>
      <protection locked="0"/>
    </xf>
    <xf numFmtId="2" fontId="18" fillId="0" borderId="1" xfId="0" quotePrefix="1" applyNumberFormat="1" applyFont="1" applyBorder="1" applyAlignment="1" applyProtection="1">
      <alignment horizontal="center" vertical="center"/>
      <protection locked="0"/>
    </xf>
    <xf numFmtId="0" fontId="51" fillId="4" borderId="0" xfId="0" quotePrefix="1"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18" fillId="4"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8" fillId="22" borderId="1" xfId="0" applyFont="1" applyFill="1" applyBorder="1" applyAlignment="1" applyProtection="1">
      <alignment horizontal="center" vertical="center"/>
    </xf>
    <xf numFmtId="0" fontId="18" fillId="22" borderId="1" xfId="0" quotePrefix="1" applyFont="1" applyFill="1" applyBorder="1" applyAlignment="1" applyProtection="1">
      <alignment horizontal="center" vertical="center"/>
    </xf>
    <xf numFmtId="0" fontId="18" fillId="22" borderId="0" xfId="0" quotePrefix="1" applyFont="1" applyFill="1" applyBorder="1" applyAlignment="1" applyProtection="1">
      <alignment horizontal="center" vertical="center"/>
    </xf>
    <xf numFmtId="0" fontId="18" fillId="22" borderId="0" xfId="0" applyFont="1" applyFill="1" applyBorder="1" applyAlignment="1" applyProtection="1">
      <alignment horizontal="center" vertical="center"/>
    </xf>
    <xf numFmtId="0" fontId="38" fillId="4" borderId="0" xfId="0" applyFont="1" applyFill="1" applyBorder="1" applyAlignment="1" applyProtection="1">
      <alignment horizontal="center" vertical="center"/>
    </xf>
    <xf numFmtId="0" fontId="38" fillId="4" borderId="0" xfId="0" quotePrefix="1" applyFont="1" applyFill="1" applyBorder="1" applyAlignment="1" applyProtection="1">
      <alignment horizontal="center" vertical="center"/>
    </xf>
    <xf numFmtId="0" fontId="51" fillId="0" borderId="0" xfId="0" applyFont="1" applyBorder="1" applyAlignment="1" applyProtection="1">
      <alignment horizontal="center" vertical="center"/>
    </xf>
    <xf numFmtId="0" fontId="18" fillId="9" borderId="0" xfId="0" quotePrefix="1" applyFont="1" applyFill="1" applyBorder="1" applyAlignment="1" applyProtection="1">
      <alignment horizontal="center" vertical="center"/>
    </xf>
    <xf numFmtId="0" fontId="19" fillId="4" borderId="0" xfId="0" quotePrefix="1" applyFont="1" applyFill="1" applyBorder="1" applyAlignment="1" applyProtection="1">
      <alignment horizontal="center" vertical="center"/>
    </xf>
    <xf numFmtId="0" fontId="19" fillId="4" borderId="0" xfId="0" applyFont="1" applyFill="1" applyBorder="1" applyAlignment="1" applyProtection="1">
      <alignment horizontal="center" vertical="center"/>
    </xf>
    <xf numFmtId="0" fontId="18" fillId="9" borderId="0" xfId="0" quotePrefix="1" applyFont="1" applyFill="1" applyBorder="1" applyAlignment="1" applyProtection="1">
      <alignment horizontal="left" vertical="center"/>
    </xf>
    <xf numFmtId="166" fontId="18" fillId="22" borderId="1" xfId="0" quotePrefix="1" applyNumberFormat="1" applyFont="1" applyFill="1" applyBorder="1" applyAlignment="1" applyProtection="1">
      <alignment horizontal="center" vertical="center"/>
    </xf>
    <xf numFmtId="0" fontId="18" fillId="9" borderId="0" xfId="0" applyFont="1" applyFill="1" applyBorder="1" applyAlignment="1" applyProtection="1">
      <alignment horizontal="center" vertical="center"/>
    </xf>
    <xf numFmtId="0" fontId="68" fillId="25" borderId="0" xfId="0" applyFont="1" applyFill="1" applyBorder="1" applyAlignment="1" applyProtection="1">
      <alignment horizontal="center" vertical="center"/>
    </xf>
    <xf numFmtId="0" fontId="68" fillId="26" borderId="0" xfId="0" applyFont="1" applyFill="1" applyBorder="1" applyAlignment="1" applyProtection="1">
      <alignment horizontal="center" vertical="center"/>
    </xf>
    <xf numFmtId="0" fontId="68" fillId="27" borderId="0" xfId="0" applyFont="1" applyFill="1" applyBorder="1" applyAlignment="1" applyProtection="1">
      <alignment horizontal="center" vertical="center"/>
    </xf>
    <xf numFmtId="0" fontId="42" fillId="4" borderId="0" xfId="0" applyFont="1" applyFill="1" applyBorder="1" applyAlignment="1" applyProtection="1">
      <alignment horizontal="center" vertical="center"/>
    </xf>
    <xf numFmtId="0" fontId="18" fillId="28" borderId="0" xfId="0" quotePrefix="1" applyFont="1" applyFill="1" applyBorder="1" applyAlignment="1" applyProtection="1">
      <alignment horizontal="center" vertical="center"/>
    </xf>
    <xf numFmtId="0" fontId="18" fillId="29" borderId="0" xfId="0" quotePrefix="1" applyFont="1" applyFill="1" applyBorder="1" applyAlignment="1" applyProtection="1">
      <alignment horizontal="center" vertical="center"/>
    </xf>
    <xf numFmtId="0" fontId="18" fillId="20"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2" fontId="21" fillId="0" borderId="0" xfId="0" quotePrefix="1" applyNumberFormat="1" applyFont="1" applyBorder="1" applyAlignment="1" applyProtection="1">
      <alignment horizontal="center" vertical="center"/>
      <protection locked="0"/>
    </xf>
    <xf numFmtId="2" fontId="69" fillId="4" borderId="0" xfId="1" applyNumberFormat="1" applyFont="1" applyFill="1" applyBorder="1" applyAlignment="1">
      <alignment horizontal="right" vertical="center" wrapText="1" indent="1"/>
    </xf>
    <xf numFmtId="0" fontId="58" fillId="4" borderId="0" xfId="0" quotePrefix="1" applyFont="1" applyFill="1" applyBorder="1" applyAlignment="1"/>
    <xf numFmtId="0" fontId="70" fillId="28" borderId="0" xfId="0" quotePrefix="1" applyFont="1" applyFill="1" applyAlignment="1">
      <alignment horizontal="center" vertical="center"/>
    </xf>
    <xf numFmtId="0" fontId="71" fillId="28" borderId="0" xfId="0" applyFont="1" applyFill="1" applyAlignment="1">
      <alignment horizontal="center" vertical="center"/>
    </xf>
    <xf numFmtId="0" fontId="71" fillId="0" borderId="0" xfId="0" applyFont="1" applyAlignment="1">
      <alignment horizontal="center" vertical="center"/>
    </xf>
    <xf numFmtId="0" fontId="70" fillId="28" borderId="0" xfId="0" applyFont="1" applyFill="1" applyAlignment="1">
      <alignment horizontal="center" vertical="center"/>
    </xf>
    <xf numFmtId="0" fontId="70" fillId="11" borderId="0" xfId="0" applyFont="1" applyFill="1" applyAlignment="1">
      <alignment horizontal="center" vertical="center"/>
    </xf>
    <xf numFmtId="0" fontId="71" fillId="11" borderId="0" xfId="0" applyFont="1" applyFill="1" applyAlignment="1">
      <alignment horizontal="center" vertical="center"/>
    </xf>
    <xf numFmtId="0" fontId="42" fillId="11" borderId="0" xfId="0" quotePrefix="1" applyFont="1" applyFill="1" applyAlignment="1">
      <alignment horizontal="center" vertical="center"/>
    </xf>
    <xf numFmtId="0" fontId="71" fillId="30" borderId="0" xfId="0" quotePrefix="1" applyFont="1" applyFill="1" applyAlignment="1">
      <alignment horizontal="center" vertical="center"/>
    </xf>
    <xf numFmtId="0" fontId="71" fillId="30" borderId="0" xfId="0" applyFont="1" applyFill="1" applyAlignment="1">
      <alignment horizontal="center" vertical="center"/>
    </xf>
    <xf numFmtId="0" fontId="42" fillId="30" borderId="0" xfId="0" quotePrefix="1" applyFont="1" applyFill="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58" fillId="4" borderId="0" xfId="0" applyFont="1" applyFill="1" applyBorder="1" applyAlignment="1">
      <alignment horizontal="center" vertical="center"/>
    </xf>
    <xf numFmtId="0" fontId="42" fillId="4" borderId="0" xfId="0" applyFont="1" applyFill="1" applyBorder="1" applyAlignment="1">
      <alignment horizontal="center" vertical="center"/>
    </xf>
    <xf numFmtId="0" fontId="18" fillId="7" borderId="0" xfId="0" quotePrefix="1" applyFont="1" applyFill="1" applyBorder="1" applyAlignment="1" applyProtection="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42" fillId="4" borderId="0" xfId="0" quotePrefix="1" applyFont="1" applyFill="1" applyBorder="1" applyAlignment="1">
      <alignment horizontal="center" vertical="center"/>
    </xf>
    <xf numFmtId="0" fontId="42" fillId="4" borderId="0" xfId="0" applyFont="1" applyFill="1" applyBorder="1" applyAlignment="1">
      <alignment horizontal="center" vertical="center"/>
    </xf>
    <xf numFmtId="0" fontId="70" fillId="30" borderId="0" xfId="0" quotePrefix="1" applyFont="1" applyFill="1" applyAlignment="1">
      <alignment horizontal="center" vertical="center"/>
    </xf>
    <xf numFmtId="0" fontId="54" fillId="4" borderId="0" xfId="0" applyFont="1" applyFill="1" applyAlignment="1">
      <alignment horizontal="center" vertical="center"/>
    </xf>
    <xf numFmtId="0" fontId="17" fillId="23" borderId="16" xfId="0" quotePrefix="1" applyFont="1" applyFill="1" applyBorder="1" applyAlignment="1">
      <alignment horizontal="center" vertical="center"/>
    </xf>
    <xf numFmtId="2" fontId="12" fillId="12" borderId="0" xfId="1" quotePrefix="1" applyNumberFormat="1" applyFont="1" applyFill="1" applyBorder="1" applyAlignment="1">
      <alignment horizontal="right" vertical="center" wrapText="1" indent="1"/>
    </xf>
    <xf numFmtId="0" fontId="13" fillId="0" borderId="0" xfId="1" quotePrefix="1" applyFont="1" applyFill="1" applyBorder="1" applyAlignment="1">
      <alignment horizontal="left" vertical="center"/>
    </xf>
    <xf numFmtId="0" fontId="42" fillId="4" borderId="0" xfId="0" applyFont="1" applyFill="1" applyBorder="1" applyAlignment="1">
      <alignment horizontal="center" vertical="center"/>
    </xf>
    <xf numFmtId="0" fontId="17" fillId="23" borderId="0" xfId="0" quotePrefix="1" applyFont="1" applyFill="1" applyBorder="1" applyAlignment="1">
      <alignment horizontal="center" vertical="center"/>
    </xf>
    <xf numFmtId="0" fontId="18" fillId="18" borderId="0" xfId="0" applyFont="1" applyFill="1" applyBorder="1" applyAlignment="1">
      <alignment horizontal="center" vertical="center"/>
    </xf>
    <xf numFmtId="0" fontId="67" fillId="4" borderId="0" xfId="0" applyFont="1" applyFill="1" applyBorder="1" applyAlignment="1">
      <alignment horizontal="center" vertical="center"/>
    </xf>
    <xf numFmtId="0" fontId="73" fillId="4" borderId="0" xfId="0" applyFont="1" applyFill="1" applyBorder="1" applyAlignment="1">
      <alignment horizontal="center" vertical="center"/>
    </xf>
    <xf numFmtId="0" fontId="18" fillId="32" borderId="0" xfId="0" applyFont="1" applyFill="1" applyBorder="1" applyAlignment="1">
      <alignment horizontal="center" vertical="center"/>
    </xf>
    <xf numFmtId="0" fontId="74" fillId="4" borderId="0" xfId="0" applyFont="1" applyFill="1" applyBorder="1" applyAlignment="1">
      <alignment horizontal="center" vertical="center"/>
    </xf>
    <xf numFmtId="0" fontId="75" fillId="10" borderId="0" xfId="0" applyFont="1" applyFill="1" applyAlignment="1">
      <alignment horizontal="center" vertical="center"/>
    </xf>
    <xf numFmtId="0" fontId="19" fillId="10" borderId="0" xfId="0" quotePrefix="1" applyFont="1" applyFill="1" applyAlignment="1">
      <alignment horizontal="center" vertical="center"/>
    </xf>
    <xf numFmtId="0" fontId="0" fillId="0" borderId="0" xfId="0" applyProtection="1"/>
    <xf numFmtId="0" fontId="76" fillId="0" borderId="0" xfId="0" applyFont="1" applyAlignment="1" applyProtection="1">
      <alignment horizontal="left"/>
    </xf>
    <xf numFmtId="0" fontId="0" fillId="32" borderId="0" xfId="0" applyFill="1" applyAlignment="1" applyProtection="1">
      <alignment horizontal="center" vertical="center"/>
    </xf>
    <xf numFmtId="0" fontId="0" fillId="0" borderId="0" xfId="0" applyFill="1" applyAlignment="1" applyProtection="1">
      <alignment horizontal="center"/>
    </xf>
    <xf numFmtId="0" fontId="77" fillId="0" borderId="0" xfId="0" applyFont="1" applyAlignment="1" applyProtection="1">
      <alignment horizontal="right"/>
    </xf>
    <xf numFmtId="0" fontId="0" fillId="0" borderId="0" xfId="0" applyAlignment="1" applyProtection="1">
      <alignment horizontal="center"/>
    </xf>
    <xf numFmtId="0" fontId="77" fillId="0" borderId="0" xfId="0" applyFont="1" applyAlignment="1" applyProtection="1">
      <alignment horizontal="center"/>
    </xf>
    <xf numFmtId="0" fontId="77" fillId="0" borderId="1" xfId="0" applyFont="1" applyBorder="1" applyAlignment="1" applyProtection="1">
      <alignment horizontal="center" vertical="center"/>
      <protection locked="0"/>
    </xf>
    <xf numFmtId="0" fontId="79" fillId="0" borderId="38" xfId="0" applyFont="1" applyBorder="1" applyAlignment="1" applyProtection="1">
      <alignment horizontal="right" vertical="center" indent="1"/>
      <protection locked="0"/>
    </xf>
    <xf numFmtId="0" fontId="79" fillId="0" borderId="41" xfId="0" applyFont="1" applyBorder="1" applyAlignment="1" applyProtection="1">
      <alignment horizontal="right" vertical="center" indent="1"/>
      <protection locked="0"/>
    </xf>
    <xf numFmtId="0" fontId="79" fillId="0" borderId="48" xfId="0" applyFont="1" applyBorder="1" applyAlignment="1" applyProtection="1">
      <alignment horizontal="right" vertical="center" indent="1"/>
      <protection locked="0"/>
    </xf>
    <xf numFmtId="0" fontId="79" fillId="0" borderId="49" xfId="0" applyFont="1" applyBorder="1" applyAlignment="1" applyProtection="1">
      <alignment horizontal="right" vertical="center" indent="1"/>
      <protection locked="0"/>
    </xf>
    <xf numFmtId="0" fontId="77" fillId="0" borderId="19" xfId="0" applyFont="1" applyBorder="1" applyAlignment="1" applyProtection="1">
      <alignment horizontal="center" vertical="center" wrapText="1"/>
    </xf>
    <xf numFmtId="0" fontId="77" fillId="0" borderId="50" xfId="0" applyFont="1" applyBorder="1" applyAlignment="1" applyProtection="1">
      <alignment horizontal="center" vertical="center" wrapText="1"/>
    </xf>
    <xf numFmtId="0" fontId="81" fillId="0" borderId="0" xfId="0" applyFont="1" applyProtection="1"/>
    <xf numFmtId="0" fontId="82" fillId="0" borderId="8" xfId="0" applyFont="1" applyBorder="1" applyAlignment="1" applyProtection="1">
      <alignment vertical="center" wrapText="1"/>
    </xf>
    <xf numFmtId="0" fontId="1" fillId="0" borderId="0" xfId="0" applyFont="1" applyAlignment="1" applyProtection="1">
      <alignment vertical="center"/>
    </xf>
    <xf numFmtId="0" fontId="81" fillId="33" borderId="36" xfId="0" applyFont="1" applyFill="1" applyBorder="1" applyAlignment="1" applyProtection="1">
      <alignment horizontal="center" vertical="center" wrapText="1"/>
    </xf>
    <xf numFmtId="0" fontId="0" fillId="0" borderId="37" xfId="0" applyBorder="1" applyAlignment="1" applyProtection="1">
      <alignment horizontal="center" vertical="center" wrapText="1"/>
    </xf>
    <xf numFmtId="0" fontId="84" fillId="33" borderId="0" xfId="0" applyFont="1" applyFill="1" applyProtection="1"/>
    <xf numFmtId="0" fontId="81" fillId="33" borderId="30" xfId="0" applyFont="1" applyFill="1" applyBorder="1" applyProtection="1"/>
    <xf numFmtId="0" fontId="0" fillId="12" borderId="31" xfId="0" applyFill="1" applyBorder="1" applyProtection="1"/>
    <xf numFmtId="0" fontId="0" fillId="0" borderId="0" xfId="0" applyBorder="1" applyProtection="1"/>
    <xf numFmtId="0" fontId="86" fillId="33" borderId="8" xfId="0" applyFont="1" applyFill="1" applyBorder="1" applyAlignment="1" applyProtection="1">
      <alignment horizontal="center" vertical="center" wrapText="1"/>
    </xf>
    <xf numFmtId="0" fontId="87" fillId="0" borderId="8" xfId="0" applyFont="1" applyFill="1" applyBorder="1" applyAlignment="1" applyProtection="1">
      <alignment vertical="center" wrapText="1"/>
    </xf>
    <xf numFmtId="0" fontId="87" fillId="0" borderId="0" xfId="0" applyFont="1" applyFill="1" applyBorder="1" applyAlignment="1" applyProtection="1">
      <alignment vertical="center" wrapText="1"/>
    </xf>
    <xf numFmtId="0" fontId="1" fillId="33" borderId="0" xfId="0" applyFont="1" applyFill="1" applyProtection="1"/>
    <xf numFmtId="0" fontId="89" fillId="33" borderId="0" xfId="0" applyFont="1" applyFill="1" applyProtection="1"/>
    <xf numFmtId="0" fontId="90" fillId="0" borderId="0" xfId="0" applyFont="1" applyAlignment="1" applyProtection="1">
      <alignment horizontal="center" vertical="center"/>
    </xf>
    <xf numFmtId="0" fontId="91" fillId="0" borderId="0" xfId="0" applyFont="1" applyAlignment="1" applyProtection="1">
      <alignment horizontal="center" vertical="center"/>
    </xf>
    <xf numFmtId="0" fontId="77" fillId="0" borderId="0" xfId="0" applyFont="1" applyAlignment="1" applyProtection="1">
      <alignment horizontal="center"/>
    </xf>
    <xf numFmtId="0" fontId="93" fillId="35" borderId="0" xfId="0" applyFont="1" applyFill="1" applyAlignment="1" applyProtection="1">
      <alignment horizontal="center"/>
    </xf>
    <xf numFmtId="0" fontId="0" fillId="0" borderId="0" xfId="0" applyAlignment="1" applyProtection="1"/>
    <xf numFmtId="0" fontId="94" fillId="35" borderId="0" xfId="0" applyFont="1" applyFill="1" applyProtection="1"/>
    <xf numFmtId="0" fontId="76" fillId="0" borderId="0" xfId="0" applyFont="1" applyAlignment="1" applyProtection="1">
      <alignment horizontal="center"/>
    </xf>
    <xf numFmtId="0" fontId="80" fillId="0" borderId="19" xfId="0" applyFont="1" applyBorder="1" applyAlignment="1" applyProtection="1">
      <alignment horizontal="center" vertical="center"/>
      <protection locked="0"/>
    </xf>
    <xf numFmtId="0" fontId="80" fillId="0" borderId="21" xfId="0" applyFont="1" applyBorder="1" applyAlignment="1" applyProtection="1">
      <alignment horizontal="center" vertical="center"/>
      <protection locked="0"/>
    </xf>
    <xf numFmtId="0" fontId="97" fillId="35" borderId="0" xfId="0" applyFont="1" applyFill="1" applyAlignment="1" applyProtection="1">
      <alignment horizontal="center" vertical="center" wrapText="1"/>
    </xf>
    <xf numFmtId="0" fontId="98" fillId="0" borderId="0" xfId="0" applyFont="1" applyAlignment="1" applyProtection="1">
      <alignment horizontal="center" vertical="center"/>
    </xf>
    <xf numFmtId="164" fontId="0" fillId="0" borderId="35" xfId="0" applyNumberFormat="1" applyBorder="1" applyAlignment="1" applyProtection="1">
      <alignment horizontal="right" vertical="center" indent="1"/>
      <protection locked="0"/>
    </xf>
    <xf numFmtId="164" fontId="0" fillId="0" borderId="37" xfId="0" applyNumberFormat="1" applyBorder="1" applyAlignment="1" applyProtection="1">
      <alignment horizontal="right" vertical="center" indent="1"/>
      <protection locked="0"/>
    </xf>
    <xf numFmtId="0" fontId="102" fillId="23" borderId="0" xfId="0" applyFont="1" applyFill="1" applyAlignment="1" applyProtection="1">
      <alignment horizontal="left" vertical="center"/>
    </xf>
    <xf numFmtId="164" fontId="0" fillId="0" borderId="29" xfId="0" applyNumberFormat="1" applyBorder="1" applyAlignment="1" applyProtection="1">
      <alignment horizontal="right" vertical="center" indent="1"/>
      <protection locked="0"/>
    </xf>
    <xf numFmtId="164" fontId="0" fillId="0" borderId="31" xfId="0" applyNumberFormat="1" applyBorder="1" applyAlignment="1" applyProtection="1">
      <alignment horizontal="right" vertical="center" indent="1"/>
      <protection locked="0"/>
    </xf>
    <xf numFmtId="0" fontId="103" fillId="35" borderId="0" xfId="0" applyFont="1" applyFill="1" applyAlignment="1" applyProtection="1">
      <alignment horizontal="center" vertical="center"/>
    </xf>
    <xf numFmtId="164" fontId="93" fillId="35" borderId="19" xfId="0" applyNumberFormat="1" applyFont="1" applyFill="1" applyBorder="1" applyAlignment="1" applyProtection="1">
      <alignment horizontal="right" vertical="center" indent="1"/>
    </xf>
    <xf numFmtId="164" fontId="93" fillId="35" borderId="21" xfId="0" applyNumberFormat="1" applyFont="1" applyFill="1" applyBorder="1" applyAlignment="1" applyProtection="1">
      <alignment horizontal="right" vertical="center" indent="1"/>
    </xf>
    <xf numFmtId="164" fontId="106" fillId="0" borderId="0" xfId="0" applyNumberFormat="1" applyFont="1" applyAlignment="1" applyProtection="1">
      <alignment horizontal="right" vertical="center" indent="1"/>
    </xf>
    <xf numFmtId="0" fontId="105" fillId="35" borderId="19" xfId="0" applyFont="1" applyFill="1" applyBorder="1" applyAlignment="1" applyProtection="1">
      <alignment horizontal="center" vertical="center"/>
    </xf>
    <xf numFmtId="0" fontId="105" fillId="35" borderId="21" xfId="0" applyFont="1" applyFill="1" applyBorder="1" applyAlignment="1" applyProtection="1">
      <alignment horizontal="center" vertical="center"/>
    </xf>
    <xf numFmtId="0" fontId="102" fillId="23" borderId="17" xfId="0" applyFont="1" applyFill="1" applyBorder="1" applyAlignment="1" applyProtection="1">
      <alignment horizontal="center" vertical="center"/>
    </xf>
    <xf numFmtId="0" fontId="102" fillId="23" borderId="0" xfId="0" applyFont="1" applyFill="1" applyAlignment="1" applyProtection="1">
      <alignment horizontal="center" vertical="center"/>
    </xf>
    <xf numFmtId="164" fontId="0" fillId="0" borderId="32" xfId="0" applyNumberFormat="1" applyBorder="1" applyAlignment="1" applyProtection="1">
      <alignment horizontal="right" vertical="center" indent="1"/>
      <protection locked="0"/>
    </xf>
    <xf numFmtId="164" fontId="0" fillId="0" borderId="34" xfId="0" applyNumberFormat="1" applyBorder="1" applyAlignment="1" applyProtection="1">
      <alignment horizontal="right" vertical="center" indent="1"/>
      <protection locked="0"/>
    </xf>
    <xf numFmtId="164" fontId="104" fillId="23" borderId="0" xfId="0" applyNumberFormat="1" applyFont="1" applyFill="1" applyAlignment="1" applyProtection="1">
      <alignment horizontal="right" vertical="center"/>
    </xf>
    <xf numFmtId="164" fontId="0" fillId="0" borderId="45" xfId="0" applyNumberFormat="1" applyBorder="1" applyAlignment="1" applyProtection="1">
      <alignment horizontal="right" vertical="center" indent="1"/>
      <protection locked="0"/>
    </xf>
    <xf numFmtId="164" fontId="0" fillId="0" borderId="47" xfId="0" applyNumberFormat="1" applyBorder="1" applyAlignment="1" applyProtection="1">
      <alignment horizontal="right" vertical="center" indent="1"/>
      <protection locked="0"/>
    </xf>
    <xf numFmtId="2" fontId="108" fillId="35" borderId="0" xfId="0" applyNumberFormat="1" applyFont="1" applyFill="1" applyProtection="1"/>
    <xf numFmtId="164" fontId="104" fillId="23" borderId="0" xfId="0" applyNumberFormat="1" applyFont="1" applyFill="1" applyProtection="1"/>
    <xf numFmtId="164" fontId="93" fillId="35" borderId="35" xfId="0" applyNumberFormat="1" applyFont="1" applyFill="1" applyBorder="1" applyAlignment="1" applyProtection="1">
      <alignment horizontal="right" vertical="center" indent="1"/>
    </xf>
    <xf numFmtId="164" fontId="93" fillId="35" borderId="37" xfId="0" applyNumberFormat="1" applyFont="1" applyFill="1" applyBorder="1" applyAlignment="1" applyProtection="1">
      <alignment horizontal="right" vertical="center" indent="1"/>
    </xf>
    <xf numFmtId="164" fontId="93" fillId="35" borderId="29" xfId="0" applyNumberFormat="1" applyFont="1" applyFill="1" applyBorder="1" applyAlignment="1" applyProtection="1">
      <alignment horizontal="right" vertical="center" indent="1"/>
    </xf>
    <xf numFmtId="164" fontId="93" fillId="35" borderId="31" xfId="0" applyNumberFormat="1" applyFont="1" applyFill="1" applyBorder="1" applyAlignment="1" applyProtection="1">
      <alignment horizontal="right" vertical="center" indent="1"/>
    </xf>
    <xf numFmtId="0" fontId="104" fillId="23" borderId="0" xfId="0" applyFont="1" applyFill="1" applyProtection="1"/>
    <xf numFmtId="164" fontId="109" fillId="0" borderId="19" xfId="0" applyNumberFormat="1" applyFont="1" applyFill="1" applyBorder="1" applyAlignment="1" applyProtection="1">
      <alignment horizontal="right" vertical="center" indent="1"/>
      <protection locked="0"/>
    </xf>
    <xf numFmtId="164" fontId="109" fillId="0" borderId="21" xfId="0" applyNumberFormat="1" applyFont="1" applyFill="1" applyBorder="1" applyAlignment="1" applyProtection="1">
      <alignment horizontal="right" vertical="center" indent="1"/>
      <protection locked="0"/>
    </xf>
    <xf numFmtId="164" fontId="0" fillId="0" borderId="0" xfId="0" applyNumberFormat="1" applyAlignment="1" applyProtection="1">
      <alignment horizontal="right" vertical="center"/>
    </xf>
    <xf numFmtId="0" fontId="80" fillId="0" borderId="35" xfId="0" applyFont="1" applyBorder="1" applyAlignment="1" applyProtection="1">
      <alignment horizontal="center" vertical="center" wrapText="1"/>
      <protection locked="0"/>
    </xf>
    <xf numFmtId="0" fontId="80" fillId="0" borderId="37" xfId="0" applyFont="1" applyBorder="1" applyAlignment="1" applyProtection="1">
      <alignment horizontal="center" vertical="center" wrapText="1"/>
      <protection locked="0"/>
    </xf>
    <xf numFmtId="164" fontId="0" fillId="0" borderId="60" xfId="0" applyNumberFormat="1" applyBorder="1" applyAlignment="1" applyProtection="1">
      <alignment horizontal="right" vertical="center" indent="1"/>
      <protection locked="0"/>
    </xf>
    <xf numFmtId="164" fontId="110" fillId="23" borderId="60" xfId="0" applyNumberFormat="1" applyFont="1" applyFill="1" applyBorder="1" applyAlignment="1" applyProtection="1">
      <alignment horizontal="right" vertical="center" indent="1"/>
      <protection locked="0"/>
    </xf>
    <xf numFmtId="164" fontId="110" fillId="23" borderId="47" xfId="0" applyNumberFormat="1" applyFont="1" applyFill="1" applyBorder="1" applyAlignment="1" applyProtection="1">
      <alignment horizontal="right" vertical="center" indent="1"/>
      <protection locked="0"/>
    </xf>
    <xf numFmtId="164" fontId="110" fillId="36" borderId="53" xfId="0" applyNumberFormat="1" applyFont="1" applyFill="1" applyBorder="1" applyAlignment="1" applyProtection="1">
      <alignment horizontal="right" vertical="center" indent="1"/>
    </xf>
    <xf numFmtId="164" fontId="110" fillId="36" borderId="31" xfId="0" applyNumberFormat="1" applyFont="1" applyFill="1" applyBorder="1" applyAlignment="1" applyProtection="1">
      <alignment horizontal="right" vertical="center" indent="1"/>
    </xf>
    <xf numFmtId="0" fontId="94" fillId="0" borderId="0" xfId="0" applyFont="1" applyProtection="1"/>
    <xf numFmtId="0" fontId="80" fillId="0" borderId="0" xfId="0" applyFont="1" applyBorder="1" applyAlignment="1" applyProtection="1">
      <alignment horizontal="right" vertical="center"/>
    </xf>
    <xf numFmtId="164" fontId="111" fillId="37" borderId="22" xfId="0" applyNumberFormat="1" applyFont="1" applyFill="1" applyBorder="1" applyAlignment="1" applyProtection="1">
      <alignment horizontal="right" vertical="center"/>
    </xf>
    <xf numFmtId="164" fontId="93" fillId="35" borderId="34" xfId="0" applyNumberFormat="1" applyFont="1" applyFill="1" applyBorder="1" applyAlignment="1" applyProtection="1">
      <alignment horizontal="right" vertical="center" indent="1"/>
    </xf>
    <xf numFmtId="0" fontId="78" fillId="0" borderId="0" xfId="0" applyFont="1" applyProtection="1"/>
    <xf numFmtId="164" fontId="93" fillId="37" borderId="31" xfId="0" applyNumberFormat="1" applyFont="1" applyFill="1" applyBorder="1" applyAlignment="1" applyProtection="1">
      <alignment horizontal="right" vertical="center" indent="1"/>
    </xf>
    <xf numFmtId="0" fontId="80" fillId="0" borderId="1" xfId="0" applyFont="1" applyBorder="1" applyAlignment="1" applyProtection="1">
      <alignment horizontal="center" vertical="center"/>
    </xf>
    <xf numFmtId="0" fontId="93" fillId="35" borderId="38" xfId="0" applyFont="1" applyFill="1" applyBorder="1" applyAlignment="1" applyProtection="1">
      <alignment horizontal="right" vertical="center" indent="1"/>
    </xf>
    <xf numFmtId="0" fontId="93" fillId="35" borderId="41" xfId="0" applyFont="1" applyFill="1" applyBorder="1" applyAlignment="1" applyProtection="1">
      <alignment horizontal="right" vertical="center" indent="1"/>
    </xf>
    <xf numFmtId="1" fontId="93" fillId="35" borderId="41" xfId="0" applyNumberFormat="1" applyFont="1" applyFill="1" applyBorder="1" applyAlignment="1" applyProtection="1">
      <alignment horizontal="right" vertical="center" indent="1"/>
    </xf>
    <xf numFmtId="0" fontId="93" fillId="35" borderId="16" xfId="0" applyFont="1" applyFill="1" applyBorder="1" applyAlignment="1" applyProtection="1">
      <alignment horizontal="right" vertical="center" indent="1"/>
    </xf>
    <xf numFmtId="0" fontId="0" fillId="37" borderId="0" xfId="0" applyFill="1" applyProtection="1"/>
    <xf numFmtId="164" fontId="93" fillId="37" borderId="35" xfId="0" applyNumberFormat="1" applyFont="1" applyFill="1" applyBorder="1" applyAlignment="1" applyProtection="1">
      <alignment horizontal="right" vertical="center"/>
    </xf>
    <xf numFmtId="164" fontId="93" fillId="37" borderId="37" xfId="0" applyNumberFormat="1" applyFont="1" applyFill="1" applyBorder="1" applyAlignment="1" applyProtection="1">
      <alignment horizontal="right" vertical="center"/>
    </xf>
    <xf numFmtId="164" fontId="93" fillId="37" borderId="32" xfId="0" applyNumberFormat="1" applyFont="1" applyFill="1" applyBorder="1" applyAlignment="1" applyProtection="1">
      <alignment horizontal="right" vertical="center"/>
    </xf>
    <xf numFmtId="164" fontId="93" fillId="37" borderId="34" xfId="0" applyNumberFormat="1" applyFont="1" applyFill="1" applyBorder="1" applyAlignment="1" applyProtection="1">
      <alignment horizontal="right" vertical="center"/>
    </xf>
    <xf numFmtId="164" fontId="93" fillId="37" borderId="29" xfId="0" applyNumberFormat="1" applyFont="1" applyFill="1" applyBorder="1" applyAlignment="1" applyProtection="1">
      <alignment horizontal="right" vertical="center"/>
    </xf>
    <xf numFmtId="164" fontId="93" fillId="37" borderId="31" xfId="0" applyNumberFormat="1" applyFont="1" applyFill="1" applyBorder="1" applyAlignment="1" applyProtection="1">
      <alignment horizontal="right" vertical="center"/>
    </xf>
    <xf numFmtId="0" fontId="112" fillId="37" borderId="0" xfId="0" applyFont="1" applyFill="1" applyBorder="1" applyAlignment="1" applyProtection="1">
      <alignment horizontal="right" vertical="center"/>
    </xf>
    <xf numFmtId="0" fontId="113" fillId="37" borderId="0" xfId="0" applyFont="1" applyFill="1" applyProtection="1"/>
    <xf numFmtId="164" fontId="113" fillId="37" borderId="0" xfId="0" applyNumberFormat="1" applyFont="1" applyFill="1" applyProtection="1"/>
    <xf numFmtId="0" fontId="112" fillId="37" borderId="0" xfId="0" applyFont="1" applyFill="1" applyBorder="1" applyAlignment="1" applyProtection="1">
      <alignment horizontal="center" vertical="center"/>
    </xf>
    <xf numFmtId="1" fontId="93" fillId="37" borderId="35" xfId="0" applyNumberFormat="1" applyFont="1" applyFill="1" applyBorder="1" applyAlignment="1" applyProtection="1">
      <alignment horizontal="right" vertical="center"/>
    </xf>
    <xf numFmtId="0" fontId="0" fillId="35" borderId="41" xfId="0" applyFill="1" applyBorder="1" applyAlignment="1" applyProtection="1">
      <alignment horizontal="right" vertical="center" indent="1"/>
    </xf>
    <xf numFmtId="1" fontId="93" fillId="37" borderId="32" xfId="0" applyNumberFormat="1" applyFont="1" applyFill="1" applyBorder="1" applyAlignment="1" applyProtection="1">
      <alignment horizontal="right" vertical="center"/>
    </xf>
    <xf numFmtId="1" fontId="93" fillId="37" borderId="29" xfId="0" applyNumberFormat="1" applyFont="1" applyFill="1" applyBorder="1" applyAlignment="1" applyProtection="1">
      <alignment horizontal="right" vertical="center"/>
    </xf>
    <xf numFmtId="164" fontId="115" fillId="37" borderId="0" xfId="0" applyNumberFormat="1" applyFont="1" applyFill="1" applyBorder="1" applyAlignment="1" applyProtection="1">
      <alignment horizontal="right" vertical="center"/>
    </xf>
    <xf numFmtId="0" fontId="76" fillId="0" borderId="0" xfId="0" applyFont="1" applyAlignment="1" applyProtection="1"/>
    <xf numFmtId="0" fontId="77" fillId="0" borderId="0" xfId="0" applyFont="1" applyAlignment="1" applyProtection="1"/>
    <xf numFmtId="0" fontId="77" fillId="0" borderId="0" xfId="0" applyFont="1" applyProtection="1"/>
    <xf numFmtId="0" fontId="116" fillId="0" borderId="37" xfId="0" applyFont="1" applyBorder="1" applyAlignment="1" applyProtection="1">
      <alignment horizontal="right" vertical="center" indent="1"/>
      <protection locked="0"/>
    </xf>
    <xf numFmtId="0" fontId="116" fillId="0" borderId="34" xfId="0" applyFont="1" applyBorder="1" applyAlignment="1" applyProtection="1">
      <alignment horizontal="right" vertical="center" indent="1"/>
      <protection locked="0"/>
    </xf>
    <xf numFmtId="0" fontId="116" fillId="0" borderId="47" xfId="0" applyFont="1" applyBorder="1" applyAlignment="1" applyProtection="1">
      <alignment horizontal="right" vertical="center" indent="1"/>
      <protection locked="0"/>
    </xf>
    <xf numFmtId="0" fontId="116" fillId="0" borderId="21" xfId="0" applyFont="1" applyBorder="1" applyAlignment="1" applyProtection="1">
      <alignment horizontal="right" vertical="center" indent="1"/>
      <protection locked="0"/>
    </xf>
    <xf numFmtId="0" fontId="1" fillId="0" borderId="0" xfId="0" applyFont="1" applyAlignment="1" applyProtection="1">
      <alignment horizontal="right" vertical="center" indent="1"/>
    </xf>
    <xf numFmtId="164" fontId="1" fillId="0" borderId="37" xfId="0" applyNumberFormat="1" applyFont="1" applyBorder="1" applyAlignment="1" applyProtection="1">
      <alignment horizontal="right" vertical="center" indent="1"/>
      <protection locked="0"/>
    </xf>
    <xf numFmtId="164" fontId="1" fillId="0" borderId="34" xfId="0" applyNumberFormat="1" applyFont="1" applyBorder="1" applyAlignment="1" applyProtection="1">
      <alignment horizontal="right" vertical="center" indent="1"/>
      <protection locked="0"/>
    </xf>
    <xf numFmtId="164" fontId="1" fillId="0" borderId="47" xfId="0" applyNumberFormat="1" applyFont="1" applyBorder="1" applyAlignment="1" applyProtection="1">
      <alignment horizontal="right" vertical="center" indent="1"/>
      <protection locked="0"/>
    </xf>
    <xf numFmtId="164" fontId="105" fillId="37" borderId="1" xfId="0" applyNumberFormat="1" applyFont="1" applyFill="1" applyBorder="1" applyAlignment="1" applyProtection="1">
      <alignment horizontal="right" vertical="center" indent="1"/>
    </xf>
    <xf numFmtId="0" fontId="80" fillId="0" borderId="4" xfId="0" applyFont="1" applyBorder="1" applyAlignment="1" applyProtection="1">
      <alignment horizontal="center" vertical="center"/>
    </xf>
    <xf numFmtId="1" fontId="0" fillId="0" borderId="38" xfId="0" applyNumberFormat="1" applyBorder="1" applyAlignment="1" applyProtection="1">
      <alignment horizontal="right" vertical="center" indent="1"/>
      <protection locked="0"/>
    </xf>
    <xf numFmtId="1" fontId="0" fillId="0" borderId="41" xfId="0" applyNumberFormat="1" applyBorder="1" applyAlignment="1" applyProtection="1">
      <alignment horizontal="right" vertical="center" indent="1"/>
      <protection locked="0"/>
    </xf>
    <xf numFmtId="1" fontId="105" fillId="37" borderId="1" xfId="0" applyNumberFormat="1" applyFont="1" applyFill="1" applyBorder="1" applyAlignment="1" applyProtection="1">
      <alignment horizontal="right" vertical="center" indent="1"/>
    </xf>
    <xf numFmtId="0" fontId="80" fillId="0" borderId="0" xfId="0" applyFont="1" applyBorder="1" applyAlignment="1" applyProtection="1">
      <alignment horizontal="right" vertical="center" wrapText="1"/>
    </xf>
    <xf numFmtId="0" fontId="0" fillId="0" borderId="0" xfId="0" applyBorder="1" applyAlignment="1" applyProtection="1">
      <alignment horizontal="right" vertical="center" indent="2"/>
    </xf>
    <xf numFmtId="0" fontId="116" fillId="0" borderId="31" xfId="0" applyFont="1" applyBorder="1" applyAlignment="1" applyProtection="1">
      <alignment horizontal="right" vertical="center" indent="1"/>
      <protection locked="0"/>
    </xf>
    <xf numFmtId="0" fontId="93" fillId="35" borderId="0" xfId="0" applyFont="1" applyFill="1" applyProtection="1"/>
    <xf numFmtId="0" fontId="1" fillId="35" borderId="0" xfId="0" applyFont="1" applyFill="1" applyProtection="1"/>
    <xf numFmtId="0" fontId="117" fillId="35" borderId="21" xfId="0" applyFont="1" applyFill="1" applyBorder="1" applyAlignment="1" applyProtection="1">
      <alignment horizontal="right" vertical="center" indent="1"/>
    </xf>
    <xf numFmtId="0" fontId="94" fillId="35" borderId="0" xfId="0" applyFont="1" applyFill="1" applyAlignment="1" applyProtection="1">
      <alignment horizontal="right" vertical="center" indent="1"/>
    </xf>
    <xf numFmtId="0" fontId="117" fillId="35" borderId="6" xfId="0" applyFont="1" applyFill="1" applyBorder="1" applyAlignment="1" applyProtection="1">
      <alignment horizontal="right" vertical="center" wrapText="1" indent="1"/>
    </xf>
    <xf numFmtId="2" fontId="117" fillId="35" borderId="0" xfId="0" applyNumberFormat="1" applyFont="1" applyFill="1" applyAlignment="1" applyProtection="1">
      <alignment horizontal="right" vertical="center" indent="1"/>
    </xf>
    <xf numFmtId="0" fontId="117" fillId="35" borderId="23" xfId="0" applyFont="1" applyFill="1" applyBorder="1" applyAlignment="1" applyProtection="1">
      <alignment horizontal="right" vertical="center" wrapText="1" indent="1"/>
    </xf>
    <xf numFmtId="164" fontId="117" fillId="35" borderId="23" xfId="0" applyNumberFormat="1" applyFont="1" applyFill="1" applyBorder="1" applyAlignment="1" applyProtection="1">
      <alignment horizontal="right" vertical="center" wrapText="1" indent="1"/>
    </xf>
    <xf numFmtId="164" fontId="117" fillId="35" borderId="6" xfId="0" applyNumberFormat="1" applyFont="1" applyFill="1" applyBorder="1" applyAlignment="1" applyProtection="1">
      <alignment horizontal="right" vertical="center" wrapText="1" indent="1"/>
    </xf>
    <xf numFmtId="0" fontId="93" fillId="33" borderId="0" xfId="0" applyFont="1" applyFill="1" applyProtection="1"/>
    <xf numFmtId="14" fontId="119" fillId="33" borderId="0" xfId="0" applyNumberFormat="1" applyFont="1" applyFill="1" applyAlignment="1" applyProtection="1"/>
    <xf numFmtId="0" fontId="1" fillId="0" borderId="0" xfId="0" applyFont="1" applyProtection="1"/>
    <xf numFmtId="0" fontId="113" fillId="33" borderId="0" xfId="0" applyFont="1" applyFill="1" applyProtection="1"/>
    <xf numFmtId="0" fontId="120" fillId="33" borderId="0" xfId="0" applyFont="1" applyFill="1" applyAlignment="1" applyProtection="1"/>
    <xf numFmtId="0" fontId="93" fillId="35" borderId="44" xfId="0" applyFont="1" applyFill="1" applyBorder="1" applyAlignment="1" applyProtection="1">
      <alignment horizontal="center" vertical="center"/>
    </xf>
    <xf numFmtId="0" fontId="93" fillId="33" borderId="0" xfId="0" applyFont="1" applyFill="1" applyBorder="1" applyAlignment="1" applyProtection="1">
      <alignment horizontal="center" vertical="center"/>
    </xf>
    <xf numFmtId="0" fontId="1" fillId="0" borderId="0" xfId="0" applyFont="1" applyBorder="1" applyProtection="1"/>
    <xf numFmtId="0" fontId="112" fillId="33" borderId="0" xfId="0" applyFont="1" applyFill="1" applyBorder="1" applyAlignment="1" applyProtection="1">
      <alignment vertical="center"/>
    </xf>
    <xf numFmtId="0" fontId="93" fillId="33" borderId="19" xfId="0" applyFont="1" applyFill="1" applyBorder="1" applyAlignment="1" applyProtection="1">
      <alignment horizontal="center" vertical="center" wrapText="1"/>
    </xf>
    <xf numFmtId="0" fontId="93" fillId="33" borderId="20" xfId="0" applyFont="1" applyFill="1" applyBorder="1" applyAlignment="1" applyProtection="1">
      <alignment horizontal="center" vertical="center" wrapText="1"/>
    </xf>
    <xf numFmtId="0" fontId="93" fillId="33" borderId="21" xfId="0" applyFont="1" applyFill="1" applyBorder="1" applyAlignment="1" applyProtection="1">
      <alignment horizontal="center" vertical="center" wrapText="1"/>
    </xf>
    <xf numFmtId="0" fontId="93" fillId="33" borderId="63" xfId="0" applyFont="1" applyFill="1" applyBorder="1" applyAlignment="1" applyProtection="1">
      <alignment horizontal="center" vertical="center" wrapText="1"/>
    </xf>
    <xf numFmtId="0" fontId="93" fillId="37" borderId="35" xfId="0" applyFont="1" applyFill="1" applyBorder="1" applyAlignment="1" applyProtection="1">
      <alignment horizontal="center" vertical="center" wrapText="1"/>
    </xf>
    <xf numFmtId="0" fontId="93" fillId="37" borderId="64" xfId="0" applyFont="1" applyFill="1" applyBorder="1" applyAlignment="1" applyProtection="1">
      <alignment horizontal="center" vertical="center" wrapText="1"/>
    </xf>
    <xf numFmtId="0" fontId="93" fillId="37" borderId="23" xfId="0" applyFont="1" applyFill="1" applyBorder="1" applyAlignment="1" applyProtection="1">
      <alignment horizontal="center" vertical="center" wrapText="1"/>
    </xf>
    <xf numFmtId="1" fontId="93" fillId="37" borderId="37" xfId="0" applyNumberFormat="1" applyFont="1" applyFill="1" applyBorder="1" applyAlignment="1" applyProtection="1">
      <alignment vertical="center" wrapText="1"/>
    </xf>
    <xf numFmtId="164" fontId="93" fillId="37" borderId="35" xfId="0" applyNumberFormat="1" applyFont="1" applyFill="1" applyBorder="1" applyAlignment="1" applyProtection="1">
      <alignment horizontal="right" vertical="center" wrapText="1" indent="1"/>
    </xf>
    <xf numFmtId="164" fontId="93" fillId="37" borderId="37" xfId="0" applyNumberFormat="1" applyFont="1" applyFill="1" applyBorder="1" applyAlignment="1" applyProtection="1">
      <alignment horizontal="right" vertical="center" wrapText="1" indent="1"/>
    </xf>
    <xf numFmtId="0" fontId="93" fillId="37" borderId="37" xfId="0" applyFont="1" applyFill="1" applyBorder="1" applyAlignment="1" applyProtection="1">
      <alignment horizontal="center" vertical="center" wrapText="1"/>
    </xf>
    <xf numFmtId="164" fontId="93" fillId="37" borderId="32" xfId="0" applyNumberFormat="1" applyFont="1" applyFill="1" applyBorder="1" applyAlignment="1" applyProtection="1">
      <alignment horizontal="right" vertical="center" indent="1"/>
    </xf>
    <xf numFmtId="164" fontId="93" fillId="37" borderId="51" xfId="0" applyNumberFormat="1" applyFont="1" applyFill="1" applyBorder="1" applyAlignment="1" applyProtection="1">
      <alignment horizontal="right" vertical="center" indent="1"/>
    </xf>
    <xf numFmtId="164" fontId="93" fillId="37" borderId="28" xfId="0" applyNumberFormat="1" applyFont="1" applyFill="1" applyBorder="1" applyAlignment="1" applyProtection="1">
      <alignment horizontal="right" vertical="center" indent="1"/>
    </xf>
    <xf numFmtId="0" fontId="93" fillId="37" borderId="32" xfId="0" applyFont="1" applyFill="1" applyBorder="1" applyProtection="1"/>
    <xf numFmtId="1" fontId="93" fillId="37" borderId="52" xfId="0" applyNumberFormat="1" applyFont="1" applyFill="1" applyBorder="1" applyAlignment="1" applyProtection="1">
      <alignment vertical="center"/>
    </xf>
    <xf numFmtId="164" fontId="93" fillId="37" borderId="34" xfId="0" applyNumberFormat="1" applyFont="1" applyFill="1" applyBorder="1" applyAlignment="1" applyProtection="1">
      <alignment horizontal="right" vertical="center" indent="1"/>
    </xf>
    <xf numFmtId="1" fontId="93" fillId="37" borderId="34" xfId="0" applyNumberFormat="1" applyFont="1" applyFill="1" applyBorder="1" applyAlignment="1" applyProtection="1">
      <alignment vertical="center"/>
    </xf>
    <xf numFmtId="2" fontId="113" fillId="33" borderId="2" xfId="0" applyNumberFormat="1" applyFont="1" applyFill="1" applyBorder="1" applyAlignment="1" applyProtection="1">
      <alignment horizontal="right" vertical="center" indent="1"/>
    </xf>
    <xf numFmtId="2" fontId="94" fillId="35" borderId="19" xfId="0" applyNumberFormat="1" applyFont="1" applyFill="1" applyBorder="1" applyAlignment="1" applyProtection="1">
      <alignment horizontal="right" vertical="center" indent="1"/>
    </xf>
    <xf numFmtId="2" fontId="94" fillId="35" borderId="20" xfId="0" applyNumberFormat="1" applyFont="1" applyFill="1" applyBorder="1" applyAlignment="1" applyProtection="1">
      <alignment horizontal="right" vertical="center" indent="1"/>
    </xf>
    <xf numFmtId="2" fontId="94" fillId="35" borderId="21" xfId="0" applyNumberFormat="1" applyFont="1" applyFill="1" applyBorder="1" applyAlignment="1" applyProtection="1">
      <alignment horizontal="right" vertical="center" indent="1"/>
    </xf>
    <xf numFmtId="2" fontId="113" fillId="33" borderId="22" xfId="0" applyNumberFormat="1" applyFont="1" applyFill="1" applyBorder="1" applyAlignment="1" applyProtection="1">
      <alignment horizontal="right" vertical="center" indent="1"/>
    </xf>
    <xf numFmtId="164" fontId="94" fillId="35" borderId="35" xfId="0" applyNumberFormat="1" applyFont="1" applyFill="1" applyBorder="1" applyAlignment="1" applyProtection="1">
      <alignment horizontal="right" vertical="center" indent="1"/>
    </xf>
    <xf numFmtId="164" fontId="94" fillId="35" borderId="36" xfId="0" applyNumberFormat="1" applyFont="1" applyFill="1" applyBorder="1" applyAlignment="1" applyProtection="1">
      <alignment horizontal="right" vertical="center" indent="1"/>
    </xf>
    <xf numFmtId="164" fontId="94" fillId="35" borderId="37" xfId="0" applyNumberFormat="1" applyFont="1" applyFill="1" applyBorder="1" applyAlignment="1" applyProtection="1">
      <alignment horizontal="right" vertical="center" indent="1"/>
    </xf>
    <xf numFmtId="2" fontId="113" fillId="33" borderId="27" xfId="0" applyNumberFormat="1" applyFont="1" applyFill="1" applyBorder="1" applyAlignment="1" applyProtection="1">
      <alignment horizontal="right" vertical="center" indent="1"/>
    </xf>
    <xf numFmtId="164" fontId="94" fillId="35" borderId="32" xfId="0" applyNumberFormat="1" applyFont="1" applyFill="1" applyBorder="1" applyAlignment="1" applyProtection="1">
      <alignment horizontal="right" vertical="center" indent="1"/>
    </xf>
    <xf numFmtId="164" fontId="94" fillId="35" borderId="33" xfId="0" applyNumberFormat="1" applyFont="1" applyFill="1" applyBorder="1" applyAlignment="1" applyProtection="1">
      <alignment horizontal="right" vertical="center" indent="1"/>
    </xf>
    <xf numFmtId="164" fontId="94" fillId="35" borderId="34" xfId="0" applyNumberFormat="1" applyFont="1" applyFill="1" applyBorder="1" applyAlignment="1" applyProtection="1">
      <alignment horizontal="right" vertical="center" indent="1"/>
    </xf>
    <xf numFmtId="2" fontId="113" fillId="33" borderId="65" xfId="0" applyNumberFormat="1" applyFont="1" applyFill="1" applyBorder="1" applyAlignment="1" applyProtection="1">
      <alignment horizontal="right" vertical="center" indent="1"/>
    </xf>
    <xf numFmtId="164" fontId="94" fillId="35" borderId="29" xfId="0" applyNumberFormat="1" applyFont="1" applyFill="1" applyBorder="1" applyAlignment="1" applyProtection="1">
      <alignment horizontal="right" vertical="center" indent="1"/>
    </xf>
    <xf numFmtId="164" fontId="94" fillId="35" borderId="30" xfId="0" applyNumberFormat="1" applyFont="1" applyFill="1" applyBorder="1" applyAlignment="1" applyProtection="1">
      <alignment horizontal="right" vertical="center" indent="1"/>
    </xf>
    <xf numFmtId="164" fontId="94" fillId="35" borderId="31" xfId="0" applyNumberFormat="1" applyFont="1" applyFill="1" applyBorder="1" applyAlignment="1" applyProtection="1">
      <alignment horizontal="right" vertical="center" indent="1"/>
    </xf>
    <xf numFmtId="2" fontId="113" fillId="33" borderId="0" xfId="0" applyNumberFormat="1" applyFont="1" applyFill="1" applyBorder="1" applyAlignment="1" applyProtection="1">
      <alignment horizontal="right" vertical="center" indent="1"/>
    </xf>
    <xf numFmtId="2" fontId="94" fillId="33" borderId="0" xfId="0" applyNumberFormat="1" applyFont="1" applyFill="1" applyBorder="1" applyAlignment="1" applyProtection="1">
      <alignment horizontal="right" vertical="center" indent="1"/>
    </xf>
    <xf numFmtId="2" fontId="113" fillId="33" borderId="38" xfId="0" applyNumberFormat="1" applyFont="1" applyFill="1" applyBorder="1" applyAlignment="1" applyProtection="1">
      <alignment horizontal="right" vertical="center" indent="1"/>
    </xf>
    <xf numFmtId="164" fontId="81" fillId="35" borderId="38" xfId="0" applyNumberFormat="1" applyFont="1" applyFill="1" applyBorder="1" applyAlignment="1" applyProtection="1">
      <alignment horizontal="right" vertical="center" indent="1"/>
    </xf>
    <xf numFmtId="164" fontId="94" fillId="33" borderId="0" xfId="0" applyNumberFormat="1" applyFont="1" applyFill="1" applyBorder="1" applyAlignment="1" applyProtection="1">
      <alignment vertical="center"/>
    </xf>
    <xf numFmtId="164" fontId="94" fillId="35" borderId="35" xfId="0" applyNumberFormat="1" applyFont="1" applyFill="1" applyBorder="1" applyAlignment="1" applyProtection="1">
      <alignment vertical="center"/>
    </xf>
    <xf numFmtId="164" fontId="94" fillId="35" borderId="36" xfId="0" applyNumberFormat="1" applyFont="1" applyFill="1" applyBorder="1" applyAlignment="1" applyProtection="1">
      <alignment vertical="center"/>
    </xf>
    <xf numFmtId="164" fontId="94" fillId="35" borderId="59" xfId="0" applyNumberFormat="1" applyFont="1" applyFill="1" applyBorder="1" applyAlignment="1" applyProtection="1">
      <alignment vertical="center"/>
    </xf>
    <xf numFmtId="164" fontId="113" fillId="33" borderId="22" xfId="0" applyNumberFormat="1" applyFont="1" applyFill="1" applyBorder="1" applyAlignment="1" applyProtection="1">
      <alignment horizontal="right" vertical="center" indent="1"/>
    </xf>
    <xf numFmtId="2" fontId="94" fillId="35" borderId="35" xfId="0" applyNumberFormat="1" applyFont="1" applyFill="1" applyBorder="1" applyAlignment="1" applyProtection="1">
      <alignment horizontal="right" vertical="center" indent="1"/>
    </xf>
    <xf numFmtId="2" fontId="94" fillId="35" borderId="36" xfId="0" applyNumberFormat="1" applyFont="1" applyFill="1" applyBorder="1" applyAlignment="1" applyProtection="1">
      <alignment horizontal="right" vertical="center" indent="1"/>
    </xf>
    <xf numFmtId="2" fontId="94" fillId="35" borderId="37" xfId="0" applyNumberFormat="1" applyFont="1" applyFill="1" applyBorder="1" applyAlignment="1" applyProtection="1">
      <alignment horizontal="right" vertical="center" indent="1"/>
    </xf>
    <xf numFmtId="2" fontId="113" fillId="33" borderId="41" xfId="0" applyNumberFormat="1" applyFont="1" applyFill="1" applyBorder="1" applyAlignment="1" applyProtection="1">
      <alignment horizontal="right" vertical="center" indent="1"/>
    </xf>
    <xf numFmtId="164" fontId="81" fillId="35" borderId="41" xfId="0" applyNumberFormat="1" applyFont="1" applyFill="1" applyBorder="1" applyAlignment="1" applyProtection="1">
      <alignment horizontal="right" vertical="center" indent="1"/>
    </xf>
    <xf numFmtId="164" fontId="94" fillId="35" borderId="32" xfId="0" applyNumberFormat="1" applyFont="1" applyFill="1" applyBorder="1" applyAlignment="1" applyProtection="1">
      <alignment vertical="center"/>
    </xf>
    <xf numFmtId="164" fontId="94" fillId="35" borderId="33" xfId="0" applyNumberFormat="1" applyFont="1" applyFill="1" applyBorder="1" applyAlignment="1" applyProtection="1">
      <alignment vertical="center"/>
    </xf>
    <xf numFmtId="164" fontId="94" fillId="35" borderId="52" xfId="0" applyNumberFormat="1" applyFont="1" applyFill="1" applyBorder="1" applyAlignment="1" applyProtection="1">
      <alignment vertical="center"/>
    </xf>
    <xf numFmtId="164" fontId="113" fillId="33" borderId="27" xfId="0" applyNumberFormat="1" applyFont="1" applyFill="1" applyBorder="1" applyAlignment="1" applyProtection="1">
      <alignment horizontal="right" vertical="center" indent="1"/>
    </xf>
    <xf numFmtId="2" fontId="94" fillId="35" borderId="32" xfId="0" applyNumberFormat="1" applyFont="1" applyFill="1" applyBorder="1" applyAlignment="1" applyProtection="1">
      <alignment horizontal="right" vertical="center" indent="1"/>
    </xf>
    <xf numFmtId="2" fontId="94" fillId="35" borderId="33" xfId="0" applyNumberFormat="1" applyFont="1" applyFill="1" applyBorder="1" applyAlignment="1" applyProtection="1">
      <alignment horizontal="right" vertical="center" indent="1"/>
    </xf>
    <xf numFmtId="2" fontId="94" fillId="35" borderId="34" xfId="0" applyNumberFormat="1" applyFont="1" applyFill="1" applyBorder="1" applyAlignment="1" applyProtection="1">
      <alignment horizontal="right" vertical="center" indent="1"/>
    </xf>
    <xf numFmtId="164" fontId="113" fillId="33" borderId="0" xfId="0" applyNumberFormat="1" applyFont="1" applyFill="1" applyBorder="1" applyAlignment="1" applyProtection="1">
      <alignment horizontal="right" vertical="center" indent="1"/>
    </xf>
    <xf numFmtId="164" fontId="81" fillId="35" borderId="49" xfId="0" applyNumberFormat="1" applyFont="1" applyFill="1" applyBorder="1" applyAlignment="1" applyProtection="1">
      <alignment horizontal="right" vertical="center" indent="1"/>
    </xf>
    <xf numFmtId="0" fontId="113" fillId="33" borderId="0" xfId="0" applyFont="1" applyFill="1" applyBorder="1" applyProtection="1"/>
    <xf numFmtId="2" fontId="113" fillId="33" borderId="49" xfId="0" applyNumberFormat="1" applyFont="1" applyFill="1" applyBorder="1" applyAlignment="1" applyProtection="1">
      <alignment horizontal="right" vertical="center" indent="1"/>
    </xf>
    <xf numFmtId="164" fontId="94" fillId="35" borderId="29" xfId="0" applyNumberFormat="1" applyFont="1" applyFill="1" applyBorder="1" applyAlignment="1" applyProtection="1">
      <alignment vertical="center"/>
    </xf>
    <xf numFmtId="164" fontId="94" fillId="35" borderId="30" xfId="0" applyNumberFormat="1" applyFont="1" applyFill="1" applyBorder="1" applyAlignment="1" applyProtection="1">
      <alignment vertical="center"/>
    </xf>
    <xf numFmtId="164" fontId="94" fillId="35" borderId="54" xfId="0" applyNumberFormat="1" applyFont="1" applyFill="1" applyBorder="1" applyAlignment="1" applyProtection="1">
      <alignment vertical="center"/>
    </xf>
    <xf numFmtId="164" fontId="113" fillId="33" borderId="39" xfId="0" applyNumberFormat="1" applyFont="1" applyFill="1" applyBorder="1" applyAlignment="1" applyProtection="1">
      <alignment horizontal="right" vertical="center" indent="1"/>
    </xf>
    <xf numFmtId="2" fontId="94" fillId="35" borderId="29" xfId="0" applyNumberFormat="1" applyFont="1" applyFill="1" applyBorder="1" applyAlignment="1" applyProtection="1">
      <alignment horizontal="right" vertical="center" indent="1"/>
    </xf>
    <xf numFmtId="2" fontId="94" fillId="35" borderId="30" xfId="0" applyNumberFormat="1" applyFont="1" applyFill="1" applyBorder="1" applyAlignment="1" applyProtection="1">
      <alignment horizontal="right" vertical="center" indent="1"/>
    </xf>
    <xf numFmtId="2" fontId="94" fillId="35" borderId="31" xfId="0" applyNumberFormat="1" applyFont="1" applyFill="1" applyBorder="1" applyAlignment="1" applyProtection="1">
      <alignment horizontal="right" vertical="center" indent="1"/>
    </xf>
    <xf numFmtId="0" fontId="113" fillId="33" borderId="0" xfId="0" applyFont="1" applyFill="1" applyBorder="1" applyAlignment="1" applyProtection="1">
      <alignment vertical="center"/>
    </xf>
    <xf numFmtId="0" fontId="120" fillId="33" borderId="0" xfId="0" applyFont="1" applyFill="1" applyBorder="1" applyAlignment="1" applyProtection="1">
      <alignment vertical="center"/>
    </xf>
    <xf numFmtId="2" fontId="113" fillId="0" borderId="0" xfId="0" applyNumberFormat="1" applyFont="1" applyFill="1" applyBorder="1" applyAlignment="1" applyProtection="1">
      <alignment horizontal="right" vertical="center" indent="1"/>
    </xf>
    <xf numFmtId="164" fontId="94" fillId="0" borderId="0" xfId="0" applyNumberFormat="1" applyFont="1" applyFill="1" applyBorder="1" applyAlignment="1" applyProtection="1">
      <alignment horizontal="right" vertical="center" indent="1"/>
    </xf>
    <xf numFmtId="0" fontId="120" fillId="0" borderId="0" xfId="0" applyFont="1" applyFill="1" applyBorder="1" applyAlignment="1" applyProtection="1">
      <alignment vertical="center"/>
    </xf>
    <xf numFmtId="0" fontId="113" fillId="0" borderId="0" xfId="0" applyFont="1" applyFill="1" applyBorder="1" applyProtection="1"/>
    <xf numFmtId="0" fontId="121" fillId="0" borderId="0" xfId="0" applyFont="1" applyFill="1" applyBorder="1" applyAlignment="1" applyProtection="1"/>
    <xf numFmtId="2" fontId="113" fillId="0" borderId="0" xfId="0" applyNumberFormat="1" applyFont="1" applyFill="1" applyBorder="1" applyAlignment="1" applyProtection="1"/>
    <xf numFmtId="0" fontId="113" fillId="0" borderId="0" xfId="0" applyFont="1" applyFill="1" applyBorder="1" applyAlignment="1" applyProtection="1"/>
    <xf numFmtId="20" fontId="120" fillId="0" borderId="0" xfId="0" applyNumberFormat="1" applyFont="1" applyFill="1" applyBorder="1" applyAlignment="1" applyProtection="1">
      <alignment vertical="center"/>
    </xf>
    <xf numFmtId="0" fontId="120" fillId="0" borderId="0" xfId="0" applyFont="1" applyFill="1" applyBorder="1" applyAlignment="1" applyProtection="1"/>
    <xf numFmtId="0" fontId="121" fillId="0" borderId="0" xfId="0" applyFont="1" applyFill="1" applyBorder="1" applyAlignment="1" applyProtection="1">
      <alignment vertical="center"/>
    </xf>
    <xf numFmtId="0" fontId="113" fillId="0" borderId="0" xfId="0" applyFont="1" applyFill="1" applyBorder="1" applyAlignment="1" applyProtection="1">
      <alignment vertical="center" wrapText="1"/>
    </xf>
    <xf numFmtId="164" fontId="94" fillId="0" borderId="0" xfId="0" applyNumberFormat="1" applyFont="1" applyFill="1" applyBorder="1" applyAlignment="1" applyProtection="1">
      <alignment vertical="center"/>
    </xf>
    <xf numFmtId="0" fontId="113" fillId="0" borderId="0" xfId="0" applyFont="1" applyFill="1" applyBorder="1" applyAlignment="1" applyProtection="1">
      <alignment vertical="center"/>
    </xf>
    <xf numFmtId="164" fontId="113" fillId="0" borderId="0" xfId="0" applyNumberFormat="1" applyFont="1" applyFill="1" applyBorder="1" applyAlignment="1" applyProtection="1">
      <alignment horizontal="right" vertical="center" indent="1"/>
    </xf>
    <xf numFmtId="0" fontId="113" fillId="0" borderId="0" xfId="0" applyFont="1" applyFill="1" applyBorder="1" applyAlignment="1" applyProtection="1">
      <alignment horizontal="center"/>
    </xf>
    <xf numFmtId="0" fontId="112" fillId="0" borderId="0" xfId="0" applyFont="1" applyFill="1" applyBorder="1" applyAlignment="1" applyProtection="1">
      <alignment vertical="center"/>
    </xf>
    <xf numFmtId="0" fontId="113" fillId="0" borderId="0" xfId="0" applyFont="1" applyFill="1" applyBorder="1" applyAlignment="1" applyProtection="1">
      <alignment horizontal="center" vertical="center"/>
    </xf>
    <xf numFmtId="0" fontId="113" fillId="0" borderId="0" xfId="0" applyFont="1" applyProtection="1"/>
    <xf numFmtId="164" fontId="1" fillId="33" borderId="0" xfId="0" applyNumberFormat="1" applyFont="1" applyFill="1" applyBorder="1" applyAlignment="1" applyProtection="1">
      <alignment horizontal="center"/>
    </xf>
    <xf numFmtId="164" fontId="93" fillId="37" borderId="29" xfId="0" applyNumberFormat="1" applyFont="1" applyFill="1" applyBorder="1" applyAlignment="1" applyProtection="1">
      <alignment horizontal="right" vertical="center" indent="1"/>
    </xf>
    <xf numFmtId="164" fontId="93" fillId="37" borderId="53" xfId="0" applyNumberFormat="1" applyFont="1" applyFill="1" applyBorder="1" applyAlignment="1" applyProtection="1">
      <alignment horizontal="right" vertical="center" indent="1"/>
    </xf>
    <xf numFmtId="0" fontId="93" fillId="37" borderId="29" xfId="0" applyFont="1" applyFill="1" applyBorder="1" applyProtection="1"/>
    <xf numFmtId="1" fontId="93" fillId="37" borderId="31" xfId="0" applyNumberFormat="1" applyFont="1" applyFill="1" applyBorder="1" applyAlignment="1" applyProtection="1">
      <alignment vertical="center"/>
    </xf>
    <xf numFmtId="14" fontId="77" fillId="0" borderId="0" xfId="0" applyNumberFormat="1" applyFont="1" applyAlignment="1" applyProtection="1">
      <alignment horizontal="center"/>
    </xf>
    <xf numFmtId="0" fontId="93" fillId="0" borderId="0" xfId="0" applyFont="1" applyFill="1" applyAlignment="1" applyProtection="1">
      <alignment horizontal="center"/>
    </xf>
    <xf numFmtId="0" fontId="93" fillId="0" borderId="0" xfId="0" applyFont="1" applyFill="1" applyBorder="1" applyAlignment="1" applyProtection="1">
      <alignment horizontal="center" vertical="center"/>
    </xf>
    <xf numFmtId="0" fontId="93" fillId="35" borderId="21" xfId="0" applyFont="1" applyFill="1" applyBorder="1" applyAlignment="1" applyProtection="1">
      <alignment horizontal="right" vertical="center" indent="1"/>
    </xf>
    <xf numFmtId="0" fontId="0" fillId="0" borderId="0" xfId="0" applyBorder="1" applyAlignment="1" applyProtection="1">
      <alignment vertical="center"/>
    </xf>
    <xf numFmtId="0" fontId="93" fillId="0" borderId="0" xfId="0" applyFont="1" applyFill="1" applyBorder="1" applyAlignment="1" applyProtection="1">
      <alignment horizontal="right" vertical="center" indent="1"/>
    </xf>
    <xf numFmtId="0" fontId="80"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80" fillId="0" borderId="0" xfId="0" applyFont="1" applyBorder="1" applyAlignment="1" applyProtection="1">
      <alignment vertical="center"/>
    </xf>
    <xf numFmtId="0" fontId="80" fillId="0" borderId="0" xfId="0" applyFont="1" applyBorder="1" applyAlignment="1" applyProtection="1">
      <alignment horizontal="center" vertical="center" wrapText="1"/>
    </xf>
    <xf numFmtId="49" fontId="78" fillId="0" borderId="42" xfId="0" applyNumberFormat="1" applyFont="1" applyBorder="1" applyAlignment="1" applyProtection="1">
      <alignment horizontal="center" vertical="center"/>
    </xf>
    <xf numFmtId="49" fontId="78" fillId="0" borderId="43" xfId="0" applyNumberFormat="1" applyFont="1" applyBorder="1" applyAlignment="1" applyProtection="1">
      <alignment horizontal="center" vertical="center"/>
    </xf>
    <xf numFmtId="49" fontId="78" fillId="0" borderId="44" xfId="0" applyNumberFormat="1" applyFont="1" applyBorder="1" applyAlignment="1" applyProtection="1">
      <alignment horizontal="center" vertical="center"/>
    </xf>
    <xf numFmtId="49" fontId="78" fillId="0" borderId="0" xfId="0" applyNumberFormat="1" applyFont="1" applyBorder="1" applyAlignment="1" applyProtection="1">
      <alignment horizontal="center" vertical="center"/>
    </xf>
    <xf numFmtId="49" fontId="78" fillId="0" borderId="19" xfId="0" applyNumberFormat="1" applyFont="1" applyBorder="1" applyAlignment="1" applyProtection="1">
      <alignment horizontal="center" vertical="center"/>
    </xf>
    <xf numFmtId="49" fontId="78" fillId="0" borderId="20" xfId="0" applyNumberFormat="1" applyFont="1" applyBorder="1" applyAlignment="1" applyProtection="1">
      <alignment horizontal="center" vertical="center"/>
    </xf>
    <xf numFmtId="49" fontId="78" fillId="0" borderId="21" xfId="0" applyNumberFormat="1" applyFont="1" applyBorder="1" applyAlignment="1" applyProtection="1">
      <alignment horizontal="center" vertical="center"/>
    </xf>
    <xf numFmtId="164" fontId="110" fillId="35" borderId="2" xfId="0" applyNumberFormat="1" applyFont="1" applyFill="1" applyBorder="1" applyAlignment="1" applyProtection="1">
      <alignment horizontal="right" vertical="center" indent="1"/>
    </xf>
    <xf numFmtId="164" fontId="93" fillId="35" borderId="2" xfId="0" applyNumberFormat="1" applyFont="1" applyFill="1" applyBorder="1" applyAlignment="1" applyProtection="1">
      <alignment horizontal="right" vertical="center" indent="1"/>
    </xf>
    <xf numFmtId="164" fontId="122" fillId="34" borderId="1" xfId="0" applyNumberFormat="1" applyFont="1" applyFill="1" applyBorder="1" applyAlignment="1" applyProtection="1">
      <alignment horizontal="right" vertical="center" indent="1"/>
      <protection locked="0"/>
    </xf>
    <xf numFmtId="164" fontId="0" fillId="0" borderId="0" xfId="0" applyNumberFormat="1" applyBorder="1" applyAlignment="1" applyProtection="1">
      <alignment horizontal="right" vertical="center" indent="1"/>
      <protection locked="0"/>
    </xf>
    <xf numFmtId="0" fontId="0" fillId="0" borderId="7" xfId="0" applyBorder="1" applyProtection="1"/>
    <xf numFmtId="164" fontId="93" fillId="37" borderId="38" xfId="0" applyNumberFormat="1" applyFont="1" applyFill="1" applyBorder="1" applyAlignment="1" applyProtection="1">
      <alignment horizontal="right" vertical="center" indent="1"/>
    </xf>
    <xf numFmtId="164" fontId="1" fillId="0" borderId="35" xfId="0" applyNumberFormat="1" applyFont="1" applyBorder="1" applyAlignment="1" applyProtection="1">
      <alignment horizontal="center" vertical="center"/>
      <protection locked="0"/>
    </xf>
    <xf numFmtId="164" fontId="1" fillId="0" borderId="36" xfId="0" applyNumberFormat="1" applyFont="1" applyBorder="1" applyAlignment="1" applyProtection="1">
      <alignment horizontal="center" vertical="center"/>
      <protection locked="0"/>
    </xf>
    <xf numFmtId="164" fontId="1" fillId="0" borderId="37" xfId="0" applyNumberFormat="1" applyFont="1" applyBorder="1" applyAlignment="1" applyProtection="1">
      <alignment horizontal="center" vertical="center"/>
      <protection locked="0"/>
    </xf>
    <xf numFmtId="164" fontId="93" fillId="37" borderId="38" xfId="0" applyNumberFormat="1" applyFont="1" applyFill="1" applyBorder="1" applyAlignment="1" applyProtection="1">
      <alignment horizontal="right" indent="1"/>
    </xf>
    <xf numFmtId="164" fontId="1" fillId="0" borderId="24" xfId="0" applyNumberFormat="1" applyFont="1" applyBorder="1" applyAlignment="1" applyProtection="1">
      <alignment horizontal="center" vertical="center"/>
      <protection locked="0"/>
    </xf>
    <xf numFmtId="164" fontId="1" fillId="0" borderId="25" xfId="0" applyNumberFormat="1" applyFont="1" applyBorder="1" applyAlignment="1" applyProtection="1">
      <alignment horizontal="center" vertical="center"/>
      <protection locked="0"/>
    </xf>
    <xf numFmtId="164" fontId="1" fillId="0" borderId="25" xfId="0" applyNumberFormat="1" applyFont="1" applyBorder="1" applyAlignment="1" applyProtection="1">
      <alignment horizontal="right" vertical="center" indent="1"/>
      <protection locked="0"/>
    </xf>
    <xf numFmtId="164" fontId="1" fillId="0" borderId="26" xfId="0" applyNumberFormat="1" applyFont="1" applyBorder="1" applyAlignment="1" applyProtection="1">
      <alignment horizontal="center" vertical="center"/>
      <protection locked="0"/>
    </xf>
    <xf numFmtId="1" fontId="93" fillId="35" borderId="66" xfId="0" applyNumberFormat="1" applyFont="1" applyFill="1" applyBorder="1" applyAlignment="1" applyProtection="1">
      <alignment horizontal="center" vertical="center"/>
    </xf>
    <xf numFmtId="164" fontId="93" fillId="35" borderId="66" xfId="0" applyNumberFormat="1" applyFont="1" applyFill="1" applyBorder="1" applyAlignment="1" applyProtection="1">
      <alignment horizontal="right" vertical="center" indent="1"/>
    </xf>
    <xf numFmtId="164" fontId="122" fillId="34" borderId="67" xfId="0" applyNumberFormat="1" applyFont="1" applyFill="1" applyBorder="1" applyAlignment="1" applyProtection="1">
      <alignment horizontal="right" vertical="center" indent="1"/>
      <protection locked="0"/>
    </xf>
    <xf numFmtId="164" fontId="122" fillId="34" borderId="68" xfId="0" applyNumberFormat="1" applyFont="1" applyFill="1" applyBorder="1" applyAlignment="1" applyProtection="1">
      <alignment horizontal="right" vertical="center" indent="1"/>
      <protection locked="0"/>
    </xf>
    <xf numFmtId="0" fontId="0" fillId="0" borderId="17" xfId="0" applyBorder="1" applyProtection="1"/>
    <xf numFmtId="164" fontId="93" fillId="37" borderId="41" xfId="0" applyNumberFormat="1" applyFont="1" applyFill="1" applyBorder="1" applyAlignment="1" applyProtection="1">
      <alignment horizontal="right" vertical="center" indent="1"/>
    </xf>
    <xf numFmtId="164" fontId="1" fillId="0" borderId="32" xfId="0" applyNumberFormat="1" applyFont="1" applyBorder="1" applyAlignment="1" applyProtection="1">
      <alignment horizontal="center" vertical="center"/>
      <protection locked="0"/>
    </xf>
    <xf numFmtId="164" fontId="1" fillId="0" borderId="33" xfId="0" applyNumberFormat="1" applyFont="1" applyBorder="1" applyAlignment="1" applyProtection="1">
      <alignment horizontal="center" vertical="center"/>
      <protection locked="0"/>
    </xf>
    <xf numFmtId="164" fontId="1" fillId="0" borderId="34" xfId="0" applyNumberFormat="1" applyFont="1" applyBorder="1" applyAlignment="1" applyProtection="1">
      <alignment horizontal="center" vertical="center"/>
      <protection locked="0"/>
    </xf>
    <xf numFmtId="164" fontId="93" fillId="37" borderId="41" xfId="0" applyNumberFormat="1" applyFont="1" applyFill="1" applyBorder="1" applyAlignment="1" applyProtection="1">
      <alignment horizontal="right" indent="1"/>
    </xf>
    <xf numFmtId="164" fontId="1" fillId="0" borderId="33" xfId="0" applyNumberFormat="1" applyFont="1" applyBorder="1" applyAlignment="1" applyProtection="1">
      <alignment horizontal="right" vertical="center" indent="1"/>
      <protection locked="0"/>
    </xf>
    <xf numFmtId="1" fontId="93" fillId="35" borderId="27" xfId="0" applyNumberFormat="1" applyFont="1" applyFill="1" applyBorder="1" applyAlignment="1" applyProtection="1">
      <alignment horizontal="center" vertical="center"/>
    </xf>
    <xf numFmtId="164" fontId="93" fillId="35" borderId="27" xfId="0" applyNumberFormat="1" applyFont="1" applyFill="1" applyBorder="1" applyAlignment="1" applyProtection="1">
      <alignment horizontal="right" vertical="center" indent="1"/>
    </xf>
    <xf numFmtId="164" fontId="122" fillId="34" borderId="41" xfId="0" applyNumberFormat="1" applyFont="1" applyFill="1" applyBorder="1" applyAlignment="1" applyProtection="1">
      <alignment horizontal="right" vertical="center" indent="1"/>
      <protection locked="0"/>
    </xf>
    <xf numFmtId="164" fontId="122" fillId="34" borderId="28" xfId="0" applyNumberFormat="1" applyFont="1" applyFill="1" applyBorder="1" applyAlignment="1" applyProtection="1">
      <alignment horizontal="right" vertical="center" indent="1"/>
      <protection locked="0"/>
    </xf>
    <xf numFmtId="0" fontId="0" fillId="0" borderId="9" xfId="0" applyBorder="1" applyProtection="1"/>
    <xf numFmtId="164" fontId="93" fillId="37" borderId="49" xfId="0" applyNumberFormat="1" applyFont="1" applyFill="1" applyBorder="1" applyAlignment="1" applyProtection="1">
      <alignment horizontal="right" vertical="center" indent="1"/>
    </xf>
    <xf numFmtId="164" fontId="1" fillId="0" borderId="29" xfId="0" applyNumberFormat="1" applyFont="1" applyBorder="1" applyAlignment="1" applyProtection="1">
      <alignment horizontal="center" vertical="center"/>
      <protection locked="0"/>
    </xf>
    <xf numFmtId="164" fontId="1" fillId="0" borderId="30" xfId="0" applyNumberFormat="1" applyFont="1" applyBorder="1" applyAlignment="1" applyProtection="1">
      <alignment horizontal="center" vertical="center"/>
      <protection locked="0"/>
    </xf>
    <xf numFmtId="164" fontId="1" fillId="0" borderId="31" xfId="0" applyNumberFormat="1" applyFont="1" applyBorder="1" applyAlignment="1" applyProtection="1">
      <alignment horizontal="center" vertical="center"/>
      <protection locked="0"/>
    </xf>
    <xf numFmtId="164" fontId="93" fillId="37" borderId="49" xfId="0" applyNumberFormat="1" applyFont="1" applyFill="1" applyBorder="1" applyAlignment="1" applyProtection="1">
      <alignment horizontal="right" indent="1"/>
    </xf>
    <xf numFmtId="164" fontId="1" fillId="0" borderId="45" xfId="0" applyNumberFormat="1" applyFont="1" applyBorder="1" applyAlignment="1" applyProtection="1">
      <alignment horizontal="center" vertical="center"/>
      <protection locked="0"/>
    </xf>
    <xf numFmtId="164" fontId="1" fillId="0" borderId="46" xfId="0" applyNumberFormat="1" applyFont="1" applyBorder="1" applyAlignment="1" applyProtection="1">
      <alignment horizontal="center" vertical="center"/>
      <protection locked="0"/>
    </xf>
    <xf numFmtId="164" fontId="1" fillId="0" borderId="46" xfId="0" applyNumberFormat="1" applyFont="1" applyBorder="1" applyAlignment="1" applyProtection="1">
      <alignment horizontal="right" vertical="center" indent="1"/>
      <protection locked="0"/>
    </xf>
    <xf numFmtId="164" fontId="1" fillId="0" borderId="47" xfId="0" applyNumberFormat="1" applyFont="1" applyBorder="1" applyAlignment="1" applyProtection="1">
      <alignment horizontal="center" vertical="center"/>
      <protection locked="0"/>
    </xf>
    <xf numFmtId="164" fontId="0" fillId="0" borderId="25" xfId="0" applyNumberFormat="1" applyBorder="1" applyAlignment="1" applyProtection="1">
      <alignment horizontal="right" vertical="center" indent="1"/>
      <protection locked="0"/>
    </xf>
    <xf numFmtId="164" fontId="0" fillId="0" borderId="36" xfId="0" applyNumberFormat="1" applyBorder="1" applyAlignment="1" applyProtection="1">
      <alignment horizontal="right" vertical="center" indent="1"/>
      <protection locked="0"/>
    </xf>
    <xf numFmtId="164" fontId="0" fillId="0" borderId="33" xfId="0" applyNumberFormat="1" applyBorder="1" applyAlignment="1" applyProtection="1">
      <alignment horizontal="right" vertical="center" indent="1"/>
      <protection locked="0"/>
    </xf>
    <xf numFmtId="1" fontId="93" fillId="35" borderId="65" xfId="0" applyNumberFormat="1" applyFont="1" applyFill="1" applyBorder="1" applyAlignment="1" applyProtection="1">
      <alignment horizontal="center" vertical="center"/>
    </xf>
    <xf numFmtId="164" fontId="93" fillId="35" borderId="39" xfId="0" applyNumberFormat="1" applyFont="1" applyFill="1" applyBorder="1" applyAlignment="1" applyProtection="1">
      <alignment horizontal="right" vertical="center" indent="1"/>
    </xf>
    <xf numFmtId="164" fontId="122" fillId="34" borderId="49" xfId="0" applyNumberFormat="1" applyFont="1" applyFill="1" applyBorder="1" applyAlignment="1" applyProtection="1">
      <alignment horizontal="right" vertical="center" indent="1"/>
      <protection locked="0"/>
    </xf>
    <xf numFmtId="164" fontId="122" fillId="34" borderId="40" xfId="0" applyNumberFormat="1" applyFont="1" applyFill="1" applyBorder="1" applyAlignment="1" applyProtection="1">
      <alignment horizontal="right" vertical="center" indent="1"/>
      <protection locked="0"/>
    </xf>
    <xf numFmtId="164" fontId="0" fillId="0" borderId="1" xfId="0" applyNumberFormat="1" applyBorder="1" applyAlignment="1" applyProtection="1">
      <alignment horizontal="right" vertical="center" indent="1"/>
      <protection locked="0"/>
    </xf>
    <xf numFmtId="0" fontId="110" fillId="5" borderId="0" xfId="0" applyFont="1" applyFill="1" applyBorder="1" applyAlignment="1" applyProtection="1">
      <alignment horizontal="center"/>
    </xf>
    <xf numFmtId="164" fontId="93" fillId="5" borderId="0" xfId="0" applyNumberFormat="1" applyFont="1" applyFill="1" applyBorder="1" applyAlignment="1" applyProtection="1">
      <alignment horizontal="right" vertical="center" indent="1"/>
    </xf>
    <xf numFmtId="164" fontId="93" fillId="5" borderId="0" xfId="0" applyNumberFormat="1" applyFont="1" applyFill="1" applyBorder="1" applyAlignment="1" applyProtection="1">
      <alignment horizontal="right" vertical="center" indent="1"/>
      <protection locked="0"/>
    </xf>
    <xf numFmtId="164" fontId="0" fillId="5" borderId="0" xfId="0" applyNumberFormat="1" applyFill="1" applyBorder="1" applyAlignment="1" applyProtection="1">
      <alignment horizontal="right" vertical="center" indent="1"/>
      <protection locked="0"/>
    </xf>
    <xf numFmtId="164" fontId="0" fillId="0" borderId="30" xfId="0" applyNumberFormat="1" applyBorder="1" applyAlignment="1" applyProtection="1">
      <alignment horizontal="right" vertical="center" indent="1"/>
      <protection locked="0"/>
    </xf>
    <xf numFmtId="0" fontId="0" fillId="22" borderId="0" xfId="0" applyFill="1" applyProtection="1"/>
    <xf numFmtId="0" fontId="0" fillId="33" borderId="0" xfId="0" applyFill="1" applyBorder="1" applyProtection="1"/>
    <xf numFmtId="0" fontId="0" fillId="33" borderId="0" xfId="0" applyFill="1" applyBorder="1" applyAlignment="1" applyProtection="1">
      <alignment horizontal="right" vertical="center" indent="1"/>
    </xf>
    <xf numFmtId="0" fontId="0" fillId="33" borderId="0" xfId="0" applyFill="1" applyBorder="1" applyAlignment="1" applyProtection="1">
      <alignment vertical="center"/>
    </xf>
    <xf numFmtId="0" fontId="0" fillId="33" borderId="0" xfId="0" applyFill="1" applyProtection="1"/>
    <xf numFmtId="0" fontId="93" fillId="35" borderId="22" xfId="0" applyFont="1" applyFill="1" applyBorder="1" applyAlignment="1" applyProtection="1">
      <alignment horizontal="right" vertical="center" indent="1"/>
    </xf>
    <xf numFmtId="165" fontId="93" fillId="35" borderId="35" xfId="0" applyNumberFormat="1" applyFont="1" applyFill="1" applyBorder="1" applyAlignment="1" applyProtection="1">
      <alignment horizontal="right" vertical="center" indent="1"/>
    </xf>
    <xf numFmtId="165" fontId="93" fillId="35" borderId="38" xfId="0" applyNumberFormat="1" applyFont="1" applyFill="1" applyBorder="1" applyAlignment="1" applyProtection="1">
      <alignment horizontal="right" vertical="center" indent="1"/>
    </xf>
    <xf numFmtId="164" fontId="0" fillId="0" borderId="24" xfId="0" applyNumberFormat="1" applyBorder="1" applyAlignment="1" applyProtection="1">
      <alignment horizontal="right" vertical="center" indent="1"/>
      <protection locked="0"/>
    </xf>
    <xf numFmtId="164" fontId="0" fillId="0" borderId="26" xfId="0" applyNumberFormat="1" applyBorder="1" applyAlignment="1" applyProtection="1">
      <alignment horizontal="right" vertical="center" indent="1"/>
      <protection locked="0"/>
    </xf>
    <xf numFmtId="0" fontId="93" fillId="35" borderId="27" xfId="0" applyFont="1" applyFill="1" applyBorder="1" applyAlignment="1" applyProtection="1">
      <alignment horizontal="right" vertical="center" indent="1"/>
    </xf>
    <xf numFmtId="165" fontId="93" fillId="35" borderId="32" xfId="0" applyNumberFormat="1" applyFont="1" applyFill="1" applyBorder="1" applyAlignment="1" applyProtection="1">
      <alignment horizontal="right" vertical="center" indent="1"/>
    </xf>
    <xf numFmtId="165" fontId="93" fillId="35" borderId="41" xfId="0" applyNumberFormat="1" applyFont="1" applyFill="1" applyBorder="1" applyAlignment="1" applyProtection="1">
      <alignment horizontal="right" vertical="center" indent="1"/>
    </xf>
    <xf numFmtId="2" fontId="0" fillId="0" borderId="0" xfId="0" applyNumberFormat="1" applyProtection="1"/>
    <xf numFmtId="0" fontId="93" fillId="35" borderId="65" xfId="0" applyFont="1" applyFill="1" applyBorder="1" applyAlignment="1" applyProtection="1">
      <alignment horizontal="right" vertical="center" indent="1"/>
    </xf>
    <xf numFmtId="165" fontId="93" fillId="35" borderId="29" xfId="0" applyNumberFormat="1" applyFont="1" applyFill="1" applyBorder="1" applyAlignment="1" applyProtection="1">
      <alignment horizontal="right" vertical="center" indent="1"/>
    </xf>
    <xf numFmtId="165" fontId="93" fillId="35" borderId="49" xfId="0" applyNumberFormat="1" applyFont="1" applyFill="1" applyBorder="1" applyAlignment="1" applyProtection="1">
      <alignment horizontal="right" vertical="center" indent="1"/>
    </xf>
    <xf numFmtId="0" fontId="93" fillId="35" borderId="2" xfId="0" applyFont="1" applyFill="1" applyBorder="1" applyAlignment="1" applyProtection="1">
      <alignment horizontal="right" vertical="center" indent="1"/>
    </xf>
    <xf numFmtId="164" fontId="93" fillId="35" borderId="16" xfId="0" applyNumberFormat="1" applyFont="1" applyFill="1" applyBorder="1" applyAlignment="1" applyProtection="1">
      <alignment horizontal="right" vertical="center" indent="1"/>
    </xf>
    <xf numFmtId="164" fontId="0" fillId="0" borderId="55" xfId="0" applyNumberFormat="1" applyBorder="1" applyAlignment="1" applyProtection="1">
      <alignment horizontal="right" vertical="center" indent="1"/>
      <protection locked="0"/>
    </xf>
    <xf numFmtId="164" fontId="0" fillId="0" borderId="71" xfId="0" applyNumberFormat="1" applyBorder="1" applyAlignment="1" applyProtection="1">
      <alignment horizontal="right" vertical="center" indent="1"/>
      <protection locked="0"/>
    </xf>
    <xf numFmtId="164" fontId="0" fillId="0" borderId="20" xfId="0" applyNumberFormat="1" applyBorder="1" applyAlignment="1" applyProtection="1">
      <alignment horizontal="right" vertical="center" indent="1"/>
      <protection locked="0"/>
    </xf>
    <xf numFmtId="164" fontId="0" fillId="0" borderId="56" xfId="0" applyNumberFormat="1" applyBorder="1" applyAlignment="1" applyProtection="1">
      <alignment horizontal="right" vertical="center" indent="1"/>
      <protection locked="0"/>
    </xf>
    <xf numFmtId="164" fontId="93" fillId="35" borderId="1" xfId="0" applyNumberFormat="1" applyFont="1" applyFill="1" applyBorder="1" applyAlignment="1" applyProtection="1">
      <alignment horizontal="right" vertical="center" indent="1"/>
    </xf>
    <xf numFmtId="0" fontId="1" fillId="33" borderId="0" xfId="0" applyFont="1" applyFill="1" applyBorder="1" applyAlignment="1" applyProtection="1">
      <alignment vertical="center"/>
    </xf>
    <xf numFmtId="0" fontId="1" fillId="22" borderId="0" xfId="0" applyFont="1" applyFill="1" applyBorder="1" applyAlignment="1" applyProtection="1">
      <alignment vertical="center"/>
    </xf>
    <xf numFmtId="0" fontId="123" fillId="0" borderId="0" xfId="0" applyFont="1" applyFill="1" applyBorder="1" applyAlignment="1" applyProtection="1">
      <alignment vertical="center"/>
    </xf>
    <xf numFmtId="0" fontId="123" fillId="0" borderId="0" xfId="0" applyFont="1" applyFill="1" applyBorder="1" applyProtection="1"/>
    <xf numFmtId="0" fontId="1" fillId="33" borderId="0" xfId="0" applyFont="1" applyFill="1" applyBorder="1" applyAlignment="1" applyProtection="1">
      <alignment horizontal="right" vertical="center" indent="1"/>
    </xf>
    <xf numFmtId="0" fontId="105" fillId="33" borderId="0" xfId="0" applyFont="1" applyFill="1" applyBorder="1" applyAlignment="1" applyProtection="1"/>
    <xf numFmtId="0" fontId="124" fillId="0" borderId="0" xfId="0" applyFont="1" applyFill="1" applyBorder="1" applyAlignment="1" applyProtection="1"/>
    <xf numFmtId="0" fontId="125" fillId="0" borderId="0" xfId="0" applyFont="1" applyFill="1" applyBorder="1" applyAlignment="1" applyProtection="1">
      <alignment vertical="center"/>
    </xf>
    <xf numFmtId="0" fontId="123" fillId="33" borderId="0" xfId="0" applyFont="1" applyFill="1" applyProtection="1"/>
    <xf numFmtId="0" fontId="88" fillId="33" borderId="0" xfId="0" applyFont="1" applyFill="1" applyBorder="1" applyAlignment="1" applyProtection="1">
      <alignment horizontal="center" vertical="center"/>
    </xf>
    <xf numFmtId="0" fontId="124" fillId="22" borderId="0" xfId="0" applyFont="1" applyFill="1" applyBorder="1" applyAlignment="1" applyProtection="1">
      <alignment vertical="center"/>
    </xf>
    <xf numFmtId="0" fontId="123" fillId="22" borderId="0" xfId="0" applyFont="1" applyFill="1" applyBorder="1" applyProtection="1"/>
    <xf numFmtId="0" fontId="124" fillId="0" borderId="0" xfId="0" applyFont="1" applyFill="1" applyBorder="1" applyAlignment="1" applyProtection="1">
      <alignment vertical="center"/>
    </xf>
    <xf numFmtId="164" fontId="94" fillId="35" borderId="21" xfId="0" applyNumberFormat="1" applyFont="1" applyFill="1" applyBorder="1" applyAlignment="1" applyProtection="1">
      <alignment horizontal="right" vertical="center" indent="1"/>
    </xf>
    <xf numFmtId="0" fontId="127" fillId="33" borderId="0" xfId="0" applyFont="1" applyFill="1" applyBorder="1" applyAlignment="1" applyProtection="1">
      <alignment vertical="center"/>
    </xf>
    <xf numFmtId="0" fontId="105" fillId="0" borderId="0" xfId="0" applyFont="1" applyFill="1" applyBorder="1" applyAlignment="1" applyProtection="1"/>
    <xf numFmtId="0" fontId="127" fillId="33" borderId="0" xfId="0" applyFont="1" applyFill="1" applyBorder="1" applyAlignment="1" applyProtection="1">
      <alignment horizontal="center" vertical="center"/>
    </xf>
    <xf numFmtId="164" fontId="123" fillId="33" borderId="0" xfId="0" applyNumberFormat="1" applyFont="1" applyFill="1" applyBorder="1" applyAlignment="1" applyProtection="1">
      <alignment horizontal="right" vertical="center" indent="1"/>
    </xf>
    <xf numFmtId="0" fontId="127" fillId="0" borderId="0" xfId="0" applyFont="1" applyFill="1" applyBorder="1" applyAlignment="1" applyProtection="1"/>
    <xf numFmtId="0" fontId="124" fillId="22" borderId="35" xfId="0" applyFont="1" applyFill="1" applyBorder="1" applyAlignment="1" applyProtection="1">
      <alignment vertical="center"/>
    </xf>
    <xf numFmtId="0" fontId="124" fillId="22" borderId="37" xfId="0" applyFont="1" applyFill="1" applyBorder="1" applyAlignment="1" applyProtection="1">
      <alignment horizontal="center" vertical="center"/>
    </xf>
    <xf numFmtId="2" fontId="94" fillId="0" borderId="0" xfId="0" applyNumberFormat="1" applyFont="1" applyFill="1" applyBorder="1" applyAlignment="1" applyProtection="1">
      <alignment horizontal="right" vertical="center" indent="1"/>
    </xf>
    <xf numFmtId="2" fontId="94" fillId="35" borderId="1" xfId="0" applyNumberFormat="1" applyFont="1" applyFill="1" applyBorder="1" applyAlignment="1" applyProtection="1">
      <alignment horizontal="right" vertical="center" indent="1"/>
    </xf>
    <xf numFmtId="0" fontId="0" fillId="0" borderId="0" xfId="0" applyFill="1" applyBorder="1" applyProtection="1"/>
    <xf numFmtId="0" fontId="124" fillId="22" borderId="29" xfId="0" applyFont="1" applyFill="1" applyBorder="1" applyAlignment="1" applyProtection="1">
      <alignment horizontal="center" vertical="center"/>
    </xf>
    <xf numFmtId="0" fontId="124" fillId="22" borderId="31" xfId="0" applyFont="1" applyFill="1" applyBorder="1" applyAlignment="1" applyProtection="1">
      <alignment horizontal="center" vertical="center"/>
    </xf>
    <xf numFmtId="0" fontId="124" fillId="22" borderId="0" xfId="0" applyFont="1" applyFill="1" applyBorder="1" applyAlignment="1" applyProtection="1">
      <alignment horizontal="center" vertical="center"/>
    </xf>
    <xf numFmtId="0" fontId="0" fillId="0" borderId="0" xfId="0" applyFill="1" applyProtection="1"/>
    <xf numFmtId="0" fontId="0" fillId="0" borderId="0" xfId="0" applyFill="1" applyBorder="1" applyAlignment="1" applyProtection="1">
      <alignment vertical="center"/>
    </xf>
    <xf numFmtId="0" fontId="124" fillId="0" borderId="0" xfId="0" applyFont="1" applyFill="1" applyBorder="1" applyAlignment="1" applyProtection="1">
      <alignment vertical="center" wrapText="1"/>
    </xf>
    <xf numFmtId="0" fontId="127" fillId="33" borderId="0" xfId="0" applyFont="1" applyFill="1" applyBorder="1" applyAlignment="1" applyProtection="1">
      <alignment horizontal="center" vertical="center" wrapText="1"/>
    </xf>
    <xf numFmtId="0" fontId="114" fillId="0" borderId="0" xfId="0" applyFont="1" applyFill="1" applyBorder="1" applyAlignment="1" applyProtection="1"/>
    <xf numFmtId="164" fontId="0" fillId="22" borderId="0" xfId="0" applyNumberFormat="1" applyFill="1" applyProtection="1"/>
    <xf numFmtId="0" fontId="123" fillId="22" borderId="0" xfId="0" applyFont="1" applyFill="1" applyBorder="1" applyAlignment="1" applyProtection="1">
      <alignment vertical="center" wrapText="1"/>
    </xf>
    <xf numFmtId="0" fontId="129" fillId="22" borderId="0" xfId="0" applyFont="1" applyFill="1" applyBorder="1" applyAlignment="1" applyProtection="1">
      <alignment vertical="center"/>
    </xf>
    <xf numFmtId="0" fontId="129" fillId="0" borderId="0" xfId="0" applyFont="1" applyFill="1" applyBorder="1" applyAlignment="1" applyProtection="1">
      <alignment vertical="center"/>
    </xf>
    <xf numFmtId="0" fontId="123" fillId="0" borderId="0" xfId="0" applyFont="1" applyFill="1" applyBorder="1" applyAlignment="1" applyProtection="1">
      <alignment vertical="center" wrapText="1"/>
    </xf>
    <xf numFmtId="164" fontId="93" fillId="35" borderId="41" xfId="0" applyNumberFormat="1" applyFont="1" applyFill="1" applyBorder="1" applyAlignment="1" applyProtection="1">
      <alignment horizontal="right" vertical="center" indent="1"/>
    </xf>
    <xf numFmtId="0" fontId="127" fillId="23" borderId="17" xfId="0" applyFont="1" applyFill="1" applyBorder="1" applyAlignment="1" applyProtection="1">
      <alignment horizontal="center" vertical="center" wrapText="1"/>
    </xf>
    <xf numFmtId="0" fontId="127" fillId="23" borderId="1" xfId="0" applyFont="1" applyFill="1" applyBorder="1" applyAlignment="1" applyProtection="1">
      <alignment vertical="center" wrapText="1"/>
    </xf>
    <xf numFmtId="2" fontId="110" fillId="23" borderId="18" xfId="0" applyNumberFormat="1" applyFont="1" applyFill="1" applyBorder="1" applyAlignment="1" applyProtection="1">
      <alignment horizontal="right" vertical="center" wrapText="1" indent="1"/>
    </xf>
    <xf numFmtId="165" fontId="110" fillId="23" borderId="18" xfId="0" applyNumberFormat="1" applyFont="1" applyFill="1" applyBorder="1" applyAlignment="1" applyProtection="1">
      <alignment horizontal="right" vertical="center" wrapText="1" indent="1"/>
    </xf>
    <xf numFmtId="2" fontId="94" fillId="35" borderId="0" xfId="0" applyNumberFormat="1" applyFont="1" applyFill="1" applyBorder="1" applyAlignment="1" applyProtection="1">
      <alignment horizontal="right" vertical="center" indent="1"/>
    </xf>
    <xf numFmtId="164" fontId="93" fillId="35" borderId="38" xfId="0" applyNumberFormat="1" applyFont="1" applyFill="1" applyBorder="1" applyAlignment="1" applyProtection="1">
      <alignment horizontal="right" vertical="center" indent="1"/>
    </xf>
    <xf numFmtId="4" fontId="110" fillId="35" borderId="38" xfId="0" applyNumberFormat="1" applyFont="1" applyFill="1" applyBorder="1" applyAlignment="1" applyProtection="1">
      <alignment horizontal="right" vertical="center" wrapText="1" indent="1"/>
    </xf>
    <xf numFmtId="165" fontId="110" fillId="35" borderId="38" xfId="0" applyNumberFormat="1" applyFont="1" applyFill="1" applyBorder="1" applyAlignment="1" applyProtection="1">
      <alignment horizontal="right" vertical="center" wrapText="1" indent="1"/>
    </xf>
    <xf numFmtId="2" fontId="94" fillId="22" borderId="0" xfId="0" applyNumberFormat="1" applyFont="1" applyFill="1" applyBorder="1" applyAlignment="1" applyProtection="1">
      <alignment horizontal="right" vertical="center" indent="1"/>
    </xf>
    <xf numFmtId="164" fontId="110" fillId="35" borderId="38" xfId="0" applyNumberFormat="1" applyFont="1" applyFill="1" applyBorder="1" applyAlignment="1" applyProtection="1">
      <alignment horizontal="right" vertical="center" wrapText="1" indent="1"/>
    </xf>
    <xf numFmtId="2" fontId="110" fillId="35" borderId="38" xfId="0" applyNumberFormat="1" applyFont="1" applyFill="1" applyBorder="1" applyAlignment="1" applyProtection="1">
      <alignment horizontal="right" vertical="center" wrapText="1" indent="1"/>
    </xf>
    <xf numFmtId="0" fontId="80" fillId="22" borderId="0" xfId="0" applyFont="1" applyFill="1" applyBorder="1" applyAlignment="1" applyProtection="1">
      <alignment horizontal="center" vertical="center"/>
    </xf>
    <xf numFmtId="49" fontId="0" fillId="0" borderId="0" xfId="0" applyNumberFormat="1" applyFill="1" applyBorder="1" applyProtection="1"/>
    <xf numFmtId="2" fontId="94" fillId="0" borderId="0" xfId="0" applyNumberFormat="1" applyFont="1" applyFill="1" applyBorder="1" applyAlignment="1" applyProtection="1">
      <alignment horizontal="right" indent="1"/>
    </xf>
    <xf numFmtId="1" fontId="94" fillId="0" borderId="0" xfId="0" applyNumberFormat="1" applyFont="1" applyFill="1" applyBorder="1" applyAlignment="1" applyProtection="1">
      <alignment horizontal="right" vertical="center" indent="1"/>
    </xf>
    <xf numFmtId="164" fontId="94" fillId="0" borderId="0" xfId="0" applyNumberFormat="1" applyFont="1" applyFill="1" applyBorder="1" applyAlignment="1" applyProtection="1">
      <alignment horizontal="right" vertical="center" wrapText="1" indent="1"/>
    </xf>
    <xf numFmtId="0" fontId="94" fillId="0" borderId="0" xfId="0" applyFont="1" applyFill="1" applyBorder="1" applyProtection="1"/>
    <xf numFmtId="2" fontId="110" fillId="35" borderId="67" xfId="0" applyNumberFormat="1" applyFont="1" applyFill="1" applyBorder="1" applyAlignment="1" applyProtection="1">
      <alignment horizontal="right" vertical="center" indent="1"/>
    </xf>
    <xf numFmtId="165" fontId="110" fillId="35" borderId="41" xfId="0" applyNumberFormat="1" applyFont="1" applyFill="1" applyBorder="1" applyAlignment="1" applyProtection="1">
      <alignment horizontal="right" vertical="center" indent="1"/>
    </xf>
    <xf numFmtId="164" fontId="110" fillId="35" borderId="41" xfId="0" applyNumberFormat="1" applyFont="1" applyFill="1" applyBorder="1" applyAlignment="1" applyProtection="1">
      <alignment horizontal="right" vertical="center" wrapText="1" indent="1"/>
    </xf>
    <xf numFmtId="0" fontId="0" fillId="22" borderId="0" xfId="0" applyFill="1" applyBorder="1" applyProtection="1"/>
    <xf numFmtId="164" fontId="94" fillId="0" borderId="0" xfId="0" applyNumberFormat="1" applyFont="1" applyFill="1" applyBorder="1" applyAlignment="1" applyProtection="1">
      <alignment horizontal="right" indent="1"/>
    </xf>
    <xf numFmtId="2" fontId="94" fillId="35" borderId="68" xfId="0" applyNumberFormat="1" applyFont="1" applyFill="1" applyBorder="1" applyAlignment="1" applyProtection="1">
      <alignment horizontal="right" vertical="center" indent="1"/>
    </xf>
    <xf numFmtId="2" fontId="94" fillId="35" borderId="67" xfId="0" applyNumberFormat="1" applyFont="1" applyFill="1" applyBorder="1" applyAlignment="1" applyProtection="1">
      <alignment horizontal="right" vertical="center" indent="1"/>
    </xf>
    <xf numFmtId="165" fontId="110" fillId="23" borderId="41" xfId="0" applyNumberFormat="1" applyFont="1" applyFill="1" applyBorder="1" applyAlignment="1" applyProtection="1">
      <alignment horizontal="right" vertical="center" wrapText="1" indent="1"/>
    </xf>
    <xf numFmtId="164" fontId="94" fillId="0" borderId="0" xfId="0" applyNumberFormat="1" applyFont="1" applyFill="1" applyBorder="1" applyProtection="1"/>
    <xf numFmtId="164" fontId="130" fillId="0" borderId="0" xfId="0" applyNumberFormat="1" applyFont="1" applyFill="1" applyBorder="1" applyAlignment="1" applyProtection="1">
      <alignment horizontal="right" vertical="center" wrapText="1" indent="1"/>
    </xf>
    <xf numFmtId="164" fontId="123" fillId="0" borderId="0" xfId="0" applyNumberFormat="1" applyFont="1" applyFill="1" applyBorder="1" applyAlignment="1" applyProtection="1">
      <alignment horizontal="right" indent="1"/>
    </xf>
    <xf numFmtId="164" fontId="123" fillId="0" borderId="0" xfId="0" applyNumberFormat="1" applyFont="1" applyFill="1" applyBorder="1" applyAlignment="1" applyProtection="1">
      <alignment horizontal="right" vertical="center" wrapText="1" indent="1"/>
    </xf>
    <xf numFmtId="2" fontId="94" fillId="35" borderId="41" xfId="0" applyNumberFormat="1" applyFont="1" applyFill="1" applyBorder="1" applyAlignment="1" applyProtection="1">
      <alignment horizontal="right" vertical="center" indent="1"/>
    </xf>
    <xf numFmtId="164" fontId="94" fillId="35" borderId="41" xfId="0" applyNumberFormat="1" applyFont="1" applyFill="1" applyBorder="1" applyAlignment="1" applyProtection="1">
      <alignment horizontal="right" vertical="center" wrapText="1" indent="1"/>
    </xf>
    <xf numFmtId="0" fontId="81" fillId="22" borderId="0" xfId="0" applyFont="1" applyFill="1" applyBorder="1" applyProtection="1"/>
    <xf numFmtId="2" fontId="93" fillId="22" borderId="0" xfId="0" applyNumberFormat="1" applyFont="1" applyFill="1" applyBorder="1" applyAlignment="1" applyProtection="1">
      <alignment horizontal="right" vertical="center" indent="1"/>
    </xf>
    <xf numFmtId="2" fontId="123" fillId="0" borderId="0" xfId="0" applyNumberFormat="1" applyFont="1" applyFill="1" applyBorder="1" applyAlignment="1" applyProtection="1">
      <alignment horizontal="right" vertical="center" indent="1"/>
    </xf>
    <xf numFmtId="2" fontId="94" fillId="35" borderId="10" xfId="0" applyNumberFormat="1" applyFont="1" applyFill="1" applyBorder="1" applyAlignment="1" applyProtection="1">
      <alignment horizontal="right" vertical="center" indent="1"/>
    </xf>
    <xf numFmtId="2" fontId="94" fillId="35" borderId="16" xfId="0" applyNumberFormat="1" applyFont="1" applyFill="1" applyBorder="1" applyAlignment="1" applyProtection="1">
      <alignment horizontal="right" vertical="center" indent="1"/>
    </xf>
    <xf numFmtId="2" fontId="94" fillId="35" borderId="49" xfId="0" applyNumberFormat="1" applyFont="1" applyFill="1" applyBorder="1" applyAlignment="1" applyProtection="1">
      <alignment horizontal="right" vertical="center" indent="1"/>
    </xf>
    <xf numFmtId="164" fontId="94" fillId="35" borderId="49" xfId="0" applyNumberFormat="1" applyFont="1" applyFill="1" applyBorder="1" applyAlignment="1" applyProtection="1">
      <alignment horizontal="right" vertical="center" wrapText="1" indent="1"/>
    </xf>
    <xf numFmtId="0" fontId="129" fillId="0" borderId="0" xfId="0" applyFont="1" applyFill="1" applyBorder="1" applyAlignment="1" applyProtection="1">
      <alignment vertical="center" wrapText="1"/>
    </xf>
    <xf numFmtId="0" fontId="94" fillId="33" borderId="0" xfId="0" applyFont="1" applyFill="1" applyBorder="1" applyAlignment="1" applyProtection="1">
      <alignment horizontal="right" vertical="center"/>
    </xf>
    <xf numFmtId="0" fontId="94" fillId="33" borderId="0" xfId="0" applyFont="1" applyFill="1" applyBorder="1" applyAlignment="1" applyProtection="1">
      <alignment horizontal="right" vertical="center" indent="1"/>
    </xf>
    <xf numFmtId="2" fontId="93" fillId="33" borderId="0" xfId="0" applyNumberFormat="1" applyFont="1" applyFill="1" applyBorder="1" applyAlignment="1" applyProtection="1">
      <alignment horizontal="right" vertical="center" indent="1"/>
    </xf>
    <xf numFmtId="0" fontId="93"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right" vertical="center" indent="1"/>
    </xf>
    <xf numFmtId="165" fontId="94" fillId="0" borderId="0" xfId="0" applyNumberFormat="1" applyFont="1" applyFill="1" applyBorder="1" applyAlignment="1" applyProtection="1">
      <alignment horizontal="right" indent="1"/>
    </xf>
    <xf numFmtId="165" fontId="94" fillId="0" borderId="0" xfId="0" applyNumberFormat="1" applyFont="1" applyFill="1" applyBorder="1" applyAlignment="1" applyProtection="1">
      <alignment horizontal="right" vertical="center" indent="1"/>
    </xf>
    <xf numFmtId="0" fontId="107" fillId="23" borderId="8" xfId="0" applyFont="1" applyFill="1" applyBorder="1" applyAlignment="1">
      <alignment horizontal="center"/>
    </xf>
    <xf numFmtId="0" fontId="107" fillId="23" borderId="73" xfId="0" applyFont="1" applyFill="1" applyBorder="1" applyAlignment="1">
      <alignment horizontal="left" vertical="center"/>
    </xf>
    <xf numFmtId="167" fontId="107" fillId="23" borderId="73" xfId="0" applyNumberFormat="1" applyFont="1" applyFill="1" applyBorder="1" applyAlignment="1">
      <alignment horizontal="right" vertical="center" indent="1"/>
    </xf>
    <xf numFmtId="2" fontId="107" fillId="23" borderId="73" xfId="0" applyNumberFormat="1" applyFont="1" applyFill="1" applyBorder="1" applyAlignment="1">
      <alignment horizontal="right" vertical="center" indent="1"/>
    </xf>
    <xf numFmtId="2" fontId="107" fillId="23" borderId="58" xfId="0" applyNumberFormat="1" applyFont="1" applyFill="1" applyBorder="1" applyAlignment="1">
      <alignment horizontal="right" vertical="center" indent="1"/>
    </xf>
    <xf numFmtId="1" fontId="93" fillId="0" borderId="0" xfId="0" applyNumberFormat="1" applyFont="1" applyFill="1" applyBorder="1" applyAlignment="1" applyProtection="1">
      <alignment horizontal="right" vertical="center" indent="1"/>
    </xf>
    <xf numFmtId="0" fontId="107" fillId="23" borderId="0" xfId="0" applyFont="1" applyFill="1" applyAlignment="1">
      <alignment horizontal="left" vertical="center"/>
    </xf>
    <xf numFmtId="167" fontId="107" fillId="23" borderId="0" xfId="0" applyNumberFormat="1" applyFont="1" applyFill="1" applyAlignment="1">
      <alignment horizontal="right" vertical="center" indent="1"/>
    </xf>
    <xf numFmtId="0" fontId="107" fillId="23" borderId="11" xfId="0" applyFont="1" applyFill="1" applyBorder="1" applyAlignment="1">
      <alignment horizontal="left" vertical="center"/>
    </xf>
    <xf numFmtId="167" fontId="107" fillId="23" borderId="11" xfId="0" applyNumberFormat="1" applyFont="1" applyFill="1" applyBorder="1" applyAlignment="1">
      <alignment horizontal="right" vertical="center" indent="1"/>
    </xf>
    <xf numFmtId="1" fontId="94" fillId="0" borderId="0" xfId="0" applyNumberFormat="1" applyFont="1" applyFill="1" applyBorder="1" applyAlignment="1" applyProtection="1">
      <alignment horizontal="right" indent="1"/>
    </xf>
    <xf numFmtId="164" fontId="0" fillId="0" borderId="0" xfId="0" applyNumberFormat="1" applyProtection="1"/>
    <xf numFmtId="168" fontId="123" fillId="0" borderId="0" xfId="0" applyNumberFormat="1" applyFont="1" applyFill="1" applyBorder="1" applyProtection="1"/>
    <xf numFmtId="0" fontId="93" fillId="0" borderId="0" xfId="0" applyFont="1" applyFill="1" applyBorder="1" applyAlignment="1" applyProtection="1">
      <alignment vertical="center" wrapText="1"/>
    </xf>
    <xf numFmtId="164" fontId="93" fillId="0" borderId="0" xfId="0" applyNumberFormat="1" applyFont="1" applyFill="1" applyBorder="1" applyAlignment="1" applyProtection="1">
      <alignment horizontal="right" vertical="center" wrapText="1" indent="1"/>
    </xf>
    <xf numFmtId="0" fontId="93" fillId="0" borderId="0" xfId="0" applyFont="1" applyFill="1" applyBorder="1" applyProtection="1"/>
    <xf numFmtId="2" fontId="93" fillId="0" borderId="0" xfId="0" applyNumberFormat="1" applyFont="1" applyFill="1" applyBorder="1" applyAlignment="1" applyProtection="1">
      <alignment horizontal="right" indent="1"/>
    </xf>
    <xf numFmtId="164" fontId="93" fillId="0" borderId="0" xfId="0" applyNumberFormat="1" applyFont="1" applyFill="1" applyBorder="1" applyAlignment="1" applyProtection="1">
      <alignment horizontal="right" indent="1"/>
    </xf>
    <xf numFmtId="164" fontId="93" fillId="0" borderId="0" xfId="0" applyNumberFormat="1" applyFont="1" applyFill="1" applyBorder="1" applyAlignment="1" applyProtection="1">
      <alignment horizontal="right" vertical="center" indent="1"/>
    </xf>
    <xf numFmtId="49" fontId="0" fillId="0" borderId="0" xfId="0" applyNumberFormat="1" applyProtection="1"/>
    <xf numFmtId="164" fontId="93" fillId="0" borderId="0" xfId="0" applyNumberFormat="1" applyFont="1" applyFill="1" applyBorder="1" applyProtection="1"/>
    <xf numFmtId="49" fontId="123" fillId="0" borderId="0" xfId="0" applyNumberFormat="1" applyFont="1" applyFill="1" applyBorder="1" applyProtection="1"/>
    <xf numFmtId="0" fontId="93" fillId="35" borderId="0" xfId="0" applyFont="1" applyFill="1" applyAlignment="1" applyProtection="1">
      <alignment horizontal="center" vertical="center"/>
    </xf>
    <xf numFmtId="169" fontId="0" fillId="0" borderId="0" xfId="0" applyNumberFormat="1" applyAlignment="1" applyProtection="1">
      <alignment horizontal="right" vertical="center" indent="1"/>
    </xf>
    <xf numFmtId="2" fontId="0" fillId="38" borderId="38" xfId="0" applyNumberFormat="1" applyFill="1" applyBorder="1" applyAlignment="1" applyProtection="1">
      <alignment horizontal="right" vertical="center" indent="1"/>
    </xf>
    <xf numFmtId="2" fontId="0" fillId="0" borderId="35" xfId="0" applyNumberFormat="1" applyBorder="1" applyAlignment="1" applyProtection="1">
      <alignment horizontal="right" vertical="center" indent="1"/>
    </xf>
    <xf numFmtId="2" fontId="0" fillId="0" borderId="36" xfId="0" applyNumberFormat="1" applyBorder="1" applyAlignment="1" applyProtection="1">
      <alignment horizontal="right" vertical="center" indent="1"/>
    </xf>
    <xf numFmtId="2" fontId="0" fillId="0" borderId="59" xfId="0" applyNumberFormat="1" applyBorder="1" applyAlignment="1" applyProtection="1">
      <alignment horizontal="right" vertical="center" indent="1"/>
    </xf>
    <xf numFmtId="2" fontId="0" fillId="0" borderId="64" xfId="0" applyNumberFormat="1" applyBorder="1" applyAlignment="1" applyProtection="1">
      <alignment horizontal="right" vertical="center" indent="1"/>
    </xf>
    <xf numFmtId="2" fontId="0" fillId="0" borderId="37" xfId="0" applyNumberFormat="1" applyBorder="1" applyAlignment="1" applyProtection="1">
      <alignment horizontal="right" vertical="center" indent="1"/>
    </xf>
    <xf numFmtId="2" fontId="0" fillId="0" borderId="0" xfId="0" applyNumberFormat="1" applyBorder="1" applyAlignment="1" applyProtection="1">
      <alignment horizontal="right" vertical="center" indent="1"/>
    </xf>
    <xf numFmtId="2" fontId="0" fillId="38" borderId="41" xfId="0" applyNumberFormat="1" applyFill="1" applyBorder="1" applyAlignment="1" applyProtection="1">
      <alignment horizontal="right" vertical="center" indent="1"/>
    </xf>
    <xf numFmtId="2" fontId="0" fillId="0" borderId="32" xfId="0" applyNumberFormat="1" applyBorder="1" applyAlignment="1" applyProtection="1">
      <alignment horizontal="right" vertical="center" indent="1"/>
    </xf>
    <xf numFmtId="2" fontId="0" fillId="0" borderId="33" xfId="0" applyNumberFormat="1" applyBorder="1" applyAlignment="1" applyProtection="1">
      <alignment horizontal="right" vertical="center" indent="1"/>
    </xf>
    <xf numFmtId="2" fontId="0" fillId="0" borderId="52" xfId="0" applyNumberFormat="1" applyBorder="1" applyAlignment="1" applyProtection="1">
      <alignment horizontal="right" vertical="center" indent="1"/>
    </xf>
    <xf numFmtId="2" fontId="0" fillId="0" borderId="51" xfId="0" applyNumberFormat="1" applyBorder="1" applyAlignment="1" applyProtection="1">
      <alignment horizontal="right" vertical="center" indent="1"/>
    </xf>
    <xf numFmtId="2" fontId="0" fillId="0" borderId="34" xfId="0" applyNumberFormat="1" applyBorder="1" applyAlignment="1" applyProtection="1">
      <alignment horizontal="right" vertical="center" indent="1"/>
    </xf>
    <xf numFmtId="2" fontId="0" fillId="38" borderId="49" xfId="0" applyNumberFormat="1" applyFill="1" applyBorder="1" applyAlignment="1" applyProtection="1">
      <alignment horizontal="right" vertical="center" indent="1"/>
    </xf>
    <xf numFmtId="2" fontId="0" fillId="0" borderId="29" xfId="0" applyNumberFormat="1" applyBorder="1" applyAlignment="1" applyProtection="1">
      <alignment horizontal="right" vertical="center" indent="1"/>
    </xf>
    <xf numFmtId="2" fontId="0" fillId="0" borderId="30" xfId="0" applyNumberFormat="1" applyBorder="1" applyAlignment="1" applyProtection="1">
      <alignment horizontal="right" vertical="center" indent="1"/>
    </xf>
    <xf numFmtId="2" fontId="0" fillId="0" borderId="54" xfId="0" applyNumberFormat="1" applyBorder="1" applyAlignment="1" applyProtection="1">
      <alignment horizontal="right" vertical="center" indent="1"/>
    </xf>
    <xf numFmtId="2" fontId="0" fillId="0" borderId="53" xfId="0" applyNumberFormat="1" applyBorder="1" applyAlignment="1" applyProtection="1">
      <alignment horizontal="right" vertical="center" indent="1"/>
    </xf>
    <xf numFmtId="2" fontId="0" fillId="0" borderId="31" xfId="0" applyNumberFormat="1" applyBorder="1" applyAlignment="1" applyProtection="1">
      <alignment horizontal="right" vertical="center" indent="1"/>
    </xf>
    <xf numFmtId="2" fontId="0" fillId="38" borderId="48" xfId="0" applyNumberFormat="1" applyFill="1" applyBorder="1" applyAlignment="1" applyProtection="1">
      <alignment horizontal="right" vertical="center" indent="1"/>
    </xf>
    <xf numFmtId="168" fontId="0" fillId="38" borderId="38" xfId="0" applyNumberFormat="1" applyFill="1" applyBorder="1" applyAlignment="1" applyProtection="1">
      <alignment horizontal="right" vertical="center" indent="1"/>
    </xf>
    <xf numFmtId="168" fontId="0" fillId="38" borderId="67" xfId="0" applyNumberFormat="1" applyFill="1" applyBorder="1" applyAlignment="1" applyProtection="1">
      <alignment horizontal="right" vertical="center" indent="1"/>
    </xf>
    <xf numFmtId="168" fontId="0" fillId="38" borderId="41" xfId="0" applyNumberFormat="1" applyFill="1" applyBorder="1" applyAlignment="1" applyProtection="1">
      <alignment horizontal="right" vertical="center" indent="1"/>
    </xf>
    <xf numFmtId="168" fontId="0" fillId="38" borderId="49" xfId="0" applyNumberFormat="1" applyFill="1" applyBorder="1" applyAlignment="1" applyProtection="1">
      <alignment horizontal="right" vertical="center" indent="1"/>
    </xf>
    <xf numFmtId="0" fontId="93" fillId="35" borderId="39" xfId="0" applyFont="1" applyFill="1" applyBorder="1" applyAlignment="1" applyProtection="1">
      <alignment horizontal="right" vertical="center" indent="1"/>
    </xf>
    <xf numFmtId="2" fontId="0" fillId="38" borderId="16" xfId="0" applyNumberFormat="1" applyFill="1" applyBorder="1" applyAlignment="1" applyProtection="1">
      <alignment horizontal="right" vertical="center" indent="1"/>
    </xf>
    <xf numFmtId="2" fontId="0" fillId="0" borderId="19" xfId="0" applyNumberFormat="1" applyBorder="1" applyAlignment="1" applyProtection="1">
      <alignment horizontal="right" vertical="center" indent="1"/>
    </xf>
    <xf numFmtId="2" fontId="0" fillId="0" borderId="20" xfId="0" applyNumberFormat="1" applyBorder="1" applyAlignment="1" applyProtection="1">
      <alignment horizontal="right" vertical="center" indent="1"/>
    </xf>
    <xf numFmtId="2" fontId="0" fillId="0" borderId="21" xfId="0" applyNumberFormat="1" applyBorder="1" applyAlignment="1" applyProtection="1">
      <alignment horizontal="right" vertical="center" indent="1"/>
    </xf>
    <xf numFmtId="2" fontId="0" fillId="38" borderId="18" xfId="0" applyNumberFormat="1" applyFill="1" applyBorder="1" applyAlignment="1" applyProtection="1">
      <alignment horizontal="right" vertical="center" indent="1"/>
    </xf>
    <xf numFmtId="0" fontId="81" fillId="0" borderId="0" xfId="0" applyFont="1" applyFill="1" applyBorder="1" applyProtection="1"/>
    <xf numFmtId="169" fontId="84" fillId="0" borderId="0" xfId="0" applyNumberFormat="1" applyFont="1" applyFill="1" applyBorder="1" applyAlignment="1" applyProtection="1">
      <alignment horizontal="right" vertical="center" indent="1"/>
    </xf>
    <xf numFmtId="169" fontId="84" fillId="0" borderId="0" xfId="0" applyNumberFormat="1" applyFont="1" applyFill="1" applyBorder="1" applyAlignment="1" applyProtection="1">
      <alignment horizontal="right" vertical="center" wrapText="1" indent="1"/>
    </xf>
    <xf numFmtId="169" fontId="84" fillId="0" borderId="0" xfId="0" applyNumberFormat="1" applyFont="1" applyAlignment="1" applyProtection="1">
      <alignment horizontal="right" vertical="center" indent="1"/>
    </xf>
    <xf numFmtId="2" fontId="0" fillId="0" borderId="0" xfId="0" applyNumberFormat="1" applyFill="1" applyAlignment="1" applyProtection="1">
      <alignment horizontal="right" vertical="center" indent="1"/>
    </xf>
    <xf numFmtId="2" fontId="81" fillId="0" borderId="0" xfId="0" applyNumberFormat="1" applyFont="1" applyFill="1" applyBorder="1" applyAlignment="1" applyProtection="1">
      <alignment horizontal="right" vertical="center" indent="1"/>
    </xf>
    <xf numFmtId="2" fontId="1" fillId="0" borderId="0" xfId="0" applyNumberFormat="1" applyFont="1" applyFill="1" applyBorder="1" applyAlignment="1" applyProtection="1">
      <alignment horizontal="right" vertical="center" indent="1"/>
    </xf>
    <xf numFmtId="2" fontId="1" fillId="0" borderId="0" xfId="0" applyNumberFormat="1" applyFont="1" applyFill="1" applyBorder="1" applyAlignment="1" applyProtection="1">
      <alignment horizontal="right" vertical="center" wrapText="1" indent="1"/>
    </xf>
    <xf numFmtId="169" fontId="84" fillId="0" borderId="0" xfId="0" applyNumberFormat="1" applyFont="1" applyFill="1" applyProtection="1"/>
    <xf numFmtId="2" fontId="0" fillId="0" borderId="0" xfId="0" applyNumberFormat="1" applyFill="1" applyProtection="1"/>
    <xf numFmtId="2" fontId="1" fillId="0" borderId="0" xfId="0" applyNumberFormat="1" applyFont="1" applyProtection="1"/>
    <xf numFmtId="2" fontId="1" fillId="0" borderId="0" xfId="0" applyNumberFormat="1" applyFont="1" applyAlignment="1" applyProtection="1">
      <alignment horizontal="right" vertical="center" indent="1"/>
    </xf>
    <xf numFmtId="0" fontId="1" fillId="0" borderId="0" xfId="0" applyFont="1" applyFill="1" applyProtection="1"/>
    <xf numFmtId="165" fontId="0" fillId="0" borderId="0" xfId="0" applyNumberFormat="1" applyFill="1" applyAlignment="1" applyProtection="1">
      <alignment horizontal="right" vertical="center" indent="1"/>
    </xf>
    <xf numFmtId="169" fontId="50" fillId="0" borderId="0" xfId="0" applyNumberFormat="1" applyFont="1" applyFill="1" applyAlignment="1" applyProtection="1">
      <alignment horizontal="right" vertical="center" indent="1"/>
    </xf>
    <xf numFmtId="168" fontId="1" fillId="12" borderId="2" xfId="0" applyNumberFormat="1" applyFont="1" applyFill="1" applyBorder="1" applyAlignment="1" applyProtection="1">
      <alignment horizontal="right" vertical="center"/>
    </xf>
    <xf numFmtId="168" fontId="1" fillId="12" borderId="3" xfId="0" applyNumberFormat="1" applyFont="1" applyFill="1" applyBorder="1" applyAlignment="1" applyProtection="1">
      <alignment horizontal="right" vertical="center"/>
    </xf>
    <xf numFmtId="168" fontId="1" fillId="12" borderId="6" xfId="0" applyNumberFormat="1" applyFont="1" applyFill="1" applyBorder="1" applyAlignment="1" applyProtection="1">
      <alignment horizontal="right" vertical="center"/>
    </xf>
    <xf numFmtId="169" fontId="1" fillId="0" borderId="17" xfId="0" applyNumberFormat="1" applyFont="1" applyBorder="1" applyAlignment="1" applyProtection="1">
      <alignment horizontal="right" vertical="center" indent="1"/>
    </xf>
    <xf numFmtId="169" fontId="1" fillId="0" borderId="0" xfId="0" applyNumberFormat="1" applyFont="1" applyBorder="1" applyAlignment="1" applyProtection="1">
      <alignment horizontal="right" vertical="center" indent="1"/>
    </xf>
    <xf numFmtId="169" fontId="1" fillId="0" borderId="57" xfId="0" applyNumberFormat="1" applyFont="1" applyBorder="1" applyAlignment="1" applyProtection="1">
      <alignment horizontal="right" vertical="center" indent="1"/>
    </xf>
    <xf numFmtId="0" fontId="78" fillId="0" borderId="4" xfId="0" applyFont="1" applyBorder="1" applyAlignment="1" applyProtection="1">
      <alignment horizontal="left" vertical="center" indent="1"/>
    </xf>
    <xf numFmtId="169" fontId="1" fillId="0" borderId="7" xfId="0" applyNumberFormat="1" applyFont="1" applyBorder="1" applyAlignment="1" applyProtection="1">
      <alignment horizontal="right" vertical="center" indent="1"/>
    </xf>
    <xf numFmtId="169" fontId="1" fillId="0" borderId="8" xfId="0" applyNumberFormat="1" applyFont="1" applyBorder="1" applyAlignment="1" applyProtection="1">
      <alignment horizontal="right" vertical="center" indent="1"/>
    </xf>
    <xf numFmtId="169" fontId="1" fillId="0" borderId="5" xfId="0" applyNumberFormat="1" applyFont="1" applyBorder="1" applyAlignment="1" applyProtection="1">
      <alignment horizontal="right" vertical="center" indent="1"/>
    </xf>
    <xf numFmtId="0" fontId="78" fillId="0" borderId="16" xfId="0" applyFont="1" applyBorder="1" applyAlignment="1" applyProtection="1">
      <alignment horizontal="left" vertical="center" indent="1"/>
    </xf>
    <xf numFmtId="169" fontId="0" fillId="0" borderId="9" xfId="0" applyNumberFormat="1" applyBorder="1" applyAlignment="1" applyProtection="1">
      <alignment horizontal="right" vertical="center" indent="1"/>
    </xf>
    <xf numFmtId="169" fontId="0" fillId="0" borderId="11" xfId="0" applyNumberFormat="1" applyBorder="1" applyAlignment="1" applyProtection="1">
      <alignment horizontal="right" vertical="center" indent="1"/>
    </xf>
    <xf numFmtId="169" fontId="0" fillId="0" borderId="10" xfId="0" applyNumberFormat="1" applyBorder="1" applyAlignment="1" applyProtection="1">
      <alignment horizontal="right" vertical="center" indent="1"/>
    </xf>
    <xf numFmtId="169" fontId="0" fillId="0" borderId="17" xfId="0" applyNumberFormat="1" applyBorder="1" applyAlignment="1" applyProtection="1">
      <alignment horizontal="right" vertical="center" indent="1"/>
    </xf>
    <xf numFmtId="169" fontId="0" fillId="0" borderId="0" xfId="0" applyNumberFormat="1" applyBorder="1" applyAlignment="1" applyProtection="1">
      <alignment horizontal="right" vertical="center" indent="1"/>
    </xf>
    <xf numFmtId="169" fontId="0" fillId="0" borderId="57" xfId="0" applyNumberFormat="1" applyBorder="1" applyAlignment="1" applyProtection="1">
      <alignment horizontal="right" vertical="center" indent="1"/>
    </xf>
    <xf numFmtId="169" fontId="0" fillId="0" borderId="7" xfId="0" applyNumberFormat="1" applyBorder="1" applyAlignment="1" applyProtection="1">
      <alignment horizontal="right" vertical="center" indent="1"/>
    </xf>
    <xf numFmtId="169" fontId="0" fillId="0" borderId="8" xfId="0" applyNumberFormat="1" applyBorder="1" applyAlignment="1" applyProtection="1">
      <alignment horizontal="right" vertical="center" indent="1"/>
    </xf>
    <xf numFmtId="169" fontId="0" fillId="0" borderId="5" xfId="0" applyNumberFormat="1" applyBorder="1" applyAlignment="1" applyProtection="1">
      <alignment horizontal="right" vertical="center" indent="1"/>
    </xf>
    <xf numFmtId="169" fontId="0" fillId="0" borderId="7" xfId="0" applyNumberFormat="1" applyFill="1" applyBorder="1" applyAlignment="1" applyProtection="1">
      <alignment horizontal="right" vertical="center" indent="1"/>
    </xf>
    <xf numFmtId="169" fontId="0" fillId="0" borderId="8" xfId="0" applyNumberFormat="1" applyFill="1" applyBorder="1" applyAlignment="1" applyProtection="1">
      <alignment horizontal="right" vertical="center" indent="1"/>
    </xf>
    <xf numFmtId="169" fontId="0" fillId="0" borderId="5" xfId="0" applyNumberFormat="1" applyFill="1" applyBorder="1" applyAlignment="1" applyProtection="1">
      <alignment horizontal="right" vertical="center" indent="1"/>
    </xf>
    <xf numFmtId="169" fontId="0" fillId="0" borderId="17" xfId="0" applyNumberFormat="1" applyFill="1" applyBorder="1" applyAlignment="1" applyProtection="1">
      <alignment horizontal="right" vertical="center" indent="1"/>
    </xf>
    <xf numFmtId="169" fontId="0" fillId="0" borderId="0" xfId="0" applyNumberFormat="1" applyFill="1" applyBorder="1" applyAlignment="1" applyProtection="1">
      <alignment horizontal="right" vertical="center" indent="1"/>
    </xf>
    <xf numFmtId="169" fontId="0" fillId="0" borderId="57" xfId="0" applyNumberFormat="1" applyFill="1" applyBorder="1" applyAlignment="1" applyProtection="1">
      <alignment horizontal="right" vertical="center" indent="1"/>
    </xf>
    <xf numFmtId="169" fontId="0" fillId="0" borderId="9" xfId="0" applyNumberFormat="1" applyFill="1" applyBorder="1" applyAlignment="1" applyProtection="1">
      <alignment horizontal="right" vertical="center" indent="1"/>
    </xf>
    <xf numFmtId="169" fontId="0" fillId="0" borderId="11" xfId="0" applyNumberFormat="1" applyFill="1" applyBorder="1" applyAlignment="1" applyProtection="1">
      <alignment horizontal="right" vertical="center" indent="1"/>
    </xf>
    <xf numFmtId="169" fontId="0" fillId="0" borderId="10" xfId="0" applyNumberFormat="1" applyFill="1" applyBorder="1" applyAlignment="1" applyProtection="1">
      <alignment horizontal="right" vertical="center" indent="1"/>
    </xf>
    <xf numFmtId="0" fontId="78" fillId="0" borderId="7" xfId="0" applyFont="1" applyBorder="1" applyAlignment="1" applyProtection="1">
      <alignment horizontal="left" vertical="center" indent="1"/>
    </xf>
    <xf numFmtId="0" fontId="78" fillId="0" borderId="9" xfId="0" applyFont="1" applyBorder="1" applyAlignment="1" applyProtection="1">
      <alignment horizontal="left" vertical="center" indent="1"/>
    </xf>
    <xf numFmtId="169" fontId="50" fillId="0" borderId="0" xfId="0" applyNumberFormat="1" applyFont="1" applyProtection="1"/>
    <xf numFmtId="169" fontId="133" fillId="0" borderId="0" xfId="0" applyNumberFormat="1" applyFont="1" applyAlignment="1">
      <alignment horizontal="right" vertical="center" indent="1"/>
    </xf>
    <xf numFmtId="1" fontId="0" fillId="0" borderId="0" xfId="0" applyNumberFormat="1" applyAlignment="1" applyProtection="1">
      <alignment horizontal="right" vertical="center" indent="1"/>
    </xf>
    <xf numFmtId="2" fontId="133" fillId="0" borderId="0" xfId="0" applyNumberFormat="1" applyFont="1" applyAlignment="1">
      <alignment horizontal="right" vertical="center" indent="1"/>
    </xf>
    <xf numFmtId="1" fontId="0" fillId="0" borderId="0" xfId="0" applyNumberFormat="1" applyProtection="1"/>
    <xf numFmtId="1" fontId="0" fillId="38" borderId="2" xfId="0" applyNumberFormat="1" applyFill="1" applyBorder="1" applyAlignment="1" applyProtection="1">
      <alignment horizontal="right" vertical="center" indent="1"/>
    </xf>
    <xf numFmtId="1" fontId="0" fillId="38" borderId="3" xfId="0" applyNumberFormat="1" applyFill="1" applyBorder="1" applyAlignment="1" applyProtection="1">
      <alignment horizontal="right" vertical="center" indent="1"/>
    </xf>
    <xf numFmtId="1" fontId="0" fillId="38" borderId="6" xfId="0" applyNumberFormat="1" applyFill="1" applyBorder="1" applyAlignment="1" applyProtection="1">
      <alignment horizontal="right" vertical="center" indent="1"/>
    </xf>
    <xf numFmtId="1" fontId="0" fillId="38" borderId="17" xfId="0" applyNumberFormat="1" applyFill="1" applyBorder="1" applyAlignment="1" applyProtection="1">
      <alignment horizontal="right" vertical="center" indent="1"/>
    </xf>
    <xf numFmtId="1" fontId="0" fillId="38" borderId="0" xfId="0" applyNumberFormat="1" applyFill="1" applyBorder="1" applyAlignment="1" applyProtection="1">
      <alignment horizontal="right" vertical="center" indent="1"/>
    </xf>
    <xf numFmtId="1" fontId="0" fillId="38" borderId="57" xfId="0" applyNumberFormat="1" applyFill="1" applyBorder="1" applyAlignment="1" applyProtection="1">
      <alignment horizontal="right" vertical="center" indent="1"/>
    </xf>
    <xf numFmtId="169" fontId="0" fillId="38" borderId="2" xfId="0" applyNumberFormat="1" applyFill="1" applyBorder="1" applyAlignment="1" applyProtection="1">
      <alignment horizontal="right" vertical="center" indent="1"/>
    </xf>
    <xf numFmtId="169" fontId="0" fillId="38" borderId="3" xfId="0" applyNumberFormat="1" applyFill="1" applyBorder="1" applyAlignment="1" applyProtection="1">
      <alignment horizontal="right" vertical="center" indent="1"/>
    </xf>
    <xf numFmtId="169" fontId="0" fillId="38" borderId="6" xfId="0" applyNumberFormat="1" applyFill="1" applyBorder="1" applyAlignment="1" applyProtection="1">
      <alignment horizontal="right" vertical="center" indent="1"/>
    </xf>
    <xf numFmtId="169" fontId="0" fillId="38" borderId="17" xfId="0" applyNumberFormat="1" applyFill="1" applyBorder="1" applyAlignment="1" applyProtection="1">
      <alignment horizontal="right" vertical="center" indent="1"/>
    </xf>
    <xf numFmtId="169" fontId="0" fillId="38" borderId="0" xfId="0" applyNumberFormat="1" applyFill="1" applyBorder="1" applyAlignment="1" applyProtection="1">
      <alignment horizontal="right" vertical="center" indent="1"/>
    </xf>
    <xf numFmtId="169" fontId="0" fillId="38" borderId="57" xfId="0" applyNumberFormat="1" applyFill="1" applyBorder="1" applyAlignment="1" applyProtection="1">
      <alignment horizontal="right" vertical="center" indent="1"/>
    </xf>
    <xf numFmtId="169" fontId="0" fillId="38" borderId="9" xfId="0" applyNumberFormat="1" applyFill="1" applyBorder="1" applyAlignment="1" applyProtection="1">
      <alignment horizontal="right" vertical="center" indent="1"/>
    </xf>
    <xf numFmtId="169" fontId="0" fillId="38" borderId="11" xfId="0" applyNumberFormat="1" applyFill="1" applyBorder="1" applyAlignment="1" applyProtection="1">
      <alignment horizontal="right" vertical="center" indent="1"/>
    </xf>
    <xf numFmtId="169" fontId="0" fillId="38" borderId="10" xfId="0" applyNumberFormat="1" applyFill="1" applyBorder="1" applyAlignment="1" applyProtection="1">
      <alignment horizontal="right" vertical="center" indent="1"/>
    </xf>
    <xf numFmtId="1" fontId="0" fillId="33" borderId="7" xfId="0" applyNumberFormat="1" applyFill="1" applyBorder="1" applyAlignment="1" applyProtection="1">
      <alignment horizontal="right" vertical="center" indent="1"/>
    </xf>
    <xf numFmtId="1" fontId="0" fillId="33" borderId="8" xfId="0" applyNumberFormat="1" applyFill="1" applyBorder="1" applyAlignment="1" applyProtection="1">
      <alignment horizontal="right" vertical="center" indent="1"/>
    </xf>
    <xf numFmtId="1" fontId="0" fillId="33" borderId="5" xfId="0" applyNumberFormat="1" applyFill="1" applyBorder="1" applyAlignment="1" applyProtection="1">
      <alignment horizontal="right" vertical="center" indent="1"/>
    </xf>
    <xf numFmtId="1" fontId="0" fillId="33" borderId="17" xfId="0" applyNumberFormat="1" applyFill="1" applyBorder="1" applyAlignment="1" applyProtection="1">
      <alignment horizontal="right" vertical="center" indent="1"/>
    </xf>
    <xf numFmtId="1" fontId="0" fillId="33" borderId="0" xfId="0" applyNumberFormat="1" applyFill="1" applyBorder="1" applyAlignment="1" applyProtection="1">
      <alignment horizontal="right" vertical="center" indent="1"/>
    </xf>
    <xf numFmtId="1" fontId="0" fillId="33" borderId="57" xfId="0" applyNumberFormat="1" applyFill="1" applyBorder="1" applyAlignment="1" applyProtection="1">
      <alignment horizontal="right" vertical="center" indent="1"/>
    </xf>
    <xf numFmtId="169" fontId="0" fillId="33" borderId="2" xfId="0" applyNumberFormat="1" applyFill="1" applyBorder="1" applyAlignment="1" applyProtection="1">
      <alignment horizontal="right" vertical="center" indent="1"/>
    </xf>
    <xf numFmtId="169" fontId="0" fillId="33" borderId="3" xfId="0" applyNumberFormat="1" applyFill="1" applyBorder="1" applyAlignment="1" applyProtection="1">
      <alignment horizontal="right" vertical="center" indent="1"/>
    </xf>
    <xf numFmtId="169" fontId="0" fillId="33" borderId="6" xfId="0" applyNumberFormat="1" applyFill="1" applyBorder="1" applyAlignment="1" applyProtection="1">
      <alignment horizontal="right" vertical="center" indent="1"/>
    </xf>
    <xf numFmtId="169" fontId="0" fillId="33" borderId="17" xfId="0" applyNumberFormat="1" applyFill="1" applyBorder="1" applyAlignment="1" applyProtection="1">
      <alignment horizontal="right" vertical="center" indent="1"/>
    </xf>
    <xf numFmtId="169" fontId="0" fillId="33" borderId="0" xfId="0" applyNumberFormat="1" applyFill="1" applyBorder="1" applyAlignment="1" applyProtection="1">
      <alignment horizontal="right" vertical="center" indent="1"/>
    </xf>
    <xf numFmtId="169" fontId="0" fillId="33" borderId="57" xfId="0" applyNumberFormat="1" applyFill="1" applyBorder="1" applyAlignment="1" applyProtection="1">
      <alignment horizontal="right" vertical="center" indent="1"/>
    </xf>
    <xf numFmtId="169" fontId="0" fillId="33" borderId="9" xfId="0" applyNumberFormat="1" applyFill="1" applyBorder="1" applyAlignment="1" applyProtection="1">
      <alignment horizontal="right" vertical="center" indent="1"/>
    </xf>
    <xf numFmtId="169" fontId="0" fillId="33" borderId="11" xfId="0" applyNumberFormat="1" applyFill="1" applyBorder="1" applyAlignment="1" applyProtection="1">
      <alignment horizontal="right" vertical="center" indent="1"/>
    </xf>
    <xf numFmtId="169" fontId="0" fillId="33" borderId="10" xfId="0" applyNumberFormat="1" applyFill="1" applyBorder="1" applyAlignment="1" applyProtection="1">
      <alignment horizontal="right" vertical="center" indent="1"/>
    </xf>
    <xf numFmtId="1" fontId="0" fillId="38" borderId="7" xfId="0" applyNumberFormat="1" applyFill="1" applyBorder="1" applyAlignment="1" applyProtection="1">
      <alignment horizontal="right" vertical="center" indent="1"/>
    </xf>
    <xf numFmtId="1" fontId="0" fillId="38" borderId="8" xfId="0" applyNumberFormat="1" applyFill="1" applyBorder="1" applyAlignment="1" applyProtection="1">
      <alignment horizontal="right" vertical="center" indent="1"/>
    </xf>
    <xf numFmtId="1" fontId="0" fillId="38" borderId="5" xfId="0" applyNumberFormat="1" applyFill="1" applyBorder="1" applyAlignment="1" applyProtection="1">
      <alignment horizontal="right" vertical="center" indent="1"/>
    </xf>
    <xf numFmtId="2" fontId="135" fillId="0" borderId="0" xfId="0" applyNumberFormat="1" applyFont="1"/>
    <xf numFmtId="164" fontId="110" fillId="37" borderId="38" xfId="0" applyNumberFormat="1" applyFont="1" applyFill="1" applyBorder="1" applyAlignment="1" applyProtection="1">
      <alignment horizontal="right" vertical="center" indent="1"/>
    </xf>
    <xf numFmtId="164" fontId="1" fillId="0" borderId="64" xfId="0" applyNumberFormat="1" applyFont="1" applyBorder="1" applyAlignment="1" applyProtection="1">
      <alignment horizontal="center" vertical="center"/>
      <protection locked="0"/>
    </xf>
    <xf numFmtId="164" fontId="110" fillId="39" borderId="38" xfId="0" applyNumberFormat="1" applyFont="1" applyFill="1" applyBorder="1" applyAlignment="1" applyProtection="1">
      <alignment horizontal="right" indent="1"/>
    </xf>
    <xf numFmtId="164" fontId="1" fillId="0" borderId="36" xfId="0" applyNumberFormat="1" applyFont="1" applyBorder="1" applyAlignment="1" applyProtection="1">
      <alignment horizontal="right" vertical="center" indent="1"/>
      <protection locked="0"/>
    </xf>
    <xf numFmtId="164" fontId="110" fillId="37" borderId="41" xfId="0" applyNumberFormat="1" applyFont="1" applyFill="1" applyBorder="1" applyAlignment="1" applyProtection="1">
      <alignment horizontal="right" vertical="center" indent="1"/>
    </xf>
    <xf numFmtId="164" fontId="1" fillId="0" borderId="51" xfId="0" applyNumberFormat="1" applyFont="1" applyBorder="1" applyAlignment="1" applyProtection="1">
      <alignment horizontal="center" vertical="center"/>
      <protection locked="0"/>
    </xf>
    <xf numFmtId="164" fontId="110" fillId="39" borderId="41" xfId="0" applyNumberFormat="1" applyFont="1" applyFill="1" applyBorder="1" applyAlignment="1" applyProtection="1">
      <alignment horizontal="right" indent="1"/>
    </xf>
    <xf numFmtId="164" fontId="110" fillId="37" borderId="49" xfId="0" applyNumberFormat="1" applyFont="1" applyFill="1" applyBorder="1" applyAlignment="1" applyProtection="1">
      <alignment horizontal="right" vertical="center" indent="1"/>
    </xf>
    <xf numFmtId="164" fontId="1" fillId="0" borderId="60" xfId="0" applyNumberFormat="1" applyFont="1" applyBorder="1" applyAlignment="1" applyProtection="1">
      <alignment horizontal="center" vertical="center"/>
      <protection locked="0"/>
    </xf>
    <xf numFmtId="164" fontId="110" fillId="39" borderId="49" xfId="0" applyNumberFormat="1" applyFont="1" applyFill="1" applyBorder="1" applyAlignment="1" applyProtection="1">
      <alignment horizontal="right" indent="1"/>
    </xf>
    <xf numFmtId="164" fontId="110" fillId="36" borderId="22" xfId="0" applyNumberFormat="1" applyFont="1" applyFill="1" applyBorder="1" applyAlignment="1" applyProtection="1">
      <alignment horizontal="right" vertical="center" indent="1"/>
    </xf>
    <xf numFmtId="164" fontId="0" fillId="22" borderId="35" xfId="0" applyNumberFormat="1" applyFill="1" applyBorder="1" applyAlignment="1" applyProtection="1">
      <alignment horizontal="right" vertical="center" indent="1"/>
      <protection locked="0"/>
    </xf>
    <xf numFmtId="164" fontId="0" fillId="22" borderId="36" xfId="0" applyNumberFormat="1" applyFill="1" applyBorder="1" applyAlignment="1" applyProtection="1">
      <alignment horizontal="right" vertical="center" indent="1"/>
      <protection locked="0"/>
    </xf>
    <xf numFmtId="164" fontId="0" fillId="22" borderId="59" xfId="0" applyNumberFormat="1" applyFill="1" applyBorder="1" applyAlignment="1" applyProtection="1">
      <alignment horizontal="right" vertical="center" indent="1"/>
      <protection locked="0"/>
    </xf>
    <xf numFmtId="164" fontId="0" fillId="22" borderId="37" xfId="0" applyNumberFormat="1" applyFill="1" applyBorder="1" applyAlignment="1" applyProtection="1">
      <alignment horizontal="right" vertical="center" indent="1"/>
      <protection locked="0"/>
    </xf>
    <xf numFmtId="164" fontId="110" fillId="36" borderId="22" xfId="0" applyNumberFormat="1" applyFont="1" applyFill="1" applyBorder="1" applyAlignment="1" applyProtection="1">
      <alignment horizontal="right" indent="1"/>
    </xf>
    <xf numFmtId="164" fontId="110" fillId="36" borderId="27" xfId="0" applyNumberFormat="1" applyFont="1" applyFill="1" applyBorder="1" applyAlignment="1" applyProtection="1">
      <alignment horizontal="right" vertical="center" indent="1"/>
    </xf>
    <xf numFmtId="164" fontId="0" fillId="22" borderId="32" xfId="0" applyNumberFormat="1" applyFill="1" applyBorder="1" applyAlignment="1" applyProtection="1">
      <alignment horizontal="right" vertical="center" indent="1"/>
    </xf>
    <xf numFmtId="164" fontId="0" fillId="22" borderId="33" xfId="0" applyNumberFormat="1" applyFill="1" applyBorder="1" applyAlignment="1" applyProtection="1">
      <alignment horizontal="right" vertical="center" indent="1"/>
    </xf>
    <xf numFmtId="164" fontId="0" fillId="22" borderId="52" xfId="0" applyNumberFormat="1" applyFill="1" applyBorder="1" applyAlignment="1" applyProtection="1">
      <alignment horizontal="right" vertical="center" indent="1"/>
    </xf>
    <xf numFmtId="164" fontId="0" fillId="22" borderId="34" xfId="0" applyNumberFormat="1" applyFill="1" applyBorder="1" applyAlignment="1" applyProtection="1">
      <alignment horizontal="right" vertical="center" indent="1"/>
    </xf>
    <xf numFmtId="164" fontId="110" fillId="36" borderId="27" xfId="0" applyNumberFormat="1" applyFont="1" applyFill="1" applyBorder="1" applyAlignment="1" applyProtection="1">
      <alignment horizontal="right" indent="1"/>
    </xf>
    <xf numFmtId="164" fontId="110" fillId="36" borderId="39" xfId="0" applyNumberFormat="1" applyFont="1" applyFill="1" applyBorder="1" applyAlignment="1" applyProtection="1">
      <alignment horizontal="right" vertical="center" indent="1"/>
    </xf>
    <xf numFmtId="164" fontId="0" fillId="22" borderId="29" xfId="0" applyNumberFormat="1" applyFill="1" applyBorder="1" applyAlignment="1" applyProtection="1">
      <alignment horizontal="right" vertical="center" indent="1"/>
    </xf>
    <xf numFmtId="164" fontId="0" fillId="22" borderId="30" xfId="0" applyNumberFormat="1" applyFill="1" applyBorder="1" applyAlignment="1" applyProtection="1">
      <alignment horizontal="right" vertical="center" indent="1"/>
    </xf>
    <xf numFmtId="164" fontId="0" fillId="22" borderId="54" xfId="0" applyNumberFormat="1" applyFill="1" applyBorder="1" applyAlignment="1" applyProtection="1">
      <alignment horizontal="right" vertical="center" indent="1"/>
    </xf>
    <xf numFmtId="164" fontId="0" fillId="22" borderId="31" xfId="0" applyNumberFormat="1" applyFill="1" applyBorder="1" applyAlignment="1" applyProtection="1">
      <alignment horizontal="right" vertical="center" indent="1"/>
    </xf>
    <xf numFmtId="164" fontId="110" fillId="36" borderId="39" xfId="0" applyNumberFormat="1" applyFont="1" applyFill="1" applyBorder="1" applyAlignment="1" applyProtection="1">
      <alignment horizontal="right" indent="1"/>
    </xf>
    <xf numFmtId="165" fontId="110" fillId="36" borderId="38" xfId="0" applyNumberFormat="1" applyFont="1" applyFill="1" applyBorder="1" applyAlignment="1" applyProtection="1">
      <alignment horizontal="right" vertical="center" indent="1"/>
    </xf>
    <xf numFmtId="164" fontId="0" fillId="0" borderId="74" xfId="0" applyNumberFormat="1" applyBorder="1" applyAlignment="1" applyProtection="1">
      <alignment horizontal="right" vertical="center" indent="1"/>
      <protection locked="0"/>
    </xf>
    <xf numFmtId="165" fontId="110" fillId="36" borderId="38" xfId="0" applyNumberFormat="1" applyFont="1" applyFill="1" applyBorder="1" applyAlignment="1" applyProtection="1">
      <alignment horizontal="right" indent="1"/>
    </xf>
    <xf numFmtId="165" fontId="110" fillId="36" borderId="41" xfId="0" applyNumberFormat="1" applyFont="1" applyFill="1" applyBorder="1" applyAlignment="1" applyProtection="1">
      <alignment horizontal="right" vertical="center" indent="1"/>
    </xf>
    <xf numFmtId="164" fontId="0" fillId="0" borderId="51" xfId="0" applyNumberFormat="1" applyBorder="1" applyAlignment="1" applyProtection="1">
      <alignment horizontal="right" vertical="center" indent="1"/>
      <protection locked="0"/>
    </xf>
    <xf numFmtId="165" fontId="110" fillId="36" borderId="41" xfId="0" applyNumberFormat="1" applyFont="1" applyFill="1" applyBorder="1" applyAlignment="1" applyProtection="1">
      <alignment horizontal="right" indent="1"/>
    </xf>
    <xf numFmtId="164" fontId="0" fillId="0" borderId="53" xfId="0" applyNumberFormat="1" applyBorder="1" applyAlignment="1" applyProtection="1">
      <alignment horizontal="right" vertical="center" indent="1"/>
      <protection locked="0"/>
    </xf>
    <xf numFmtId="164" fontId="110" fillId="36" borderId="1" xfId="0" applyNumberFormat="1" applyFont="1" applyFill="1" applyBorder="1" applyAlignment="1" applyProtection="1">
      <alignment horizontal="right" vertical="center" indent="1"/>
    </xf>
    <xf numFmtId="164" fontId="0" fillId="0" borderId="75" xfId="0" applyNumberFormat="1" applyBorder="1" applyAlignment="1" applyProtection="1">
      <alignment horizontal="right" vertical="center" indent="1"/>
      <protection locked="0"/>
    </xf>
    <xf numFmtId="164" fontId="0" fillId="0" borderId="19" xfId="0" applyNumberFormat="1" applyBorder="1" applyAlignment="1" applyProtection="1">
      <alignment horizontal="right" vertical="center" indent="1"/>
      <protection locked="0"/>
    </xf>
    <xf numFmtId="164" fontId="0" fillId="0" borderId="21" xfId="0" applyNumberFormat="1" applyBorder="1" applyAlignment="1" applyProtection="1">
      <alignment horizontal="right" vertical="center" indent="1"/>
      <protection locked="0"/>
    </xf>
    <xf numFmtId="164" fontId="110" fillId="36" borderId="1" xfId="0" applyNumberFormat="1" applyFont="1" applyFill="1" applyBorder="1" applyAlignment="1" applyProtection="1">
      <alignment horizontal="right" indent="1"/>
    </xf>
    <xf numFmtId="0" fontId="136" fillId="0" borderId="0" xfId="0" applyFont="1" applyProtection="1"/>
    <xf numFmtId="0" fontId="0" fillId="0" borderId="8" xfId="0" applyBorder="1" applyProtection="1"/>
    <xf numFmtId="0" fontId="0" fillId="0" borderId="11" xfId="0" applyBorder="1" applyProtection="1"/>
    <xf numFmtId="164" fontId="110" fillId="36" borderId="38" xfId="0" applyNumberFormat="1" applyFont="1" applyFill="1" applyBorder="1" applyAlignment="1" applyProtection="1">
      <alignment horizontal="right" vertical="center" indent="1"/>
    </xf>
    <xf numFmtId="164" fontId="0" fillId="0" borderId="24" xfId="0" applyNumberFormat="1" applyFill="1" applyBorder="1" applyAlignment="1" applyProtection="1">
      <alignment horizontal="right" vertical="center" indent="1"/>
      <protection locked="0"/>
    </xf>
    <xf numFmtId="164" fontId="0" fillId="0" borderId="25" xfId="0" applyNumberFormat="1" applyFill="1" applyBorder="1" applyAlignment="1" applyProtection="1">
      <alignment horizontal="right" vertical="center" indent="1"/>
      <protection locked="0"/>
    </xf>
    <xf numFmtId="164" fontId="0" fillId="0" borderId="26" xfId="0" applyNumberFormat="1" applyFill="1" applyBorder="1" applyAlignment="1" applyProtection="1">
      <alignment horizontal="right" vertical="center" indent="1"/>
      <protection locked="0"/>
    </xf>
    <xf numFmtId="164" fontId="110" fillId="36" borderId="41" xfId="0" applyNumberFormat="1" applyFont="1" applyFill="1" applyBorder="1" applyAlignment="1" applyProtection="1">
      <alignment horizontal="right" vertical="center" indent="1"/>
    </xf>
    <xf numFmtId="164" fontId="0" fillId="0" borderId="32" xfId="0" applyNumberFormat="1" applyFill="1" applyBorder="1" applyAlignment="1" applyProtection="1">
      <alignment horizontal="right" vertical="center" indent="1"/>
      <protection locked="0"/>
    </xf>
    <xf numFmtId="164" fontId="0" fillId="0" borderId="33" xfId="0" applyNumberFormat="1" applyFill="1" applyBorder="1" applyAlignment="1" applyProtection="1">
      <alignment horizontal="right" vertical="center" indent="1"/>
      <protection locked="0"/>
    </xf>
    <xf numFmtId="164" fontId="0" fillId="0" borderId="34" xfId="0" applyNumberFormat="1" applyFill="1" applyBorder="1" applyAlignment="1" applyProtection="1">
      <alignment horizontal="right" vertical="center" indent="1"/>
      <protection locked="0"/>
    </xf>
    <xf numFmtId="164" fontId="110" fillId="36" borderId="49" xfId="0" applyNumberFormat="1" applyFont="1" applyFill="1" applyBorder="1" applyAlignment="1" applyProtection="1">
      <alignment horizontal="right" vertical="center" indent="1"/>
    </xf>
    <xf numFmtId="164" fontId="0" fillId="0" borderId="29" xfId="0" applyNumberFormat="1" applyFill="1" applyBorder="1" applyAlignment="1" applyProtection="1">
      <alignment horizontal="right" vertical="center" indent="1"/>
      <protection locked="0"/>
    </xf>
    <xf numFmtId="164" fontId="0" fillId="0" borderId="30" xfId="0" applyNumberFormat="1" applyFill="1" applyBorder="1" applyAlignment="1" applyProtection="1">
      <alignment horizontal="right" vertical="center" indent="1"/>
      <protection locked="0"/>
    </xf>
    <xf numFmtId="164" fontId="0" fillId="0" borderId="31" xfId="0" applyNumberFormat="1" applyFill="1" applyBorder="1" applyAlignment="1" applyProtection="1">
      <alignment horizontal="right" vertical="center" indent="1"/>
      <protection locked="0"/>
    </xf>
    <xf numFmtId="164" fontId="0" fillId="0" borderId="19" xfId="0" applyNumberFormat="1" applyFill="1" applyBorder="1" applyAlignment="1" applyProtection="1">
      <alignment horizontal="right" vertical="center" indent="1"/>
      <protection locked="0"/>
    </xf>
    <xf numFmtId="164" fontId="0" fillId="0" borderId="20" xfId="0" applyNumberFormat="1" applyFill="1" applyBorder="1" applyAlignment="1" applyProtection="1">
      <alignment horizontal="right" vertical="center" indent="1"/>
      <protection locked="0"/>
    </xf>
    <xf numFmtId="164" fontId="0" fillId="0" borderId="21" xfId="0" applyNumberFormat="1" applyFill="1" applyBorder="1" applyAlignment="1" applyProtection="1">
      <alignment horizontal="right" vertical="center" indent="1"/>
      <protection locked="0"/>
    </xf>
    <xf numFmtId="164" fontId="0" fillId="0" borderId="76" xfId="0" applyNumberFormat="1" applyBorder="1" applyAlignment="1" applyProtection="1">
      <alignment horizontal="right" vertical="center" indent="1"/>
      <protection locked="0"/>
    </xf>
    <xf numFmtId="0" fontId="107" fillId="23" borderId="8" xfId="0" applyFont="1" applyFill="1" applyBorder="1" applyAlignment="1" applyProtection="1">
      <alignment horizontal="center"/>
    </xf>
    <xf numFmtId="0" fontId="107" fillId="23" borderId="77" xfId="0" applyFont="1" applyFill="1" applyBorder="1" applyAlignment="1" applyProtection="1">
      <alignment horizontal="center"/>
    </xf>
    <xf numFmtId="0" fontId="108" fillId="23" borderId="78" xfId="0" applyFont="1" applyFill="1" applyBorder="1" applyProtection="1"/>
    <xf numFmtId="0" fontId="107" fillId="0" borderId="0" xfId="0" applyFont="1" applyFill="1" applyBorder="1" applyAlignment="1" applyProtection="1">
      <alignment horizontal="center"/>
    </xf>
    <xf numFmtId="0" fontId="0" fillId="23" borderId="0" xfId="0" applyFill="1" applyProtection="1"/>
    <xf numFmtId="0" fontId="107" fillId="23" borderId="73" xfId="0" applyFont="1" applyFill="1" applyBorder="1" applyAlignment="1" applyProtection="1">
      <alignment horizontal="left" vertical="center"/>
    </xf>
    <xf numFmtId="167" fontId="107" fillId="23" borderId="0" xfId="0" applyNumberFormat="1" applyFont="1" applyFill="1" applyBorder="1" applyAlignment="1" applyProtection="1">
      <alignment horizontal="right" vertical="center" indent="1"/>
    </xf>
    <xf numFmtId="2" fontId="107" fillId="0" borderId="0" xfId="0" applyNumberFormat="1" applyFont="1" applyFill="1" applyBorder="1" applyAlignment="1" applyProtection="1">
      <alignment horizontal="right" vertical="center" indent="1"/>
    </xf>
    <xf numFmtId="0" fontId="107" fillId="23" borderId="0" xfId="0" applyFont="1" applyFill="1" applyBorder="1" applyAlignment="1" applyProtection="1">
      <alignment horizontal="left" vertical="center"/>
    </xf>
    <xf numFmtId="0" fontId="107" fillId="23" borderId="77" xfId="0" applyFont="1" applyFill="1" applyBorder="1" applyAlignment="1" applyProtection="1">
      <alignment horizontal="left" vertical="center"/>
    </xf>
    <xf numFmtId="167" fontId="107" fillId="23" borderId="77" xfId="0" applyNumberFormat="1" applyFont="1" applyFill="1" applyBorder="1" applyAlignment="1" applyProtection="1">
      <alignment horizontal="right" vertical="center" indent="1"/>
    </xf>
    <xf numFmtId="167" fontId="0" fillId="0" borderId="0" xfId="0" applyNumberFormat="1" applyProtection="1"/>
    <xf numFmtId="2" fontId="0" fillId="38" borderId="1" xfId="0" applyNumberFormat="1" applyFill="1" applyBorder="1" applyAlignment="1" applyProtection="1">
      <alignment horizontal="right" vertical="center" indent="1"/>
    </xf>
    <xf numFmtId="164" fontId="1" fillId="0" borderId="0" xfId="0" applyNumberFormat="1" applyFont="1" applyProtection="1"/>
    <xf numFmtId="165" fontId="0" fillId="0" borderId="0" xfId="0" applyNumberFormat="1" applyAlignment="1" applyProtection="1">
      <alignment horizontal="right" vertical="center" indent="1"/>
    </xf>
    <xf numFmtId="0" fontId="0" fillId="0" borderId="0" xfId="0" applyAlignment="1" applyProtection="1">
      <alignment horizontal="right" vertical="center" indent="1"/>
    </xf>
    <xf numFmtId="0" fontId="0" fillId="0" borderId="0" xfId="0" applyFill="1" applyAlignment="1" applyProtection="1">
      <alignment horizontal="right" vertical="center" indent="1"/>
    </xf>
    <xf numFmtId="168" fontId="0" fillId="0" borderId="0" xfId="0" applyNumberFormat="1" applyProtection="1"/>
    <xf numFmtId="0" fontId="76" fillId="0" borderId="0" xfId="0" applyFont="1" applyAlignment="1" applyProtection="1">
      <alignment horizontal="left"/>
    </xf>
    <xf numFmtId="14" fontId="77" fillId="0" borderId="0" xfId="0" applyNumberFormat="1" applyFont="1" applyAlignment="1" applyProtection="1">
      <alignment horizontal="center"/>
    </xf>
    <xf numFmtId="0" fontId="77" fillId="0" borderId="0" xfId="0" applyFont="1" applyAlignment="1" applyProtection="1">
      <alignment horizontal="center"/>
    </xf>
    <xf numFmtId="0" fontId="76" fillId="0" borderId="0" xfId="0" applyFont="1" applyAlignment="1" applyProtection="1">
      <alignment horizontal="center"/>
    </xf>
    <xf numFmtId="0" fontId="93" fillId="35" borderId="0" xfId="0" applyFont="1" applyFill="1" applyAlignment="1" applyProtection="1">
      <alignment horizontal="center" vertical="center"/>
    </xf>
    <xf numFmtId="0" fontId="78" fillId="0" borderId="7" xfId="0" applyFont="1" applyBorder="1" applyAlignment="1" applyProtection="1">
      <alignment horizontal="left" vertical="center" indent="1"/>
    </xf>
    <xf numFmtId="0" fontId="78" fillId="0" borderId="9" xfId="0" applyFont="1" applyBorder="1" applyAlignment="1" applyProtection="1">
      <alignment horizontal="left" vertical="center" indent="1"/>
    </xf>
    <xf numFmtId="0" fontId="76" fillId="0" borderId="0" xfId="0" applyFont="1" applyAlignment="1" applyProtection="1">
      <alignment horizontal="left"/>
    </xf>
    <xf numFmtId="14" fontId="77" fillId="0" borderId="0" xfId="0" applyNumberFormat="1" applyFont="1" applyAlignment="1" applyProtection="1">
      <alignment horizontal="center"/>
    </xf>
    <xf numFmtId="0" fontId="76" fillId="0" borderId="0" xfId="0" applyFont="1" applyAlignment="1" applyProtection="1">
      <alignment horizontal="center"/>
    </xf>
    <xf numFmtId="0" fontId="93" fillId="35" borderId="0" xfId="0" applyFont="1" applyFill="1" applyAlignment="1" applyProtection="1">
      <alignment horizontal="center"/>
    </xf>
    <xf numFmtId="0" fontId="77" fillId="0" borderId="0" xfId="0" applyFont="1" applyAlignment="1" applyProtection="1">
      <alignment horizontal="center"/>
    </xf>
    <xf numFmtId="0" fontId="118" fillId="33" borderId="0" xfId="0" applyFont="1" applyFill="1" applyAlignment="1" applyProtection="1">
      <alignment horizontal="left"/>
    </xf>
    <xf numFmtId="0" fontId="93" fillId="35" borderId="0" xfId="0" applyFont="1" applyFill="1" applyAlignment="1" applyProtection="1">
      <alignment horizontal="center" vertical="center"/>
    </xf>
    <xf numFmtId="0" fontId="80" fillId="0" borderId="0" xfId="0" applyFont="1" applyBorder="1" applyAlignment="1" applyProtection="1">
      <alignment horizontal="center" vertical="center"/>
    </xf>
    <xf numFmtId="0" fontId="78" fillId="0" borderId="7" xfId="0" applyFont="1" applyBorder="1" applyAlignment="1" applyProtection="1">
      <alignment horizontal="left" vertical="center" indent="1"/>
    </xf>
    <xf numFmtId="0" fontId="78" fillId="0" borderId="9" xfId="0" applyFont="1" applyBorder="1" applyAlignment="1" applyProtection="1">
      <alignment horizontal="left" vertical="center" indent="1"/>
    </xf>
    <xf numFmtId="0" fontId="42" fillId="4" borderId="0" xfId="0" applyFont="1" applyFill="1" applyBorder="1" applyAlignment="1">
      <alignment horizontal="center" vertical="center"/>
    </xf>
    <xf numFmtId="164" fontId="1" fillId="0" borderId="59" xfId="0" applyNumberFormat="1" applyFont="1" applyBorder="1" applyAlignment="1" applyProtection="1">
      <alignment horizontal="center" vertical="center"/>
      <protection locked="0"/>
    </xf>
    <xf numFmtId="164" fontId="1" fillId="0" borderId="52" xfId="0" applyNumberFormat="1" applyFont="1" applyBorder="1" applyAlignment="1" applyProtection="1">
      <alignment horizontal="center" vertical="center"/>
      <protection locked="0"/>
    </xf>
    <xf numFmtId="164" fontId="1" fillId="0" borderId="54" xfId="0" applyNumberFormat="1" applyFont="1" applyBorder="1" applyAlignment="1" applyProtection="1">
      <alignment horizontal="center" vertical="center"/>
      <protection locked="0"/>
    </xf>
    <xf numFmtId="164" fontId="110" fillId="39" borderId="79" xfId="0" applyNumberFormat="1" applyFont="1" applyFill="1" applyBorder="1" applyAlignment="1" applyProtection="1">
      <alignment horizontal="right" indent="1"/>
    </xf>
    <xf numFmtId="164" fontId="0" fillId="22" borderId="35" xfId="0" applyNumberFormat="1" applyFill="1" applyBorder="1" applyAlignment="1" applyProtection="1">
      <alignment horizontal="right" vertical="center" indent="1"/>
    </xf>
    <xf numFmtId="164" fontId="0" fillId="22" borderId="36" xfId="0" applyNumberFormat="1" applyFill="1" applyBorder="1" applyAlignment="1" applyProtection="1">
      <alignment horizontal="right" vertical="center" indent="1"/>
    </xf>
    <xf numFmtId="164" fontId="0" fillId="22" borderId="59" xfId="0" applyNumberFormat="1" applyFill="1" applyBorder="1" applyAlignment="1" applyProtection="1">
      <alignment horizontal="right" vertical="center" indent="1"/>
    </xf>
    <xf numFmtId="164" fontId="0" fillId="22" borderId="37" xfId="0" applyNumberFormat="1" applyFill="1" applyBorder="1" applyAlignment="1" applyProtection="1">
      <alignment horizontal="right" vertical="center" indent="1"/>
    </xf>
    <xf numFmtId="164" fontId="0" fillId="0" borderId="79" xfId="0" applyNumberFormat="1" applyBorder="1" applyAlignment="1" applyProtection="1">
      <alignment horizontal="right" vertical="center" indent="1"/>
      <protection locked="0"/>
    </xf>
    <xf numFmtId="0" fontId="93" fillId="35" borderId="78" xfId="0" applyFont="1" applyFill="1" applyBorder="1" applyAlignment="1" applyProtection="1">
      <alignment horizontal="right" vertical="center" indent="1"/>
    </xf>
    <xf numFmtId="164" fontId="110" fillId="36" borderId="38" xfId="0" applyNumberFormat="1" applyFont="1" applyFill="1" applyBorder="1" applyAlignment="1" applyProtection="1">
      <alignment horizontal="right" indent="1"/>
    </xf>
    <xf numFmtId="164" fontId="0" fillId="0" borderId="52" xfId="0" applyNumberFormat="1" applyBorder="1" applyAlignment="1" applyProtection="1">
      <alignment horizontal="right" vertical="center" indent="1"/>
      <protection locked="0"/>
    </xf>
    <xf numFmtId="0" fontId="93" fillId="35" borderId="80" xfId="0" applyFont="1" applyFill="1" applyBorder="1" applyAlignment="1" applyProtection="1">
      <alignment horizontal="right" vertical="center" indent="1"/>
    </xf>
    <xf numFmtId="164" fontId="110" fillId="36" borderId="41" xfId="0" applyNumberFormat="1" applyFont="1" applyFill="1" applyBorder="1" applyAlignment="1" applyProtection="1">
      <alignment horizontal="right" indent="1"/>
    </xf>
    <xf numFmtId="164" fontId="0" fillId="0" borderId="46" xfId="0" applyNumberFormat="1" applyBorder="1" applyAlignment="1" applyProtection="1">
      <alignment horizontal="right" vertical="center" indent="1"/>
      <protection locked="0"/>
    </xf>
    <xf numFmtId="164" fontId="0" fillId="0" borderId="54" xfId="0" applyNumberFormat="1" applyBorder="1" applyAlignment="1" applyProtection="1">
      <alignment horizontal="right" vertical="center" indent="1"/>
      <protection locked="0"/>
    </xf>
    <xf numFmtId="0" fontId="93" fillId="35" borderId="58" xfId="0" applyFont="1" applyFill="1" applyBorder="1" applyAlignment="1" applyProtection="1">
      <alignment horizontal="right" vertical="center" indent="1"/>
    </xf>
    <xf numFmtId="0" fontId="93" fillId="35" borderId="3" xfId="0" applyFont="1" applyFill="1" applyBorder="1" applyAlignment="1" applyProtection="1">
      <alignment horizontal="right" vertical="center" indent="1"/>
    </xf>
    <xf numFmtId="2" fontId="1" fillId="0" borderId="0" xfId="0" applyNumberFormat="1" applyFont="1" applyFill="1" applyProtection="1"/>
    <xf numFmtId="0" fontId="93" fillId="35" borderId="21" xfId="0" applyFont="1" applyFill="1" applyBorder="1" applyAlignment="1" applyProtection="1">
      <alignment horizontal="right" vertical="center" indent="2"/>
    </xf>
    <xf numFmtId="0" fontId="80" fillId="0" borderId="2" xfId="0" applyFont="1" applyBorder="1" applyAlignment="1" applyProtection="1">
      <alignment vertical="center"/>
    </xf>
    <xf numFmtId="0" fontId="80" fillId="0" borderId="3" xfId="0" applyFont="1" applyBorder="1" applyAlignment="1" applyProtection="1">
      <alignment vertical="center"/>
    </xf>
    <xf numFmtId="0" fontId="80" fillId="0" borderId="63" xfId="0" applyFont="1" applyBorder="1" applyAlignment="1" applyProtection="1">
      <alignment vertical="center"/>
    </xf>
    <xf numFmtId="0" fontId="0" fillId="0" borderId="21" xfId="0" applyBorder="1" applyAlignment="1" applyProtection="1">
      <alignment vertical="center"/>
      <protection locked="0"/>
    </xf>
    <xf numFmtId="0" fontId="0" fillId="0" borderId="0" xfId="0" applyAlignment="1" applyProtection="1">
      <alignment vertical="center"/>
    </xf>
    <xf numFmtId="164" fontId="137" fillId="34" borderId="35" xfId="0" applyNumberFormat="1" applyFont="1" applyFill="1" applyBorder="1" applyAlignment="1" applyProtection="1">
      <alignment horizontal="center" vertical="center"/>
    </xf>
    <xf numFmtId="164" fontId="137" fillId="34" borderId="36" xfId="0" applyNumberFormat="1" applyFont="1" applyFill="1" applyBorder="1" applyAlignment="1" applyProtection="1">
      <alignment horizontal="center" vertical="center"/>
    </xf>
    <xf numFmtId="164" fontId="137" fillId="34" borderId="25" xfId="0" applyNumberFormat="1" applyFont="1" applyFill="1" applyBorder="1" applyAlignment="1" applyProtection="1">
      <alignment horizontal="center" vertical="center"/>
    </xf>
    <xf numFmtId="164" fontId="137" fillId="34" borderId="33" xfId="0" applyNumberFormat="1" applyFont="1" applyFill="1" applyBorder="1" applyAlignment="1" applyProtection="1">
      <alignment horizontal="center" vertical="center"/>
    </xf>
    <xf numFmtId="164" fontId="110" fillId="37" borderId="48" xfId="0" applyNumberFormat="1" applyFont="1" applyFill="1" applyBorder="1" applyAlignment="1" applyProtection="1">
      <alignment horizontal="right" vertical="center" indent="1"/>
    </xf>
    <xf numFmtId="164" fontId="137" fillId="34" borderId="30" xfId="0" applyNumberFormat="1" applyFont="1" applyFill="1" applyBorder="1" applyAlignment="1" applyProtection="1">
      <alignment horizontal="center" vertical="center"/>
    </xf>
    <xf numFmtId="164" fontId="137" fillId="34" borderId="25" xfId="0" applyNumberFormat="1" applyFont="1" applyFill="1" applyBorder="1" applyAlignment="1" applyProtection="1">
      <alignment horizontal="right" vertical="center" indent="1"/>
    </xf>
    <xf numFmtId="164" fontId="137" fillId="34" borderId="33" xfId="0" applyNumberFormat="1" applyFont="1" applyFill="1" applyBorder="1" applyAlignment="1" applyProtection="1">
      <alignment horizontal="right" vertical="center" indent="1"/>
    </xf>
    <xf numFmtId="0" fontId="93" fillId="37" borderId="22" xfId="0" applyFont="1" applyFill="1" applyBorder="1" applyAlignment="1" applyProtection="1">
      <alignment horizontal="right" vertical="center"/>
    </xf>
    <xf numFmtId="164" fontId="110" fillId="36" borderId="67" xfId="0" applyNumberFormat="1" applyFont="1" applyFill="1" applyBorder="1" applyAlignment="1" applyProtection="1">
      <alignment horizontal="right" vertical="center" indent="1"/>
    </xf>
    <xf numFmtId="164" fontId="137" fillId="34" borderId="36" xfId="0" applyNumberFormat="1" applyFont="1" applyFill="1" applyBorder="1" applyAlignment="1" applyProtection="1">
      <alignment horizontal="right" vertical="center" indent="1"/>
    </xf>
    <xf numFmtId="0" fontId="93" fillId="37" borderId="38" xfId="0" applyFont="1" applyFill="1" applyBorder="1" applyAlignment="1" applyProtection="1">
      <alignment horizontal="right" vertical="center"/>
    </xf>
    <xf numFmtId="0" fontId="93" fillId="37" borderId="27" xfId="0" applyFont="1" applyFill="1" applyBorder="1" applyAlignment="1" applyProtection="1">
      <alignment horizontal="right" vertical="center"/>
    </xf>
    <xf numFmtId="0" fontId="93" fillId="37" borderId="41" xfId="0" applyFont="1" applyFill="1" applyBorder="1" applyAlignment="1" applyProtection="1">
      <alignment horizontal="right" vertical="center"/>
    </xf>
    <xf numFmtId="0" fontId="93" fillId="37" borderId="39" xfId="0" applyFont="1" applyFill="1" applyBorder="1" applyAlignment="1" applyProtection="1">
      <alignment horizontal="right" vertical="center"/>
    </xf>
    <xf numFmtId="164" fontId="137" fillId="34" borderId="30" xfId="0" applyNumberFormat="1" applyFont="1" applyFill="1" applyBorder="1" applyAlignment="1" applyProtection="1">
      <alignment horizontal="right" vertical="center" indent="1"/>
    </xf>
    <xf numFmtId="0" fontId="93" fillId="37" borderId="49" xfId="0" applyFont="1" applyFill="1" applyBorder="1" applyAlignment="1" applyProtection="1">
      <alignment horizontal="right" vertical="center"/>
    </xf>
    <xf numFmtId="0" fontId="93" fillId="37" borderId="2" xfId="0" applyFont="1" applyFill="1" applyBorder="1" applyAlignment="1" applyProtection="1">
      <alignment horizontal="right" vertical="center"/>
    </xf>
    <xf numFmtId="164" fontId="137" fillId="34" borderId="55" xfId="0" applyNumberFormat="1" applyFont="1" applyFill="1" applyBorder="1" applyAlignment="1" applyProtection="1">
      <alignment horizontal="right" vertical="center" indent="1"/>
    </xf>
    <xf numFmtId="0" fontId="93" fillId="37" borderId="1" xfId="0" applyFont="1" applyFill="1" applyBorder="1" applyAlignment="1" applyProtection="1">
      <alignment horizontal="right" vertical="center"/>
    </xf>
    <xf numFmtId="0" fontId="0" fillId="0" borderId="0" xfId="0" applyBorder="1" applyAlignment="1" applyProtection="1">
      <alignment horizontal="right" vertical="center" indent="1"/>
    </xf>
    <xf numFmtId="0" fontId="0" fillId="0" borderId="4" xfId="0" applyBorder="1" applyProtection="1"/>
    <xf numFmtId="164" fontId="137" fillId="34" borderId="37" xfId="0" applyNumberFormat="1" applyFont="1" applyFill="1" applyBorder="1" applyAlignment="1" applyProtection="1">
      <alignment horizontal="center" vertical="center"/>
    </xf>
    <xf numFmtId="0" fontId="0" fillId="0" borderId="18" xfId="0" applyBorder="1" applyProtection="1"/>
    <xf numFmtId="164" fontId="137" fillId="34" borderId="32" xfId="0" applyNumberFormat="1" applyFont="1" applyFill="1" applyBorder="1" applyAlignment="1" applyProtection="1">
      <alignment horizontal="center" vertical="center"/>
    </xf>
    <xf numFmtId="164" fontId="137" fillId="34" borderId="34" xfId="0" applyNumberFormat="1" applyFont="1" applyFill="1" applyBorder="1" applyAlignment="1" applyProtection="1">
      <alignment horizontal="center" vertical="center"/>
    </xf>
    <xf numFmtId="0" fontId="0" fillId="0" borderId="16" xfId="0" applyBorder="1" applyProtection="1"/>
    <xf numFmtId="164" fontId="137" fillId="34" borderId="29" xfId="0" applyNumberFormat="1" applyFont="1" applyFill="1" applyBorder="1" applyAlignment="1" applyProtection="1">
      <alignment horizontal="center" vertical="center"/>
    </xf>
    <xf numFmtId="164" fontId="137" fillId="34" borderId="31" xfId="0" applyNumberFormat="1" applyFont="1" applyFill="1" applyBorder="1" applyAlignment="1" applyProtection="1">
      <alignment horizontal="center" vertical="center"/>
    </xf>
    <xf numFmtId="164" fontId="137" fillId="34" borderId="35" xfId="0" applyNumberFormat="1" applyFont="1" applyFill="1" applyBorder="1" applyAlignment="1" applyProtection="1">
      <alignment horizontal="right" vertical="center" indent="1"/>
    </xf>
    <xf numFmtId="164" fontId="137" fillId="34" borderId="37" xfId="0" applyNumberFormat="1" applyFont="1" applyFill="1" applyBorder="1" applyAlignment="1" applyProtection="1">
      <alignment horizontal="right" vertical="center" indent="1"/>
    </xf>
    <xf numFmtId="164" fontId="137" fillId="34" borderId="32" xfId="0" applyNumberFormat="1" applyFont="1" applyFill="1" applyBorder="1" applyAlignment="1" applyProtection="1">
      <alignment horizontal="right" vertical="center" indent="1"/>
    </xf>
    <xf numFmtId="164" fontId="137" fillId="34" borderId="34" xfId="0" applyNumberFormat="1" applyFont="1" applyFill="1" applyBorder="1" applyAlignment="1" applyProtection="1">
      <alignment horizontal="right" vertical="center" indent="1"/>
    </xf>
    <xf numFmtId="164" fontId="137" fillId="34" borderId="29" xfId="0" applyNumberFormat="1" applyFont="1" applyFill="1" applyBorder="1" applyAlignment="1" applyProtection="1">
      <alignment horizontal="right" vertical="center" indent="1"/>
    </xf>
    <xf numFmtId="164" fontId="137" fillId="34" borderId="31" xfId="0" applyNumberFormat="1" applyFont="1" applyFill="1" applyBorder="1" applyAlignment="1" applyProtection="1">
      <alignment horizontal="right" vertical="center" indent="1"/>
    </xf>
    <xf numFmtId="164" fontId="137" fillId="34" borderId="24" xfId="0" applyNumberFormat="1" applyFont="1" applyFill="1" applyBorder="1" applyAlignment="1" applyProtection="1">
      <alignment horizontal="right" vertical="center" indent="1"/>
    </xf>
    <xf numFmtId="164" fontId="137" fillId="34" borderId="26" xfId="0" applyNumberFormat="1" applyFont="1" applyFill="1" applyBorder="1" applyAlignment="1" applyProtection="1">
      <alignment horizontal="right" vertical="center" indent="1"/>
    </xf>
    <xf numFmtId="164" fontId="137" fillId="34" borderId="46" xfId="0" applyNumberFormat="1" applyFont="1" applyFill="1" applyBorder="1" applyAlignment="1" applyProtection="1">
      <alignment horizontal="right" vertical="center" indent="1"/>
    </xf>
    <xf numFmtId="164" fontId="110" fillId="36" borderId="16" xfId="0" applyNumberFormat="1" applyFont="1" applyFill="1" applyBorder="1" applyAlignment="1" applyProtection="1">
      <alignment horizontal="right" vertical="center" indent="1"/>
    </xf>
    <xf numFmtId="164" fontId="137" fillId="34" borderId="20" xfId="0" applyNumberFormat="1" applyFont="1" applyFill="1" applyBorder="1" applyAlignment="1" applyProtection="1">
      <alignment horizontal="right" vertical="center" indent="1"/>
    </xf>
    <xf numFmtId="164" fontId="137" fillId="34" borderId="71" xfId="0" applyNumberFormat="1" applyFont="1" applyFill="1" applyBorder="1" applyAlignment="1" applyProtection="1">
      <alignment horizontal="right" vertical="center" indent="1"/>
    </xf>
    <xf numFmtId="164" fontId="137" fillId="34" borderId="56" xfId="0" applyNumberFormat="1" applyFont="1" applyFill="1" applyBorder="1" applyAlignment="1" applyProtection="1">
      <alignment horizontal="right" vertical="center" indent="1"/>
    </xf>
    <xf numFmtId="0" fontId="84" fillId="0" borderId="0" xfId="0" applyFont="1" applyFill="1" applyProtection="1"/>
    <xf numFmtId="2" fontId="0" fillId="0" borderId="0" xfId="0" applyNumberFormat="1" applyAlignment="1" applyProtection="1">
      <alignment horizontal="left" vertical="center" indent="1"/>
      <protection locked="0"/>
    </xf>
    <xf numFmtId="0" fontId="0" fillId="33" borderId="0" xfId="0" applyFill="1" applyAlignment="1" applyProtection="1"/>
    <xf numFmtId="164" fontId="0" fillId="0" borderId="0" xfId="0" applyNumberFormat="1" applyBorder="1" applyAlignment="1" applyProtection="1">
      <alignment horizontal="right" vertical="center" indent="1"/>
    </xf>
    <xf numFmtId="1" fontId="0" fillId="0" borderId="0" xfId="0" applyNumberFormat="1" applyBorder="1" applyAlignment="1" applyProtection="1">
      <alignment horizontal="right" vertical="center" indent="1"/>
    </xf>
    <xf numFmtId="2" fontId="0" fillId="0" borderId="22" xfId="0" applyNumberFormat="1" applyBorder="1" applyAlignment="1" applyProtection="1">
      <alignment horizontal="right" vertical="center" indent="1"/>
    </xf>
    <xf numFmtId="2" fontId="0" fillId="0" borderId="38" xfId="0" applyNumberFormat="1" applyBorder="1" applyAlignment="1" applyProtection="1">
      <alignment horizontal="right" vertical="center" indent="1"/>
    </xf>
    <xf numFmtId="2" fontId="0" fillId="0" borderId="27" xfId="0" applyNumberFormat="1" applyBorder="1" applyAlignment="1" applyProtection="1">
      <alignment horizontal="right" vertical="center" indent="1"/>
    </xf>
    <xf numFmtId="2" fontId="0" fillId="0" borderId="41" xfId="0" applyNumberFormat="1" applyBorder="1" applyAlignment="1" applyProtection="1">
      <alignment horizontal="right" vertical="center" indent="1"/>
    </xf>
    <xf numFmtId="2" fontId="0" fillId="0" borderId="45" xfId="0" applyNumberFormat="1" applyBorder="1" applyAlignment="1" applyProtection="1">
      <alignment horizontal="right" vertical="center" indent="1"/>
    </xf>
    <xf numFmtId="2" fontId="0" fillId="0" borderId="46" xfId="0" applyNumberFormat="1" applyBorder="1" applyAlignment="1" applyProtection="1">
      <alignment horizontal="right" vertical="center" indent="1"/>
    </xf>
    <xf numFmtId="2" fontId="0" fillId="0" borderId="47" xfId="0" applyNumberFormat="1" applyBorder="1" applyAlignment="1" applyProtection="1">
      <alignment horizontal="right" vertical="center" indent="1"/>
    </xf>
    <xf numFmtId="2" fontId="0" fillId="0" borderId="39" xfId="0" applyNumberFormat="1" applyBorder="1" applyAlignment="1" applyProtection="1">
      <alignment horizontal="right" vertical="center" indent="1"/>
    </xf>
    <xf numFmtId="2" fontId="0" fillId="0" borderId="49" xfId="0" applyNumberFormat="1" applyBorder="1" applyAlignment="1" applyProtection="1">
      <alignment horizontal="right" vertical="center" indent="1"/>
    </xf>
    <xf numFmtId="2" fontId="0" fillId="38" borderId="9" xfId="0" applyNumberFormat="1" applyFill="1" applyBorder="1" applyAlignment="1" applyProtection="1">
      <alignment horizontal="right" vertical="center" indent="1"/>
    </xf>
    <xf numFmtId="164" fontId="93" fillId="0" borderId="19" xfId="0" applyNumberFormat="1" applyFont="1" applyFill="1" applyBorder="1" applyAlignment="1" applyProtection="1">
      <alignment horizontal="right" vertical="center" indent="1"/>
    </xf>
    <xf numFmtId="2" fontId="0" fillId="38" borderId="10" xfId="0" applyNumberFormat="1" applyFill="1" applyBorder="1" applyAlignment="1" applyProtection="1">
      <alignment horizontal="right" vertical="center" indent="1"/>
    </xf>
    <xf numFmtId="2" fontId="0" fillId="0" borderId="2" xfId="0" applyNumberFormat="1" applyBorder="1" applyAlignment="1" applyProtection="1">
      <alignment horizontal="right" vertical="center" indent="1"/>
    </xf>
    <xf numFmtId="2" fontId="0" fillId="0" borderId="1" xfId="0" applyNumberFormat="1" applyBorder="1" applyAlignment="1" applyProtection="1">
      <alignment horizontal="right" vertical="center" indent="1"/>
    </xf>
    <xf numFmtId="2" fontId="0" fillId="0" borderId="63" xfId="0" applyNumberFormat="1" applyBorder="1" applyAlignment="1" applyProtection="1">
      <alignment horizontal="right" vertical="center" indent="1"/>
    </xf>
    <xf numFmtId="0" fontId="42" fillId="7" borderId="0" xfId="0" applyFont="1" applyFill="1" applyBorder="1" applyAlignment="1" applyProtection="1">
      <alignment horizontal="right" indent="1"/>
      <protection locked="0"/>
    </xf>
    <xf numFmtId="2" fontId="18" fillId="20" borderId="0" xfId="0" applyNumberFormat="1" applyFont="1" applyFill="1" applyBorder="1" applyAlignment="1" applyProtection="1">
      <alignment horizontal="right" indent="1"/>
      <protection locked="0"/>
    </xf>
    <xf numFmtId="0" fontId="42" fillId="7" borderId="0" xfId="0" applyFont="1" applyFill="1" applyBorder="1" applyAlignment="1">
      <alignment horizontal="right" indent="1"/>
    </xf>
    <xf numFmtId="2" fontId="18" fillId="20" borderId="0" xfId="0" applyNumberFormat="1" applyFont="1" applyFill="1" applyBorder="1" applyAlignment="1">
      <alignment horizontal="right" indent="1"/>
    </xf>
    <xf numFmtId="0" fontId="42" fillId="7" borderId="0" xfId="0" applyFont="1" applyFill="1" applyBorder="1" applyAlignment="1" applyProtection="1">
      <alignment horizontal="right" vertical="center" indent="1"/>
      <protection locked="0"/>
    </xf>
    <xf numFmtId="2" fontId="18" fillId="0" borderId="0" xfId="0" applyNumberFormat="1" applyFont="1" applyBorder="1" applyAlignment="1" applyProtection="1">
      <alignment horizontal="right" vertical="center" indent="1"/>
      <protection locked="0"/>
    </xf>
    <xf numFmtId="2" fontId="18" fillId="20" borderId="0" xfId="0" applyNumberFormat="1" applyFont="1" applyFill="1" applyBorder="1" applyAlignment="1" applyProtection="1">
      <alignment horizontal="right" vertical="center" indent="1"/>
      <protection locked="0"/>
    </xf>
    <xf numFmtId="20" fontId="18" fillId="11" borderId="0" xfId="0" applyNumberFormat="1" applyFont="1" applyFill="1" applyBorder="1" applyAlignment="1" applyProtection="1">
      <alignment horizontal="center" vertical="center"/>
      <protection locked="0"/>
    </xf>
    <xf numFmtId="0" fontId="120" fillId="33" borderId="0" xfId="0" applyFont="1" applyFill="1" applyAlignment="1" applyProtection="1">
      <alignment horizontal="left"/>
    </xf>
    <xf numFmtId="0" fontId="119" fillId="33" borderId="0" xfId="0" applyFont="1" applyFill="1" applyAlignment="1" applyProtection="1"/>
    <xf numFmtId="0" fontId="113" fillId="33" borderId="0" xfId="0" applyFont="1" applyFill="1" applyAlignment="1" applyProtection="1">
      <alignment horizontal="center"/>
    </xf>
    <xf numFmtId="0" fontId="93" fillId="0" borderId="0" xfId="0" applyFont="1" applyFill="1" applyProtection="1"/>
    <xf numFmtId="0" fontId="118" fillId="33" borderId="0" xfId="0" applyFont="1" applyFill="1" applyAlignment="1" applyProtection="1"/>
    <xf numFmtId="0" fontId="120" fillId="0" borderId="0" xfId="0" applyFont="1" applyFill="1" applyAlignment="1" applyProtection="1"/>
    <xf numFmtId="0" fontId="93" fillId="35" borderId="21" xfId="0" applyFont="1" applyFill="1" applyBorder="1" applyAlignment="1" applyProtection="1">
      <alignment horizontal="center" vertical="center"/>
    </xf>
    <xf numFmtId="164" fontId="1" fillId="0" borderId="1" xfId="0" applyNumberFormat="1" applyFont="1" applyFill="1" applyBorder="1" applyAlignment="1" applyProtection="1">
      <alignment horizontal="center" vertical="center"/>
      <protection locked="0"/>
    </xf>
    <xf numFmtId="0" fontId="78" fillId="0" borderId="42" xfId="0" applyFont="1" applyBorder="1" applyAlignment="1" applyProtection="1">
      <alignment horizontal="center" vertical="center" wrapText="1"/>
    </xf>
    <xf numFmtId="0" fontId="78" fillId="0" borderId="43" xfId="0" applyFont="1" applyBorder="1" applyAlignment="1" applyProtection="1">
      <alignment horizontal="center" vertical="center" wrapText="1"/>
    </xf>
    <xf numFmtId="0" fontId="78" fillId="0" borderId="44" xfId="0" applyFont="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9" xfId="0" applyFont="1" applyBorder="1" applyAlignment="1" applyProtection="1">
      <alignment horizontal="center" vertical="center" wrapText="1"/>
    </xf>
    <xf numFmtId="0" fontId="93" fillId="33" borderId="50" xfId="0" applyFont="1" applyFill="1" applyBorder="1" applyAlignment="1" applyProtection="1">
      <alignment horizontal="center" vertical="center" wrapText="1"/>
    </xf>
    <xf numFmtId="0" fontId="113" fillId="33" borderId="19" xfId="0" applyFont="1" applyFill="1" applyBorder="1" applyAlignment="1" applyProtection="1">
      <alignment horizontal="center" vertical="center" wrapText="1"/>
    </xf>
    <xf numFmtId="0" fontId="113" fillId="33" borderId="21" xfId="0" applyFont="1" applyFill="1" applyBorder="1" applyAlignment="1" applyProtection="1">
      <alignment horizontal="center" vertical="center" wrapText="1"/>
    </xf>
    <xf numFmtId="0" fontId="78" fillId="0" borderId="35" xfId="0" applyFont="1" applyBorder="1" applyAlignment="1" applyProtection="1">
      <alignment horizontal="center" vertical="center" wrapText="1"/>
    </xf>
    <xf numFmtId="0" fontId="78" fillId="0" borderId="36" xfId="0" applyFont="1" applyBorder="1" applyAlignment="1" applyProtection="1">
      <alignment horizontal="center" vertical="center" wrapText="1"/>
    </xf>
    <xf numFmtId="0" fontId="78" fillId="0" borderId="37" xfId="0" applyFont="1" applyBorder="1" applyAlignment="1" applyProtection="1">
      <alignment horizontal="center" vertical="center" wrapText="1"/>
    </xf>
    <xf numFmtId="0" fontId="0" fillId="40" borderId="6" xfId="0" applyFill="1" applyBorder="1" applyAlignment="1" applyProtection="1">
      <alignment horizontal="center" vertical="center" wrapText="1"/>
    </xf>
    <xf numFmtId="0" fontId="78" fillId="0" borderId="64" xfId="0" applyFont="1" applyBorder="1" applyAlignment="1" applyProtection="1">
      <alignment horizontal="center" vertical="center" wrapText="1"/>
    </xf>
    <xf numFmtId="2" fontId="93" fillId="35" borderId="0" xfId="0" applyNumberFormat="1" applyFont="1" applyFill="1" applyAlignment="1" applyProtection="1">
      <alignment horizontal="right" vertical="center" indent="1"/>
    </xf>
    <xf numFmtId="0" fontId="93" fillId="37" borderId="24" xfId="0" applyFont="1" applyFill="1" applyBorder="1" applyAlignment="1" applyProtection="1">
      <alignment horizontal="center" vertical="center" wrapText="1"/>
    </xf>
    <xf numFmtId="0" fontId="93" fillId="37" borderId="74" xfId="0" applyFont="1" applyFill="1" applyBorder="1" applyAlignment="1" applyProtection="1">
      <alignment horizontal="center" vertical="center" wrapText="1"/>
    </xf>
    <xf numFmtId="0" fontId="93" fillId="37" borderId="77" xfId="0" applyFont="1" applyFill="1" applyBorder="1" applyAlignment="1" applyProtection="1">
      <alignment horizontal="center" vertical="center" wrapText="1"/>
    </xf>
    <xf numFmtId="0" fontId="93" fillId="37" borderId="79" xfId="0" applyFont="1" applyFill="1" applyBorder="1" applyAlignment="1" applyProtection="1">
      <alignment horizontal="center" vertical="center" wrapText="1"/>
    </xf>
    <xf numFmtId="164" fontId="94" fillId="37" borderId="35" xfId="0" applyNumberFormat="1" applyFont="1" applyFill="1" applyBorder="1" applyAlignment="1" applyProtection="1">
      <alignment horizontal="right" vertical="center" wrapText="1" indent="1"/>
    </xf>
    <xf numFmtId="164" fontId="94" fillId="37" borderId="37" xfId="0" applyNumberFormat="1" applyFont="1" applyFill="1" applyBorder="1" applyAlignment="1" applyProtection="1">
      <alignment horizontal="right" vertical="center" wrapText="1" indent="1"/>
    </xf>
    <xf numFmtId="0" fontId="0" fillId="0" borderId="32" xfId="0" applyBorder="1" applyProtection="1"/>
    <xf numFmtId="1" fontId="0" fillId="0" borderId="33" xfId="0" applyNumberFormat="1" applyBorder="1" applyAlignment="1" applyProtection="1">
      <alignment horizontal="right" vertical="center" indent="1"/>
      <protection locked="0"/>
    </xf>
    <xf numFmtId="164" fontId="1" fillId="0" borderId="34" xfId="0" applyNumberFormat="1" applyFont="1" applyFill="1" applyBorder="1" applyAlignment="1" applyProtection="1">
      <alignment horizontal="right" vertical="center" indent="1"/>
      <protection locked="0"/>
    </xf>
    <xf numFmtId="164" fontId="0" fillId="0" borderId="4" xfId="0" applyNumberFormat="1" applyBorder="1" applyProtection="1">
      <protection locked="0"/>
    </xf>
    <xf numFmtId="164" fontId="93" fillId="37" borderId="80" xfId="0" applyNumberFormat="1" applyFont="1" applyFill="1" applyBorder="1" applyAlignment="1" applyProtection="1">
      <alignment horizontal="right" vertical="center" indent="1"/>
    </xf>
    <xf numFmtId="0" fontId="93" fillId="37" borderId="51" xfId="0" applyFont="1" applyFill="1" applyBorder="1" applyProtection="1"/>
    <xf numFmtId="164" fontId="94" fillId="37" borderId="32" xfId="0" applyNumberFormat="1" applyFont="1" applyFill="1" applyBorder="1" applyAlignment="1" applyProtection="1">
      <alignment horizontal="right" vertical="center" indent="1"/>
    </xf>
    <xf numFmtId="164" fontId="94" fillId="37" borderId="41" xfId="0" applyNumberFormat="1" applyFont="1" applyFill="1" applyBorder="1" applyAlignment="1" applyProtection="1">
      <alignment horizontal="right" vertical="center" indent="1"/>
    </xf>
    <xf numFmtId="0" fontId="0" fillId="0" borderId="18" xfId="0" applyBorder="1" applyProtection="1">
      <protection locked="0"/>
    </xf>
    <xf numFmtId="164" fontId="1" fillId="0" borderId="18" xfId="0" applyNumberFormat="1" applyFont="1" applyBorder="1" applyProtection="1">
      <protection locked="0"/>
    </xf>
    <xf numFmtId="164" fontId="94" fillId="35" borderId="19" xfId="0" applyNumberFormat="1" applyFont="1" applyFill="1" applyBorder="1" applyAlignment="1" applyProtection="1">
      <alignment horizontal="right" vertical="center" indent="1"/>
    </xf>
    <xf numFmtId="164" fontId="94" fillId="35" borderId="20" xfId="0" applyNumberFormat="1" applyFont="1" applyFill="1" applyBorder="1" applyAlignment="1" applyProtection="1">
      <alignment horizontal="right" vertical="center" indent="1"/>
    </xf>
    <xf numFmtId="164" fontId="0" fillId="0" borderId="18" xfId="0" applyNumberFormat="1" applyBorder="1" applyProtection="1">
      <protection locked="0"/>
    </xf>
    <xf numFmtId="1" fontId="1" fillId="0" borderId="33" xfId="0" applyNumberFormat="1" applyFont="1" applyBorder="1" applyAlignment="1" applyProtection="1">
      <alignment horizontal="right" vertical="center" indent="1"/>
      <protection locked="0"/>
    </xf>
    <xf numFmtId="0" fontId="113" fillId="33" borderId="0" xfId="0" applyFont="1" applyFill="1" applyBorder="1" applyAlignment="1" applyProtection="1">
      <alignment vertical="center" wrapText="1"/>
    </xf>
    <xf numFmtId="164" fontId="94" fillId="33" borderId="0" xfId="0" applyNumberFormat="1" applyFont="1" applyFill="1" applyBorder="1" applyAlignment="1" applyProtection="1">
      <alignment horizontal="right" vertical="center" indent="1"/>
    </xf>
    <xf numFmtId="0" fontId="112" fillId="33" borderId="19" xfId="0" applyFont="1" applyFill="1" applyBorder="1" applyAlignment="1" applyProtection="1">
      <alignment vertical="center"/>
    </xf>
    <xf numFmtId="0" fontId="112" fillId="33" borderId="21" xfId="0" applyFont="1" applyFill="1" applyBorder="1" applyAlignment="1" applyProtection="1">
      <alignment vertical="center"/>
    </xf>
    <xf numFmtId="2" fontId="113" fillId="33" borderId="66" xfId="0" applyNumberFormat="1" applyFont="1" applyFill="1" applyBorder="1" applyAlignment="1" applyProtection="1">
      <alignment horizontal="right" vertical="center" indent="1"/>
    </xf>
    <xf numFmtId="2" fontId="113" fillId="33" borderId="39" xfId="0" applyNumberFormat="1" applyFont="1" applyFill="1" applyBorder="1" applyAlignment="1" applyProtection="1">
      <alignment horizontal="right" vertical="center" indent="1"/>
    </xf>
    <xf numFmtId="164" fontId="84" fillId="0" borderId="0" xfId="0" applyNumberFormat="1" applyFont="1" applyFill="1" applyBorder="1" applyAlignment="1" applyProtection="1">
      <alignment horizontal="right" vertical="center" indent="1"/>
    </xf>
    <xf numFmtId="0" fontId="1" fillId="0" borderId="18" xfId="0" applyFont="1" applyBorder="1" applyProtection="1">
      <protection locked="0"/>
    </xf>
    <xf numFmtId="0" fontId="113" fillId="33" borderId="38" xfId="0" applyFont="1" applyFill="1" applyBorder="1" applyAlignment="1" applyProtection="1">
      <alignment horizontal="center" vertical="center"/>
    </xf>
    <xf numFmtId="0" fontId="0" fillId="0" borderId="33" xfId="0" applyBorder="1" applyProtection="1">
      <protection locked="0"/>
    </xf>
    <xf numFmtId="0" fontId="0" fillId="0" borderId="34" xfId="0" applyBorder="1" applyAlignment="1" applyProtection="1">
      <alignment horizontal="right" vertical="center" indent="1"/>
      <protection locked="0"/>
    </xf>
    <xf numFmtId="0" fontId="0" fillId="0" borderId="34" xfId="0" applyBorder="1" applyProtection="1">
      <protection locked="0"/>
    </xf>
    <xf numFmtId="0" fontId="0" fillId="0" borderId="18" xfId="0" applyFill="1" applyBorder="1" applyAlignment="1" applyProtection="1">
      <alignment vertical="center" wrapText="1"/>
      <protection locked="0"/>
    </xf>
    <xf numFmtId="164" fontId="113" fillId="37" borderId="53" xfId="0" applyNumberFormat="1" applyFont="1" applyFill="1" applyBorder="1" applyAlignment="1" applyProtection="1">
      <alignment horizontal="right" vertical="center" indent="1"/>
    </xf>
    <xf numFmtId="164" fontId="113" fillId="37" borderId="30" xfId="0" applyNumberFormat="1" applyFont="1" applyFill="1" applyBorder="1" applyAlignment="1" applyProtection="1">
      <alignment horizontal="right" vertical="center" indent="1"/>
    </xf>
    <xf numFmtId="164" fontId="84" fillId="37" borderId="30" xfId="0" applyNumberFormat="1" applyFont="1" applyFill="1" applyBorder="1" applyAlignment="1" applyProtection="1">
      <alignment horizontal="right" vertical="center" indent="1"/>
    </xf>
    <xf numFmtId="164" fontId="84" fillId="37" borderId="31" xfId="0" applyNumberFormat="1" applyFont="1" applyFill="1" applyBorder="1" applyAlignment="1" applyProtection="1">
      <alignment horizontal="right" vertical="center" indent="1"/>
    </xf>
    <xf numFmtId="164" fontId="113" fillId="37" borderId="29" xfId="0" applyNumberFormat="1" applyFont="1" applyFill="1" applyBorder="1" applyAlignment="1" applyProtection="1">
      <alignment horizontal="right" vertical="center" indent="1"/>
    </xf>
    <xf numFmtId="164" fontId="84" fillId="37" borderId="54" xfId="0" applyNumberFormat="1" applyFont="1" applyFill="1" applyBorder="1" applyAlignment="1" applyProtection="1">
      <alignment horizontal="right" vertical="center" indent="1"/>
    </xf>
    <xf numFmtId="0" fontId="138" fillId="40" borderId="1" xfId="0" applyFont="1" applyFill="1" applyBorder="1" applyAlignment="1" applyProtection="1">
      <alignment vertical="center" wrapText="1"/>
    </xf>
    <xf numFmtId="164" fontId="0" fillId="0" borderId="41" xfId="0" applyNumberFormat="1" applyBorder="1" applyProtection="1"/>
    <xf numFmtId="0" fontId="0" fillId="0" borderId="29" xfId="0" applyBorder="1" applyProtection="1"/>
    <xf numFmtId="0" fontId="0" fillId="0" borderId="30" xfId="0" applyBorder="1" applyProtection="1">
      <protection locked="0"/>
    </xf>
    <xf numFmtId="0" fontId="0" fillId="0" borderId="45" xfId="0" applyBorder="1" applyProtection="1"/>
    <xf numFmtId="0" fontId="0" fillId="0" borderId="46" xfId="0" applyBorder="1" applyProtection="1">
      <protection locked="0"/>
    </xf>
    <xf numFmtId="0" fontId="93" fillId="37" borderId="53" xfId="0" applyFont="1" applyFill="1" applyBorder="1" applyProtection="1"/>
    <xf numFmtId="1" fontId="93" fillId="37" borderId="54" xfId="0" applyNumberFormat="1" applyFont="1" applyFill="1" applyBorder="1" applyAlignment="1" applyProtection="1">
      <alignment vertical="center"/>
    </xf>
    <xf numFmtId="164" fontId="94" fillId="37" borderId="29" xfId="0" applyNumberFormat="1" applyFont="1" applyFill="1" applyBorder="1" applyAlignment="1" applyProtection="1">
      <alignment horizontal="right" vertical="center" indent="1"/>
    </xf>
    <xf numFmtId="164" fontId="94" fillId="37" borderId="49" xfId="0" applyNumberFormat="1" applyFont="1" applyFill="1" applyBorder="1" applyAlignment="1" applyProtection="1">
      <alignment horizontal="right" vertical="center" indent="1"/>
    </xf>
    <xf numFmtId="0" fontId="93" fillId="35" borderId="35" xfId="0" applyFont="1" applyFill="1" applyBorder="1" applyAlignment="1" applyProtection="1">
      <alignment horizontal="right" vertical="center" indent="1"/>
    </xf>
    <xf numFmtId="0" fontId="93" fillId="35" borderId="36" xfId="0" applyFont="1" applyFill="1" applyBorder="1" applyAlignment="1" applyProtection="1">
      <alignment horizontal="center"/>
    </xf>
    <xf numFmtId="0" fontId="93" fillId="35" borderId="37" xfId="0" applyFont="1" applyFill="1" applyBorder="1" applyAlignment="1" applyProtection="1">
      <alignment horizontal="right" vertical="center" indent="1"/>
    </xf>
    <xf numFmtId="164" fontId="93" fillId="35" borderId="0" xfId="0" applyNumberFormat="1" applyFont="1" applyFill="1" applyBorder="1" applyAlignment="1" applyProtection="1">
      <alignment horizontal="center"/>
    </xf>
    <xf numFmtId="0" fontId="93" fillId="35" borderId="80" xfId="0" applyFont="1" applyFill="1" applyBorder="1" applyAlignment="1" applyProtection="1"/>
    <xf numFmtId="0" fontId="93" fillId="33" borderId="0" xfId="0" applyFont="1" applyFill="1" applyBorder="1" applyAlignment="1" applyProtection="1">
      <alignment horizontal="right" vertical="center" indent="1"/>
    </xf>
    <xf numFmtId="0" fontId="93" fillId="33" borderId="0" xfId="0" applyFont="1" applyFill="1" applyBorder="1" applyAlignment="1" applyProtection="1">
      <alignment horizontal="center"/>
    </xf>
    <xf numFmtId="1" fontId="93" fillId="33" borderId="0" xfId="0" applyNumberFormat="1" applyFont="1" applyFill="1" applyBorder="1" applyAlignment="1" applyProtection="1">
      <alignment vertical="center"/>
    </xf>
    <xf numFmtId="0" fontId="1" fillId="33" borderId="0" xfId="0" applyFont="1" applyFill="1" applyBorder="1" applyProtection="1"/>
    <xf numFmtId="0" fontId="93" fillId="35" borderId="29" xfId="0" applyFont="1" applyFill="1" applyBorder="1" applyAlignment="1" applyProtection="1">
      <alignment horizontal="right" vertical="center" indent="1"/>
    </xf>
    <xf numFmtId="0" fontId="93" fillId="35" borderId="30" xfId="0" applyFont="1" applyFill="1" applyBorder="1" applyAlignment="1" applyProtection="1">
      <alignment horizontal="center"/>
    </xf>
    <xf numFmtId="0" fontId="93" fillId="35" borderId="31" xfId="0" applyFont="1" applyFill="1" applyBorder="1" applyAlignment="1" applyProtection="1">
      <alignment horizontal="right" vertical="center" indent="1"/>
    </xf>
    <xf numFmtId="164" fontId="93" fillId="35" borderId="1" xfId="0" applyNumberFormat="1" applyFont="1" applyFill="1" applyBorder="1" applyAlignment="1" applyProtection="1">
      <alignment horizontal="center"/>
    </xf>
    <xf numFmtId="0" fontId="93" fillId="35" borderId="0" xfId="0" applyFont="1" applyFill="1" applyBorder="1" applyAlignment="1" applyProtection="1">
      <alignment horizontal="center"/>
    </xf>
    <xf numFmtId="2" fontId="0" fillId="35" borderId="0" xfId="0" applyNumberFormat="1" applyFill="1" applyAlignment="1" applyProtection="1">
      <alignment horizontal="right" vertical="center" indent="1"/>
    </xf>
    <xf numFmtId="0" fontId="0" fillId="35" borderId="0" xfId="0" applyFill="1" applyProtection="1"/>
    <xf numFmtId="0" fontId="93" fillId="35" borderId="0" xfId="0" applyFont="1" applyFill="1" applyBorder="1" applyAlignment="1" applyProtection="1"/>
    <xf numFmtId="0" fontId="93" fillId="37" borderId="0" xfId="0" applyFont="1" applyFill="1" applyBorder="1" applyProtection="1"/>
    <xf numFmtId="0" fontId="84" fillId="37" borderId="0" xfId="0" applyFont="1" applyFill="1" applyBorder="1" applyAlignment="1" applyProtection="1">
      <alignment horizontal="right" vertical="center" indent="1"/>
    </xf>
    <xf numFmtId="0" fontId="84" fillId="33" borderId="0" xfId="0" applyFont="1" applyFill="1" applyBorder="1" applyProtection="1"/>
    <xf numFmtId="0" fontId="84" fillId="33" borderId="0" xfId="0" applyFont="1" applyFill="1" applyBorder="1" applyAlignment="1" applyProtection="1"/>
    <xf numFmtId="1" fontId="93" fillId="35" borderId="0" xfId="0" applyNumberFormat="1" applyFont="1" applyFill="1" applyProtection="1"/>
    <xf numFmtId="2" fontId="84" fillId="33" borderId="0" xfId="0" applyNumberFormat="1" applyFont="1" applyFill="1" applyBorder="1" applyProtection="1"/>
    <xf numFmtId="164" fontId="93" fillId="35" borderId="0" xfId="0" applyNumberFormat="1" applyFont="1" applyFill="1" applyProtection="1"/>
    <xf numFmtId="164" fontId="93" fillId="35" borderId="0" xfId="0" applyNumberFormat="1" applyFont="1" applyFill="1" applyAlignment="1" applyProtection="1">
      <alignment horizontal="right" vertical="center" indent="1"/>
    </xf>
    <xf numFmtId="1" fontId="93" fillId="37" borderId="38" xfId="0" applyNumberFormat="1" applyFont="1" applyFill="1" applyBorder="1" applyAlignment="1" applyProtection="1">
      <alignment horizontal="right" vertical="center" indent="1"/>
    </xf>
    <xf numFmtId="1" fontId="93" fillId="37" borderId="78" xfId="0" applyNumberFormat="1" applyFont="1" applyFill="1" applyBorder="1" applyAlignment="1" applyProtection="1">
      <alignment horizontal="right" vertical="center" indent="1"/>
    </xf>
    <xf numFmtId="0" fontId="93" fillId="35" borderId="0" xfId="0" applyFont="1" applyFill="1" applyAlignment="1" applyProtection="1">
      <alignment horizontal="right" vertical="center" indent="1"/>
    </xf>
    <xf numFmtId="1" fontId="93" fillId="37" borderId="41" xfId="0" applyNumberFormat="1" applyFont="1" applyFill="1" applyBorder="1" applyAlignment="1" applyProtection="1">
      <alignment horizontal="right" vertical="center" indent="1"/>
    </xf>
    <xf numFmtId="1" fontId="93" fillId="37" borderId="80" xfId="0" applyNumberFormat="1" applyFont="1" applyFill="1" applyBorder="1" applyAlignment="1" applyProtection="1">
      <alignment horizontal="right" vertical="center" indent="1"/>
    </xf>
    <xf numFmtId="1" fontId="93" fillId="37" borderId="49" xfId="0" applyNumberFormat="1" applyFont="1" applyFill="1" applyBorder="1" applyAlignment="1" applyProtection="1">
      <alignment horizontal="right" vertical="center" indent="1"/>
    </xf>
    <xf numFmtId="1" fontId="93" fillId="37" borderId="58" xfId="0" applyNumberFormat="1" applyFont="1" applyFill="1" applyBorder="1" applyAlignment="1" applyProtection="1">
      <alignment horizontal="right" vertical="center" indent="1"/>
    </xf>
    <xf numFmtId="0" fontId="0" fillId="0" borderId="0" xfId="0" applyAlignment="1">
      <alignment vertical="center"/>
    </xf>
    <xf numFmtId="0" fontId="50" fillId="34" borderId="0" xfId="0" applyFont="1" applyFill="1" applyAlignment="1" applyProtection="1">
      <alignment horizontal="center" vertical="center"/>
    </xf>
    <xf numFmtId="0" fontId="140" fillId="4" borderId="0" xfId="0" quotePrefix="1" applyFont="1" applyFill="1" applyBorder="1" applyAlignment="1" applyProtection="1">
      <alignment vertical="center" wrapText="1"/>
    </xf>
    <xf numFmtId="0" fontId="142" fillId="35" borderId="6" xfId="0" applyFont="1" applyFill="1" applyBorder="1" applyAlignment="1" applyProtection="1">
      <alignment horizontal="right" vertical="center" wrapText="1" indent="1"/>
    </xf>
    <xf numFmtId="2" fontId="113" fillId="0" borderId="0" xfId="0" applyNumberFormat="1" applyFont="1" applyProtection="1"/>
    <xf numFmtId="169" fontId="94" fillId="35" borderId="19" xfId="0" applyNumberFormat="1" applyFont="1" applyFill="1" applyBorder="1" applyAlignment="1" applyProtection="1">
      <alignment horizontal="right" vertical="center" indent="1"/>
    </xf>
    <xf numFmtId="165" fontId="94" fillId="0" borderId="0" xfId="0" applyNumberFormat="1" applyFont="1" applyFill="1" applyBorder="1" applyAlignment="1" applyProtection="1">
      <alignment vertical="center"/>
    </xf>
    <xf numFmtId="169" fontId="94" fillId="35" borderId="29" xfId="0" applyNumberFormat="1" applyFont="1" applyFill="1" applyBorder="1" applyAlignment="1" applyProtection="1">
      <alignment horizontal="right" vertical="center" indent="1"/>
    </xf>
    <xf numFmtId="169" fontId="94" fillId="35" borderId="31" xfId="0" applyNumberFormat="1" applyFont="1" applyFill="1" applyBorder="1" applyAlignment="1" applyProtection="1">
      <alignment horizontal="right" vertical="center" indent="1"/>
    </xf>
    <xf numFmtId="169" fontId="94" fillId="35" borderId="20" xfId="0" applyNumberFormat="1" applyFont="1" applyFill="1" applyBorder="1" applyAlignment="1" applyProtection="1">
      <alignment horizontal="right" vertical="center" indent="1"/>
    </xf>
    <xf numFmtId="2" fontId="94" fillId="35" borderId="0" xfId="0" applyNumberFormat="1" applyFont="1" applyFill="1" applyProtection="1"/>
    <xf numFmtId="2" fontId="102" fillId="23" borderId="0" xfId="0" applyNumberFormat="1" applyFont="1" applyFill="1" applyAlignment="1">
      <alignment horizontal="left" vertical="center"/>
    </xf>
    <xf numFmtId="2" fontId="104" fillId="23" borderId="0" xfId="0" applyNumberFormat="1" applyFont="1" applyFill="1" applyAlignment="1" applyProtection="1">
      <alignment vertical="center"/>
    </xf>
    <xf numFmtId="171" fontId="94" fillId="35" borderId="0" xfId="0" applyNumberFormat="1" applyFont="1" applyFill="1" applyProtection="1"/>
    <xf numFmtId="2" fontId="107" fillId="35" borderId="0" xfId="0" applyNumberFormat="1" applyFont="1" applyFill="1" applyProtection="1"/>
    <xf numFmtId="4" fontId="94" fillId="35" borderId="0" xfId="0" applyNumberFormat="1" applyFont="1" applyFill="1" applyProtection="1"/>
    <xf numFmtId="0" fontId="10" fillId="8" borderId="0" xfId="0" quotePrefix="1" applyFont="1" applyFill="1" applyAlignment="1">
      <alignment horizontal="left" vertical="center"/>
    </xf>
    <xf numFmtId="0" fontId="3" fillId="14" borderId="0" xfId="1" quotePrefix="1" applyFont="1" applyFill="1" applyBorder="1" applyAlignment="1">
      <alignment horizontal="left" vertical="center" wrapText="1"/>
    </xf>
    <xf numFmtId="0" fontId="8" fillId="18" borderId="0" xfId="1" quotePrefix="1" applyFont="1" applyFill="1" applyBorder="1" applyAlignment="1">
      <alignment horizontal="left" vertical="center" wrapText="1"/>
    </xf>
    <xf numFmtId="0" fontId="77" fillId="0" borderId="29" xfId="0" applyFont="1" applyBorder="1" applyAlignment="1" applyProtection="1">
      <alignment horizontal="right" vertical="center" wrapText="1" indent="1"/>
    </xf>
    <xf numFmtId="0" fontId="77" fillId="0" borderId="30" xfId="0" applyFont="1" applyBorder="1" applyAlignment="1" applyProtection="1">
      <alignment horizontal="right" vertical="center" wrapText="1" indent="1"/>
    </xf>
    <xf numFmtId="0" fontId="77" fillId="0" borderId="31" xfId="0" applyFont="1" applyBorder="1" applyAlignment="1" applyProtection="1">
      <alignment horizontal="right" vertical="center" wrapText="1" indent="1"/>
    </xf>
    <xf numFmtId="0" fontId="77" fillId="0" borderId="32" xfId="0" applyFont="1" applyBorder="1" applyAlignment="1" applyProtection="1">
      <alignment horizontal="right" vertical="center" wrapText="1" indent="1"/>
    </xf>
    <xf numFmtId="0" fontId="77" fillId="0" borderId="33" xfId="0" applyFont="1" applyBorder="1" applyAlignment="1" applyProtection="1">
      <alignment horizontal="right" vertical="center" wrapText="1" indent="1"/>
    </xf>
    <xf numFmtId="0" fontId="77" fillId="0" borderId="34" xfId="0" applyFont="1" applyBorder="1" applyAlignment="1" applyProtection="1">
      <alignment horizontal="right" vertical="center" wrapText="1" indent="1"/>
    </xf>
    <xf numFmtId="0" fontId="79" fillId="0" borderId="32" xfId="0" applyFont="1" applyBorder="1" applyAlignment="1" applyProtection="1">
      <alignment horizontal="center" vertical="center"/>
      <protection locked="0"/>
    </xf>
    <xf numFmtId="0" fontId="79" fillId="0" borderId="34" xfId="0" applyFont="1" applyBorder="1" applyAlignment="1" applyProtection="1">
      <alignment horizontal="center" vertical="center"/>
      <protection locked="0"/>
    </xf>
    <xf numFmtId="0" fontId="77" fillId="0" borderId="29" xfId="0" applyFont="1" applyBorder="1" applyAlignment="1" applyProtection="1">
      <alignment horizontal="center" vertical="center" wrapText="1"/>
    </xf>
    <xf numFmtId="0" fontId="77" fillId="0" borderId="30" xfId="0" applyFont="1" applyBorder="1" applyAlignment="1" applyProtection="1">
      <alignment horizontal="center" vertical="center" wrapText="1"/>
    </xf>
    <xf numFmtId="0" fontId="77" fillId="0" borderId="31" xfId="0" applyFont="1" applyBorder="1" applyAlignment="1" applyProtection="1">
      <alignment horizontal="center" vertical="center" wrapText="1"/>
    </xf>
    <xf numFmtId="0" fontId="79" fillId="0" borderId="29" xfId="0" applyFont="1" applyBorder="1" applyAlignment="1" applyProtection="1">
      <alignment horizontal="center" vertical="center"/>
      <protection locked="0"/>
    </xf>
    <xf numFmtId="0" fontId="79" fillId="0" borderId="31" xfId="0" applyFont="1" applyBorder="1" applyAlignment="1" applyProtection="1">
      <alignment horizontal="center" vertical="center"/>
      <protection locked="0"/>
    </xf>
    <xf numFmtId="0" fontId="77" fillId="0" borderId="32" xfId="0" applyFont="1" applyBorder="1" applyAlignment="1" applyProtection="1">
      <alignment horizontal="center" vertical="center" wrapText="1"/>
    </xf>
    <xf numFmtId="0" fontId="77" fillId="0" borderId="33" xfId="0" applyFont="1" applyBorder="1" applyAlignment="1" applyProtection="1">
      <alignment horizontal="center" vertical="center" wrapText="1"/>
    </xf>
    <xf numFmtId="0" fontId="77" fillId="0" borderId="34" xfId="0" applyFont="1" applyBorder="1" applyAlignment="1" applyProtection="1">
      <alignment horizontal="center" vertical="center" wrapText="1"/>
    </xf>
    <xf numFmtId="0" fontId="79" fillId="0" borderId="39" xfId="0" applyFont="1" applyBorder="1" applyAlignment="1" applyProtection="1">
      <alignment horizontal="center" vertical="center"/>
      <protection locked="0"/>
    </xf>
    <xf numFmtId="0" fontId="79" fillId="0" borderId="40" xfId="0" applyFont="1" applyBorder="1" applyAlignment="1" applyProtection="1">
      <alignment horizontal="center" vertical="center"/>
      <protection locked="0"/>
    </xf>
    <xf numFmtId="0" fontId="77" fillId="0" borderId="22" xfId="0" applyFont="1" applyBorder="1" applyAlignment="1" applyProtection="1">
      <alignment horizontal="center" vertical="center" wrapText="1"/>
    </xf>
    <xf numFmtId="0" fontId="77" fillId="0" borderId="78" xfId="0" applyFont="1" applyBorder="1" applyAlignment="1" applyProtection="1">
      <alignment horizontal="center" vertical="center" wrapText="1"/>
    </xf>
    <xf numFmtId="0" fontId="77" fillId="0" borderId="23" xfId="0" applyFont="1" applyBorder="1" applyAlignment="1" applyProtection="1">
      <alignment horizontal="center" vertical="center" wrapText="1"/>
    </xf>
    <xf numFmtId="0" fontId="79" fillId="0" borderId="35" xfId="0" applyFont="1" applyBorder="1" applyAlignment="1" applyProtection="1">
      <alignment horizontal="center" vertical="center"/>
      <protection locked="0"/>
    </xf>
    <xf numFmtId="0" fontId="79" fillId="0" borderId="37" xfId="0" applyFont="1" applyBorder="1" applyAlignment="1" applyProtection="1">
      <alignment horizontal="center" vertical="center"/>
      <protection locked="0"/>
    </xf>
    <xf numFmtId="0" fontId="77" fillId="0" borderId="35" xfId="0" applyFont="1" applyBorder="1" applyAlignment="1" applyProtection="1">
      <alignment horizontal="center" vertical="center" wrapText="1"/>
    </xf>
    <xf numFmtId="0" fontId="77" fillId="0" borderId="36" xfId="0" applyFont="1" applyBorder="1" applyAlignment="1" applyProtection="1">
      <alignment horizontal="center" vertical="center" wrapText="1"/>
    </xf>
    <xf numFmtId="0" fontId="77" fillId="0" borderId="37" xfId="0" applyFont="1" applyBorder="1" applyAlignment="1" applyProtection="1">
      <alignment horizontal="center" vertical="center" wrapText="1"/>
    </xf>
    <xf numFmtId="0" fontId="76" fillId="0" borderId="0" xfId="0" applyFont="1" applyAlignment="1" applyProtection="1">
      <alignment horizontal="left"/>
    </xf>
    <xf numFmtId="0" fontId="76" fillId="0" borderId="0" xfId="0" applyFont="1" applyAlignment="1" applyProtection="1">
      <alignment horizontal="center" vertical="center"/>
    </xf>
    <xf numFmtId="0" fontId="77" fillId="0" borderId="19" xfId="0" applyFont="1" applyBorder="1" applyAlignment="1" applyProtection="1">
      <alignment horizontal="right" vertical="center" wrapText="1" indent="1"/>
    </xf>
    <xf numFmtId="0" fontId="77" fillId="0" borderId="20" xfId="0" applyFont="1" applyBorder="1" applyAlignment="1" applyProtection="1">
      <alignment horizontal="right" vertical="center" wrapText="1" indent="1"/>
    </xf>
    <xf numFmtId="0" fontId="77" fillId="0" borderId="21" xfId="0" applyFont="1" applyBorder="1" applyAlignment="1" applyProtection="1">
      <alignment horizontal="right" vertical="center" wrapText="1" indent="1"/>
    </xf>
    <xf numFmtId="14" fontId="79" fillId="0" borderId="2" xfId="0" applyNumberFormat="1" applyFont="1" applyBorder="1" applyAlignment="1" applyProtection="1">
      <alignment horizontal="center" vertical="center"/>
      <protection locked="0"/>
    </xf>
    <xf numFmtId="14" fontId="79" fillId="0" borderId="6" xfId="0" applyNumberFormat="1" applyFont="1" applyBorder="1" applyAlignment="1" applyProtection="1">
      <alignment horizontal="center" vertical="center"/>
      <protection locked="0"/>
    </xf>
    <xf numFmtId="0" fontId="77" fillId="0" borderId="24" xfId="0" applyFont="1" applyBorder="1" applyAlignment="1" applyProtection="1">
      <alignment horizontal="right" vertical="center" wrapText="1" indent="1"/>
    </xf>
    <xf numFmtId="0" fontId="77" fillId="0" borderId="25" xfId="0" applyFont="1" applyBorder="1" applyAlignment="1" applyProtection="1">
      <alignment horizontal="right" vertical="center" wrapText="1" indent="1"/>
    </xf>
    <xf numFmtId="0" fontId="77" fillId="0" borderId="26" xfId="0" applyFont="1" applyBorder="1" applyAlignment="1" applyProtection="1">
      <alignment horizontal="right" vertical="center" wrapText="1" indent="1"/>
    </xf>
    <xf numFmtId="49" fontId="79" fillId="0" borderId="66" xfId="0" applyNumberFormat="1" applyFont="1" applyBorder="1" applyAlignment="1" applyProtection="1">
      <alignment horizontal="center" vertical="center"/>
      <protection locked="0"/>
    </xf>
    <xf numFmtId="49" fontId="79" fillId="0" borderId="68" xfId="0" applyNumberFormat="1" applyFont="1" applyBorder="1" applyAlignment="1" applyProtection="1">
      <alignment horizontal="center" vertical="center"/>
      <protection locked="0"/>
    </xf>
    <xf numFmtId="0" fontId="77" fillId="41" borderId="7" xfId="0" applyFont="1" applyFill="1" applyBorder="1" applyAlignment="1" applyProtection="1">
      <alignment horizontal="center" vertical="center" wrapText="1"/>
    </xf>
    <xf numFmtId="0" fontId="77" fillId="41" borderId="8" xfId="0" applyFont="1" applyFill="1" applyBorder="1" applyAlignment="1" applyProtection="1">
      <alignment horizontal="center" vertical="center" wrapText="1"/>
    </xf>
    <xf numFmtId="0" fontId="77" fillId="41" borderId="5" xfId="0" applyFont="1" applyFill="1" applyBorder="1" applyAlignment="1" applyProtection="1">
      <alignment horizontal="center" vertical="center" wrapText="1"/>
    </xf>
    <xf numFmtId="0" fontId="77" fillId="41" borderId="17" xfId="0" applyFont="1" applyFill="1" applyBorder="1" applyAlignment="1" applyProtection="1">
      <alignment horizontal="center" vertical="center" wrapText="1"/>
    </xf>
    <xf numFmtId="0" fontId="77" fillId="41" borderId="0" xfId="0" applyFont="1" applyFill="1" applyBorder="1" applyAlignment="1" applyProtection="1">
      <alignment horizontal="center" vertical="center" wrapText="1"/>
    </xf>
    <xf numFmtId="0" fontId="77" fillId="41" borderId="57" xfId="0" applyFont="1" applyFill="1" applyBorder="1" applyAlignment="1" applyProtection="1">
      <alignment horizontal="center" vertical="center" wrapText="1"/>
    </xf>
    <xf numFmtId="0" fontId="77" fillId="41" borderId="9" xfId="0" applyFont="1" applyFill="1" applyBorder="1" applyAlignment="1" applyProtection="1">
      <alignment horizontal="center" vertical="center" wrapText="1"/>
    </xf>
    <xf numFmtId="0" fontId="77" fillId="41" borderId="11" xfId="0" applyFont="1" applyFill="1" applyBorder="1" applyAlignment="1" applyProtection="1">
      <alignment horizontal="center" vertical="center" wrapText="1"/>
    </xf>
    <xf numFmtId="0" fontId="77" fillId="41" borderId="10" xfId="0" applyFont="1" applyFill="1" applyBorder="1" applyAlignment="1" applyProtection="1">
      <alignment horizontal="center" vertical="center" wrapText="1"/>
    </xf>
    <xf numFmtId="14" fontId="77" fillId="0" borderId="0" xfId="0" applyNumberFormat="1" applyFont="1" applyAlignment="1" applyProtection="1">
      <alignment horizontal="center"/>
    </xf>
    <xf numFmtId="0" fontId="77" fillId="0" borderId="0" xfId="0" applyFont="1" applyAlignment="1" applyProtection="1">
      <alignment horizontal="right" vertical="center"/>
    </xf>
    <xf numFmtId="0" fontId="0" fillId="32" borderId="0" xfId="0" applyFill="1" applyAlignment="1" applyProtection="1">
      <alignment horizontal="center" vertical="center"/>
    </xf>
    <xf numFmtId="0" fontId="77" fillId="0" borderId="0" xfId="0" applyFont="1" applyAlignment="1" applyProtection="1">
      <alignment horizontal="center" vertical="center"/>
    </xf>
    <xf numFmtId="0" fontId="78" fillId="0" borderId="2" xfId="0" applyFont="1" applyBorder="1" applyAlignment="1" applyProtection="1">
      <alignment horizontal="center" vertical="center"/>
      <protection locked="0"/>
    </xf>
    <xf numFmtId="0" fontId="78" fillId="0" borderId="3" xfId="0" applyFont="1" applyBorder="1" applyAlignment="1" applyProtection="1">
      <alignment horizontal="center" vertical="center"/>
      <protection locked="0"/>
    </xf>
    <xf numFmtId="0" fontId="78" fillId="0" borderId="6" xfId="0" applyFont="1" applyBorder="1" applyAlignment="1" applyProtection="1">
      <alignment horizontal="center" vertical="center"/>
      <protection locked="0"/>
    </xf>
    <xf numFmtId="0" fontId="77" fillId="0" borderId="19" xfId="0" applyFont="1" applyBorder="1" applyAlignment="1" applyProtection="1">
      <alignment horizontal="center" vertical="center" wrapText="1"/>
    </xf>
    <xf numFmtId="0" fontId="80" fillId="0" borderId="20" xfId="0" applyFont="1" applyBorder="1" applyAlignment="1" applyProtection="1">
      <alignment horizontal="center" vertical="center" wrapText="1"/>
    </xf>
    <xf numFmtId="0" fontId="0" fillId="0" borderId="20" xfId="0" applyBorder="1" applyAlignment="1" applyProtection="1">
      <alignment horizontal="center" vertical="center" wrapText="1"/>
    </xf>
    <xf numFmtId="0" fontId="80" fillId="0" borderId="19" xfId="0" applyFont="1" applyBorder="1" applyAlignment="1" applyProtection="1">
      <alignment horizontal="center" vertical="center" wrapText="1"/>
    </xf>
    <xf numFmtId="0" fontId="0" fillId="0" borderId="21" xfId="0" applyBorder="1" applyAlignment="1" applyProtection="1">
      <alignment horizontal="center" vertical="center" wrapText="1"/>
    </xf>
    <xf numFmtId="0" fontId="80" fillId="0" borderId="50" xfId="0" applyFont="1" applyBorder="1" applyAlignment="1" applyProtection="1">
      <alignment horizontal="center" vertical="center" wrapText="1"/>
    </xf>
    <xf numFmtId="0" fontId="80" fillId="0" borderId="6" xfId="0" applyFont="1" applyBorder="1" applyAlignment="1" applyProtection="1">
      <alignment horizontal="center" vertical="center" wrapText="1"/>
    </xf>
    <xf numFmtId="0" fontId="143" fillId="0" borderId="27" xfId="0" applyFont="1" applyBorder="1" applyAlignment="1" applyProtection="1">
      <alignment horizontal="left" vertical="center"/>
      <protection locked="0"/>
    </xf>
    <xf numFmtId="0" fontId="143" fillId="0" borderId="51" xfId="0" applyFont="1" applyBorder="1" applyAlignment="1" applyProtection="1">
      <alignment horizontal="left" vertical="center"/>
      <protection locked="0"/>
    </xf>
    <xf numFmtId="0" fontId="143" fillId="0" borderId="52" xfId="0" applyFont="1" applyBorder="1" applyAlignment="1" applyProtection="1">
      <alignment horizontal="left" vertical="center"/>
      <protection locked="0"/>
    </xf>
    <xf numFmtId="0" fontId="79" fillId="0" borderId="46" xfId="0" applyFont="1" applyBorder="1" applyAlignment="1" applyProtection="1">
      <alignment horizontal="center" vertical="center"/>
      <protection locked="0"/>
    </xf>
    <xf numFmtId="0" fontId="79" fillId="0" borderId="55" xfId="0" applyFont="1" applyBorder="1" applyAlignment="1" applyProtection="1">
      <alignment horizontal="center" vertical="center"/>
      <protection locked="0"/>
    </xf>
    <xf numFmtId="0" fontId="79" fillId="0" borderId="47" xfId="0" applyFont="1" applyBorder="1" applyAlignment="1" applyProtection="1">
      <alignment horizontal="center" vertical="center"/>
      <protection locked="0"/>
    </xf>
    <xf numFmtId="0" fontId="79" fillId="0" borderId="56" xfId="0" applyFont="1" applyBorder="1" applyAlignment="1" applyProtection="1">
      <alignment horizontal="center" vertical="center"/>
      <protection locked="0"/>
    </xf>
    <xf numFmtId="0" fontId="0" fillId="0" borderId="35" xfId="0" applyBorder="1" applyAlignment="1" applyProtection="1">
      <alignment horizontal="right" vertical="center" indent="1"/>
      <protection locked="0"/>
    </xf>
    <xf numFmtId="0" fontId="0" fillId="0" borderId="37" xfId="0" applyBorder="1" applyAlignment="1" applyProtection="1">
      <alignment horizontal="right" vertical="center" indent="1"/>
      <protection locked="0"/>
    </xf>
    <xf numFmtId="0" fontId="143" fillId="0" borderId="28" xfId="0" applyFont="1" applyBorder="1" applyAlignment="1" applyProtection="1">
      <alignment horizontal="left" vertical="center"/>
      <protection locked="0"/>
    </xf>
    <xf numFmtId="0" fontId="0" fillId="0" borderId="0" xfId="0" applyAlignment="1" applyProtection="1">
      <alignment horizontal="center" vertical="center"/>
    </xf>
    <xf numFmtId="14" fontId="91" fillId="0" borderId="0" xfId="0" applyNumberFormat="1" applyFont="1" applyAlignment="1" applyProtection="1">
      <alignment horizontal="center" vertical="center"/>
    </xf>
    <xf numFmtId="0" fontId="91" fillId="0" borderId="0" xfId="0" applyFont="1" applyAlignment="1" applyProtection="1">
      <alignment horizontal="center" vertical="center"/>
    </xf>
    <xf numFmtId="0" fontId="143" fillId="0" borderId="39" xfId="0" applyFont="1" applyBorder="1" applyAlignment="1" applyProtection="1">
      <alignment horizontal="left" vertical="center"/>
      <protection locked="0"/>
    </xf>
    <xf numFmtId="0" fontId="143" fillId="0" borderId="53" xfId="0" applyFont="1" applyBorder="1" applyAlignment="1" applyProtection="1">
      <alignment horizontal="left" vertical="center"/>
      <protection locked="0"/>
    </xf>
    <xf numFmtId="0" fontId="143" fillId="0" borderId="54" xfId="0" applyFont="1" applyBorder="1" applyAlignment="1" applyProtection="1">
      <alignment horizontal="left" vertical="center"/>
      <protection locked="0"/>
    </xf>
    <xf numFmtId="0" fontId="85" fillId="33" borderId="0" xfId="0" applyFont="1" applyFill="1" applyAlignment="1" applyProtection="1">
      <alignment horizontal="right" vertical="center"/>
    </xf>
    <xf numFmtId="0" fontId="85" fillId="33" borderId="0" xfId="0" applyFont="1" applyFill="1" applyAlignment="1" applyProtection="1">
      <alignment horizontal="left" vertical="center"/>
    </xf>
    <xf numFmtId="0" fontId="86" fillId="33" borderId="8" xfId="0" applyFont="1" applyFill="1" applyBorder="1" applyAlignment="1" applyProtection="1">
      <alignment horizontal="center" vertical="center" wrapText="1"/>
    </xf>
    <xf numFmtId="0" fontId="84" fillId="33" borderId="0" xfId="0" applyFont="1" applyFill="1" applyAlignment="1" applyProtection="1">
      <alignment horizontal="right" vertical="center"/>
    </xf>
    <xf numFmtId="0" fontId="88" fillId="33" borderId="0" xfId="0" applyFont="1" applyFill="1" applyAlignment="1" applyProtection="1">
      <alignment horizontal="left" vertical="center"/>
    </xf>
    <xf numFmtId="0" fontId="0" fillId="0" borderId="29" xfId="0" applyBorder="1" applyAlignment="1" applyProtection="1">
      <alignment horizontal="right" vertical="center" indent="1"/>
      <protection locked="0"/>
    </xf>
    <xf numFmtId="0" fontId="0" fillId="0" borderId="31" xfId="0" applyBorder="1" applyAlignment="1" applyProtection="1">
      <alignment horizontal="right" vertical="center" indent="1"/>
      <protection locked="0"/>
    </xf>
    <xf numFmtId="0" fontId="82" fillId="0" borderId="8" xfId="0" applyFont="1" applyBorder="1" applyAlignment="1" applyProtection="1">
      <alignment horizontal="center" vertical="center" wrapText="1"/>
    </xf>
    <xf numFmtId="0" fontId="1" fillId="12" borderId="35" xfId="0" applyFont="1" applyFill="1" applyBorder="1" applyAlignment="1" applyProtection="1">
      <alignment horizontal="center" vertical="center" wrapText="1"/>
    </xf>
    <xf numFmtId="0" fontId="1" fillId="12" borderId="29" xfId="0" applyFont="1" applyFill="1" applyBorder="1" applyAlignment="1" applyProtection="1">
      <alignment horizontal="center" vertical="center" wrapText="1"/>
    </xf>
    <xf numFmtId="0" fontId="143" fillId="0" borderId="40" xfId="0" applyFont="1" applyBorder="1" applyAlignment="1" applyProtection="1">
      <alignment horizontal="left" vertical="center"/>
      <protection locked="0"/>
    </xf>
    <xf numFmtId="0" fontId="83" fillId="33" borderId="0" xfId="0" applyFont="1" applyFill="1" applyAlignment="1" applyProtection="1">
      <alignment horizontal="center"/>
    </xf>
    <xf numFmtId="0" fontId="83" fillId="33" borderId="57" xfId="0" applyFont="1" applyFill="1" applyBorder="1" applyAlignment="1" applyProtection="1">
      <alignment horizontal="center"/>
    </xf>
    <xf numFmtId="0" fontId="79" fillId="0" borderId="4" xfId="0" applyFont="1" applyBorder="1" applyAlignment="1" applyProtection="1">
      <alignment horizontal="center" vertical="center"/>
      <protection locked="0"/>
    </xf>
    <xf numFmtId="0" fontId="79" fillId="0" borderId="1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77" fillId="0" borderId="27" xfId="0" applyFont="1" applyBorder="1" applyAlignment="1" applyProtection="1">
      <alignment horizontal="center" vertical="center" wrapText="1"/>
    </xf>
    <xf numFmtId="0" fontId="77" fillId="0" borderId="80" xfId="0" applyFont="1" applyBorder="1" applyAlignment="1" applyProtection="1">
      <alignment horizontal="center" vertical="center" wrapText="1"/>
    </xf>
    <xf numFmtId="0" fontId="77" fillId="0" borderId="28" xfId="0" applyFont="1" applyBorder="1" applyAlignment="1" applyProtection="1">
      <alignment horizontal="center" vertical="center" wrapText="1"/>
    </xf>
    <xf numFmtId="0" fontId="77" fillId="0" borderId="39" xfId="0" applyFont="1" applyBorder="1" applyAlignment="1" applyProtection="1">
      <alignment horizontal="center" vertical="center" wrapText="1"/>
    </xf>
    <xf numFmtId="0" fontId="77" fillId="0" borderId="58" xfId="0" applyFont="1" applyBorder="1" applyAlignment="1" applyProtection="1">
      <alignment horizontal="center" vertical="center" wrapText="1"/>
    </xf>
    <xf numFmtId="0" fontId="77" fillId="0" borderId="40" xfId="0" applyFont="1" applyBorder="1" applyAlignment="1" applyProtection="1">
      <alignment horizontal="center" vertical="center" wrapText="1"/>
    </xf>
    <xf numFmtId="0" fontId="77" fillId="0" borderId="35" xfId="0" applyFont="1" applyBorder="1" applyAlignment="1" applyProtection="1">
      <alignment horizontal="right" vertical="center" wrapText="1" indent="1"/>
    </xf>
    <xf numFmtId="0" fontId="77" fillId="0" borderId="36" xfId="0" applyFont="1" applyBorder="1" applyAlignment="1" applyProtection="1">
      <alignment horizontal="right" vertical="center" wrapText="1" indent="1"/>
    </xf>
    <xf numFmtId="0" fontId="77" fillId="0" borderId="37" xfId="0" applyFont="1" applyBorder="1" applyAlignment="1" applyProtection="1">
      <alignment horizontal="right" vertical="center" wrapText="1" indent="1"/>
    </xf>
    <xf numFmtId="0" fontId="79" fillId="0" borderId="22" xfId="0" applyFont="1" applyBorder="1" applyAlignment="1" applyProtection="1">
      <alignment horizontal="center" vertical="center"/>
      <protection locked="0"/>
    </xf>
    <xf numFmtId="0" fontId="79" fillId="0" borderId="23" xfId="0" applyFont="1" applyBorder="1" applyAlignment="1" applyProtection="1">
      <alignment horizontal="center" vertical="center"/>
      <protection locked="0"/>
    </xf>
    <xf numFmtId="0" fontId="79" fillId="0" borderId="27" xfId="0" applyFont="1" applyBorder="1" applyAlignment="1" applyProtection="1">
      <alignment horizontal="center" vertical="center"/>
      <protection locked="0"/>
    </xf>
    <xf numFmtId="0" fontId="79" fillId="0" borderId="28" xfId="0" applyFont="1" applyBorder="1" applyAlignment="1" applyProtection="1">
      <alignment horizontal="center" vertical="center"/>
      <protection locked="0"/>
    </xf>
    <xf numFmtId="0" fontId="77" fillId="0" borderId="45" xfId="0" applyFont="1" applyBorder="1" applyAlignment="1" applyProtection="1">
      <alignment horizontal="right" vertical="center" wrapText="1" indent="1"/>
    </xf>
    <xf numFmtId="0" fontId="77" fillId="0" borderId="46" xfId="0" applyFont="1" applyBorder="1" applyAlignment="1" applyProtection="1">
      <alignment horizontal="right" vertical="center" wrapText="1" indent="1"/>
    </xf>
    <xf numFmtId="0" fontId="77" fillId="0" borderId="47" xfId="0" applyFont="1" applyBorder="1" applyAlignment="1" applyProtection="1">
      <alignment horizontal="right" vertical="center" wrapText="1" indent="1"/>
    </xf>
    <xf numFmtId="0" fontId="79" fillId="0" borderId="65" xfId="0" applyFont="1" applyBorder="1" applyAlignment="1" applyProtection="1">
      <alignment horizontal="center" vertical="center"/>
      <protection locked="0"/>
    </xf>
    <xf numFmtId="0" fontId="79" fillId="0" borderId="82" xfId="0" applyFont="1" applyBorder="1" applyAlignment="1" applyProtection="1">
      <alignment horizontal="center" vertical="center"/>
      <protection locked="0"/>
    </xf>
    <xf numFmtId="0" fontId="80" fillId="0" borderId="39" xfId="0" applyFont="1" applyBorder="1" applyAlignment="1" applyProtection="1">
      <alignment horizontal="right" vertical="center" wrapText="1"/>
    </xf>
    <xf numFmtId="0" fontId="80" fillId="0" borderId="58" xfId="0" applyFont="1" applyBorder="1" applyAlignment="1" applyProtection="1">
      <alignment horizontal="right" vertical="center" wrapText="1"/>
    </xf>
    <xf numFmtId="0" fontId="80" fillId="0" borderId="40" xfId="0" applyFont="1" applyBorder="1" applyAlignment="1" applyProtection="1">
      <alignment horizontal="right" vertical="center" wrapText="1"/>
    </xf>
    <xf numFmtId="0" fontId="105" fillId="35" borderId="2" xfId="0" applyFont="1" applyFill="1" applyBorder="1" applyAlignment="1" applyProtection="1">
      <alignment horizontal="right" vertical="center" wrapText="1"/>
    </xf>
    <xf numFmtId="0" fontId="105" fillId="35" borderId="3" xfId="0" applyFont="1" applyFill="1" applyBorder="1" applyAlignment="1" applyProtection="1">
      <alignment horizontal="right" vertical="center" wrapText="1"/>
    </xf>
    <xf numFmtId="0" fontId="105" fillId="35" borderId="6" xfId="0" applyFont="1" applyFill="1" applyBorder="1" applyAlignment="1" applyProtection="1">
      <alignment horizontal="right" vertical="center" wrapText="1"/>
    </xf>
    <xf numFmtId="0" fontId="76" fillId="0" borderId="0" xfId="0" applyFont="1" applyAlignment="1" applyProtection="1">
      <alignment horizontal="center"/>
    </xf>
    <xf numFmtId="14" fontId="92" fillId="34" borderId="0" xfId="0" applyNumberFormat="1" applyFont="1" applyFill="1" applyAlignment="1" applyProtection="1">
      <alignment horizontal="center"/>
    </xf>
    <xf numFmtId="0" fontId="77" fillId="0" borderId="0" xfId="0" applyFont="1" applyAlignment="1" applyProtection="1">
      <alignment horizontal="right"/>
    </xf>
    <xf numFmtId="0" fontId="93" fillId="35" borderId="0" xfId="0" applyFont="1" applyFill="1" applyAlignment="1" applyProtection="1">
      <alignment horizontal="center"/>
    </xf>
    <xf numFmtId="0" fontId="77" fillId="0" borderId="0" xfId="0" applyFont="1" applyAlignment="1" applyProtection="1">
      <alignment horizontal="center"/>
    </xf>
    <xf numFmtId="0" fontId="95" fillId="0" borderId="0" xfId="0" applyFont="1" applyAlignment="1" applyProtection="1">
      <alignment horizontal="left"/>
    </xf>
    <xf numFmtId="0" fontId="80" fillId="0" borderId="19" xfId="0" applyFont="1" applyBorder="1" applyAlignment="1" applyProtection="1">
      <alignment horizontal="right" vertical="center" wrapText="1"/>
    </xf>
    <xf numFmtId="0" fontId="80" fillId="0" borderId="20" xfId="0" applyFont="1" applyBorder="1" applyAlignment="1" applyProtection="1">
      <alignment horizontal="right" vertical="center" wrapText="1"/>
    </xf>
    <xf numFmtId="0" fontId="80" fillId="0" borderId="21" xfId="0" applyFont="1" applyBorder="1" applyAlignment="1" applyProtection="1">
      <alignment horizontal="right" vertical="center" wrapText="1"/>
    </xf>
    <xf numFmtId="0" fontId="96" fillId="0" borderId="17"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99" fillId="0" borderId="35" xfId="0" applyFont="1" applyFill="1" applyBorder="1" applyAlignment="1" applyProtection="1">
      <alignment horizontal="right" vertical="center" wrapText="1"/>
    </xf>
    <xf numFmtId="0" fontId="100" fillId="0" borderId="36" xfId="0" applyFont="1" applyFill="1" applyBorder="1" applyAlignment="1" applyProtection="1">
      <alignment horizontal="right" vertical="center" wrapText="1"/>
    </xf>
    <xf numFmtId="0" fontId="100" fillId="0" borderId="37" xfId="0" applyFont="1" applyFill="1" applyBorder="1" applyAlignment="1" applyProtection="1">
      <alignment horizontal="right" vertical="center" wrapText="1"/>
    </xf>
    <xf numFmtId="0" fontId="101" fillId="0" borderId="0" xfId="0" applyFont="1" applyBorder="1" applyAlignment="1" applyProtection="1">
      <alignment horizontal="center" vertical="center" wrapText="1"/>
    </xf>
    <xf numFmtId="0" fontId="82" fillId="0" borderId="0" xfId="0" applyFont="1" applyBorder="1" applyAlignment="1" applyProtection="1">
      <alignment horizontal="center" vertical="center" wrapText="1"/>
    </xf>
    <xf numFmtId="0" fontId="102" fillId="23" borderId="0" xfId="0" applyFont="1" applyFill="1" applyAlignment="1" applyProtection="1">
      <alignment horizontal="center" vertical="center" wrapText="1"/>
    </xf>
    <xf numFmtId="0" fontId="107" fillId="35" borderId="0" xfId="0" applyFont="1" applyFill="1" applyAlignment="1" applyProtection="1">
      <alignment horizontal="center" vertical="center" wrapText="1"/>
    </xf>
    <xf numFmtId="0" fontId="107" fillId="23" borderId="0" xfId="0" applyFont="1" applyFill="1" applyAlignment="1" applyProtection="1">
      <alignment horizontal="center" vertical="center" wrapText="1"/>
    </xf>
    <xf numFmtId="0" fontId="80" fillId="0" borderId="35" xfId="0" applyFont="1" applyBorder="1" applyAlignment="1" applyProtection="1">
      <alignment horizontal="right" vertical="center" wrapText="1"/>
    </xf>
    <xf numFmtId="0" fontId="77" fillId="0" borderId="36" xfId="0" applyFont="1" applyBorder="1" applyAlignment="1" applyProtection="1">
      <alignment horizontal="right" vertical="center" wrapText="1"/>
    </xf>
    <xf numFmtId="0" fontId="77" fillId="0" borderId="59" xfId="0" applyFont="1" applyBorder="1" applyAlignment="1" applyProtection="1">
      <alignment horizontal="right" vertical="center" wrapText="1"/>
    </xf>
    <xf numFmtId="0" fontId="80" fillId="0" borderId="32" xfId="0" applyFont="1" applyBorder="1" applyAlignment="1" applyProtection="1">
      <alignment horizontal="right" vertical="center" wrapText="1"/>
    </xf>
    <xf numFmtId="0" fontId="80" fillId="0" borderId="33" xfId="0" applyFont="1" applyBorder="1" applyAlignment="1" applyProtection="1">
      <alignment horizontal="right" vertical="center" wrapText="1"/>
    </xf>
    <xf numFmtId="0" fontId="80" fillId="0" borderId="52" xfId="0" applyFont="1" applyBorder="1" applyAlignment="1" applyProtection="1">
      <alignment horizontal="right" vertical="center" wrapText="1"/>
    </xf>
    <xf numFmtId="0" fontId="80" fillId="0" borderId="29" xfId="0" applyFont="1" applyBorder="1" applyAlignment="1" applyProtection="1">
      <alignment horizontal="right" vertical="center" wrapText="1"/>
    </xf>
    <xf numFmtId="0" fontId="80" fillId="0" borderId="30" xfId="0" applyFont="1" applyBorder="1" applyAlignment="1" applyProtection="1">
      <alignment horizontal="right" vertical="center" wrapText="1"/>
    </xf>
    <xf numFmtId="0" fontId="80" fillId="0" borderId="54" xfId="0" applyFont="1" applyBorder="1" applyAlignment="1" applyProtection="1">
      <alignment horizontal="right" vertical="center" wrapText="1"/>
    </xf>
    <xf numFmtId="0" fontId="80" fillId="0" borderId="50" xfId="0" applyFont="1" applyBorder="1" applyAlignment="1" applyProtection="1">
      <alignment horizontal="right" vertical="center" wrapText="1"/>
    </xf>
    <xf numFmtId="0" fontId="77" fillId="0" borderId="37" xfId="0" applyFont="1" applyBorder="1" applyAlignment="1" applyProtection="1">
      <alignment horizontal="right" vertical="center" wrapText="1"/>
    </xf>
    <xf numFmtId="0" fontId="80" fillId="35" borderId="35" xfId="0" applyFont="1" applyFill="1" applyBorder="1" applyAlignment="1" applyProtection="1">
      <alignment horizontal="right" vertical="center" wrapText="1"/>
    </xf>
    <xf numFmtId="0" fontId="80" fillId="35" borderId="36" xfId="0" applyFont="1" applyFill="1" applyBorder="1" applyAlignment="1" applyProtection="1">
      <alignment horizontal="right" vertical="center" wrapText="1"/>
    </xf>
    <xf numFmtId="0" fontId="80" fillId="35" borderId="59" xfId="0" applyFont="1" applyFill="1" applyBorder="1" applyAlignment="1" applyProtection="1">
      <alignment horizontal="right" vertical="center" wrapText="1"/>
    </xf>
    <xf numFmtId="0" fontId="80" fillId="35" borderId="29" xfId="0" applyFont="1" applyFill="1" applyBorder="1" applyAlignment="1" applyProtection="1">
      <alignment horizontal="right" vertical="center" wrapText="1"/>
    </xf>
    <xf numFmtId="0" fontId="80" fillId="35" borderId="30" xfId="0" applyFont="1" applyFill="1" applyBorder="1" applyAlignment="1" applyProtection="1">
      <alignment horizontal="right" vertical="center" wrapText="1"/>
    </xf>
    <xf numFmtId="0" fontId="80" fillId="35" borderId="54" xfId="0" applyFont="1" applyFill="1" applyBorder="1" applyAlignment="1" applyProtection="1">
      <alignment horizontal="right" vertical="center" wrapText="1"/>
    </xf>
    <xf numFmtId="0" fontId="105" fillId="35" borderId="19" xfId="0" applyFont="1" applyFill="1" applyBorder="1" applyAlignment="1" applyProtection="1">
      <alignment horizontal="right" vertical="center" wrapText="1"/>
    </xf>
    <xf numFmtId="0" fontId="105" fillId="35" borderId="20" xfId="0" applyFont="1" applyFill="1" applyBorder="1" applyAlignment="1" applyProtection="1">
      <alignment horizontal="right" vertical="center" wrapText="1"/>
    </xf>
    <xf numFmtId="0" fontId="105" fillId="35" borderId="50" xfId="0" applyFont="1" applyFill="1" applyBorder="1" applyAlignment="1" applyProtection="1">
      <alignment horizontal="right" vertical="center" wrapText="1"/>
    </xf>
    <xf numFmtId="0" fontId="82" fillId="0" borderId="17" xfId="0" applyFont="1" applyBorder="1" applyAlignment="1" applyProtection="1">
      <alignment horizontal="center" vertical="center" wrapText="1"/>
    </xf>
    <xf numFmtId="0" fontId="80" fillId="0" borderId="24" xfId="0" applyFont="1" applyBorder="1" applyAlignment="1" applyProtection="1">
      <alignment horizontal="right" vertical="center" wrapText="1"/>
    </xf>
    <xf numFmtId="0" fontId="80" fillId="0" borderId="25" xfId="0" applyFont="1" applyBorder="1" applyAlignment="1" applyProtection="1">
      <alignment horizontal="right" vertical="center" wrapText="1"/>
    </xf>
    <xf numFmtId="0" fontId="80" fillId="0" borderId="26" xfId="0" applyFont="1" applyBorder="1" applyAlignment="1" applyProtection="1">
      <alignment horizontal="right" vertical="center" wrapText="1"/>
    </xf>
    <xf numFmtId="0" fontId="80" fillId="0" borderId="31" xfId="0" applyFont="1" applyBorder="1" applyAlignment="1" applyProtection="1">
      <alignment horizontal="right" vertical="center" wrapText="1"/>
    </xf>
    <xf numFmtId="0" fontId="80" fillId="0" borderId="34" xfId="0" applyFont="1" applyBorder="1" applyAlignment="1" applyProtection="1">
      <alignment horizontal="right" vertical="center" wrapText="1"/>
    </xf>
    <xf numFmtId="0" fontId="80" fillId="23" borderId="32" xfId="0" applyFont="1" applyFill="1" applyBorder="1" applyAlignment="1" applyProtection="1">
      <alignment horizontal="right" vertical="center" wrapText="1"/>
    </xf>
    <xf numFmtId="0" fontId="80" fillId="23" borderId="33" xfId="0" applyFont="1" applyFill="1" applyBorder="1" applyAlignment="1" applyProtection="1">
      <alignment horizontal="right" vertical="center" wrapText="1"/>
    </xf>
    <xf numFmtId="0" fontId="80" fillId="23" borderId="34" xfId="0" applyFont="1" applyFill="1" applyBorder="1" applyAlignment="1" applyProtection="1">
      <alignment horizontal="right" vertical="center" wrapText="1"/>
    </xf>
    <xf numFmtId="0" fontId="80" fillId="36" borderId="29" xfId="0" applyFont="1" applyFill="1" applyBorder="1" applyAlignment="1" applyProtection="1">
      <alignment horizontal="right" vertical="center" wrapText="1"/>
    </xf>
    <xf numFmtId="0" fontId="80" fillId="36" borderId="30" xfId="0" applyFont="1" applyFill="1" applyBorder="1" applyAlignment="1" applyProtection="1">
      <alignment horizontal="right" vertical="center" wrapText="1"/>
    </xf>
    <xf numFmtId="0" fontId="80" fillId="36" borderId="31" xfId="0" applyFont="1" applyFill="1" applyBorder="1" applyAlignment="1" applyProtection="1">
      <alignment horizontal="right" vertical="center" wrapText="1"/>
    </xf>
    <xf numFmtId="0" fontId="105" fillId="35" borderId="35" xfId="0" applyFont="1" applyFill="1" applyBorder="1" applyAlignment="1" applyProtection="1">
      <alignment horizontal="right" vertical="center" wrapText="1"/>
    </xf>
    <xf numFmtId="0" fontId="105" fillId="35" borderId="36" xfId="0" applyFont="1" applyFill="1" applyBorder="1" applyAlignment="1" applyProtection="1">
      <alignment horizontal="right" vertical="center" wrapText="1"/>
    </xf>
    <xf numFmtId="0" fontId="105" fillId="35" borderId="37" xfId="0" applyFont="1" applyFill="1" applyBorder="1" applyAlignment="1" applyProtection="1">
      <alignment horizontal="right" vertical="center" wrapText="1"/>
    </xf>
    <xf numFmtId="0" fontId="105" fillId="35" borderId="19" xfId="0" applyFont="1" applyFill="1" applyBorder="1" applyAlignment="1" applyProtection="1">
      <alignment horizontal="right" vertical="center"/>
    </xf>
    <xf numFmtId="0" fontId="105" fillId="35" borderId="20" xfId="0" applyFont="1" applyFill="1" applyBorder="1" applyAlignment="1" applyProtection="1">
      <alignment horizontal="right" vertical="center"/>
    </xf>
    <xf numFmtId="0" fontId="105" fillId="35" borderId="32" xfId="0" applyFont="1" applyFill="1" applyBorder="1" applyAlignment="1" applyProtection="1">
      <alignment horizontal="right" vertical="center" wrapText="1"/>
    </xf>
    <xf numFmtId="0" fontId="105" fillId="35" borderId="33" xfId="0" applyFont="1" applyFill="1" applyBorder="1" applyAlignment="1" applyProtection="1">
      <alignment horizontal="right" vertical="center" wrapText="1"/>
    </xf>
    <xf numFmtId="0" fontId="105" fillId="37" borderId="29" xfId="0" applyFont="1" applyFill="1" applyBorder="1" applyAlignment="1" applyProtection="1">
      <alignment horizontal="right" vertical="center" wrapText="1"/>
    </xf>
    <xf numFmtId="0" fontId="105" fillId="37" borderId="30" xfId="0" applyFont="1" applyFill="1" applyBorder="1" applyAlignment="1" applyProtection="1">
      <alignment horizontal="right" vertical="center" wrapText="1"/>
    </xf>
    <xf numFmtId="0" fontId="105" fillId="37" borderId="54" xfId="0" applyFont="1" applyFill="1" applyBorder="1" applyAlignment="1" applyProtection="1">
      <alignment horizontal="right" vertical="center" wrapText="1"/>
    </xf>
    <xf numFmtId="0" fontId="105" fillId="35" borderId="34" xfId="0" applyFont="1" applyFill="1" applyBorder="1" applyAlignment="1" applyProtection="1">
      <alignment horizontal="right" vertical="center" wrapText="1"/>
    </xf>
    <xf numFmtId="0" fontId="105" fillId="35" borderId="29" xfId="0" applyFont="1" applyFill="1" applyBorder="1" applyAlignment="1" applyProtection="1">
      <alignment horizontal="right" vertical="center" wrapText="1"/>
    </xf>
    <xf numFmtId="0" fontId="105" fillId="35" borderId="30" xfId="0" applyFont="1" applyFill="1" applyBorder="1" applyAlignment="1" applyProtection="1">
      <alignment horizontal="right" vertical="center" wrapText="1"/>
    </xf>
    <xf numFmtId="0" fontId="105" fillId="35" borderId="31" xfId="0" applyFont="1" applyFill="1" applyBorder="1" applyAlignment="1" applyProtection="1">
      <alignment horizontal="right" vertical="center" wrapText="1"/>
    </xf>
    <xf numFmtId="0" fontId="105" fillId="37" borderId="35" xfId="0" applyFont="1" applyFill="1" applyBorder="1" applyAlignment="1" applyProtection="1">
      <alignment horizontal="right" vertical="center" wrapText="1"/>
    </xf>
    <xf numFmtId="0" fontId="105" fillId="37" borderId="36" xfId="0" applyFont="1" applyFill="1" applyBorder="1" applyAlignment="1" applyProtection="1">
      <alignment horizontal="right" vertical="center" wrapText="1"/>
    </xf>
    <xf numFmtId="0" fontId="105" fillId="37" borderId="59" xfId="0" applyFont="1" applyFill="1" applyBorder="1" applyAlignment="1" applyProtection="1">
      <alignment horizontal="right" vertical="center" wrapText="1"/>
    </xf>
    <xf numFmtId="0" fontId="105" fillId="37" borderId="32" xfId="0" applyFont="1" applyFill="1" applyBorder="1" applyAlignment="1" applyProtection="1">
      <alignment horizontal="right" vertical="center" wrapText="1"/>
    </xf>
    <xf numFmtId="0" fontId="105" fillId="37" borderId="33" xfId="0" applyFont="1" applyFill="1" applyBorder="1" applyAlignment="1" applyProtection="1">
      <alignment horizontal="right" vertical="center" wrapText="1"/>
    </xf>
    <xf numFmtId="0" fontId="105" fillId="37" borderId="52" xfId="0" applyFont="1" applyFill="1" applyBorder="1" applyAlignment="1" applyProtection="1">
      <alignment horizontal="right" vertical="center" wrapText="1"/>
    </xf>
    <xf numFmtId="0" fontId="114" fillId="37" borderId="0" xfId="0" applyFont="1" applyFill="1" applyBorder="1" applyAlignment="1" applyProtection="1">
      <alignment horizontal="right" vertical="center" wrapText="1"/>
    </xf>
    <xf numFmtId="0" fontId="80" fillId="0" borderId="35" xfId="0" applyFont="1" applyBorder="1" applyAlignment="1" applyProtection="1">
      <alignment horizontal="right" vertical="center"/>
    </xf>
    <xf numFmtId="0" fontId="80" fillId="0" borderId="36" xfId="0" applyFont="1" applyBorder="1" applyAlignment="1" applyProtection="1">
      <alignment horizontal="right" vertical="center"/>
    </xf>
    <xf numFmtId="0" fontId="80" fillId="0" borderId="59" xfId="0" applyFont="1" applyBorder="1" applyAlignment="1" applyProtection="1">
      <alignment horizontal="right" vertical="center"/>
    </xf>
    <xf numFmtId="0" fontId="80" fillId="0" borderId="32" xfId="0" applyFont="1" applyBorder="1" applyAlignment="1" applyProtection="1">
      <alignment horizontal="right" vertical="center"/>
    </xf>
    <xf numFmtId="0" fontId="80" fillId="0" borderId="33" xfId="0" applyFont="1" applyBorder="1" applyAlignment="1" applyProtection="1">
      <alignment horizontal="right" vertical="center"/>
    </xf>
    <xf numFmtId="0" fontId="80" fillId="0" borderId="52" xfId="0" applyFont="1" applyBorder="1" applyAlignment="1" applyProtection="1">
      <alignment horizontal="right" vertical="center"/>
    </xf>
    <xf numFmtId="0" fontId="80" fillId="0" borderId="45" xfId="0" applyFont="1" applyBorder="1" applyAlignment="1" applyProtection="1">
      <alignment horizontal="right" vertical="center"/>
    </xf>
    <xf numFmtId="0" fontId="80" fillId="0" borderId="46" xfId="0" applyFont="1" applyBorder="1" applyAlignment="1" applyProtection="1">
      <alignment horizontal="right" vertical="center"/>
    </xf>
    <xf numFmtId="0" fontId="80" fillId="0" borderId="61" xfId="0" applyFont="1" applyBorder="1" applyAlignment="1" applyProtection="1">
      <alignment horizontal="right" vertical="center"/>
    </xf>
    <xf numFmtId="0" fontId="80" fillId="0" borderId="19" xfId="0" applyFont="1" applyBorder="1" applyAlignment="1" applyProtection="1">
      <alignment horizontal="right" vertical="center"/>
    </xf>
    <xf numFmtId="0" fontId="80" fillId="0" borderId="20" xfId="0" applyFont="1" applyBorder="1" applyAlignment="1" applyProtection="1">
      <alignment horizontal="right" vertical="center"/>
    </xf>
    <xf numFmtId="0" fontId="80" fillId="0" borderId="50" xfId="0" applyFont="1" applyBorder="1" applyAlignment="1" applyProtection="1">
      <alignment horizontal="right" vertical="center"/>
    </xf>
    <xf numFmtId="0" fontId="80" fillId="0" borderId="36" xfId="0" applyFont="1" applyBorder="1" applyAlignment="1" applyProtection="1">
      <alignment horizontal="right" vertical="center" wrapText="1"/>
    </xf>
    <xf numFmtId="0" fontId="80" fillId="0" borderId="59" xfId="0" applyFont="1" applyBorder="1" applyAlignment="1" applyProtection="1">
      <alignment horizontal="right" vertical="center" wrapText="1"/>
    </xf>
    <xf numFmtId="0" fontId="80" fillId="0" borderId="45" xfId="0" applyFont="1" applyBorder="1" applyAlignment="1" applyProtection="1">
      <alignment horizontal="right" vertical="center" wrapText="1"/>
    </xf>
    <xf numFmtId="0" fontId="80" fillId="0" borderId="46" xfId="0" applyFont="1" applyBorder="1" applyAlignment="1" applyProtection="1">
      <alignment horizontal="right" vertical="center" wrapText="1"/>
    </xf>
    <xf numFmtId="0" fontId="80" fillId="0" borderId="61" xfId="0" applyFont="1" applyBorder="1" applyAlignment="1" applyProtection="1">
      <alignment horizontal="right" vertical="center" wrapText="1"/>
    </xf>
    <xf numFmtId="0" fontId="105" fillId="37" borderId="19" xfId="0" applyFont="1" applyFill="1" applyBorder="1" applyAlignment="1" applyProtection="1">
      <alignment horizontal="right" vertical="center" wrapText="1"/>
    </xf>
    <xf numFmtId="0" fontId="105" fillId="37" borderId="20" xfId="0" applyFont="1" applyFill="1" applyBorder="1" applyAlignment="1" applyProtection="1">
      <alignment horizontal="right" vertical="center" wrapText="1"/>
    </xf>
    <xf numFmtId="0" fontId="105" fillId="37" borderId="50" xfId="0" applyFont="1" applyFill="1" applyBorder="1" applyAlignment="1" applyProtection="1">
      <alignment horizontal="right" vertical="center" wrapText="1"/>
    </xf>
    <xf numFmtId="164" fontId="0" fillId="0" borderId="2" xfId="0" applyNumberFormat="1" applyBorder="1" applyAlignment="1" applyProtection="1">
      <alignment horizontal="right" vertical="center" indent="2"/>
      <protection locked="0"/>
    </xf>
    <xf numFmtId="164" fontId="0" fillId="0" borderId="6" xfId="0" applyNumberFormat="1" applyBorder="1" applyAlignment="1" applyProtection="1">
      <alignment horizontal="right" vertical="center" indent="2"/>
      <protection locked="0"/>
    </xf>
    <xf numFmtId="0" fontId="0" fillId="0" borderId="2" xfId="0" applyBorder="1" applyAlignment="1" applyProtection="1">
      <alignment horizontal="right" vertical="center" indent="2"/>
      <protection locked="0"/>
    </xf>
    <xf numFmtId="0" fontId="0" fillId="0" borderId="6" xfId="0" applyBorder="1" applyAlignment="1" applyProtection="1">
      <alignment horizontal="right" vertical="center" indent="2"/>
      <protection locked="0"/>
    </xf>
    <xf numFmtId="0" fontId="80" fillId="0" borderId="29" xfId="0" applyFont="1" applyBorder="1" applyAlignment="1" applyProtection="1">
      <alignment horizontal="right" vertical="center"/>
    </xf>
    <xf numFmtId="0" fontId="80" fillId="0" borderId="30" xfId="0" applyFont="1" applyBorder="1" applyAlignment="1" applyProtection="1">
      <alignment horizontal="right" vertical="center"/>
    </xf>
    <xf numFmtId="0" fontId="80" fillId="0" borderId="54" xfId="0" applyFont="1" applyBorder="1" applyAlignment="1" applyProtection="1">
      <alignment horizontal="right" vertical="center"/>
    </xf>
    <xf numFmtId="0" fontId="117" fillId="35" borderId="19" xfId="0" applyFont="1" applyFill="1" applyBorder="1" applyAlignment="1" applyProtection="1">
      <alignment horizontal="right" vertical="center"/>
    </xf>
    <xf numFmtId="0" fontId="117" fillId="35" borderId="20" xfId="0" applyFont="1" applyFill="1" applyBorder="1" applyAlignment="1" applyProtection="1">
      <alignment horizontal="right" vertical="center"/>
    </xf>
    <xf numFmtId="0" fontId="117" fillId="35" borderId="19" xfId="0" applyFont="1" applyFill="1" applyBorder="1" applyAlignment="1" applyProtection="1">
      <alignment horizontal="right" vertical="center" wrapText="1"/>
    </xf>
    <xf numFmtId="0" fontId="117" fillId="35" borderId="20" xfId="0" applyFont="1" applyFill="1" applyBorder="1" applyAlignment="1" applyProtection="1">
      <alignment horizontal="right" vertical="center" wrapText="1"/>
    </xf>
    <xf numFmtId="164" fontId="94" fillId="37" borderId="33" xfId="0" applyNumberFormat="1" applyFont="1" applyFill="1" applyBorder="1" applyAlignment="1" applyProtection="1">
      <alignment horizontal="right" vertical="center" indent="1"/>
    </xf>
    <xf numFmtId="0" fontId="93" fillId="37" borderId="4" xfId="0" applyFont="1" applyFill="1" applyBorder="1" applyAlignment="1" applyProtection="1">
      <alignment horizontal="center" vertical="center" wrapText="1"/>
    </xf>
    <xf numFmtId="0" fontId="93" fillId="37" borderId="18" xfId="0" applyFont="1" applyFill="1" applyBorder="1" applyAlignment="1" applyProtection="1">
      <alignment horizontal="center" vertical="center" wrapText="1"/>
    </xf>
    <xf numFmtId="1" fontId="93" fillId="37" borderId="4" xfId="0" applyNumberFormat="1" applyFont="1" applyFill="1" applyBorder="1" applyAlignment="1" applyProtection="1">
      <alignment horizontal="center" vertical="center" wrapText="1"/>
    </xf>
    <xf numFmtId="1" fontId="93" fillId="37" borderId="18" xfId="0" applyNumberFormat="1" applyFont="1" applyFill="1" applyBorder="1" applyAlignment="1" applyProtection="1">
      <alignment horizontal="center" vertical="center" wrapText="1"/>
    </xf>
    <xf numFmtId="164" fontId="94" fillId="37" borderId="51" xfId="0" applyNumberFormat="1" applyFont="1" applyFill="1" applyBorder="1" applyAlignment="1" applyProtection="1">
      <alignment horizontal="right" vertical="center" indent="1"/>
    </xf>
    <xf numFmtId="164" fontId="94" fillId="37" borderId="33" xfId="0" applyNumberFormat="1" applyFont="1" applyFill="1" applyBorder="1" applyAlignment="1" applyProtection="1">
      <alignment horizontal="center" vertical="center"/>
    </xf>
    <xf numFmtId="0" fontId="1" fillId="33" borderId="0" xfId="0" applyFont="1" applyFill="1" applyBorder="1" applyAlignment="1" applyProtection="1">
      <alignment horizontal="center" vertical="center" wrapText="1"/>
    </xf>
    <xf numFmtId="170" fontId="113" fillId="0" borderId="0" xfId="0" applyNumberFormat="1" applyFont="1" applyFill="1" applyBorder="1" applyAlignment="1" applyProtection="1">
      <alignment horizontal="left" vertical="center"/>
    </xf>
    <xf numFmtId="0" fontId="113" fillId="33" borderId="48" xfId="0" applyFont="1" applyFill="1" applyBorder="1" applyAlignment="1" applyProtection="1">
      <alignment horizontal="center" vertical="center"/>
    </xf>
    <xf numFmtId="0" fontId="113" fillId="33" borderId="67" xfId="0" applyFont="1" applyFill="1" applyBorder="1" applyAlignment="1" applyProtection="1">
      <alignment horizontal="center" vertical="center"/>
    </xf>
    <xf numFmtId="0" fontId="113" fillId="33" borderId="41" xfId="0" applyFont="1" applyFill="1" applyBorder="1" applyAlignment="1" applyProtection="1">
      <alignment horizontal="center" vertical="center"/>
    </xf>
    <xf numFmtId="0" fontId="113" fillId="33" borderId="49" xfId="0" applyFont="1" applyFill="1" applyBorder="1" applyAlignment="1" applyProtection="1">
      <alignment horizontal="center" vertical="center"/>
    </xf>
    <xf numFmtId="164" fontId="94" fillId="37" borderId="74" xfId="0" applyNumberFormat="1" applyFont="1" applyFill="1" applyBorder="1" applyAlignment="1" applyProtection="1">
      <alignment horizontal="right" vertical="center" indent="1"/>
    </xf>
    <xf numFmtId="164" fontId="94" fillId="37" borderId="25" xfId="0" applyNumberFormat="1" applyFont="1" applyFill="1" applyBorder="1" applyAlignment="1" applyProtection="1">
      <alignment horizontal="right" vertical="center" indent="1"/>
    </xf>
    <xf numFmtId="164" fontId="94" fillId="37" borderId="25" xfId="0" applyNumberFormat="1" applyFont="1" applyFill="1" applyBorder="1" applyAlignment="1" applyProtection="1">
      <alignment horizontal="center" vertical="center"/>
    </xf>
    <xf numFmtId="164" fontId="94" fillId="37" borderId="34" xfId="0" applyNumberFormat="1" applyFont="1" applyFill="1" applyBorder="1" applyAlignment="1" applyProtection="1">
      <alignment horizontal="right" vertical="center" indent="1"/>
    </xf>
    <xf numFmtId="164" fontId="94" fillId="37" borderId="32" xfId="0" applyNumberFormat="1" applyFont="1" applyFill="1" applyBorder="1" applyAlignment="1" applyProtection="1">
      <alignment horizontal="right" vertical="center" indent="1"/>
    </xf>
    <xf numFmtId="164" fontId="94" fillId="37" borderId="46" xfId="0" applyNumberFormat="1" applyFont="1" applyFill="1" applyBorder="1" applyAlignment="1" applyProtection="1">
      <alignment horizontal="center" vertical="center"/>
    </xf>
    <xf numFmtId="164" fontId="94" fillId="37" borderId="52" xfId="0" applyNumberFormat="1" applyFont="1" applyFill="1" applyBorder="1" applyAlignment="1" applyProtection="1">
      <alignment horizontal="right" vertical="center" indent="1"/>
    </xf>
    <xf numFmtId="164" fontId="94" fillId="37" borderId="79" xfId="0" applyNumberFormat="1" applyFont="1" applyFill="1" applyBorder="1" applyAlignment="1" applyProtection="1">
      <alignment horizontal="right" vertical="center" indent="1"/>
    </xf>
    <xf numFmtId="164" fontId="94" fillId="37" borderId="44" xfId="0" applyNumberFormat="1" applyFont="1" applyFill="1" applyBorder="1" applyAlignment="1" applyProtection="1">
      <alignment horizontal="right" vertical="center" indent="1"/>
    </xf>
    <xf numFmtId="164" fontId="94" fillId="37" borderId="26" xfId="0" applyNumberFormat="1" applyFont="1" applyFill="1" applyBorder="1" applyAlignment="1" applyProtection="1">
      <alignment horizontal="right" vertical="center" indent="1"/>
    </xf>
    <xf numFmtId="164" fontId="94" fillId="37" borderId="24" xfId="0" applyNumberFormat="1" applyFont="1" applyFill="1" applyBorder="1" applyAlignment="1" applyProtection="1">
      <alignment horizontal="right" vertical="center" indent="1"/>
    </xf>
    <xf numFmtId="164" fontId="94" fillId="37" borderId="81" xfId="0" applyNumberFormat="1" applyFont="1" applyFill="1" applyBorder="1" applyAlignment="1" applyProtection="1">
      <alignment horizontal="center" vertical="center"/>
    </xf>
    <xf numFmtId="0" fontId="121" fillId="33" borderId="7" xfId="0" applyFont="1" applyFill="1" applyBorder="1" applyAlignment="1" applyProtection="1">
      <alignment horizontal="center" vertical="center"/>
    </xf>
    <xf numFmtId="0" fontId="121" fillId="33" borderId="8" xfId="0" applyFont="1" applyFill="1" applyBorder="1" applyAlignment="1" applyProtection="1">
      <alignment horizontal="center" vertical="center"/>
    </xf>
    <xf numFmtId="0" fontId="121" fillId="33" borderId="5" xfId="0" applyFont="1" applyFill="1" applyBorder="1" applyAlignment="1" applyProtection="1">
      <alignment horizontal="center" vertical="center"/>
    </xf>
    <xf numFmtId="0" fontId="121" fillId="33" borderId="9" xfId="0" applyFont="1" applyFill="1" applyBorder="1" applyAlignment="1" applyProtection="1">
      <alignment horizontal="center" vertical="center"/>
    </xf>
    <xf numFmtId="0" fontId="121" fillId="33" borderId="11" xfId="0" applyFont="1" applyFill="1" applyBorder="1" applyAlignment="1" applyProtection="1">
      <alignment horizontal="center" vertical="center"/>
    </xf>
    <xf numFmtId="0" fontId="121" fillId="33" borderId="10" xfId="0" applyFont="1" applyFill="1" applyBorder="1" applyAlignment="1" applyProtection="1">
      <alignment horizontal="center" vertical="center"/>
    </xf>
    <xf numFmtId="0" fontId="113" fillId="33" borderId="4" xfId="0" applyFont="1" applyFill="1" applyBorder="1" applyAlignment="1" applyProtection="1">
      <alignment horizontal="center" vertical="center" wrapText="1"/>
    </xf>
    <xf numFmtId="0" fontId="113" fillId="33" borderId="18" xfId="0" applyFont="1" applyFill="1" applyBorder="1" applyAlignment="1" applyProtection="1">
      <alignment horizontal="center" vertical="center" wrapText="1"/>
    </xf>
    <xf numFmtId="0" fontId="113" fillId="33" borderId="17" xfId="0" applyFont="1" applyFill="1" applyBorder="1" applyAlignment="1" applyProtection="1">
      <alignment horizontal="center" vertical="center" wrapText="1"/>
    </xf>
    <xf numFmtId="0" fontId="113" fillId="33" borderId="9" xfId="0" applyFont="1" applyFill="1" applyBorder="1" applyAlignment="1" applyProtection="1">
      <alignment horizontal="center" vertical="center" wrapText="1"/>
    </xf>
    <xf numFmtId="0" fontId="112" fillId="33" borderId="8" xfId="0" applyFont="1" applyFill="1" applyBorder="1" applyAlignment="1" applyProtection="1">
      <alignment horizontal="center" vertical="center"/>
    </xf>
    <xf numFmtId="0" fontId="112" fillId="33" borderId="5" xfId="0" applyFont="1" applyFill="1" applyBorder="1" applyAlignment="1" applyProtection="1">
      <alignment horizontal="center" vertical="center"/>
    </xf>
    <xf numFmtId="0" fontId="112" fillId="33" borderId="11" xfId="0" applyFont="1" applyFill="1" applyBorder="1" applyAlignment="1" applyProtection="1">
      <alignment horizontal="center" vertical="center"/>
    </xf>
    <xf numFmtId="0" fontId="112" fillId="33" borderId="10" xfId="0" applyFont="1" applyFill="1" applyBorder="1" applyAlignment="1" applyProtection="1">
      <alignment horizontal="center" vertical="center"/>
    </xf>
    <xf numFmtId="0" fontId="112" fillId="33" borderId="7" xfId="0" applyFont="1" applyFill="1" applyBorder="1" applyAlignment="1" applyProtection="1">
      <alignment horizontal="center" vertical="center"/>
    </xf>
    <xf numFmtId="0" fontId="112" fillId="33" borderId="9" xfId="0" applyFont="1" applyFill="1" applyBorder="1" applyAlignment="1" applyProtection="1">
      <alignment horizontal="center" vertical="center"/>
    </xf>
    <xf numFmtId="0" fontId="113" fillId="33" borderId="38" xfId="0" applyFont="1" applyFill="1" applyBorder="1" applyAlignment="1" applyProtection="1">
      <alignment horizontal="center" vertical="center" wrapText="1"/>
    </xf>
    <xf numFmtId="0" fontId="113" fillId="33" borderId="49" xfId="0" applyFont="1" applyFill="1" applyBorder="1" applyAlignment="1" applyProtection="1">
      <alignment horizontal="center" vertical="center" wrapText="1"/>
    </xf>
    <xf numFmtId="0" fontId="113" fillId="33" borderId="7" xfId="0" applyFont="1" applyFill="1" applyBorder="1" applyAlignment="1" applyProtection="1">
      <alignment horizontal="center" vertical="center" wrapText="1"/>
    </xf>
    <xf numFmtId="0" fontId="121" fillId="33" borderId="7" xfId="0" applyFont="1" applyFill="1" applyBorder="1" applyAlignment="1" applyProtection="1">
      <alignment horizontal="center" vertical="center" wrapText="1"/>
    </xf>
    <xf numFmtId="0" fontId="121" fillId="33" borderId="5" xfId="0" applyFont="1" applyFill="1" applyBorder="1" applyAlignment="1" applyProtection="1">
      <alignment horizontal="center" vertical="center" wrapText="1"/>
    </xf>
    <xf numFmtId="0" fontId="121" fillId="33" borderId="17" xfId="0" applyFont="1" applyFill="1" applyBorder="1" applyAlignment="1" applyProtection="1">
      <alignment horizontal="center" vertical="center" wrapText="1"/>
    </xf>
    <xf numFmtId="0" fontId="121" fillId="33" borderId="57" xfId="0" applyFont="1" applyFill="1" applyBorder="1" applyAlignment="1" applyProtection="1">
      <alignment horizontal="center" vertical="center" wrapText="1"/>
    </xf>
    <xf numFmtId="0" fontId="113" fillId="33" borderId="35" xfId="0" applyFont="1" applyFill="1" applyBorder="1" applyAlignment="1" applyProtection="1">
      <alignment horizontal="center" vertical="center" wrapText="1"/>
    </xf>
    <xf numFmtId="0" fontId="113" fillId="33" borderId="45" xfId="0" applyFont="1" applyFill="1" applyBorder="1" applyAlignment="1" applyProtection="1">
      <alignment horizontal="center" vertical="center" wrapText="1"/>
    </xf>
    <xf numFmtId="0" fontId="113" fillId="33" borderId="36" xfId="0" applyFont="1" applyFill="1" applyBorder="1" applyAlignment="1" applyProtection="1">
      <alignment horizontal="center" vertical="center" wrapText="1"/>
    </xf>
    <xf numFmtId="0" fontId="113" fillId="33" borderId="46" xfId="0" applyFont="1" applyFill="1" applyBorder="1" applyAlignment="1" applyProtection="1">
      <alignment horizontal="center" vertical="center" wrapText="1"/>
    </xf>
    <xf numFmtId="0" fontId="113" fillId="33" borderId="37" xfId="0" applyFont="1" applyFill="1" applyBorder="1" applyAlignment="1" applyProtection="1">
      <alignment horizontal="center" vertical="center" wrapText="1"/>
    </xf>
    <xf numFmtId="0" fontId="113" fillId="33" borderId="47" xfId="0" applyFont="1" applyFill="1" applyBorder="1" applyAlignment="1" applyProtection="1">
      <alignment horizontal="center" vertical="center" wrapText="1"/>
    </xf>
    <xf numFmtId="0" fontId="113" fillId="33" borderId="48" xfId="0" applyFont="1" applyFill="1" applyBorder="1" applyAlignment="1" applyProtection="1">
      <alignment horizontal="center" vertical="center" wrapText="1"/>
    </xf>
    <xf numFmtId="0" fontId="121" fillId="33" borderId="17" xfId="0" applyFont="1" applyFill="1" applyBorder="1" applyAlignment="1" applyProtection="1">
      <alignment horizontal="center" vertical="center"/>
    </xf>
    <xf numFmtId="0" fontId="121" fillId="33" borderId="0" xfId="0" applyFont="1" applyFill="1" applyBorder="1" applyAlignment="1" applyProtection="1">
      <alignment horizontal="center" vertical="center"/>
    </xf>
    <xf numFmtId="0" fontId="121" fillId="33" borderId="57" xfId="0" applyFont="1" applyFill="1" applyBorder="1" applyAlignment="1" applyProtection="1">
      <alignment horizontal="center" vertical="center"/>
    </xf>
    <xf numFmtId="0" fontId="78" fillId="0" borderId="0" xfId="0" applyFont="1" applyAlignment="1" applyProtection="1">
      <alignment horizontal="center" vertical="center"/>
    </xf>
    <xf numFmtId="0" fontId="93" fillId="33" borderId="2" xfId="0" applyFont="1" applyFill="1" applyBorder="1" applyAlignment="1" applyProtection="1">
      <alignment horizontal="center" vertical="center"/>
    </xf>
    <xf numFmtId="0" fontId="93" fillId="33" borderId="3" xfId="0" applyFont="1" applyFill="1" applyBorder="1" applyAlignment="1" applyProtection="1">
      <alignment horizontal="center" vertical="center"/>
    </xf>
    <xf numFmtId="0" fontId="93" fillId="33" borderId="6" xfId="0" applyFont="1" applyFill="1" applyBorder="1" applyAlignment="1" applyProtection="1">
      <alignment horizontal="center" vertical="center"/>
    </xf>
    <xf numFmtId="0" fontId="93" fillId="33" borderId="8" xfId="0" applyFont="1" applyFill="1" applyBorder="1" applyAlignment="1" applyProtection="1">
      <alignment horizontal="center" vertical="center"/>
    </xf>
    <xf numFmtId="0" fontId="93" fillId="33" borderId="5" xfId="0" applyFont="1" applyFill="1" applyBorder="1" applyAlignment="1" applyProtection="1">
      <alignment horizontal="center" vertical="center"/>
    </xf>
    <xf numFmtId="0" fontId="93" fillId="33" borderId="7" xfId="0" applyFont="1" applyFill="1" applyBorder="1" applyAlignment="1" applyProtection="1">
      <alignment horizontal="center" vertical="center"/>
    </xf>
    <xf numFmtId="0" fontId="105" fillId="33" borderId="7" xfId="0" applyFont="1" applyFill="1" applyBorder="1" applyAlignment="1" applyProtection="1">
      <alignment horizontal="center" vertical="center"/>
    </xf>
    <xf numFmtId="0" fontId="105" fillId="33" borderId="8" xfId="0" applyFont="1" applyFill="1" applyBorder="1" applyAlignment="1" applyProtection="1">
      <alignment horizontal="center" vertical="center"/>
    </xf>
    <xf numFmtId="0" fontId="105" fillId="33" borderId="62" xfId="0" applyFont="1" applyFill="1" applyBorder="1" applyAlignment="1" applyProtection="1">
      <alignment horizontal="center" vertical="center"/>
    </xf>
    <xf numFmtId="0" fontId="112" fillId="33" borderId="2" xfId="0" applyFont="1" applyFill="1" applyBorder="1" applyAlignment="1" applyProtection="1">
      <alignment horizontal="center" vertical="center"/>
    </xf>
    <xf numFmtId="0" fontId="112" fillId="33" borderId="3" xfId="0" applyFont="1" applyFill="1" applyBorder="1" applyAlignment="1" applyProtection="1">
      <alignment horizontal="center" vertical="center"/>
    </xf>
    <xf numFmtId="0" fontId="112" fillId="33" borderId="6" xfId="0" applyFont="1" applyFill="1" applyBorder="1" applyAlignment="1" applyProtection="1">
      <alignment horizontal="center" vertical="center"/>
    </xf>
    <xf numFmtId="0" fontId="105" fillId="33" borderId="3" xfId="0" applyFont="1" applyFill="1" applyBorder="1" applyAlignment="1" applyProtection="1">
      <alignment horizontal="center" vertical="center"/>
    </xf>
    <xf numFmtId="0" fontId="105" fillId="33" borderId="63" xfId="0" applyFont="1" applyFill="1" applyBorder="1" applyAlignment="1" applyProtection="1">
      <alignment horizontal="center" vertical="center"/>
    </xf>
    <xf numFmtId="0" fontId="105" fillId="33" borderId="2" xfId="0" applyFont="1" applyFill="1" applyBorder="1" applyAlignment="1" applyProtection="1">
      <alignment horizontal="center" vertical="center"/>
    </xf>
    <xf numFmtId="0" fontId="80" fillId="0" borderId="19" xfId="0" applyFont="1" applyBorder="1" applyAlignment="1" applyProtection="1">
      <alignment horizontal="center" vertical="center"/>
    </xf>
    <xf numFmtId="0" fontId="80" fillId="0" borderId="20" xfId="0" applyFont="1" applyBorder="1" applyAlignment="1" applyProtection="1">
      <alignment horizontal="center" vertical="center"/>
    </xf>
    <xf numFmtId="0" fontId="80" fillId="0" borderId="2" xfId="0" applyFont="1" applyBorder="1" applyAlignment="1" applyProtection="1">
      <alignment horizontal="center" vertical="center"/>
    </xf>
    <xf numFmtId="0" fontId="80" fillId="0" borderId="3" xfId="0" applyFont="1" applyBorder="1" applyAlignment="1" applyProtection="1">
      <alignment horizontal="center" vertical="center"/>
    </xf>
    <xf numFmtId="0" fontId="80" fillId="0" borderId="6" xfId="0" applyFont="1" applyBorder="1" applyAlignment="1" applyProtection="1">
      <alignment horizontal="center" vertical="center"/>
    </xf>
    <xf numFmtId="0" fontId="118" fillId="33" borderId="0" xfId="0" applyFont="1" applyFill="1" applyAlignment="1" applyProtection="1">
      <alignment horizontal="center"/>
    </xf>
    <xf numFmtId="0" fontId="139" fillId="10" borderId="0" xfId="0" applyFont="1" applyFill="1" applyAlignment="1" applyProtection="1">
      <alignment horizontal="center" vertical="center" wrapText="1"/>
    </xf>
    <xf numFmtId="0" fontId="119" fillId="33" borderId="0" xfId="0" applyFont="1" applyFill="1" applyAlignment="1" applyProtection="1">
      <alignment horizontal="center"/>
    </xf>
    <xf numFmtId="0" fontId="121" fillId="33" borderId="0" xfId="0" applyFont="1" applyFill="1" applyAlignment="1" applyProtection="1">
      <alignment horizontal="center"/>
    </xf>
    <xf numFmtId="0" fontId="113" fillId="35" borderId="0" xfId="0" applyFont="1" applyFill="1" applyAlignment="1" applyProtection="1">
      <alignment horizontal="center"/>
    </xf>
    <xf numFmtId="20" fontId="120" fillId="33" borderId="0" xfId="0" applyNumberFormat="1" applyFont="1" applyFill="1" applyAlignment="1" applyProtection="1">
      <alignment horizontal="center" vertical="center"/>
    </xf>
    <xf numFmtId="0" fontId="113" fillId="35" borderId="4" xfId="0" applyFont="1" applyFill="1" applyBorder="1" applyAlignment="1" applyProtection="1">
      <alignment horizontal="center" vertical="center"/>
    </xf>
    <xf numFmtId="0" fontId="113" fillId="35" borderId="16" xfId="0" applyFont="1" applyFill="1" applyBorder="1" applyAlignment="1" applyProtection="1">
      <alignment horizontal="center" vertical="center"/>
    </xf>
    <xf numFmtId="0" fontId="118" fillId="33" borderId="0" xfId="0" applyFont="1" applyFill="1" applyAlignment="1" applyProtection="1">
      <alignment horizontal="left"/>
    </xf>
    <xf numFmtId="0" fontId="120" fillId="33" borderId="0" xfId="0" applyFont="1" applyFill="1" applyAlignment="1" applyProtection="1">
      <alignment horizontal="left" vertical="center"/>
    </xf>
    <xf numFmtId="0" fontId="120" fillId="33" borderId="0" xfId="0" applyFont="1" applyFill="1" applyAlignment="1" applyProtection="1">
      <alignment horizontal="left"/>
    </xf>
    <xf numFmtId="0" fontId="93" fillId="35" borderId="0" xfId="0" applyFont="1" applyFill="1" applyAlignment="1" applyProtection="1">
      <alignment horizontal="center" vertical="center"/>
    </xf>
    <xf numFmtId="0" fontId="80" fillId="0" borderId="63" xfId="0" applyFont="1" applyBorder="1" applyAlignment="1" applyProtection="1">
      <alignment horizontal="center" vertical="center"/>
    </xf>
    <xf numFmtId="0" fontId="80" fillId="0" borderId="0" xfId="0" applyFont="1" applyBorder="1" applyAlignment="1" applyProtection="1">
      <alignment horizontal="center" vertical="center"/>
    </xf>
    <xf numFmtId="0" fontId="80" fillId="0" borderId="4" xfId="0" applyFont="1" applyBorder="1" applyAlignment="1" applyProtection="1">
      <alignment horizontal="center" vertical="center" wrapText="1"/>
    </xf>
    <xf numFmtId="0" fontId="116" fillId="0" borderId="18" xfId="0" applyFont="1" applyBorder="1" applyAlignment="1" applyProtection="1">
      <alignment horizontal="center" vertical="center" wrapText="1"/>
    </xf>
    <xf numFmtId="0" fontId="0" fillId="0" borderId="18" xfId="0" applyBorder="1"/>
    <xf numFmtId="0" fontId="80" fillId="0" borderId="4" xfId="0" applyFont="1" applyBorder="1" applyAlignment="1" applyProtection="1">
      <alignment horizontal="center" vertical="center"/>
    </xf>
    <xf numFmtId="0" fontId="80" fillId="0" borderId="18" xfId="0" applyFont="1" applyBorder="1" applyAlignment="1" applyProtection="1">
      <alignment horizontal="center" vertical="center"/>
    </xf>
    <xf numFmtId="0" fontId="80" fillId="0" borderId="7" xfId="0" applyFont="1" applyBorder="1" applyAlignment="1" applyProtection="1">
      <alignment horizontal="center" vertical="center" wrapText="1"/>
    </xf>
    <xf numFmtId="0" fontId="80" fillId="0" borderId="8" xfId="0" applyFont="1" applyBorder="1" applyAlignment="1" applyProtection="1">
      <alignment horizontal="center" vertical="center" wrapText="1"/>
    </xf>
    <xf numFmtId="0" fontId="80" fillId="0" borderId="5" xfId="0" applyFont="1" applyBorder="1" applyAlignment="1" applyProtection="1">
      <alignment horizontal="center" vertical="center" wrapText="1"/>
    </xf>
    <xf numFmtId="0" fontId="80" fillId="0" borderId="17" xfId="0" applyFont="1" applyBorder="1" applyAlignment="1" applyProtection="1">
      <alignment horizontal="center" vertical="center" wrapText="1"/>
    </xf>
    <xf numFmtId="0" fontId="110" fillId="23" borderId="2" xfId="0" applyFont="1" applyFill="1" applyBorder="1" applyAlignment="1" applyProtection="1">
      <alignment horizontal="center"/>
    </xf>
    <xf numFmtId="0" fontId="110" fillId="23" borderId="3" xfId="0" applyFont="1" applyFill="1" applyBorder="1" applyAlignment="1" applyProtection="1">
      <alignment horizontal="center"/>
    </xf>
    <xf numFmtId="0" fontId="1" fillId="33" borderId="0" xfId="0" applyFont="1" applyFill="1" applyBorder="1" applyAlignment="1" applyProtection="1">
      <alignment horizontal="center"/>
    </xf>
    <xf numFmtId="0" fontId="105" fillId="33" borderId="35" xfId="0" applyFont="1" applyFill="1" applyBorder="1" applyAlignment="1" applyProtection="1">
      <alignment horizontal="center" vertical="center" wrapText="1"/>
    </xf>
    <xf numFmtId="0" fontId="105" fillId="33" borderId="32" xfId="0" applyFont="1" applyFill="1" applyBorder="1" applyAlignment="1" applyProtection="1">
      <alignment horizontal="center" vertical="center" wrapText="1"/>
    </xf>
    <xf numFmtId="0" fontId="105" fillId="33" borderId="37" xfId="0" applyFont="1" applyFill="1" applyBorder="1" applyAlignment="1" applyProtection="1">
      <alignment horizontal="center" vertical="center" wrapText="1"/>
    </xf>
    <xf numFmtId="0" fontId="105" fillId="33" borderId="34" xfId="0" applyFont="1" applyFill="1" applyBorder="1" applyAlignment="1" applyProtection="1">
      <alignment horizontal="center" vertical="center" wrapText="1"/>
    </xf>
    <xf numFmtId="0" fontId="1" fillId="33" borderId="57" xfId="0" applyFont="1" applyFill="1" applyBorder="1" applyAlignment="1" applyProtection="1">
      <alignment horizontal="center"/>
    </xf>
    <xf numFmtId="0" fontId="1" fillId="33" borderId="11" xfId="0" applyFont="1" applyFill="1" applyBorder="1" applyAlignment="1" applyProtection="1">
      <alignment horizontal="center"/>
    </xf>
    <xf numFmtId="0" fontId="1" fillId="33" borderId="10" xfId="0" applyFont="1" applyFill="1" applyBorder="1" applyAlignment="1" applyProtection="1">
      <alignment horizontal="center"/>
    </xf>
    <xf numFmtId="0" fontId="105" fillId="33" borderId="7" xfId="0" applyFont="1" applyFill="1" applyBorder="1" applyAlignment="1" applyProtection="1">
      <alignment horizontal="center" vertical="center" wrapText="1"/>
    </xf>
    <xf numFmtId="0" fontId="105" fillId="33" borderId="8" xfId="0" applyFont="1" applyFill="1" applyBorder="1" applyAlignment="1" applyProtection="1">
      <alignment horizontal="center" vertical="center" wrapText="1"/>
    </xf>
    <xf numFmtId="0" fontId="105" fillId="33" borderId="9" xfId="0" applyFont="1" applyFill="1" applyBorder="1" applyAlignment="1" applyProtection="1">
      <alignment horizontal="center" vertical="center" wrapText="1"/>
    </xf>
    <xf numFmtId="0" fontId="105" fillId="33" borderId="11" xfId="0" applyFont="1" applyFill="1" applyBorder="1" applyAlignment="1" applyProtection="1">
      <alignment horizontal="center" vertical="center" wrapText="1"/>
    </xf>
    <xf numFmtId="0" fontId="93" fillId="35" borderId="69" xfId="0" applyFont="1" applyFill="1" applyBorder="1" applyAlignment="1" applyProtection="1">
      <alignment horizontal="center" vertical="center"/>
    </xf>
    <xf numFmtId="0" fontId="93" fillId="35" borderId="71" xfId="0" applyFont="1" applyFill="1" applyBorder="1" applyAlignment="1" applyProtection="1">
      <alignment horizontal="center" vertical="center"/>
    </xf>
    <xf numFmtId="0" fontId="93" fillId="35" borderId="70" xfId="0" applyFont="1" applyFill="1" applyBorder="1" applyAlignment="1" applyProtection="1">
      <alignment horizontal="center" vertical="center"/>
    </xf>
    <xf numFmtId="0" fontId="93" fillId="35" borderId="56" xfId="0" applyFont="1" applyFill="1" applyBorder="1" applyAlignment="1" applyProtection="1">
      <alignment horizontal="center" vertical="center"/>
    </xf>
    <xf numFmtId="0" fontId="105" fillId="33" borderId="5" xfId="0" applyFont="1" applyFill="1" applyBorder="1" applyAlignment="1" applyProtection="1">
      <alignment horizontal="center" vertical="center" wrapText="1"/>
    </xf>
    <xf numFmtId="0" fontId="105" fillId="33" borderId="10" xfId="0" applyFont="1" applyFill="1" applyBorder="1" applyAlignment="1" applyProtection="1">
      <alignment horizontal="center" vertical="center" wrapText="1"/>
    </xf>
    <xf numFmtId="164" fontId="93" fillId="35" borderId="7" xfId="0" applyNumberFormat="1" applyFont="1" applyFill="1" applyBorder="1" applyAlignment="1" applyProtection="1">
      <alignment horizontal="center" vertical="center"/>
    </xf>
    <xf numFmtId="164" fontId="93" fillId="35" borderId="5" xfId="0" applyNumberFormat="1" applyFont="1" applyFill="1" applyBorder="1" applyAlignment="1" applyProtection="1">
      <alignment horizontal="center" vertical="center"/>
    </xf>
    <xf numFmtId="164" fontId="93" fillId="35" borderId="9" xfId="0" applyNumberFormat="1" applyFont="1" applyFill="1" applyBorder="1" applyAlignment="1" applyProtection="1">
      <alignment horizontal="center" vertical="center"/>
    </xf>
    <xf numFmtId="164" fontId="93" fillId="35" borderId="10" xfId="0" applyNumberFormat="1" applyFont="1" applyFill="1" applyBorder="1" applyAlignment="1" applyProtection="1">
      <alignment horizontal="center" vertical="center"/>
    </xf>
    <xf numFmtId="0" fontId="88" fillId="33" borderId="0" xfId="0" applyFont="1" applyFill="1" applyBorder="1" applyAlignment="1" applyProtection="1">
      <alignment horizontal="center" vertical="center"/>
    </xf>
    <xf numFmtId="164" fontId="126" fillId="22" borderId="44" xfId="0" applyNumberFormat="1" applyFont="1" applyFill="1" applyBorder="1" applyAlignment="1" applyProtection="1">
      <alignment horizontal="center" vertical="center" wrapText="1"/>
    </xf>
    <xf numFmtId="164" fontId="126" fillId="22" borderId="56" xfId="0" applyNumberFormat="1" applyFont="1" applyFill="1" applyBorder="1" applyAlignment="1" applyProtection="1">
      <alignment horizontal="center" vertical="center" wrapText="1"/>
    </xf>
    <xf numFmtId="0" fontId="127" fillId="33" borderId="0" xfId="0" applyFont="1" applyFill="1" applyBorder="1" applyAlignment="1" applyProtection="1">
      <alignment horizontal="center" vertical="center"/>
    </xf>
    <xf numFmtId="0" fontId="127" fillId="33" borderId="72" xfId="0" applyFont="1" applyFill="1" applyBorder="1" applyAlignment="1" applyProtection="1">
      <alignment horizontal="center" vertical="center"/>
    </xf>
    <xf numFmtId="0" fontId="128" fillId="22" borderId="35" xfId="0" applyFont="1" applyFill="1" applyBorder="1" applyAlignment="1" applyProtection="1">
      <alignment horizontal="center" vertical="center"/>
    </xf>
    <xf numFmtId="0" fontId="128" fillId="22" borderId="59" xfId="0" applyFont="1" applyFill="1" applyBorder="1" applyAlignment="1" applyProtection="1">
      <alignment horizontal="center" vertical="center"/>
    </xf>
    <xf numFmtId="0" fontId="127" fillId="33" borderId="57" xfId="0" applyFont="1" applyFill="1" applyBorder="1" applyAlignment="1" applyProtection="1">
      <alignment horizontal="center" vertical="center"/>
    </xf>
    <xf numFmtId="0" fontId="128" fillId="22" borderId="29" xfId="0" applyFont="1" applyFill="1" applyBorder="1" applyAlignment="1" applyProtection="1">
      <alignment horizontal="center" vertical="center"/>
    </xf>
    <xf numFmtId="0" fontId="128" fillId="22" borderId="54" xfId="0" applyFont="1" applyFill="1" applyBorder="1" applyAlignment="1" applyProtection="1">
      <alignment horizontal="center" vertical="center"/>
    </xf>
    <xf numFmtId="0" fontId="126" fillId="22" borderId="35" xfId="0" applyFont="1" applyFill="1" applyBorder="1" applyAlignment="1" applyProtection="1">
      <alignment horizontal="center" vertical="center" wrapText="1"/>
    </xf>
    <xf numFmtId="0" fontId="126" fillId="22" borderId="45" xfId="0" applyFont="1" applyFill="1" applyBorder="1" applyAlignment="1" applyProtection="1">
      <alignment horizontal="center" vertical="center" wrapText="1"/>
    </xf>
    <xf numFmtId="4" fontId="94" fillId="35" borderId="7" xfId="0" applyNumberFormat="1" applyFont="1" applyFill="1" applyBorder="1" applyAlignment="1" applyProtection="1">
      <alignment horizontal="center" vertical="center" wrapText="1"/>
    </xf>
    <xf numFmtId="4" fontId="94" fillId="35" borderId="5" xfId="0" applyNumberFormat="1" applyFont="1" applyFill="1" applyBorder="1" applyAlignment="1" applyProtection="1">
      <alignment horizontal="center" vertical="center" wrapText="1"/>
    </xf>
    <xf numFmtId="4" fontId="94" fillId="35" borderId="66" xfId="0" applyNumberFormat="1" applyFont="1" applyFill="1" applyBorder="1" applyAlignment="1" applyProtection="1">
      <alignment horizontal="center" vertical="center" wrapText="1"/>
    </xf>
    <xf numFmtId="4" fontId="94" fillId="35" borderId="68" xfId="0" applyNumberFormat="1" applyFont="1" applyFill="1" applyBorder="1" applyAlignment="1" applyProtection="1">
      <alignment horizontal="center" vertical="center" wrapText="1"/>
    </xf>
    <xf numFmtId="0" fontId="124" fillId="22" borderId="0" xfId="0" applyFont="1" applyFill="1" applyBorder="1" applyAlignment="1" applyProtection="1">
      <alignment horizontal="center" vertical="center" wrapText="1"/>
    </xf>
    <xf numFmtId="0" fontId="127" fillId="33" borderId="4" xfId="0" applyFont="1" applyFill="1" applyBorder="1" applyAlignment="1" applyProtection="1">
      <alignment horizontal="center" vertical="center" wrapText="1"/>
    </xf>
    <xf numFmtId="0" fontId="127" fillId="33" borderId="16" xfId="0" applyFont="1" applyFill="1" applyBorder="1" applyAlignment="1" applyProtection="1">
      <alignment horizontal="center" vertical="center" wrapText="1"/>
    </xf>
    <xf numFmtId="0" fontId="127" fillId="33" borderId="7" xfId="0" applyFont="1" applyFill="1" applyBorder="1" applyAlignment="1" applyProtection="1">
      <alignment horizontal="center" vertical="center" wrapText="1"/>
    </xf>
    <xf numFmtId="0" fontId="127" fillId="33" borderId="5" xfId="0" applyFont="1" applyFill="1" applyBorder="1" applyAlignment="1" applyProtection="1">
      <alignment horizontal="center" vertical="center" wrapText="1"/>
    </xf>
    <xf numFmtId="0" fontId="127" fillId="33" borderId="9" xfId="0" applyFont="1" applyFill="1" applyBorder="1" applyAlignment="1" applyProtection="1">
      <alignment horizontal="center" vertical="center" wrapText="1"/>
    </xf>
    <xf numFmtId="0" fontId="127" fillId="33" borderId="10" xfId="0" applyFont="1" applyFill="1" applyBorder="1" applyAlignment="1" applyProtection="1">
      <alignment horizontal="center" vertical="center" wrapText="1"/>
    </xf>
    <xf numFmtId="0" fontId="131" fillId="0" borderId="7" xfId="0" applyFont="1" applyBorder="1" applyAlignment="1" applyProtection="1">
      <alignment horizontal="center" vertical="center"/>
    </xf>
    <xf numFmtId="0" fontId="131" fillId="0" borderId="17" xfId="0" applyFont="1" applyBorder="1" applyAlignment="1" applyProtection="1">
      <alignment horizontal="center" vertical="center"/>
    </xf>
    <xf numFmtId="0" fontId="131" fillId="0" borderId="9" xfId="0" applyFont="1" applyBorder="1" applyAlignment="1" applyProtection="1">
      <alignment horizontal="center" vertical="center"/>
    </xf>
    <xf numFmtId="2" fontId="1" fillId="0" borderId="7" xfId="0" applyNumberFormat="1" applyFont="1" applyBorder="1" applyAlignment="1" applyProtection="1">
      <alignment horizontal="center"/>
    </xf>
    <xf numFmtId="2" fontId="1" fillId="0" borderId="5" xfId="0" applyNumberFormat="1" applyFont="1" applyBorder="1" applyAlignment="1" applyProtection="1">
      <alignment horizontal="center"/>
    </xf>
    <xf numFmtId="0" fontId="1" fillId="0" borderId="9" xfId="0" applyFont="1" applyBorder="1" applyAlignment="1" applyProtection="1">
      <alignment horizontal="center"/>
    </xf>
    <xf numFmtId="0" fontId="1" fillId="0" borderId="10" xfId="0" applyFont="1" applyBorder="1" applyAlignment="1" applyProtection="1">
      <alignment horizontal="center"/>
    </xf>
    <xf numFmtId="0" fontId="78" fillId="0" borderId="4" xfId="0" applyFont="1" applyBorder="1" applyAlignment="1" applyProtection="1">
      <alignment horizontal="right" vertical="center" indent="1"/>
    </xf>
    <xf numFmtId="0" fontId="78" fillId="0" borderId="16" xfId="0" applyFont="1" applyBorder="1" applyAlignment="1" applyProtection="1">
      <alignment horizontal="right" vertical="center" indent="1"/>
    </xf>
    <xf numFmtId="2" fontId="77" fillId="0" borderId="7" xfId="0" applyNumberFormat="1" applyFont="1" applyFill="1" applyBorder="1" applyAlignment="1" applyProtection="1">
      <alignment horizontal="center" vertical="center"/>
    </xf>
    <xf numFmtId="2" fontId="77" fillId="0" borderId="8" xfId="0" applyNumberFormat="1" applyFont="1" applyFill="1" applyBorder="1" applyAlignment="1" applyProtection="1">
      <alignment horizontal="center" vertical="center"/>
    </xf>
    <xf numFmtId="2" fontId="77" fillId="0" borderId="5" xfId="0" applyNumberFormat="1" applyFont="1" applyFill="1" applyBorder="1" applyAlignment="1" applyProtection="1">
      <alignment horizontal="center" vertical="center"/>
    </xf>
    <xf numFmtId="2" fontId="79" fillId="0" borderId="2" xfId="0" applyNumberFormat="1" applyFont="1" applyFill="1" applyBorder="1" applyAlignment="1" applyProtection="1">
      <alignment horizontal="center"/>
    </xf>
    <xf numFmtId="2" fontId="79" fillId="0" borderId="3" xfId="0" applyNumberFormat="1" applyFont="1" applyFill="1" applyBorder="1" applyAlignment="1" applyProtection="1">
      <alignment horizontal="center"/>
    </xf>
    <xf numFmtId="2" fontId="79" fillId="0" borderId="6" xfId="0" applyNumberFormat="1" applyFont="1" applyFill="1" applyBorder="1" applyAlignment="1" applyProtection="1">
      <alignment horizontal="center"/>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0" fillId="0" borderId="11" xfId="0" applyBorder="1" applyAlignment="1" applyProtection="1">
      <alignment horizontal="center"/>
    </xf>
    <xf numFmtId="0" fontId="132" fillId="0" borderId="4" xfId="0" applyFont="1" applyBorder="1" applyAlignment="1" applyProtection="1">
      <alignment horizontal="center" vertical="center"/>
    </xf>
    <xf numFmtId="0" fontId="132" fillId="0" borderId="18" xfId="0" applyFont="1" applyBorder="1" applyAlignment="1" applyProtection="1">
      <alignment horizontal="center" vertical="center"/>
    </xf>
    <xf numFmtId="0" fontId="132" fillId="0" borderId="16" xfId="0" applyFont="1" applyBorder="1" applyAlignment="1" applyProtection="1">
      <alignment horizontal="center" vertical="center"/>
    </xf>
    <xf numFmtId="2" fontId="1" fillId="0" borderId="8" xfId="0" applyNumberFormat="1" applyFont="1" applyBorder="1" applyAlignment="1" applyProtection="1">
      <alignment horizontal="center"/>
    </xf>
    <xf numFmtId="0" fontId="1" fillId="0" borderId="11" xfId="0" applyFont="1" applyBorder="1" applyAlignment="1" applyProtection="1">
      <alignment horizontal="center"/>
    </xf>
    <xf numFmtId="0" fontId="78" fillId="0" borderId="18" xfId="0" applyFont="1" applyBorder="1" applyAlignment="1" applyProtection="1">
      <alignment horizontal="right" vertical="center" indent="1"/>
    </xf>
    <xf numFmtId="0" fontId="78" fillId="0" borderId="7" xfId="0" applyFont="1" applyBorder="1" applyAlignment="1" applyProtection="1">
      <alignment horizontal="left" vertical="center" indent="1"/>
    </xf>
    <xf numFmtId="0" fontId="78" fillId="0" borderId="17" xfId="0" applyFont="1" applyBorder="1" applyAlignment="1" applyProtection="1">
      <alignment horizontal="left" vertical="center" indent="1"/>
    </xf>
    <xf numFmtId="0" fontId="78" fillId="0" borderId="9" xfId="0" applyFont="1" applyBorder="1" applyAlignment="1" applyProtection="1">
      <alignment horizontal="left" vertical="center" indent="1"/>
    </xf>
    <xf numFmtId="2" fontId="134" fillId="0" borderId="7" xfId="0" applyNumberFormat="1" applyFont="1" applyBorder="1" applyAlignment="1" applyProtection="1">
      <alignment horizontal="center" vertical="center"/>
    </xf>
    <xf numFmtId="2" fontId="134" fillId="0" borderId="8" xfId="0" applyNumberFormat="1" applyFont="1" applyBorder="1" applyAlignment="1" applyProtection="1">
      <alignment horizontal="center" vertical="center"/>
    </xf>
    <xf numFmtId="2" fontId="134" fillId="0" borderId="5" xfId="0" applyNumberFormat="1" applyFont="1" applyBorder="1" applyAlignment="1" applyProtection="1">
      <alignment horizontal="center" vertical="center"/>
    </xf>
    <xf numFmtId="2" fontId="134" fillId="0" borderId="9" xfId="0" applyNumberFormat="1" applyFont="1" applyBorder="1" applyAlignment="1" applyProtection="1">
      <alignment horizontal="center" vertical="center"/>
    </xf>
    <xf numFmtId="2" fontId="134" fillId="0" borderId="11" xfId="0" applyNumberFormat="1" applyFont="1" applyBorder="1" applyAlignment="1" applyProtection="1">
      <alignment horizontal="center" vertical="center"/>
    </xf>
    <xf numFmtId="2" fontId="134" fillId="0" borderId="10" xfId="0" applyNumberFormat="1" applyFont="1" applyBorder="1" applyAlignment="1" applyProtection="1">
      <alignment horizontal="center" vertical="center"/>
    </xf>
    <xf numFmtId="2" fontId="1" fillId="0" borderId="2" xfId="0" applyNumberFormat="1" applyFont="1" applyFill="1" applyBorder="1" applyAlignment="1" applyProtection="1">
      <alignment horizontal="center"/>
    </xf>
    <xf numFmtId="2" fontId="1" fillId="0" borderId="3" xfId="0" applyNumberFormat="1" applyFont="1" applyFill="1" applyBorder="1" applyAlignment="1" applyProtection="1">
      <alignment horizontal="center"/>
    </xf>
    <xf numFmtId="2" fontId="1" fillId="0" borderId="6" xfId="0" applyNumberFormat="1" applyFont="1" applyFill="1" applyBorder="1" applyAlignment="1" applyProtection="1">
      <alignment horizontal="center"/>
    </xf>
    <xf numFmtId="0" fontId="80" fillId="0" borderId="18" xfId="0" applyFont="1" applyBorder="1" applyAlignment="1" applyProtection="1">
      <alignment horizontal="center" vertical="center" wrapText="1"/>
    </xf>
    <xf numFmtId="0" fontId="80" fillId="0" borderId="2" xfId="0" applyFont="1" applyBorder="1" applyAlignment="1" applyProtection="1">
      <alignment horizontal="center" vertical="center" wrapText="1"/>
    </xf>
    <xf numFmtId="0" fontId="80" fillId="0" borderId="3" xfId="0" applyFont="1" applyBorder="1" applyAlignment="1" applyProtection="1">
      <alignment horizontal="center" vertical="center" wrapText="1"/>
    </xf>
    <xf numFmtId="16" fontId="80" fillId="0" borderId="7" xfId="0" applyNumberFormat="1" applyFont="1" applyBorder="1" applyAlignment="1" applyProtection="1">
      <alignment horizontal="center" vertical="center" wrapText="1"/>
    </xf>
    <xf numFmtId="0" fontId="80" fillId="37" borderId="4" xfId="0" applyFont="1" applyFill="1" applyBorder="1" applyAlignment="1" applyProtection="1">
      <alignment horizontal="center" vertical="center" wrapText="1"/>
    </xf>
    <xf numFmtId="0" fontId="80" fillId="37" borderId="18" xfId="0" applyFont="1" applyFill="1" applyBorder="1" applyAlignment="1" applyProtection="1">
      <alignment horizontal="center" vertical="center" wrapText="1"/>
    </xf>
    <xf numFmtId="0" fontId="0" fillId="33" borderId="0" xfId="0" applyFill="1" applyAlignment="1" applyProtection="1">
      <alignment horizontal="right" vertical="center" indent="1"/>
    </xf>
    <xf numFmtId="0" fontId="77" fillId="33" borderId="0" xfId="0" applyFont="1" applyFill="1" applyAlignment="1" applyProtection="1">
      <alignment horizontal="center" vertical="center"/>
    </xf>
    <xf numFmtId="0" fontId="80" fillId="0" borderId="0" xfId="0" applyFont="1" applyAlignment="1" applyProtection="1">
      <alignment horizontal="center" vertical="center"/>
    </xf>
    <xf numFmtId="0" fontId="80" fillId="0" borderId="16" xfId="0" applyFont="1" applyBorder="1" applyAlignment="1" applyProtection="1">
      <alignment horizontal="center" vertical="center" wrapText="1"/>
    </xf>
    <xf numFmtId="0" fontId="0" fillId="0" borderId="5" xfId="0" applyBorder="1" applyAlignment="1" applyProtection="1">
      <alignment horizontal="center"/>
    </xf>
    <xf numFmtId="0" fontId="0" fillId="0" borderId="10" xfId="0" applyBorder="1" applyAlignment="1" applyProtection="1">
      <alignment horizontal="center"/>
    </xf>
    <xf numFmtId="0" fontId="78" fillId="0" borderId="4" xfId="0" applyFont="1" applyBorder="1" applyAlignment="1" applyProtection="1">
      <alignment horizontal="left" vertical="center" indent="1"/>
    </xf>
    <xf numFmtId="0" fontId="78" fillId="0" borderId="18" xfId="0" applyFont="1" applyBorder="1" applyAlignment="1" applyProtection="1">
      <alignment horizontal="left" vertical="center" indent="1"/>
    </xf>
    <xf numFmtId="0" fontId="78" fillId="0" borderId="16" xfId="0" applyFont="1" applyBorder="1" applyAlignment="1" applyProtection="1">
      <alignment horizontal="left" vertical="center" indent="1"/>
    </xf>
    <xf numFmtId="0" fontId="131" fillId="0" borderId="4" xfId="0" applyFont="1" applyBorder="1" applyAlignment="1" applyProtection="1">
      <alignment horizontal="center" vertical="center"/>
    </xf>
    <xf numFmtId="0" fontId="131" fillId="0" borderId="18" xfId="0" applyFont="1" applyBorder="1" applyAlignment="1" applyProtection="1">
      <alignment horizontal="center" vertical="center"/>
    </xf>
    <xf numFmtId="0" fontId="131" fillId="0" borderId="16" xfId="0" applyFont="1" applyBorder="1" applyAlignment="1" applyProtection="1">
      <alignment horizontal="center" vertical="center"/>
    </xf>
    <xf numFmtId="2" fontId="77" fillId="0" borderId="2" xfId="0" applyNumberFormat="1" applyFont="1" applyFill="1" applyBorder="1" applyAlignment="1" applyProtection="1">
      <alignment horizontal="center" vertical="center"/>
    </xf>
    <xf numFmtId="2" fontId="77" fillId="0" borderId="3" xfId="0" applyNumberFormat="1" applyFont="1" applyFill="1" applyBorder="1" applyAlignment="1" applyProtection="1">
      <alignment horizontal="center" vertical="center"/>
    </xf>
    <xf numFmtId="2" fontId="77" fillId="0" borderId="6" xfId="0" applyNumberFormat="1" applyFont="1" applyFill="1" applyBorder="1" applyAlignment="1" applyProtection="1">
      <alignment horizontal="center" vertical="center"/>
    </xf>
    <xf numFmtId="0" fontId="72" fillId="31" borderId="0" xfId="0" quotePrefix="1" applyFont="1" applyFill="1" applyAlignment="1">
      <alignment horizontal="center" vertical="center"/>
    </xf>
    <xf numFmtId="0" fontId="17" fillId="23" borderId="0" xfId="0" applyFont="1" applyFill="1" applyBorder="1" applyAlignment="1" applyProtection="1">
      <alignment horizontal="center" vertical="center"/>
    </xf>
    <xf numFmtId="0" fontId="18" fillId="22" borderId="2" xfId="0" quotePrefix="1" applyFont="1" applyFill="1" applyBorder="1" applyAlignment="1" applyProtection="1">
      <alignment horizontal="center" vertical="center"/>
    </xf>
    <xf numFmtId="0" fontId="18" fillId="22" borderId="3" xfId="0" quotePrefix="1" applyFont="1" applyFill="1" applyBorder="1" applyAlignment="1" applyProtection="1">
      <alignment horizontal="center" vertical="center"/>
    </xf>
    <xf numFmtId="0" fontId="18" fillId="22" borderId="6" xfId="0" quotePrefix="1" applyFont="1" applyFill="1" applyBorder="1" applyAlignment="1" applyProtection="1">
      <alignment horizontal="center" vertical="center"/>
    </xf>
    <xf numFmtId="0" fontId="18" fillId="22" borderId="3" xfId="0" applyFont="1" applyFill="1" applyBorder="1" applyAlignment="1" applyProtection="1">
      <alignment horizontal="center" vertical="center"/>
    </xf>
    <xf numFmtId="0" fontId="18" fillId="22" borderId="6" xfId="0" applyFont="1" applyFill="1" applyBorder="1" applyAlignment="1" applyProtection="1">
      <alignment horizontal="center" vertical="center"/>
    </xf>
    <xf numFmtId="0" fontId="51" fillId="4" borderId="0" xfId="0" quotePrefix="1"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42" fillId="4" borderId="2" xfId="0" quotePrefix="1" applyFont="1" applyFill="1" applyBorder="1" applyAlignment="1">
      <alignment horizontal="center" vertical="center"/>
    </xf>
    <xf numFmtId="0" fontId="42" fillId="4" borderId="3" xfId="0" quotePrefix="1" applyFont="1" applyFill="1" applyBorder="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58" fillId="4" borderId="0" xfId="0" applyFont="1" applyFill="1" applyBorder="1" applyAlignment="1">
      <alignment horizontal="center" vertical="center"/>
    </xf>
    <xf numFmtId="0" fontId="42" fillId="4" borderId="3" xfId="0" applyFont="1" applyFill="1" applyBorder="1" applyAlignment="1">
      <alignment horizontal="center" vertical="center"/>
    </xf>
    <xf numFmtId="0" fontId="17" fillId="23" borderId="2" xfId="0" applyFont="1" applyFill="1" applyBorder="1" applyAlignment="1">
      <alignment horizontal="center" vertical="center"/>
    </xf>
    <xf numFmtId="0" fontId="17" fillId="23" borderId="3" xfId="0" applyFont="1" applyFill="1" applyBorder="1" applyAlignment="1">
      <alignment horizontal="center" vertical="center"/>
    </xf>
    <xf numFmtId="0" fontId="17" fillId="23" borderId="6" xfId="0" applyFont="1" applyFill="1" applyBorder="1" applyAlignment="1">
      <alignment horizontal="center" vertical="center"/>
    </xf>
    <xf numFmtId="0" fontId="17" fillId="23" borderId="2" xfId="0" quotePrefix="1" applyFont="1" applyFill="1" applyBorder="1" applyAlignment="1">
      <alignment horizontal="center" vertical="center"/>
    </xf>
    <xf numFmtId="0" fontId="17" fillId="23" borderId="3" xfId="0" quotePrefix="1" applyFont="1" applyFill="1" applyBorder="1" applyAlignment="1">
      <alignment horizontal="center" vertical="center"/>
    </xf>
    <xf numFmtId="0" fontId="17" fillId="23" borderId="6" xfId="0" quotePrefix="1" applyFont="1" applyFill="1" applyBorder="1" applyAlignment="1">
      <alignment horizontal="center" vertical="center"/>
    </xf>
    <xf numFmtId="0" fontId="17" fillId="23" borderId="9" xfId="0" applyFont="1" applyFill="1" applyBorder="1" applyAlignment="1">
      <alignment horizontal="center" vertical="center"/>
    </xf>
    <xf numFmtId="0" fontId="17" fillId="23" borderId="11" xfId="0" applyFont="1" applyFill="1" applyBorder="1" applyAlignment="1">
      <alignment horizontal="center" vertical="center"/>
    </xf>
    <xf numFmtId="0" fontId="17" fillId="23" borderId="10" xfId="0" applyFont="1" applyFill="1" applyBorder="1" applyAlignment="1">
      <alignment horizontal="center" vertical="center"/>
    </xf>
    <xf numFmtId="0" fontId="17" fillId="23" borderId="8" xfId="0" applyFont="1" applyFill="1" applyBorder="1" applyAlignment="1" applyProtection="1">
      <alignment horizontal="center" vertical="center"/>
      <protection locked="0"/>
    </xf>
    <xf numFmtId="0" fontId="17" fillId="23" borderId="3" xfId="0" applyFont="1" applyFill="1" applyBorder="1" applyAlignment="1" applyProtection="1">
      <alignment horizontal="center" vertical="center"/>
      <protection locked="0"/>
    </xf>
    <xf numFmtId="0" fontId="42" fillId="4" borderId="11" xfId="0" applyFont="1" applyFill="1" applyBorder="1" applyAlignment="1">
      <alignment horizontal="center" vertical="center"/>
    </xf>
    <xf numFmtId="0" fontId="42" fillId="4" borderId="9" xfId="0" quotePrefix="1" applyFont="1" applyFill="1" applyBorder="1" applyAlignment="1">
      <alignment horizontal="center" vertical="center"/>
    </xf>
    <xf numFmtId="0" fontId="42" fillId="4" borderId="11" xfId="0" quotePrefix="1" applyFont="1" applyFill="1" applyBorder="1" applyAlignment="1">
      <alignment horizontal="center" vertical="center"/>
    </xf>
    <xf numFmtId="0" fontId="17" fillId="23" borderId="11" xfId="0" quotePrefix="1" applyFont="1" applyFill="1" applyBorder="1" applyAlignment="1">
      <alignment horizontal="center" vertical="center"/>
    </xf>
    <xf numFmtId="0" fontId="17" fillId="23" borderId="11" xfId="0" applyFont="1" applyFill="1" applyBorder="1" applyAlignment="1" applyProtection="1">
      <alignment horizontal="center" vertical="center"/>
      <protection locked="0"/>
    </xf>
    <xf numFmtId="0" fontId="17" fillId="23" borderId="2" xfId="0" applyFont="1" applyFill="1" applyBorder="1" applyAlignment="1" applyProtection="1">
      <alignment horizontal="center" vertical="center"/>
      <protection locked="0"/>
    </xf>
    <xf numFmtId="0" fontId="17" fillId="23" borderId="6" xfId="0" applyFont="1" applyFill="1" applyBorder="1" applyAlignment="1" applyProtection="1">
      <alignment horizontal="center" vertical="center"/>
      <protection locked="0"/>
    </xf>
    <xf numFmtId="0" fontId="17" fillId="23" borderId="8" xfId="0" quotePrefix="1" applyFont="1" applyFill="1" applyBorder="1" applyAlignment="1" applyProtection="1">
      <alignment horizontal="center" vertical="center"/>
      <protection locked="0"/>
    </xf>
    <xf numFmtId="0" fontId="17" fillId="23" borderId="9" xfId="0" quotePrefix="1" applyFont="1" applyFill="1" applyBorder="1" applyAlignment="1">
      <alignment horizontal="center" vertical="center"/>
    </xf>
    <xf numFmtId="0" fontId="17" fillId="23" borderId="2" xfId="0" quotePrefix="1" applyFont="1" applyFill="1" applyBorder="1" applyAlignment="1" applyProtection="1">
      <alignment horizontal="center" vertical="center"/>
      <protection locked="0"/>
    </xf>
    <xf numFmtId="0" fontId="42" fillId="4" borderId="0" xfId="0" applyFont="1" applyFill="1" applyBorder="1" applyAlignment="1">
      <alignment horizontal="center" vertical="center"/>
    </xf>
    <xf numFmtId="0" fontId="17" fillId="23" borderId="8" xfId="0" quotePrefix="1" applyFont="1" applyFill="1" applyBorder="1" applyAlignment="1">
      <alignment horizontal="center" vertical="center"/>
    </xf>
    <xf numFmtId="0" fontId="17" fillId="23" borderId="5" xfId="0" quotePrefix="1" applyFont="1" applyFill="1" applyBorder="1" applyAlignment="1">
      <alignment horizontal="center" vertical="center"/>
    </xf>
    <xf numFmtId="0" fontId="18" fillId="7" borderId="0" xfId="0" quotePrefix="1" applyFont="1" applyFill="1" applyBorder="1" applyAlignment="1" applyProtection="1">
      <alignment horizontal="left" vertical="center"/>
    </xf>
    <xf numFmtId="0" fontId="17" fillId="23" borderId="6" xfId="0" quotePrefix="1" applyFont="1" applyFill="1" applyBorder="1" applyAlignment="1" applyProtection="1">
      <alignment horizontal="center" vertical="center"/>
      <protection locked="0"/>
    </xf>
    <xf numFmtId="0" fontId="42" fillId="4" borderId="17" xfId="0" quotePrefix="1" applyFont="1" applyFill="1" applyBorder="1" applyAlignment="1">
      <alignment horizontal="center" vertical="center"/>
    </xf>
    <xf numFmtId="0" fontId="42" fillId="4" borderId="0" xfId="0" quotePrefix="1" applyFont="1" applyFill="1" applyBorder="1" applyAlignment="1">
      <alignment horizontal="center" vertical="center"/>
    </xf>
    <xf numFmtId="0" fontId="141" fillId="4" borderId="0" xfId="0" quotePrefix="1" applyFont="1" applyFill="1" applyBorder="1" applyAlignment="1" applyProtection="1">
      <alignment horizontal="center" vertical="center" wrapText="1"/>
    </xf>
    <xf numFmtId="0" fontId="42" fillId="4" borderId="6" xfId="0" quotePrefix="1" applyFont="1" applyFill="1" applyBorder="1" applyAlignment="1">
      <alignment horizontal="center" vertical="center"/>
    </xf>
    <xf numFmtId="0" fontId="42" fillId="4" borderId="10" xfId="0" quotePrefix="1" applyFont="1" applyFill="1" applyBorder="1" applyAlignment="1">
      <alignment horizontal="center" vertical="center"/>
    </xf>
    <xf numFmtId="0" fontId="17" fillId="23" borderId="0" xfId="0" quotePrefix="1" applyFont="1" applyFill="1" applyBorder="1" applyAlignment="1">
      <alignment horizontal="center" vertical="center"/>
    </xf>
    <xf numFmtId="0" fontId="17" fillId="23" borderId="3" xfId="0" quotePrefix="1" applyFont="1" applyFill="1" applyBorder="1" applyAlignment="1" applyProtection="1">
      <alignment horizontal="center" vertical="center"/>
      <protection locked="0"/>
    </xf>
    <xf numFmtId="0" fontId="17" fillId="23" borderId="9" xfId="0" applyFont="1" applyFill="1" applyBorder="1" applyAlignment="1" applyProtection="1">
      <alignment horizontal="center" vertical="center"/>
      <protection locked="0"/>
    </xf>
    <xf numFmtId="0" fontId="17" fillId="23" borderId="10" xfId="0" applyFont="1" applyFill="1" applyBorder="1" applyAlignment="1" applyProtection="1">
      <alignment horizontal="center" vertical="center"/>
      <protection locked="0"/>
    </xf>
    <xf numFmtId="0" fontId="17" fillId="23" borderId="0" xfId="0" applyFont="1" applyFill="1" applyBorder="1" applyAlignment="1" applyProtection="1">
      <alignment horizontal="center" vertical="center"/>
      <protection locked="0"/>
    </xf>
    <xf numFmtId="0" fontId="17" fillId="23" borderId="11" xfId="0" quotePrefix="1" applyFont="1" applyFill="1" applyBorder="1" applyAlignment="1" applyProtection="1">
      <alignment horizontal="center" vertical="center"/>
      <protection locked="0"/>
    </xf>
    <xf numFmtId="0" fontId="17" fillId="23" borderId="10" xfId="0" quotePrefix="1" applyFont="1" applyFill="1" applyBorder="1" applyAlignment="1" applyProtection="1">
      <alignment horizontal="center" vertical="center"/>
      <protection locked="0"/>
    </xf>
    <xf numFmtId="0" fontId="17" fillId="23" borderId="10" xfId="0" quotePrefix="1" applyFont="1" applyFill="1" applyBorder="1" applyAlignment="1">
      <alignment horizontal="center" vertical="center"/>
    </xf>
    <xf numFmtId="0" fontId="17" fillId="23" borderId="7" xfId="0" applyFont="1" applyFill="1" applyBorder="1" applyAlignment="1">
      <alignment horizontal="center" vertical="center"/>
    </xf>
    <xf numFmtId="0" fontId="17" fillId="23" borderId="5" xfId="0" applyFont="1" applyFill="1" applyBorder="1" applyAlignment="1">
      <alignment horizontal="center" vertical="center"/>
    </xf>
    <xf numFmtId="0" fontId="36" fillId="23" borderId="2" xfId="0" quotePrefix="1" applyFont="1" applyFill="1" applyBorder="1" applyAlignment="1">
      <alignment horizontal="left" vertical="center"/>
    </xf>
    <xf numFmtId="0" fontId="36" fillId="23" borderId="3" xfId="0" quotePrefix="1" applyFont="1" applyFill="1" applyBorder="1" applyAlignment="1">
      <alignment horizontal="left" vertical="center"/>
    </xf>
    <xf numFmtId="0" fontId="17" fillId="23" borderId="2" xfId="0" quotePrefix="1" applyFont="1" applyFill="1" applyBorder="1" applyAlignment="1">
      <alignment horizontal="center"/>
    </xf>
    <xf numFmtId="0" fontId="17" fillId="23" borderId="3" xfId="0" quotePrefix="1" applyFont="1" applyFill="1" applyBorder="1" applyAlignment="1">
      <alignment horizontal="center"/>
    </xf>
    <xf numFmtId="0" fontId="17" fillId="23" borderId="6" xfId="0" quotePrefix="1" applyFont="1" applyFill="1" applyBorder="1" applyAlignment="1">
      <alignment horizontal="center"/>
    </xf>
    <xf numFmtId="0" fontId="17" fillId="23" borderId="2" xfId="0" applyFont="1" applyFill="1" applyBorder="1" applyAlignment="1">
      <alignment horizontal="center"/>
    </xf>
    <xf numFmtId="0" fontId="17" fillId="23" borderId="3" xfId="0" applyFont="1" applyFill="1" applyBorder="1" applyAlignment="1">
      <alignment horizontal="center"/>
    </xf>
    <xf numFmtId="0" fontId="17" fillId="23" borderId="6" xfId="0" applyFont="1" applyFill="1" applyBorder="1" applyAlignment="1">
      <alignment horizontal="center"/>
    </xf>
    <xf numFmtId="0" fontId="68" fillId="42" borderId="0" xfId="0" applyFont="1" applyFill="1" applyBorder="1" applyAlignment="1" applyProtection="1">
      <alignment horizontal="center" vertical="center"/>
    </xf>
    <xf numFmtId="0" fontId="68" fillId="43" borderId="0" xfId="0" applyFont="1" applyFill="1" applyBorder="1" applyAlignment="1" applyProtection="1">
      <alignment horizontal="center" vertical="center"/>
    </xf>
    <xf numFmtId="0" fontId="18" fillId="44" borderId="0" xfId="0" quotePrefix="1" applyFont="1" applyFill="1" applyBorder="1" applyAlignment="1" applyProtection="1">
      <alignment horizontal="center" vertical="center"/>
    </xf>
    <xf numFmtId="0" fontId="141" fillId="4" borderId="0" xfId="0" quotePrefix="1" applyFont="1" applyFill="1" applyBorder="1" applyAlignment="1" applyProtection="1">
      <alignment vertical="center" wrapText="1"/>
    </xf>
  </cellXfs>
  <cellStyles count="4">
    <cellStyle name="Lien hypertexte" xfId="3" builtinId="8"/>
    <cellStyle name="Normal" xfId="0" builtinId="0"/>
    <cellStyle name="Normal_ELAEIS.V2.1" xfId="1"/>
    <cellStyle name="Pourcentage" xfId="2" builtinId="5"/>
  </cellStyles>
  <dxfs count="16">
    <dxf>
      <fill>
        <patternFill>
          <bgColor theme="1" tint="4.9989318521683403E-2"/>
        </patternFill>
      </fill>
    </dxf>
    <dxf>
      <fill>
        <patternFill>
          <bgColor theme="1" tint="4.9989318521683403E-2"/>
        </patternFill>
      </fill>
    </dxf>
    <dxf>
      <font>
        <color theme="5" tint="-0.499984740745262"/>
      </font>
      <fill>
        <patternFill>
          <bgColor rgb="FFFF0000"/>
        </patternFill>
      </fill>
    </dxf>
    <dxf>
      <font>
        <color theme="5" tint="-0.499984740745262"/>
      </font>
      <fill>
        <patternFill>
          <bgColor rgb="FFFF000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patternType="none">
          <bgColor auto="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s>
  <tableStyles count="0" defaultTableStyle="TableStyleMedium9" defaultPivotStyle="PivotStyleLight16"/>
  <colors>
    <mruColors>
      <color rgb="FF99FF99"/>
      <color rgb="FFFFFF66"/>
      <color rgb="FFFFFF99"/>
      <color rgb="FFCC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STEM_Geom!$J$13:$J$37</c:f>
              <c:numCache>
                <c:formatCode>General</c:formatCode>
                <c:ptCount val="25"/>
                <c:pt idx="0">
                  <c:v>1</c:v>
                </c:pt>
                <c:pt idx="1">
                  <c:v>16</c:v>
                </c:pt>
                <c:pt idx="2">
                  <c:v>32</c:v>
                </c:pt>
                <c:pt idx="3">
                  <c:v>56</c:v>
                </c:pt>
                <c:pt idx="4">
                  <c:v>96</c:v>
                </c:pt>
                <c:pt idx="5">
                  <c:v>194</c:v>
                </c:pt>
              </c:numCache>
            </c:numRef>
          </c:xVal>
          <c:yVal>
            <c:numRef>
              <c:f>STEM_Geom!$K$13:$K$37</c:f>
              <c:numCache>
                <c:formatCode>0.00</c:formatCode>
                <c:ptCount val="25"/>
                <c:pt idx="0">
                  <c:v>0.83750000000000002</c:v>
                </c:pt>
                <c:pt idx="1">
                  <c:v>1.25</c:v>
                </c:pt>
                <c:pt idx="2">
                  <c:v>1.875</c:v>
                </c:pt>
                <c:pt idx="3">
                  <c:v>2.0833333333333335</c:v>
                </c:pt>
                <c:pt idx="4">
                  <c:v>1.375</c:v>
                </c:pt>
                <c:pt idx="5">
                  <c:v>1.1000000000000001</c:v>
                </c:pt>
              </c:numCache>
            </c:numRef>
          </c:yVal>
          <c:smooth val="0"/>
        </c:ser>
        <c:dLbls>
          <c:showLegendKey val="0"/>
          <c:showVal val="0"/>
          <c:showCatName val="0"/>
          <c:showSerName val="0"/>
          <c:showPercent val="0"/>
          <c:showBubbleSize val="0"/>
        </c:dLbls>
        <c:axId val="115284608"/>
        <c:axId val="125940480"/>
      </c:scatterChart>
      <c:valAx>
        <c:axId val="115284608"/>
        <c:scaling>
          <c:orientation val="minMax"/>
          <c:min val="0"/>
        </c:scaling>
        <c:delete val="0"/>
        <c:axPos val="b"/>
        <c:numFmt formatCode="0" sourceLinked="0"/>
        <c:majorTickMark val="out"/>
        <c:minorTickMark val="none"/>
        <c:tickLblPos val="nextTo"/>
        <c:crossAx val="125940480"/>
        <c:crosses val="autoZero"/>
        <c:crossBetween val="midCat"/>
        <c:majorUnit val="100"/>
      </c:valAx>
      <c:valAx>
        <c:axId val="125940480"/>
        <c:scaling>
          <c:orientation val="minMax"/>
          <c:min val="0"/>
        </c:scaling>
        <c:delete val="0"/>
        <c:axPos val="l"/>
        <c:majorGridlines/>
        <c:numFmt formatCode="0.0" sourceLinked="0"/>
        <c:majorTickMark val="out"/>
        <c:minorTickMark val="none"/>
        <c:tickLblPos val="nextTo"/>
        <c:crossAx val="115284608"/>
        <c:crosses val="autoZero"/>
        <c:crossBetween val="midCat"/>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00"/>
              </a:solidFill>
              <a:ln>
                <a:solidFill>
                  <a:srgbClr val="FFFF00"/>
                </a:solidFill>
              </a:ln>
            </c:spPr>
          </c:marker>
          <c:xVal>
            <c:numRef>
              <c:f>FROND_Prod!$P$13:$P$37</c:f>
              <c:numCache>
                <c:formatCode>General</c:formatCode>
                <c:ptCount val="25"/>
                <c:pt idx="0">
                  <c:v>1</c:v>
                </c:pt>
                <c:pt idx="1">
                  <c:v>28</c:v>
                </c:pt>
                <c:pt idx="2">
                  <c:v>32</c:v>
                </c:pt>
                <c:pt idx="3">
                  <c:v>124</c:v>
                </c:pt>
              </c:numCache>
            </c:numRef>
          </c:xVal>
          <c:yVal>
            <c:numRef>
              <c:f>FROND_Prod!$Q$13:$Q$37</c:f>
              <c:numCache>
                <c:formatCode>0.00</c:formatCode>
                <c:ptCount val="25"/>
                <c:pt idx="0">
                  <c:v>100</c:v>
                </c:pt>
                <c:pt idx="1">
                  <c:v>16.412886259040103</c:v>
                </c:pt>
                <c:pt idx="2">
                  <c:v>13.428725121032812</c:v>
                </c:pt>
                <c:pt idx="3">
                  <c:v>12.153846153846153</c:v>
                </c:pt>
              </c:numCache>
            </c:numRef>
          </c:yVal>
          <c:smooth val="0"/>
        </c:ser>
        <c:dLbls>
          <c:showLegendKey val="0"/>
          <c:showVal val="0"/>
          <c:showCatName val="0"/>
          <c:showSerName val="0"/>
          <c:showPercent val="0"/>
          <c:showBubbleSize val="0"/>
        </c:dLbls>
        <c:axId val="130862080"/>
        <c:axId val="130884736"/>
      </c:scatterChart>
      <c:valAx>
        <c:axId val="130862080"/>
        <c:scaling>
          <c:orientation val="minMax"/>
          <c:min val="0"/>
        </c:scaling>
        <c:delete val="0"/>
        <c:axPos val="b"/>
        <c:numFmt formatCode="0" sourceLinked="0"/>
        <c:majorTickMark val="out"/>
        <c:minorTickMark val="none"/>
        <c:tickLblPos val="nextTo"/>
        <c:crossAx val="130884736"/>
        <c:crosses val="autoZero"/>
        <c:crossBetween val="midCat"/>
      </c:valAx>
      <c:valAx>
        <c:axId val="130884736"/>
        <c:scaling>
          <c:orientation val="minMax"/>
          <c:min val="0"/>
        </c:scaling>
        <c:delete val="0"/>
        <c:axPos val="l"/>
        <c:majorGridlines/>
        <c:numFmt formatCode="0" sourceLinked="0"/>
        <c:majorTickMark val="out"/>
        <c:minorTickMark val="none"/>
        <c:tickLblPos val="nextTo"/>
        <c:crossAx val="130862080"/>
        <c:crosses val="autoZero"/>
        <c:crossBetween val="midCat"/>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FROND_NERVURE_Geom!$C$13:$C$37</c:f>
              <c:numCache>
                <c:formatCode>General</c:formatCode>
                <c:ptCount val="25"/>
                <c:pt idx="0">
                  <c:v>1</c:v>
                </c:pt>
                <c:pt idx="1">
                  <c:v>28</c:v>
                </c:pt>
                <c:pt idx="2">
                  <c:v>114</c:v>
                </c:pt>
                <c:pt idx="3">
                  <c:v>124</c:v>
                </c:pt>
                <c:pt idx="4">
                  <c:v>295</c:v>
                </c:pt>
              </c:numCache>
            </c:numRef>
          </c:xVal>
          <c:yVal>
            <c:numRef>
              <c:f>FROND_NERVURE_Geom!$D$13:$D$37</c:f>
              <c:numCache>
                <c:formatCode>0.00</c:formatCode>
                <c:ptCount val="25"/>
                <c:pt idx="0">
                  <c:v>45.333333333333336</c:v>
                </c:pt>
                <c:pt idx="1">
                  <c:v>136</c:v>
                </c:pt>
                <c:pt idx="2">
                  <c:v>356.61750000000001</c:v>
                </c:pt>
                <c:pt idx="3">
                  <c:v>419.55</c:v>
                </c:pt>
                <c:pt idx="4">
                  <c:v>402.76800000000003</c:v>
                </c:pt>
              </c:numCache>
            </c:numRef>
          </c:yVal>
          <c:smooth val="0"/>
        </c:ser>
        <c:dLbls>
          <c:showLegendKey val="0"/>
          <c:showVal val="0"/>
          <c:showCatName val="0"/>
          <c:showSerName val="0"/>
          <c:showPercent val="0"/>
          <c:showBubbleSize val="0"/>
        </c:dLbls>
        <c:axId val="131056384"/>
        <c:axId val="131058304"/>
      </c:scatterChart>
      <c:valAx>
        <c:axId val="131056384"/>
        <c:scaling>
          <c:orientation val="minMax"/>
          <c:min val="0"/>
        </c:scaling>
        <c:delete val="0"/>
        <c:axPos val="b"/>
        <c:numFmt formatCode="0" sourceLinked="0"/>
        <c:majorTickMark val="out"/>
        <c:minorTickMark val="none"/>
        <c:tickLblPos val="nextTo"/>
        <c:crossAx val="131058304"/>
        <c:crosses val="autoZero"/>
        <c:crossBetween val="midCat"/>
      </c:valAx>
      <c:valAx>
        <c:axId val="131058304"/>
        <c:scaling>
          <c:orientation val="minMax"/>
          <c:min val="0"/>
        </c:scaling>
        <c:delete val="0"/>
        <c:axPos val="l"/>
        <c:majorGridlines/>
        <c:numFmt formatCode="0" sourceLinked="0"/>
        <c:majorTickMark val="out"/>
        <c:minorTickMark val="none"/>
        <c:tickLblPos val="nextTo"/>
        <c:crossAx val="131056384"/>
        <c:crosses val="autoZero"/>
        <c:crossBetween val="midCat"/>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FROND_NERVURE_Geom!$I$13:$I$37</c:f>
              <c:numCache>
                <c:formatCode>General</c:formatCode>
                <c:ptCount val="25"/>
                <c:pt idx="0">
                  <c:v>1</c:v>
                </c:pt>
                <c:pt idx="1">
                  <c:v>28</c:v>
                </c:pt>
                <c:pt idx="2">
                  <c:v>114</c:v>
                </c:pt>
                <c:pt idx="3">
                  <c:v>124</c:v>
                </c:pt>
              </c:numCache>
            </c:numRef>
          </c:xVal>
          <c:yVal>
            <c:numRef>
              <c:f>FROND_NERVURE_Geom!$J$13:$J$37</c:f>
              <c:numCache>
                <c:formatCode>0.00</c:formatCode>
                <c:ptCount val="25"/>
                <c:pt idx="0">
                  <c:v>0.63102530489016007</c:v>
                </c:pt>
                <c:pt idx="1">
                  <c:v>1.8930759146704803</c:v>
                </c:pt>
                <c:pt idx="2">
                  <c:v>4.9640000000000004</c:v>
                </c:pt>
                <c:pt idx="3">
                  <c:v>5.84</c:v>
                </c:pt>
              </c:numCache>
            </c:numRef>
          </c:yVal>
          <c:smooth val="0"/>
        </c:ser>
        <c:dLbls>
          <c:showLegendKey val="0"/>
          <c:showVal val="0"/>
          <c:showCatName val="0"/>
          <c:showSerName val="0"/>
          <c:showPercent val="0"/>
          <c:showBubbleSize val="0"/>
        </c:dLbls>
        <c:axId val="131794432"/>
        <c:axId val="131796352"/>
      </c:scatterChart>
      <c:valAx>
        <c:axId val="131794432"/>
        <c:scaling>
          <c:orientation val="minMax"/>
          <c:min val="0"/>
        </c:scaling>
        <c:delete val="0"/>
        <c:axPos val="b"/>
        <c:numFmt formatCode="0" sourceLinked="0"/>
        <c:majorTickMark val="out"/>
        <c:minorTickMark val="none"/>
        <c:tickLblPos val="nextTo"/>
        <c:crossAx val="131796352"/>
        <c:crosses val="autoZero"/>
        <c:crossBetween val="midCat"/>
      </c:valAx>
      <c:valAx>
        <c:axId val="131796352"/>
        <c:scaling>
          <c:orientation val="minMax"/>
          <c:min val="0"/>
        </c:scaling>
        <c:delete val="0"/>
        <c:axPos val="l"/>
        <c:majorGridlines/>
        <c:numFmt formatCode="0" sourceLinked="0"/>
        <c:majorTickMark val="out"/>
        <c:minorTickMark val="none"/>
        <c:tickLblPos val="nextTo"/>
        <c:crossAx val="131794432"/>
        <c:crosses val="autoZero"/>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FROND_NERVURE_Geom!$L$13:$L$37</c:f>
              <c:numCache>
                <c:formatCode>0.00</c:formatCode>
                <c:ptCount val="25"/>
                <c:pt idx="0">
                  <c:v>0</c:v>
                </c:pt>
                <c:pt idx="1">
                  <c:v>10</c:v>
                </c:pt>
                <c:pt idx="2">
                  <c:v>20</c:v>
                </c:pt>
                <c:pt idx="3">
                  <c:v>30</c:v>
                </c:pt>
                <c:pt idx="4">
                  <c:v>40</c:v>
                </c:pt>
                <c:pt idx="5">
                  <c:v>50</c:v>
                </c:pt>
                <c:pt idx="6">
                  <c:v>60</c:v>
                </c:pt>
                <c:pt idx="7">
                  <c:v>70</c:v>
                </c:pt>
                <c:pt idx="8">
                  <c:v>80</c:v>
                </c:pt>
                <c:pt idx="9">
                  <c:v>90</c:v>
                </c:pt>
                <c:pt idx="10">
                  <c:v>100</c:v>
                </c:pt>
              </c:numCache>
            </c:numRef>
          </c:xVal>
          <c:yVal>
            <c:numRef>
              <c:f>FROND_NERVURE_Geom!$M$13:$M$37</c:f>
              <c:numCache>
                <c:formatCode>0.00</c:formatCode>
                <c:ptCount val="25"/>
                <c:pt idx="0">
                  <c:v>4.8720947032342492</c:v>
                </c:pt>
                <c:pt idx="1">
                  <c:v>1.1884383187377177</c:v>
                </c:pt>
                <c:pt idx="2">
                  <c:v>0.66056068196154039</c:v>
                </c:pt>
                <c:pt idx="3">
                  <c:v>0.45157617823523916</c:v>
                </c:pt>
                <c:pt idx="4">
                  <c:v>0.34857790733551985</c:v>
                </c:pt>
                <c:pt idx="5">
                  <c:v>0.28804823455413386</c:v>
                </c:pt>
                <c:pt idx="6">
                  <c:v>0.24092499615183752</c:v>
                </c:pt>
                <c:pt idx="7">
                  <c:v>0.19088054165612814</c:v>
                </c:pt>
                <c:pt idx="8">
                  <c:v>0.13085146610841319</c:v>
                </c:pt>
                <c:pt idx="9">
                  <c:v>6.50106904693529E-2</c:v>
                </c:pt>
                <c:pt idx="10">
                  <c:v>1.1602950667116805E-2</c:v>
                </c:pt>
              </c:numCache>
            </c:numRef>
          </c:yVal>
          <c:smooth val="0"/>
        </c:ser>
        <c:dLbls>
          <c:showLegendKey val="0"/>
          <c:showVal val="0"/>
          <c:showCatName val="0"/>
          <c:showSerName val="0"/>
          <c:showPercent val="0"/>
          <c:showBubbleSize val="0"/>
        </c:dLbls>
        <c:axId val="131865216"/>
        <c:axId val="131875200"/>
      </c:scatterChart>
      <c:valAx>
        <c:axId val="131865216"/>
        <c:scaling>
          <c:orientation val="minMax"/>
          <c:max val="100"/>
          <c:min val="0"/>
        </c:scaling>
        <c:delete val="0"/>
        <c:axPos val="b"/>
        <c:numFmt formatCode="0" sourceLinked="0"/>
        <c:majorTickMark val="out"/>
        <c:minorTickMark val="none"/>
        <c:tickLblPos val="nextTo"/>
        <c:crossAx val="131875200"/>
        <c:crosses val="autoZero"/>
        <c:crossBetween val="midCat"/>
      </c:valAx>
      <c:valAx>
        <c:axId val="131875200"/>
        <c:scaling>
          <c:orientation val="minMax"/>
          <c:min val="0"/>
        </c:scaling>
        <c:delete val="0"/>
        <c:axPos val="l"/>
        <c:majorGridlines/>
        <c:numFmt formatCode="0.0" sourceLinked="0"/>
        <c:majorTickMark val="out"/>
        <c:minorTickMark val="none"/>
        <c:tickLblPos val="nextTo"/>
        <c:crossAx val="131865216"/>
        <c:crosses val="autoZero"/>
        <c:crossBetween val="midCat"/>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76274372919879863"/>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FROND_NERVURE_Geom!$Q$13:$Q$37</c:f>
              <c:numCache>
                <c:formatCode>General</c:formatCode>
                <c:ptCount val="25"/>
                <c:pt idx="0">
                  <c:v>1</c:v>
                </c:pt>
                <c:pt idx="1">
                  <c:v>28</c:v>
                </c:pt>
                <c:pt idx="2">
                  <c:v>114</c:v>
                </c:pt>
                <c:pt idx="3">
                  <c:v>124</c:v>
                </c:pt>
              </c:numCache>
            </c:numRef>
          </c:xVal>
          <c:yVal>
            <c:numRef>
              <c:f>FROND_NERVURE_Geom!$R$13:$R$37</c:f>
              <c:numCache>
                <c:formatCode>0.00</c:formatCode>
                <c:ptCount val="25"/>
                <c:pt idx="0">
                  <c:v>0.34360624478608026</c:v>
                </c:pt>
                <c:pt idx="1">
                  <c:v>1.0308187343582409</c:v>
                </c:pt>
                <c:pt idx="2">
                  <c:v>2.7029999999999998</c:v>
                </c:pt>
                <c:pt idx="3">
                  <c:v>3.1799999999999997</c:v>
                </c:pt>
              </c:numCache>
            </c:numRef>
          </c:yVal>
          <c:smooth val="0"/>
        </c:ser>
        <c:dLbls>
          <c:showLegendKey val="0"/>
          <c:showVal val="0"/>
          <c:showCatName val="0"/>
          <c:showSerName val="0"/>
          <c:showPercent val="0"/>
          <c:showBubbleSize val="0"/>
        </c:dLbls>
        <c:axId val="131890176"/>
        <c:axId val="131896448"/>
      </c:scatterChart>
      <c:valAx>
        <c:axId val="131890176"/>
        <c:scaling>
          <c:orientation val="minMax"/>
          <c:min val="0"/>
        </c:scaling>
        <c:delete val="0"/>
        <c:axPos val="b"/>
        <c:numFmt formatCode="0" sourceLinked="0"/>
        <c:majorTickMark val="out"/>
        <c:minorTickMark val="none"/>
        <c:tickLblPos val="nextTo"/>
        <c:crossAx val="131896448"/>
        <c:crosses val="autoZero"/>
        <c:crossBetween val="midCat"/>
      </c:valAx>
      <c:valAx>
        <c:axId val="131896448"/>
        <c:scaling>
          <c:orientation val="minMax"/>
          <c:min val="0"/>
        </c:scaling>
        <c:delete val="0"/>
        <c:axPos val="l"/>
        <c:majorGridlines/>
        <c:numFmt formatCode="0" sourceLinked="0"/>
        <c:majorTickMark val="out"/>
        <c:minorTickMark val="none"/>
        <c:tickLblPos val="nextTo"/>
        <c:crossAx val="131890176"/>
        <c:crosses val="autoZero"/>
        <c:crossBetween val="midCat"/>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FROND_NERVURE_Geom!$T$13:$T$37</c:f>
              <c:numCache>
                <c:formatCode>0.00</c:formatCode>
                <c:ptCount val="25"/>
                <c:pt idx="0">
                  <c:v>0</c:v>
                </c:pt>
                <c:pt idx="1">
                  <c:v>10</c:v>
                </c:pt>
                <c:pt idx="2">
                  <c:v>20</c:v>
                </c:pt>
                <c:pt idx="3">
                  <c:v>30</c:v>
                </c:pt>
                <c:pt idx="4">
                  <c:v>40</c:v>
                </c:pt>
                <c:pt idx="5">
                  <c:v>50</c:v>
                </c:pt>
                <c:pt idx="6">
                  <c:v>60</c:v>
                </c:pt>
                <c:pt idx="7">
                  <c:v>70</c:v>
                </c:pt>
                <c:pt idx="8">
                  <c:v>80</c:v>
                </c:pt>
                <c:pt idx="9">
                  <c:v>90</c:v>
                </c:pt>
                <c:pt idx="10">
                  <c:v>100</c:v>
                </c:pt>
              </c:numCache>
            </c:numRef>
          </c:xVal>
          <c:yVal>
            <c:numRef>
              <c:f>FROND_NERVURE_Geom!$U$13:$U$37</c:f>
              <c:numCache>
                <c:formatCode>0.00</c:formatCode>
                <c:ptCount val="25"/>
                <c:pt idx="0">
                  <c:v>2.2072821983684481</c:v>
                </c:pt>
                <c:pt idx="1">
                  <c:v>1.0901551810351211</c:v>
                </c:pt>
                <c:pt idx="2">
                  <c:v>0.81274884310070872</c:v>
                </c:pt>
                <c:pt idx="3">
                  <c:v>0.67199418020935209</c:v>
                </c:pt>
                <c:pt idx="4">
                  <c:v>0.59040486730337838</c:v>
                </c:pt>
                <c:pt idx="5">
                  <c:v>0.53670125261092305</c:v>
                </c:pt>
                <c:pt idx="6">
                  <c:v>0.49084111090233418</c:v>
                </c:pt>
                <c:pt idx="7">
                  <c:v>0.4368987773570992</c:v>
                </c:pt>
                <c:pt idx="8">
                  <c:v>0.36173397146026137</c:v>
                </c:pt>
                <c:pt idx="9">
                  <c:v>0.25497194055298106</c:v>
                </c:pt>
                <c:pt idx="10">
                  <c:v>0.10771699339991256</c:v>
                </c:pt>
              </c:numCache>
            </c:numRef>
          </c:yVal>
          <c:smooth val="0"/>
        </c:ser>
        <c:dLbls>
          <c:showLegendKey val="0"/>
          <c:showVal val="0"/>
          <c:showCatName val="0"/>
          <c:showSerName val="0"/>
          <c:showPercent val="0"/>
          <c:showBubbleSize val="0"/>
        </c:dLbls>
        <c:axId val="131928448"/>
        <c:axId val="131929984"/>
      </c:scatterChart>
      <c:valAx>
        <c:axId val="131928448"/>
        <c:scaling>
          <c:orientation val="minMax"/>
          <c:max val="100"/>
          <c:min val="0"/>
        </c:scaling>
        <c:delete val="0"/>
        <c:axPos val="b"/>
        <c:numFmt formatCode="0" sourceLinked="0"/>
        <c:majorTickMark val="out"/>
        <c:minorTickMark val="none"/>
        <c:tickLblPos val="nextTo"/>
        <c:crossAx val="131929984"/>
        <c:crosses val="autoZero"/>
        <c:crossBetween val="midCat"/>
      </c:valAx>
      <c:valAx>
        <c:axId val="131929984"/>
        <c:scaling>
          <c:orientation val="minMax"/>
          <c:min val="0"/>
        </c:scaling>
        <c:delete val="0"/>
        <c:axPos val="l"/>
        <c:majorGridlines/>
        <c:numFmt formatCode="0.0" sourceLinked="0"/>
        <c:majorTickMark val="out"/>
        <c:minorTickMark val="none"/>
        <c:tickLblPos val="nextTo"/>
        <c:crossAx val="131928448"/>
        <c:crosses val="autoZero"/>
        <c:crossBetween val="midCat"/>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FROND_NERVURE_Geom!$AL$13:$AL$37</c:f>
              <c:numCache>
                <c:formatCode>0.00</c:formatCode>
                <c:ptCount val="25"/>
                <c:pt idx="0">
                  <c:v>0</c:v>
                </c:pt>
                <c:pt idx="1">
                  <c:v>44.690740078655701</c:v>
                </c:pt>
                <c:pt idx="2">
                  <c:v>63.127160052437127</c:v>
                </c:pt>
                <c:pt idx="3">
                  <c:v>81.56358002621856</c:v>
                </c:pt>
                <c:pt idx="4">
                  <c:v>100</c:v>
                </c:pt>
              </c:numCache>
            </c:numRef>
          </c:xVal>
          <c:yVal>
            <c:numRef>
              <c:f>FROND_NERVURE_Geom!$AM$13:$AM$37</c:f>
              <c:numCache>
                <c:formatCode>0.00</c:formatCode>
                <c:ptCount val="25"/>
                <c:pt idx="0">
                  <c:v>0</c:v>
                </c:pt>
                <c:pt idx="1">
                  <c:v>4.3989819890368045</c:v>
                </c:pt>
                <c:pt idx="2">
                  <c:v>5.704702076610805</c:v>
                </c:pt>
                <c:pt idx="3">
                  <c:v>16.428347689898199</c:v>
                </c:pt>
                <c:pt idx="4">
                  <c:v>21</c:v>
                </c:pt>
              </c:numCache>
            </c:numRef>
          </c:yVal>
          <c:smooth val="0"/>
        </c:ser>
        <c:dLbls>
          <c:showLegendKey val="0"/>
          <c:showVal val="0"/>
          <c:showCatName val="0"/>
          <c:showSerName val="0"/>
          <c:showPercent val="0"/>
          <c:showBubbleSize val="0"/>
        </c:dLbls>
        <c:axId val="131945600"/>
        <c:axId val="131947136"/>
      </c:scatterChart>
      <c:valAx>
        <c:axId val="131945600"/>
        <c:scaling>
          <c:orientation val="minMax"/>
          <c:max val="100"/>
          <c:min val="0"/>
        </c:scaling>
        <c:delete val="0"/>
        <c:axPos val="b"/>
        <c:numFmt formatCode="0" sourceLinked="0"/>
        <c:majorTickMark val="out"/>
        <c:minorTickMark val="none"/>
        <c:tickLblPos val="nextTo"/>
        <c:crossAx val="131947136"/>
        <c:crosses val="autoZero"/>
        <c:crossBetween val="midCat"/>
      </c:valAx>
      <c:valAx>
        <c:axId val="131947136"/>
        <c:scaling>
          <c:orientation val="minMax"/>
          <c:min val="0"/>
        </c:scaling>
        <c:delete val="0"/>
        <c:axPos val="l"/>
        <c:majorGridlines/>
        <c:numFmt formatCode="0" sourceLinked="0"/>
        <c:majorTickMark val="out"/>
        <c:minorTickMark val="none"/>
        <c:tickLblPos val="nextTo"/>
        <c:crossAx val="131945600"/>
        <c:crosses val="autoZero"/>
        <c:crossBetween val="midCat"/>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FROND_NERVURE_Geom!$AF$13:$AF$37</c:f>
              <c:numCache>
                <c:formatCode>0.00</c:formatCode>
                <c:ptCount val="25"/>
                <c:pt idx="0">
                  <c:v>0</c:v>
                </c:pt>
                <c:pt idx="1">
                  <c:v>44.094863544273622</c:v>
                </c:pt>
                <c:pt idx="2">
                  <c:v>62.729909029515746</c:v>
                </c:pt>
                <c:pt idx="3">
                  <c:v>81.364954514757869</c:v>
                </c:pt>
                <c:pt idx="4">
                  <c:v>100</c:v>
                </c:pt>
              </c:numCache>
            </c:numRef>
          </c:xVal>
          <c:yVal>
            <c:numRef>
              <c:f>FROND_NERVURE_Geom!$AG$13:$AG$37</c:f>
              <c:numCache>
                <c:formatCode>0.00</c:formatCode>
                <c:ptCount val="25"/>
                <c:pt idx="0">
                  <c:v>0</c:v>
                </c:pt>
                <c:pt idx="1">
                  <c:v>13.825371965544246</c:v>
                </c:pt>
                <c:pt idx="2">
                  <c:v>17.929063669348245</c:v>
                </c:pt>
                <c:pt idx="3">
                  <c:v>51.631949882537192</c:v>
                </c:pt>
                <c:pt idx="4">
                  <c:v>66</c:v>
                </c:pt>
              </c:numCache>
            </c:numRef>
          </c:yVal>
          <c:smooth val="0"/>
        </c:ser>
        <c:dLbls>
          <c:showLegendKey val="0"/>
          <c:showVal val="0"/>
          <c:showCatName val="0"/>
          <c:showSerName val="0"/>
          <c:showPercent val="0"/>
          <c:showBubbleSize val="0"/>
        </c:dLbls>
        <c:axId val="131983232"/>
        <c:axId val="131984768"/>
      </c:scatterChart>
      <c:valAx>
        <c:axId val="131983232"/>
        <c:scaling>
          <c:orientation val="minMax"/>
          <c:max val="100"/>
          <c:min val="0"/>
        </c:scaling>
        <c:delete val="0"/>
        <c:axPos val="b"/>
        <c:numFmt formatCode="0" sourceLinked="0"/>
        <c:majorTickMark val="out"/>
        <c:minorTickMark val="none"/>
        <c:tickLblPos val="nextTo"/>
        <c:crossAx val="131984768"/>
        <c:crosses val="autoZero"/>
        <c:crossBetween val="midCat"/>
      </c:valAx>
      <c:valAx>
        <c:axId val="131984768"/>
        <c:scaling>
          <c:orientation val="minMax"/>
          <c:min val="0"/>
        </c:scaling>
        <c:delete val="0"/>
        <c:axPos val="l"/>
        <c:majorGridlines/>
        <c:numFmt formatCode="0" sourceLinked="0"/>
        <c:majorTickMark val="out"/>
        <c:minorTickMark val="none"/>
        <c:tickLblPos val="nextTo"/>
        <c:crossAx val="131983232"/>
        <c:crosses val="autoZero"/>
        <c:crossBetween val="midCat"/>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FROND_NERVURE_Geom!$Y$13:$Y$37</c:f>
              <c:numCache>
                <c:formatCode>0.00</c:formatCode>
                <c:ptCount val="25"/>
                <c:pt idx="0">
                  <c:v>0</c:v>
                </c:pt>
                <c:pt idx="1">
                  <c:v>5.15970515970516</c:v>
                </c:pt>
                <c:pt idx="2">
                  <c:v>19.237669202955026</c:v>
                </c:pt>
                <c:pt idx="3">
                  <c:v>99.99</c:v>
                </c:pt>
                <c:pt idx="4">
                  <c:v>100</c:v>
                </c:pt>
              </c:numCache>
            </c:numRef>
          </c:xVal>
          <c:yVal>
            <c:numRef>
              <c:f>FROND_NERVURE_Geom!$Z$13:$Z$37</c:f>
              <c:numCache>
                <c:formatCode>0.00</c:formatCode>
                <c:ptCount val="25"/>
                <c:pt idx="0">
                  <c:v>0</c:v>
                </c:pt>
                <c:pt idx="1">
                  <c:v>8.9230769230769234</c:v>
                </c:pt>
                <c:pt idx="2">
                  <c:v>16.883714734331463</c:v>
                </c:pt>
                <c:pt idx="3">
                  <c:v>20.865384615384617</c:v>
                </c:pt>
                <c:pt idx="4">
                  <c:v>21.365384615384617</c:v>
                </c:pt>
              </c:numCache>
            </c:numRef>
          </c:yVal>
          <c:smooth val="0"/>
        </c:ser>
        <c:ser>
          <c:idx val="1"/>
          <c:order val="1"/>
          <c:xVal>
            <c:numRef>
              <c:f>FROND_NERVURE_Geom!$AA$13:$AA$37</c:f>
              <c:numCache>
                <c:formatCode>0.00</c:formatCode>
                <c:ptCount val="25"/>
                <c:pt idx="0">
                  <c:v>0</c:v>
                </c:pt>
                <c:pt idx="1">
                  <c:v>5.3228419347373288</c:v>
                </c:pt>
                <c:pt idx="2">
                  <c:v>17.834372324073779</c:v>
                </c:pt>
                <c:pt idx="3">
                  <c:v>70.043865825218518</c:v>
                </c:pt>
                <c:pt idx="4">
                  <c:v>100</c:v>
                </c:pt>
              </c:numCache>
            </c:numRef>
          </c:xVal>
          <c:yVal>
            <c:numRef>
              <c:f>FROND_NERVURE_Geom!$AB$13:$AB$37</c:f>
              <c:numCache>
                <c:formatCode>0.00</c:formatCode>
                <c:ptCount val="25"/>
                <c:pt idx="0">
                  <c:v>0</c:v>
                </c:pt>
                <c:pt idx="1">
                  <c:v>20.576923076923077</c:v>
                </c:pt>
                <c:pt idx="2">
                  <c:v>26.684632057992665</c:v>
                </c:pt>
                <c:pt idx="3">
                  <c:v>76.84615384615384</c:v>
                </c:pt>
                <c:pt idx="4">
                  <c:v>98.230769230769226</c:v>
                </c:pt>
              </c:numCache>
            </c:numRef>
          </c:yVal>
          <c:smooth val="0"/>
        </c:ser>
        <c:dLbls>
          <c:showLegendKey val="0"/>
          <c:showVal val="0"/>
          <c:showCatName val="0"/>
          <c:showSerName val="0"/>
          <c:showPercent val="0"/>
          <c:showBubbleSize val="0"/>
        </c:dLbls>
        <c:axId val="132136320"/>
        <c:axId val="132158592"/>
      </c:scatterChart>
      <c:valAx>
        <c:axId val="132136320"/>
        <c:scaling>
          <c:orientation val="minMax"/>
          <c:max val="100"/>
          <c:min val="0"/>
        </c:scaling>
        <c:delete val="0"/>
        <c:axPos val="b"/>
        <c:numFmt formatCode="0" sourceLinked="0"/>
        <c:majorTickMark val="out"/>
        <c:minorTickMark val="none"/>
        <c:tickLblPos val="nextTo"/>
        <c:crossAx val="132158592"/>
        <c:crosses val="autoZero"/>
        <c:crossBetween val="midCat"/>
      </c:valAx>
      <c:valAx>
        <c:axId val="132158592"/>
        <c:scaling>
          <c:orientation val="minMax"/>
          <c:min val="0"/>
        </c:scaling>
        <c:delete val="0"/>
        <c:axPos val="l"/>
        <c:majorGridlines/>
        <c:numFmt formatCode="0" sourceLinked="0"/>
        <c:majorTickMark val="out"/>
        <c:minorTickMark val="none"/>
        <c:tickLblPos val="nextTo"/>
        <c:crossAx val="132136320"/>
        <c:crosses val="autoZero"/>
        <c:crossBetween val="midCat"/>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FROND_NERVURE_Geom!$AO$13:$AO$37</c:f>
              <c:numCache>
                <c:formatCode>General</c:formatCode>
                <c:ptCount val="25"/>
                <c:pt idx="0">
                  <c:v>1</c:v>
                </c:pt>
                <c:pt idx="1">
                  <c:v>57</c:v>
                </c:pt>
                <c:pt idx="2">
                  <c:v>83</c:v>
                </c:pt>
              </c:numCache>
            </c:numRef>
          </c:xVal>
          <c:yVal>
            <c:numRef>
              <c:f>FROND_NERVURE_Geom!$AP$13:$AP$37</c:f>
              <c:numCache>
                <c:formatCode>0.00</c:formatCode>
                <c:ptCount val="25"/>
                <c:pt idx="0">
                  <c:v>0.5</c:v>
                </c:pt>
                <c:pt idx="1">
                  <c:v>0.80952380952380953</c:v>
                </c:pt>
                <c:pt idx="2">
                  <c:v>1</c:v>
                </c:pt>
              </c:numCache>
            </c:numRef>
          </c:yVal>
          <c:smooth val="0"/>
        </c:ser>
        <c:dLbls>
          <c:showLegendKey val="0"/>
          <c:showVal val="0"/>
          <c:showCatName val="0"/>
          <c:showSerName val="0"/>
          <c:showPercent val="0"/>
          <c:showBubbleSize val="0"/>
        </c:dLbls>
        <c:axId val="132174208"/>
        <c:axId val="132175744"/>
      </c:scatterChart>
      <c:valAx>
        <c:axId val="132174208"/>
        <c:scaling>
          <c:orientation val="minMax"/>
          <c:min val="0"/>
        </c:scaling>
        <c:delete val="0"/>
        <c:axPos val="b"/>
        <c:numFmt formatCode="0" sourceLinked="0"/>
        <c:majorTickMark val="out"/>
        <c:minorTickMark val="none"/>
        <c:tickLblPos val="nextTo"/>
        <c:crossAx val="132175744"/>
        <c:crosses val="autoZero"/>
        <c:crossBetween val="midCat"/>
      </c:valAx>
      <c:valAx>
        <c:axId val="132175744"/>
        <c:scaling>
          <c:orientation val="minMax"/>
          <c:max val="1"/>
          <c:min val="0"/>
        </c:scaling>
        <c:delete val="0"/>
        <c:axPos val="l"/>
        <c:majorGridlines/>
        <c:numFmt formatCode="0.00" sourceLinked="0"/>
        <c:majorTickMark val="out"/>
        <c:minorTickMark val="none"/>
        <c:tickLblPos val="nextTo"/>
        <c:crossAx val="132174208"/>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3"/>
    </mc:Choice>
    <mc:Fallback>
      <c:style val="43"/>
    </mc:Fallback>
  </mc:AlternateContent>
  <c:chart>
    <c:autoTitleDeleted val="0"/>
    <c:plotArea>
      <c:layout>
        <c:manualLayout>
          <c:layoutTarget val="inner"/>
          <c:xMode val="edge"/>
          <c:yMode val="edge"/>
          <c:x val="0.1545304397925869"/>
          <c:y val="3.9498509288280713E-2"/>
          <c:w val="0.88301159230096238"/>
          <c:h val="0.87891586468358118"/>
        </c:manualLayout>
      </c:layout>
      <c:scatterChart>
        <c:scatterStyle val="lineMarker"/>
        <c:varyColors val="0"/>
        <c:ser>
          <c:idx val="0"/>
          <c:order val="0"/>
          <c:xVal>
            <c:numRef>
              <c:f>STEM_Geom!$S$13:$S$37</c:f>
              <c:numCache>
                <c:formatCode>General</c:formatCode>
                <c:ptCount val="25"/>
                <c:pt idx="0">
                  <c:v>1</c:v>
                </c:pt>
                <c:pt idx="1">
                  <c:v>5</c:v>
                </c:pt>
                <c:pt idx="2">
                  <c:v>10</c:v>
                </c:pt>
                <c:pt idx="3">
                  <c:v>20</c:v>
                </c:pt>
                <c:pt idx="4">
                  <c:v>36</c:v>
                </c:pt>
              </c:numCache>
            </c:numRef>
          </c:xVal>
          <c:yVal>
            <c:numRef>
              <c:f>STEM_Geom!$T$13:$T$37</c:f>
              <c:numCache>
                <c:formatCode>0.00</c:formatCode>
                <c:ptCount val="25"/>
                <c:pt idx="0">
                  <c:v>0.1</c:v>
                </c:pt>
                <c:pt idx="1">
                  <c:v>0.6</c:v>
                </c:pt>
                <c:pt idx="2">
                  <c:v>0.75</c:v>
                </c:pt>
                <c:pt idx="3">
                  <c:v>0.85</c:v>
                </c:pt>
                <c:pt idx="4">
                  <c:v>1</c:v>
                </c:pt>
              </c:numCache>
            </c:numRef>
          </c:yVal>
          <c:smooth val="0"/>
        </c:ser>
        <c:dLbls>
          <c:showLegendKey val="0"/>
          <c:showVal val="0"/>
          <c:showCatName val="0"/>
          <c:showSerName val="0"/>
          <c:showPercent val="0"/>
          <c:showBubbleSize val="0"/>
        </c:dLbls>
        <c:axId val="125956096"/>
        <c:axId val="125957632"/>
      </c:scatterChart>
      <c:valAx>
        <c:axId val="125956096"/>
        <c:scaling>
          <c:orientation val="minMax"/>
          <c:min val="0"/>
        </c:scaling>
        <c:delete val="0"/>
        <c:axPos val="b"/>
        <c:numFmt formatCode="0" sourceLinked="0"/>
        <c:majorTickMark val="out"/>
        <c:minorTickMark val="none"/>
        <c:tickLblPos val="nextTo"/>
        <c:crossAx val="125957632"/>
        <c:crosses val="autoZero"/>
        <c:crossBetween val="midCat"/>
      </c:valAx>
      <c:valAx>
        <c:axId val="125957632"/>
        <c:scaling>
          <c:orientation val="minMax"/>
          <c:max val="1"/>
          <c:min val="0"/>
        </c:scaling>
        <c:delete val="0"/>
        <c:axPos val="l"/>
        <c:majorGridlines/>
        <c:numFmt formatCode="0.00" sourceLinked="0"/>
        <c:majorTickMark val="out"/>
        <c:minorTickMark val="none"/>
        <c:tickLblPos val="nextTo"/>
        <c:crossAx val="125956096"/>
        <c:crosses val="autoZero"/>
        <c:crossBetween val="midCat"/>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FROND_NERVURE_Geom!$AI$13:$AI$37</c:f>
              <c:numCache>
                <c:formatCode>General</c:formatCode>
                <c:ptCount val="25"/>
                <c:pt idx="0">
                  <c:v>1</c:v>
                </c:pt>
                <c:pt idx="1">
                  <c:v>57</c:v>
                </c:pt>
                <c:pt idx="2">
                  <c:v>83</c:v>
                </c:pt>
              </c:numCache>
            </c:numRef>
          </c:xVal>
          <c:yVal>
            <c:numRef>
              <c:f>FROND_NERVURE_Geom!$AJ$13:$AJ$37</c:f>
              <c:numCache>
                <c:formatCode>0.00</c:formatCode>
                <c:ptCount val="25"/>
                <c:pt idx="0">
                  <c:v>0.1</c:v>
                </c:pt>
                <c:pt idx="1">
                  <c:v>0.90909090909090906</c:v>
                </c:pt>
                <c:pt idx="2">
                  <c:v>1</c:v>
                </c:pt>
              </c:numCache>
            </c:numRef>
          </c:yVal>
          <c:smooth val="0"/>
        </c:ser>
        <c:dLbls>
          <c:showLegendKey val="0"/>
          <c:showVal val="0"/>
          <c:showCatName val="0"/>
          <c:showSerName val="0"/>
          <c:showPercent val="0"/>
          <c:showBubbleSize val="0"/>
        </c:dLbls>
        <c:axId val="132211840"/>
        <c:axId val="132213376"/>
      </c:scatterChart>
      <c:valAx>
        <c:axId val="132211840"/>
        <c:scaling>
          <c:orientation val="minMax"/>
          <c:min val="0"/>
        </c:scaling>
        <c:delete val="0"/>
        <c:axPos val="b"/>
        <c:numFmt formatCode="0" sourceLinked="0"/>
        <c:majorTickMark val="out"/>
        <c:minorTickMark val="none"/>
        <c:tickLblPos val="nextTo"/>
        <c:crossAx val="132213376"/>
        <c:crosses val="autoZero"/>
        <c:crossBetween val="midCat"/>
      </c:valAx>
      <c:valAx>
        <c:axId val="132213376"/>
        <c:scaling>
          <c:orientation val="minMax"/>
          <c:max val="1"/>
          <c:min val="0"/>
        </c:scaling>
        <c:delete val="0"/>
        <c:axPos val="l"/>
        <c:majorGridlines/>
        <c:numFmt formatCode="0.00" sourceLinked="0"/>
        <c:majorTickMark val="out"/>
        <c:minorTickMark val="none"/>
        <c:tickLblPos val="nextTo"/>
        <c:crossAx val="132211840"/>
        <c:crosses val="autoZero"/>
        <c:crossBetween val="midCat"/>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FROND_NERVURE_Geom!$C$13:$C$37</c:f>
              <c:numCache>
                <c:formatCode>General</c:formatCode>
                <c:ptCount val="25"/>
                <c:pt idx="0">
                  <c:v>1</c:v>
                </c:pt>
                <c:pt idx="1">
                  <c:v>28</c:v>
                </c:pt>
                <c:pt idx="2">
                  <c:v>114</c:v>
                </c:pt>
                <c:pt idx="3">
                  <c:v>124</c:v>
                </c:pt>
                <c:pt idx="4">
                  <c:v>295</c:v>
                </c:pt>
              </c:numCache>
            </c:numRef>
          </c:xVal>
          <c:yVal>
            <c:numRef>
              <c:f>FROND_NERVURE_Geom!$F$13:$F$37</c:f>
              <c:numCache>
                <c:formatCode>0.00</c:formatCode>
                <c:ptCount val="25"/>
                <c:pt idx="0">
                  <c:v>4</c:v>
                </c:pt>
                <c:pt idx="1">
                  <c:v>6</c:v>
                </c:pt>
                <c:pt idx="2">
                  <c:v>8</c:v>
                </c:pt>
                <c:pt idx="3">
                  <c:v>10</c:v>
                </c:pt>
                <c:pt idx="4">
                  <c:v>5</c:v>
                </c:pt>
              </c:numCache>
            </c:numRef>
          </c:yVal>
          <c:smooth val="0"/>
        </c:ser>
        <c:dLbls>
          <c:showLegendKey val="0"/>
          <c:showVal val="0"/>
          <c:showCatName val="0"/>
          <c:showSerName val="0"/>
          <c:showPercent val="0"/>
          <c:showBubbleSize val="0"/>
        </c:dLbls>
        <c:axId val="132244992"/>
        <c:axId val="132246912"/>
      </c:scatterChart>
      <c:valAx>
        <c:axId val="132244992"/>
        <c:scaling>
          <c:orientation val="minMax"/>
        </c:scaling>
        <c:delete val="0"/>
        <c:axPos val="b"/>
        <c:numFmt formatCode="0" sourceLinked="0"/>
        <c:majorTickMark val="out"/>
        <c:minorTickMark val="none"/>
        <c:tickLblPos val="nextTo"/>
        <c:crossAx val="132246912"/>
        <c:crosses val="autoZero"/>
        <c:crossBetween val="midCat"/>
      </c:valAx>
      <c:valAx>
        <c:axId val="132246912"/>
        <c:scaling>
          <c:orientation val="minMax"/>
        </c:scaling>
        <c:delete val="0"/>
        <c:axPos val="l"/>
        <c:majorGridlines/>
        <c:numFmt formatCode="0" sourceLinked="0"/>
        <c:majorTickMark val="out"/>
        <c:minorTickMark val="none"/>
        <c:tickLblPos val="nextTo"/>
        <c:crossAx val="132244992"/>
        <c:crosses val="autoZero"/>
        <c:crossBetween val="midCat"/>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PINNAE_Prod!$AB$13:$AB$37</c:f>
              <c:numCache>
                <c:formatCode>0.00</c:formatCode>
                <c:ptCount val="25"/>
                <c:pt idx="0">
                  <c:v>0</c:v>
                </c:pt>
                <c:pt idx="1">
                  <c:v>50</c:v>
                </c:pt>
                <c:pt idx="2">
                  <c:v>40</c:v>
                </c:pt>
                <c:pt idx="3">
                  <c:v>80</c:v>
                </c:pt>
                <c:pt idx="4">
                  <c:v>100</c:v>
                </c:pt>
                <c:pt idx="5">
                  <c:v>100</c:v>
                </c:pt>
                <c:pt idx="6">
                  <c:v>87.5</c:v>
                </c:pt>
                <c:pt idx="7">
                  <c:v>69.230769230769226</c:v>
                </c:pt>
                <c:pt idx="8">
                  <c:v>55.882352941176471</c:v>
                </c:pt>
                <c:pt idx="9">
                  <c:v>64.444444444444443</c:v>
                </c:pt>
                <c:pt idx="10">
                  <c:v>55.555555555555557</c:v>
                </c:pt>
                <c:pt idx="11">
                  <c:v>56.666666666666664</c:v>
                </c:pt>
                <c:pt idx="12">
                  <c:v>0</c:v>
                </c:pt>
              </c:numCache>
            </c:numRef>
          </c:yVal>
          <c:smooth val="0"/>
        </c:ser>
        <c:ser>
          <c:idx val="1"/>
          <c:order val="1"/>
          <c:tx>
            <c:strRef>
              <c:f>PINNAE_Prod!$AC$8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PINNAE_Prod!$AC$13:$AC$37</c:f>
              <c:numCache>
                <c:formatCode>0.00</c:formatCode>
                <c:ptCount val="25"/>
                <c:pt idx="0">
                  <c:v>0</c:v>
                </c:pt>
                <c:pt idx="1">
                  <c:v>0</c:v>
                </c:pt>
                <c:pt idx="2">
                  <c:v>0</c:v>
                </c:pt>
                <c:pt idx="3">
                  <c:v>0</c:v>
                </c:pt>
                <c:pt idx="4">
                  <c:v>0</c:v>
                </c:pt>
                <c:pt idx="5">
                  <c:v>0</c:v>
                </c:pt>
                <c:pt idx="6">
                  <c:v>12.5</c:v>
                </c:pt>
                <c:pt idx="7">
                  <c:v>30.76923076923077</c:v>
                </c:pt>
                <c:pt idx="8">
                  <c:v>44.117647058823529</c:v>
                </c:pt>
                <c:pt idx="9">
                  <c:v>31.111111111111111</c:v>
                </c:pt>
                <c:pt idx="10">
                  <c:v>38.888888888888886</c:v>
                </c:pt>
                <c:pt idx="11">
                  <c:v>10</c:v>
                </c:pt>
                <c:pt idx="12">
                  <c:v>0</c:v>
                </c:pt>
              </c:numCache>
            </c:numRef>
          </c:yVal>
          <c:smooth val="0"/>
        </c:ser>
        <c:ser>
          <c:idx val="2"/>
          <c:order val="2"/>
          <c:tx>
            <c:strRef>
              <c:f>PINNAE_Prod!$AA$8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PINNAE_Prod!$AA$13:$AA$37</c:f>
              <c:numCache>
                <c:formatCode>0.00</c:formatCode>
                <c:ptCount val="25"/>
                <c:pt idx="0">
                  <c:v>100</c:v>
                </c:pt>
                <c:pt idx="1">
                  <c:v>50</c:v>
                </c:pt>
                <c:pt idx="2">
                  <c:v>60</c:v>
                </c:pt>
                <c:pt idx="3">
                  <c:v>20</c:v>
                </c:pt>
                <c:pt idx="4">
                  <c:v>0</c:v>
                </c:pt>
                <c:pt idx="5">
                  <c:v>0</c:v>
                </c:pt>
                <c:pt idx="6">
                  <c:v>0</c:v>
                </c:pt>
                <c:pt idx="7">
                  <c:v>0</c:v>
                </c:pt>
                <c:pt idx="8">
                  <c:v>0</c:v>
                </c:pt>
                <c:pt idx="9">
                  <c:v>4.4444444444444446</c:v>
                </c:pt>
                <c:pt idx="10">
                  <c:v>5.5555555555555554</c:v>
                </c:pt>
                <c:pt idx="11">
                  <c:v>33.333333333333336</c:v>
                </c:pt>
                <c:pt idx="12">
                  <c:v>100</c:v>
                </c:pt>
              </c:numCache>
            </c:numRef>
          </c:yVal>
          <c:smooth val="0"/>
        </c:ser>
        <c:ser>
          <c:idx val="3"/>
          <c:order val="3"/>
          <c:tx>
            <c:strRef>
              <c:f>PINNAE_Prod!$AD$8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PINNAE_Prod!$AD$13:$AD$37</c:f>
              <c:numCache>
                <c:formatCode>0.00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ser>
        <c:dLbls>
          <c:showLegendKey val="0"/>
          <c:showVal val="0"/>
          <c:showCatName val="0"/>
          <c:showSerName val="0"/>
          <c:showPercent val="0"/>
          <c:showBubbleSize val="0"/>
        </c:dLbls>
        <c:axId val="132667264"/>
        <c:axId val="132668800"/>
      </c:scatterChart>
      <c:valAx>
        <c:axId val="132667264"/>
        <c:scaling>
          <c:orientation val="minMax"/>
          <c:max val="100"/>
          <c:min val="0"/>
        </c:scaling>
        <c:delete val="0"/>
        <c:axPos val="b"/>
        <c:numFmt formatCode="0" sourceLinked="0"/>
        <c:majorTickMark val="out"/>
        <c:minorTickMark val="none"/>
        <c:tickLblPos val="nextTo"/>
        <c:crossAx val="132668800"/>
        <c:crosses val="autoZero"/>
        <c:crossBetween val="midCat"/>
      </c:valAx>
      <c:valAx>
        <c:axId val="132668800"/>
        <c:scaling>
          <c:orientation val="minMax"/>
          <c:max val="100"/>
          <c:min val="0"/>
        </c:scaling>
        <c:delete val="0"/>
        <c:axPos val="l"/>
        <c:majorGridlines/>
        <c:numFmt formatCode="0" sourceLinked="0"/>
        <c:majorTickMark val="out"/>
        <c:minorTickMark val="none"/>
        <c:tickLblPos val="nextTo"/>
        <c:crossAx val="132667264"/>
        <c:crosses val="autoZero"/>
        <c:crossBetween val="midCat"/>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5454068241469816"/>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PINNAE_Prod!$AG$13:$AG$37</c:f>
              <c:numCache>
                <c:formatCode>0.00</c:formatCode>
                <c:ptCount val="25"/>
                <c:pt idx="0">
                  <c:v>3.65</c:v>
                </c:pt>
                <c:pt idx="1">
                  <c:v>9.9500000000000028</c:v>
                </c:pt>
                <c:pt idx="2">
                  <c:v>2.7380952380952386</c:v>
                </c:pt>
                <c:pt idx="3">
                  <c:v>14.840000000000003</c:v>
                </c:pt>
                <c:pt idx="4">
                  <c:v>16.716666666666669</c:v>
                </c:pt>
                <c:pt idx="5">
                  <c:v>14.542857142857139</c:v>
                </c:pt>
                <c:pt idx="6">
                  <c:v>11.8775</c:v>
                </c:pt>
                <c:pt idx="7">
                  <c:v>9.0576923076923066</c:v>
                </c:pt>
                <c:pt idx="8">
                  <c:v>4.6897058823529401</c:v>
                </c:pt>
                <c:pt idx="9">
                  <c:v>2.4355555555555575</c:v>
                </c:pt>
                <c:pt idx="10">
                  <c:v>4.0555555555555589</c:v>
                </c:pt>
                <c:pt idx="11">
                  <c:v>3.4000000000000035</c:v>
                </c:pt>
                <c:pt idx="12">
                  <c:v>0.01</c:v>
                </c:pt>
              </c:numCache>
            </c:numRef>
          </c:yVal>
          <c:smooth val="0"/>
        </c:ser>
        <c:ser>
          <c:idx val="1"/>
          <c:order val="1"/>
          <c:tx>
            <c:strRef>
              <c:f>PINNAE_Prod!$AC$8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PINNAE_Prod!$AI$13:$AI$37</c:f>
              <c:numCache>
                <c:formatCode>0.00</c:formatCode>
                <c:ptCount val="25"/>
                <c:pt idx="0">
                  <c:v>3.65</c:v>
                </c:pt>
                <c:pt idx="1">
                  <c:v>4.5599999999999996</c:v>
                </c:pt>
                <c:pt idx="2">
                  <c:v>3.0499999999999972</c:v>
                </c:pt>
                <c:pt idx="3">
                  <c:v>2.6499999999999986</c:v>
                </c:pt>
                <c:pt idx="4">
                  <c:v>1.7</c:v>
                </c:pt>
                <c:pt idx="5">
                  <c:v>1.6250000000000018</c:v>
                </c:pt>
                <c:pt idx="6">
                  <c:v>1.7125000000000021</c:v>
                </c:pt>
                <c:pt idx="7">
                  <c:v>0.76857142857142857</c:v>
                </c:pt>
                <c:pt idx="8">
                  <c:v>2.8770000000000016</c:v>
                </c:pt>
                <c:pt idx="9">
                  <c:v>1.6067796610169485</c:v>
                </c:pt>
                <c:pt idx="10">
                  <c:v>1.9119999999999937</c:v>
                </c:pt>
                <c:pt idx="11">
                  <c:v>1.8526315789473649</c:v>
                </c:pt>
                <c:pt idx="12">
                  <c:v>0.01</c:v>
                </c:pt>
              </c:numCache>
            </c:numRef>
          </c:yVal>
          <c:smooth val="0"/>
        </c:ser>
        <c:dLbls>
          <c:showLegendKey val="0"/>
          <c:showVal val="0"/>
          <c:showCatName val="0"/>
          <c:showSerName val="0"/>
          <c:showPercent val="0"/>
          <c:showBubbleSize val="0"/>
        </c:dLbls>
        <c:axId val="132845568"/>
        <c:axId val="132847104"/>
      </c:scatterChart>
      <c:valAx>
        <c:axId val="132845568"/>
        <c:scaling>
          <c:orientation val="minMax"/>
          <c:max val="100"/>
          <c:min val="0"/>
        </c:scaling>
        <c:delete val="0"/>
        <c:axPos val="b"/>
        <c:numFmt formatCode="0" sourceLinked="0"/>
        <c:majorTickMark val="out"/>
        <c:minorTickMark val="none"/>
        <c:tickLblPos val="nextTo"/>
        <c:crossAx val="132847104"/>
        <c:crosses val="autoZero"/>
        <c:crossBetween val="midCat"/>
      </c:valAx>
      <c:valAx>
        <c:axId val="132847104"/>
        <c:scaling>
          <c:orientation val="minMax"/>
          <c:min val="0"/>
        </c:scaling>
        <c:delete val="0"/>
        <c:axPos val="l"/>
        <c:majorGridlines/>
        <c:numFmt formatCode="0" sourceLinked="0"/>
        <c:majorTickMark val="out"/>
        <c:minorTickMark val="none"/>
        <c:tickLblPos val="nextTo"/>
        <c:crossAx val="132845568"/>
        <c:crosses val="autoZero"/>
        <c:crossBetween val="midCat"/>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4.46712278523579E-2"/>
          <c:y val="3.9024896234219869E-2"/>
          <c:w val="0.92998976586812587"/>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numRef>
              <c:f>PINNAE_Prod!$BH$13:$BH$37</c:f>
              <c:numCache>
                <c:formatCode>0.0000</c:formatCode>
                <c:ptCount val="25"/>
                <c:pt idx="0">
                  <c:v>0</c:v>
                </c:pt>
                <c:pt idx="1">
                  <c:v>5.3605555861977985</c:v>
                </c:pt>
                <c:pt idx="2">
                  <c:v>10</c:v>
                </c:pt>
                <c:pt idx="3">
                  <c:v>20</c:v>
                </c:pt>
                <c:pt idx="4">
                  <c:v>26.922669813782981</c:v>
                </c:pt>
                <c:pt idx="5">
                  <c:v>28.402760758696882</c:v>
                </c:pt>
                <c:pt idx="6">
                  <c:v>30</c:v>
                </c:pt>
                <c:pt idx="7">
                  <c:v>40</c:v>
                </c:pt>
                <c:pt idx="8">
                  <c:v>50</c:v>
                </c:pt>
                <c:pt idx="9">
                  <c:v>60</c:v>
                </c:pt>
                <c:pt idx="10">
                  <c:v>70</c:v>
                </c:pt>
                <c:pt idx="11">
                  <c:v>80</c:v>
                </c:pt>
                <c:pt idx="12">
                  <c:v>90</c:v>
                </c:pt>
                <c:pt idx="13">
                  <c:v>97.736572490101764</c:v>
                </c:pt>
                <c:pt idx="14">
                  <c:v>98.474693898206965</c:v>
                </c:pt>
                <c:pt idx="15">
                  <c:v>99.115172061249353</c:v>
                </c:pt>
                <c:pt idx="16">
                  <c:v>99.665653482478291</c:v>
                </c:pt>
              </c:numCache>
            </c:numRef>
          </c:xVal>
          <c:yVal>
            <c:numRef>
              <c:f>PINNAE_Prod!$BI$13:$BI$37</c:f>
              <c:numCache>
                <c:formatCode>0.00</c:formatCode>
                <c:ptCount val="25"/>
                <c:pt idx="0">
                  <c:v>20.5</c:v>
                </c:pt>
                <c:pt idx="1">
                  <c:v>46.8</c:v>
                </c:pt>
                <c:pt idx="2">
                  <c:v>24.25</c:v>
                </c:pt>
                <c:pt idx="3">
                  <c:v>14.774999999999999</c:v>
                </c:pt>
                <c:pt idx="4">
                  <c:v>12</c:v>
                </c:pt>
                <c:pt idx="5">
                  <c:v>13.399999999999999</c:v>
                </c:pt>
                <c:pt idx="6">
                  <c:v>12.65</c:v>
                </c:pt>
                <c:pt idx="7">
                  <c:v>10.55</c:v>
                </c:pt>
                <c:pt idx="8">
                  <c:v>20.2</c:v>
                </c:pt>
                <c:pt idx="9">
                  <c:v>18.974999999999998</c:v>
                </c:pt>
                <c:pt idx="10">
                  <c:v>14.825000000000001</c:v>
                </c:pt>
                <c:pt idx="11">
                  <c:v>14.025</c:v>
                </c:pt>
                <c:pt idx="12">
                  <c:v>12.6</c:v>
                </c:pt>
                <c:pt idx="13">
                  <c:v>19.8</c:v>
                </c:pt>
                <c:pt idx="14">
                  <c:v>14.149999999999999</c:v>
                </c:pt>
                <c:pt idx="15">
                  <c:v>13.100000000000001</c:v>
                </c:pt>
                <c:pt idx="16">
                  <c:v>10.8</c:v>
                </c:pt>
              </c:numCache>
            </c:numRef>
          </c:yVal>
          <c:smooth val="0"/>
        </c:ser>
        <c:ser>
          <c:idx val="1"/>
          <c:order val="1"/>
          <c:tx>
            <c:strRef>
              <c:f>PINNAE_Prod!$AC$8</c:f>
              <c:strCache>
                <c:ptCount val="1"/>
                <c:pt idx="0">
                  <c:v>Mean</c:v>
                </c:pt>
              </c:strCache>
            </c:strRef>
          </c:tx>
          <c:xVal>
            <c:numRef>
              <c:f>PINNAE_Prod!$BK$13:$BK$37</c:f>
              <c:numCache>
                <c:formatCode>0.0000</c:formatCode>
                <c:ptCount val="25"/>
                <c:pt idx="0">
                  <c:v>0</c:v>
                </c:pt>
                <c:pt idx="1">
                  <c:v>10</c:v>
                </c:pt>
                <c:pt idx="2">
                  <c:v>40</c:v>
                </c:pt>
                <c:pt idx="3">
                  <c:v>50</c:v>
                </c:pt>
                <c:pt idx="4">
                  <c:v>60</c:v>
                </c:pt>
                <c:pt idx="5">
                  <c:v>70</c:v>
                </c:pt>
                <c:pt idx="6">
                  <c:v>80</c:v>
                </c:pt>
                <c:pt idx="7">
                  <c:v>90</c:v>
                </c:pt>
                <c:pt idx="8">
                  <c:v>98.474693898206965</c:v>
                </c:pt>
                <c:pt idx="9">
                  <c:v>99.665653482478291</c:v>
                </c:pt>
                <c:pt idx="10">
                  <c:v>99.951573567634654</c:v>
                </c:pt>
                <c:pt idx="11">
                  <c:v>100</c:v>
                </c:pt>
              </c:numCache>
            </c:numRef>
          </c:xVal>
          <c:yVal>
            <c:numRef>
              <c:f>PINNAE_Prod!$BL$13:$BL$37</c:f>
              <c:numCache>
                <c:formatCode>0.00</c:formatCode>
                <c:ptCount val="25"/>
                <c:pt idx="0">
                  <c:v>20.5</c:v>
                </c:pt>
                <c:pt idx="1">
                  <c:v>32.549999999999997</c:v>
                </c:pt>
                <c:pt idx="2">
                  <c:v>13.6</c:v>
                </c:pt>
                <c:pt idx="3">
                  <c:v>9.8000000000000007</c:v>
                </c:pt>
                <c:pt idx="4">
                  <c:v>20.45</c:v>
                </c:pt>
                <c:pt idx="5">
                  <c:v>14.2</c:v>
                </c:pt>
                <c:pt idx="6">
                  <c:v>17.933333333333334</c:v>
                </c:pt>
                <c:pt idx="7">
                  <c:v>19.799999999999997</c:v>
                </c:pt>
                <c:pt idx="8">
                  <c:v>8.6999999999999993</c:v>
                </c:pt>
                <c:pt idx="9">
                  <c:v>10.199999999999999</c:v>
                </c:pt>
                <c:pt idx="10">
                  <c:v>4.1500000000000004</c:v>
                </c:pt>
                <c:pt idx="11">
                  <c:v>1.05</c:v>
                </c:pt>
              </c:numCache>
            </c:numRef>
          </c:yVal>
          <c:smooth val="0"/>
        </c:ser>
        <c:ser>
          <c:idx val="3"/>
          <c:order val="2"/>
          <c:tx>
            <c:strRef>
              <c:f>PINNAE_Prod!$AD$8</c:f>
              <c:strCache>
                <c:ptCount val="1"/>
                <c:pt idx="0">
                  <c:v>Mean</c:v>
                </c:pt>
              </c:strCache>
            </c:strRef>
          </c:tx>
          <c:xVal>
            <c:numRef>
              <c:f>PINNAE_Prod!$BN$13:$BN$37</c:f>
              <c:numCache>
                <c:formatCode>0.0000</c:formatCode>
                <c:ptCount val="25"/>
                <c:pt idx="0">
                  <c:v>0</c:v>
                </c:pt>
                <c:pt idx="1">
                  <c:v>5.3605555861977985</c:v>
                </c:pt>
                <c:pt idx="2">
                  <c:v>10</c:v>
                </c:pt>
                <c:pt idx="3">
                  <c:v>20</c:v>
                </c:pt>
                <c:pt idx="4">
                  <c:v>26.922669813782981</c:v>
                </c:pt>
                <c:pt idx="5">
                  <c:v>28.402760758696882</c:v>
                </c:pt>
                <c:pt idx="6">
                  <c:v>30</c:v>
                </c:pt>
                <c:pt idx="7">
                  <c:v>40</c:v>
                </c:pt>
                <c:pt idx="8">
                  <c:v>50</c:v>
                </c:pt>
                <c:pt idx="9">
                  <c:v>60</c:v>
                </c:pt>
                <c:pt idx="10">
                  <c:v>70</c:v>
                </c:pt>
                <c:pt idx="11">
                  <c:v>80</c:v>
                </c:pt>
                <c:pt idx="12">
                  <c:v>90</c:v>
                </c:pt>
                <c:pt idx="13">
                  <c:v>97.736572490101764</c:v>
                </c:pt>
                <c:pt idx="14">
                  <c:v>98.474693898206965</c:v>
                </c:pt>
                <c:pt idx="15">
                  <c:v>99.115172061249353</c:v>
                </c:pt>
                <c:pt idx="16">
                  <c:v>99.665653482478291</c:v>
                </c:pt>
                <c:pt idx="17">
                  <c:v>99.951573567634654</c:v>
                </c:pt>
              </c:numCache>
            </c:numRef>
          </c:xVal>
          <c:yVal>
            <c:numRef>
              <c:f>PINNAE_Prod!$BO$13:$BO$37</c:f>
              <c:numCache>
                <c:formatCode>0.00</c:formatCode>
                <c:ptCount val="25"/>
                <c:pt idx="0">
                  <c:v>20.5</c:v>
                </c:pt>
                <c:pt idx="1">
                  <c:v>36</c:v>
                </c:pt>
                <c:pt idx="2">
                  <c:v>17.899999999999999</c:v>
                </c:pt>
                <c:pt idx="3">
                  <c:v>13.8</c:v>
                </c:pt>
                <c:pt idx="4">
                  <c:v>17.149999999999999</c:v>
                </c:pt>
                <c:pt idx="5">
                  <c:v>12.2</c:v>
                </c:pt>
                <c:pt idx="6">
                  <c:v>16.274999999999999</c:v>
                </c:pt>
                <c:pt idx="7">
                  <c:v>12.250000000000002</c:v>
                </c:pt>
                <c:pt idx="8">
                  <c:v>25.299999999999997</c:v>
                </c:pt>
                <c:pt idx="9">
                  <c:v>21.5</c:v>
                </c:pt>
                <c:pt idx="10">
                  <c:v>16.899999999999999</c:v>
                </c:pt>
                <c:pt idx="11">
                  <c:v>16.175000000000001</c:v>
                </c:pt>
                <c:pt idx="12">
                  <c:v>14.8</c:v>
                </c:pt>
                <c:pt idx="13">
                  <c:v>15.333333333333336</c:v>
                </c:pt>
                <c:pt idx="14">
                  <c:v>13</c:v>
                </c:pt>
                <c:pt idx="15">
                  <c:v>9.4499999999999993</c:v>
                </c:pt>
                <c:pt idx="16">
                  <c:v>11.1</c:v>
                </c:pt>
                <c:pt idx="17">
                  <c:v>4.3499999999999996</c:v>
                </c:pt>
              </c:numCache>
            </c:numRef>
          </c:yVal>
          <c:smooth val="0"/>
        </c:ser>
        <c:dLbls>
          <c:showLegendKey val="0"/>
          <c:showVal val="0"/>
          <c:showCatName val="0"/>
          <c:showSerName val="0"/>
          <c:showPercent val="0"/>
          <c:showBubbleSize val="0"/>
        </c:dLbls>
        <c:axId val="132876160"/>
        <c:axId val="132877696"/>
      </c:scatterChart>
      <c:valAx>
        <c:axId val="132876160"/>
        <c:scaling>
          <c:orientation val="minMax"/>
          <c:max val="100"/>
          <c:min val="0"/>
        </c:scaling>
        <c:delete val="0"/>
        <c:axPos val="b"/>
        <c:numFmt formatCode="0" sourceLinked="0"/>
        <c:majorTickMark val="out"/>
        <c:minorTickMark val="none"/>
        <c:tickLblPos val="nextTo"/>
        <c:crossAx val="132877696"/>
        <c:crosses val="autoZero"/>
        <c:crossBetween val="midCat"/>
      </c:valAx>
      <c:valAx>
        <c:axId val="132877696"/>
        <c:scaling>
          <c:orientation val="minMax"/>
          <c:min val="0"/>
        </c:scaling>
        <c:delete val="0"/>
        <c:axPos val="l"/>
        <c:majorGridlines/>
        <c:numFmt formatCode="0" sourceLinked="0"/>
        <c:majorTickMark val="out"/>
        <c:minorTickMark val="none"/>
        <c:tickLblPos val="nextTo"/>
        <c:crossAx val="132876160"/>
        <c:crosses val="autoZero"/>
        <c:crossBetween val="midCat"/>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8.5926904684859598E-2"/>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numRef>
              <c:f>PINNAE_Prod!$AN$13:$AN$37</c:f>
              <c:numCache>
                <c:formatCode>0.0000</c:formatCode>
                <c:ptCount val="25"/>
                <c:pt idx="0">
                  <c:v>0</c:v>
                </c:pt>
                <c:pt idx="1">
                  <c:v>5.3605555861977985</c:v>
                </c:pt>
                <c:pt idx="2">
                  <c:v>10</c:v>
                </c:pt>
                <c:pt idx="3">
                  <c:v>20</c:v>
                </c:pt>
                <c:pt idx="4">
                  <c:v>26.922669813782981</c:v>
                </c:pt>
                <c:pt idx="5">
                  <c:v>28.402760758696882</c:v>
                </c:pt>
                <c:pt idx="6">
                  <c:v>30</c:v>
                </c:pt>
                <c:pt idx="7">
                  <c:v>40</c:v>
                </c:pt>
                <c:pt idx="8">
                  <c:v>50</c:v>
                </c:pt>
                <c:pt idx="9">
                  <c:v>60</c:v>
                </c:pt>
                <c:pt idx="10">
                  <c:v>70</c:v>
                </c:pt>
                <c:pt idx="11">
                  <c:v>80</c:v>
                </c:pt>
                <c:pt idx="12">
                  <c:v>90</c:v>
                </c:pt>
                <c:pt idx="13">
                  <c:v>97.736572490101764</c:v>
                </c:pt>
                <c:pt idx="14">
                  <c:v>98.474693898206965</c:v>
                </c:pt>
                <c:pt idx="15">
                  <c:v>99.115172061249353</c:v>
                </c:pt>
                <c:pt idx="16">
                  <c:v>99.665653482478291</c:v>
                </c:pt>
              </c:numCache>
            </c:numRef>
          </c:xVal>
          <c:yVal>
            <c:numRef>
              <c:f>PINNAE_Prod!$AO$13:$AO$37</c:f>
              <c:numCache>
                <c:formatCode>0.00</c:formatCode>
                <c:ptCount val="25"/>
                <c:pt idx="0">
                  <c:v>-21</c:v>
                </c:pt>
                <c:pt idx="1">
                  <c:v>53.35</c:v>
                </c:pt>
                <c:pt idx="2">
                  <c:v>49.199999999999996</c:v>
                </c:pt>
                <c:pt idx="3">
                  <c:v>66.95</c:v>
                </c:pt>
                <c:pt idx="4">
                  <c:v>48.85</c:v>
                </c:pt>
                <c:pt idx="5">
                  <c:v>55.12</c:v>
                </c:pt>
                <c:pt idx="6">
                  <c:v>64.5</c:v>
                </c:pt>
                <c:pt idx="7">
                  <c:v>52.1</c:v>
                </c:pt>
                <c:pt idx="8">
                  <c:v>61.2</c:v>
                </c:pt>
                <c:pt idx="9">
                  <c:v>68.2</c:v>
                </c:pt>
                <c:pt idx="10">
                  <c:v>70.55</c:v>
                </c:pt>
                <c:pt idx="11">
                  <c:v>21.924999999999997</c:v>
                </c:pt>
                <c:pt idx="12">
                  <c:v>7</c:v>
                </c:pt>
                <c:pt idx="13">
                  <c:v>39.700000000000003</c:v>
                </c:pt>
                <c:pt idx="14">
                  <c:v>22.150000000000002</c:v>
                </c:pt>
                <c:pt idx="15">
                  <c:v>-16.349999999999994</c:v>
                </c:pt>
                <c:pt idx="16">
                  <c:v>-50.400000000000006</c:v>
                </c:pt>
              </c:numCache>
            </c:numRef>
          </c:yVal>
          <c:smooth val="0"/>
        </c:ser>
        <c:ser>
          <c:idx val="1"/>
          <c:order val="1"/>
          <c:tx>
            <c:strRef>
              <c:f>PINNAE_Prod!$AC$8</c:f>
              <c:strCache>
                <c:ptCount val="1"/>
                <c:pt idx="0">
                  <c:v>Mean</c:v>
                </c:pt>
              </c:strCache>
            </c:strRef>
          </c:tx>
          <c:xVal>
            <c:numRef>
              <c:f>PINNAE_Prod!$AQ$13:$AQ$37</c:f>
              <c:numCache>
                <c:formatCode>0.0000</c:formatCode>
                <c:ptCount val="25"/>
                <c:pt idx="0">
                  <c:v>0</c:v>
                </c:pt>
                <c:pt idx="1">
                  <c:v>10</c:v>
                </c:pt>
                <c:pt idx="2">
                  <c:v>40</c:v>
                </c:pt>
                <c:pt idx="3">
                  <c:v>50</c:v>
                </c:pt>
                <c:pt idx="4">
                  <c:v>60</c:v>
                </c:pt>
                <c:pt idx="5">
                  <c:v>70</c:v>
                </c:pt>
                <c:pt idx="6">
                  <c:v>80</c:v>
                </c:pt>
                <c:pt idx="7">
                  <c:v>90</c:v>
                </c:pt>
                <c:pt idx="8">
                  <c:v>98.474693898206965</c:v>
                </c:pt>
                <c:pt idx="9">
                  <c:v>99.665653482478291</c:v>
                </c:pt>
                <c:pt idx="10">
                  <c:v>99.951573567634654</c:v>
                </c:pt>
                <c:pt idx="11">
                  <c:v>100</c:v>
                </c:pt>
              </c:numCache>
            </c:numRef>
          </c:xVal>
          <c:yVal>
            <c:numRef>
              <c:f>PINNAE_Prod!$AR$13:$AR$37</c:f>
              <c:numCache>
                <c:formatCode>0.00</c:formatCode>
                <c:ptCount val="25"/>
                <c:pt idx="0">
                  <c:v>45</c:v>
                </c:pt>
                <c:pt idx="1">
                  <c:v>1.4000000000000057</c:v>
                </c:pt>
                <c:pt idx="2">
                  <c:v>22.299999999999997</c:v>
                </c:pt>
                <c:pt idx="3">
                  <c:v>-18.5</c:v>
                </c:pt>
                <c:pt idx="4">
                  <c:v>-1.6000000000000014</c:v>
                </c:pt>
                <c:pt idx="5">
                  <c:v>8.5</c:v>
                </c:pt>
                <c:pt idx="6">
                  <c:v>-12.9</c:v>
                </c:pt>
                <c:pt idx="7">
                  <c:v>8.8999999999999986</c:v>
                </c:pt>
                <c:pt idx="8">
                  <c:v>-2.2000000000000028</c:v>
                </c:pt>
                <c:pt idx="9">
                  <c:v>-32.6</c:v>
                </c:pt>
                <c:pt idx="10">
                  <c:v>-58.800000000000011</c:v>
                </c:pt>
                <c:pt idx="11">
                  <c:v>-19</c:v>
                </c:pt>
              </c:numCache>
            </c:numRef>
          </c:yVal>
          <c:smooth val="0"/>
        </c:ser>
        <c:ser>
          <c:idx val="3"/>
          <c:order val="2"/>
          <c:tx>
            <c:strRef>
              <c:f>PINNAE_Prod!$AD$8</c:f>
              <c:strCache>
                <c:ptCount val="1"/>
                <c:pt idx="0">
                  <c:v>Mean</c:v>
                </c:pt>
              </c:strCache>
            </c:strRef>
          </c:tx>
          <c:xVal>
            <c:numRef>
              <c:f>PINNAE_Prod!$AT$13:$AT$37</c:f>
              <c:numCache>
                <c:formatCode>0.0000</c:formatCode>
                <c:ptCount val="25"/>
                <c:pt idx="0">
                  <c:v>0</c:v>
                </c:pt>
                <c:pt idx="1">
                  <c:v>5.3605555861977985</c:v>
                </c:pt>
                <c:pt idx="2">
                  <c:v>10</c:v>
                </c:pt>
                <c:pt idx="3">
                  <c:v>20</c:v>
                </c:pt>
                <c:pt idx="4">
                  <c:v>26.922669813782981</c:v>
                </c:pt>
                <c:pt idx="5">
                  <c:v>28.402760758696882</c:v>
                </c:pt>
                <c:pt idx="6">
                  <c:v>30</c:v>
                </c:pt>
                <c:pt idx="7">
                  <c:v>40</c:v>
                </c:pt>
                <c:pt idx="8">
                  <c:v>50</c:v>
                </c:pt>
                <c:pt idx="9">
                  <c:v>60</c:v>
                </c:pt>
                <c:pt idx="10">
                  <c:v>70</c:v>
                </c:pt>
                <c:pt idx="11">
                  <c:v>80</c:v>
                </c:pt>
                <c:pt idx="12">
                  <c:v>90</c:v>
                </c:pt>
                <c:pt idx="13">
                  <c:v>97.736572490101764</c:v>
                </c:pt>
                <c:pt idx="14">
                  <c:v>98.474693898206965</c:v>
                </c:pt>
                <c:pt idx="15">
                  <c:v>99.115172061249353</c:v>
                </c:pt>
                <c:pt idx="16">
                  <c:v>99.665653482478291</c:v>
                </c:pt>
                <c:pt idx="17">
                  <c:v>99.951573567634654</c:v>
                </c:pt>
              </c:numCache>
            </c:numRef>
          </c:xVal>
          <c:yVal>
            <c:numRef>
              <c:f>PINNAE_Prod!$AU$13:$AU$37</c:f>
              <c:numCache>
                <c:formatCode>0.00</c:formatCode>
                <c:ptCount val="25"/>
                <c:pt idx="0">
                  <c:v>-21</c:v>
                </c:pt>
                <c:pt idx="1">
                  <c:v>12</c:v>
                </c:pt>
                <c:pt idx="2">
                  <c:v>-35.299999999999997</c:v>
                </c:pt>
                <c:pt idx="3">
                  <c:v>-60</c:v>
                </c:pt>
                <c:pt idx="4">
                  <c:v>-56.400000000000006</c:v>
                </c:pt>
                <c:pt idx="5">
                  <c:v>-62.100000000000009</c:v>
                </c:pt>
                <c:pt idx="6">
                  <c:v>-47.7</c:v>
                </c:pt>
                <c:pt idx="7">
                  <c:v>-46.7</c:v>
                </c:pt>
                <c:pt idx="8">
                  <c:v>-56.266666666666659</c:v>
                </c:pt>
                <c:pt idx="9">
                  <c:v>-39.074999999999996</c:v>
                </c:pt>
                <c:pt idx="10">
                  <c:v>-38.274999999999999</c:v>
                </c:pt>
                <c:pt idx="11">
                  <c:v>-49.774999999999999</c:v>
                </c:pt>
                <c:pt idx="12">
                  <c:v>-52.800000000000011</c:v>
                </c:pt>
                <c:pt idx="13">
                  <c:v>-52.9</c:v>
                </c:pt>
                <c:pt idx="14">
                  <c:v>-45.699999999999989</c:v>
                </c:pt>
                <c:pt idx="15">
                  <c:v>-50.35</c:v>
                </c:pt>
                <c:pt idx="16">
                  <c:v>-27.5</c:v>
                </c:pt>
                <c:pt idx="17">
                  <c:v>-56.849999999999994</c:v>
                </c:pt>
              </c:numCache>
            </c:numRef>
          </c:yVal>
          <c:smooth val="0"/>
        </c:ser>
        <c:dLbls>
          <c:showLegendKey val="0"/>
          <c:showVal val="0"/>
          <c:showCatName val="0"/>
          <c:showSerName val="0"/>
          <c:showPercent val="0"/>
          <c:showBubbleSize val="0"/>
        </c:dLbls>
        <c:axId val="132927872"/>
        <c:axId val="132929408"/>
      </c:scatterChart>
      <c:valAx>
        <c:axId val="132927872"/>
        <c:scaling>
          <c:orientation val="minMax"/>
          <c:max val="100"/>
          <c:min val="0"/>
        </c:scaling>
        <c:delete val="0"/>
        <c:axPos val="b"/>
        <c:numFmt formatCode="0" sourceLinked="0"/>
        <c:majorTickMark val="out"/>
        <c:minorTickMark val="none"/>
        <c:tickLblPos val="nextTo"/>
        <c:crossAx val="132929408"/>
        <c:crosses val="autoZero"/>
        <c:crossBetween val="midCat"/>
      </c:valAx>
      <c:valAx>
        <c:axId val="132929408"/>
        <c:scaling>
          <c:orientation val="minMax"/>
        </c:scaling>
        <c:delete val="0"/>
        <c:axPos val="l"/>
        <c:majorGridlines/>
        <c:numFmt formatCode="0" sourceLinked="0"/>
        <c:majorTickMark val="out"/>
        <c:minorTickMark val="none"/>
        <c:tickLblPos val="nextTo"/>
        <c:crossAx val="132927872"/>
        <c:crosses val="autoZero"/>
        <c:crossBetween val="midCat"/>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PINNAE_Prod!$BQ$13:$BQ$37</c:f>
              <c:numCache>
                <c:formatCode>General</c:formatCode>
                <c:ptCount val="25"/>
                <c:pt idx="0">
                  <c:v>1</c:v>
                </c:pt>
                <c:pt idx="1">
                  <c:v>5</c:v>
                </c:pt>
                <c:pt idx="2">
                  <c:v>10</c:v>
                </c:pt>
              </c:numCache>
            </c:numRef>
          </c:xVal>
          <c:yVal>
            <c:numRef>
              <c:f>PINNAE_Prod!$BR$13:$BR$37</c:f>
              <c:numCache>
                <c:formatCode>0.00</c:formatCode>
                <c:ptCount val="25"/>
                <c:pt idx="0">
                  <c:v>0.2</c:v>
                </c:pt>
                <c:pt idx="1">
                  <c:v>0.8</c:v>
                </c:pt>
                <c:pt idx="2">
                  <c:v>1</c:v>
                </c:pt>
              </c:numCache>
            </c:numRef>
          </c:yVal>
          <c:smooth val="0"/>
        </c:ser>
        <c:dLbls>
          <c:showLegendKey val="0"/>
          <c:showVal val="0"/>
          <c:showCatName val="0"/>
          <c:showSerName val="0"/>
          <c:showPercent val="0"/>
          <c:showBubbleSize val="0"/>
        </c:dLbls>
        <c:axId val="132965504"/>
        <c:axId val="132967040"/>
      </c:scatterChart>
      <c:valAx>
        <c:axId val="132965504"/>
        <c:scaling>
          <c:orientation val="minMax"/>
          <c:min val="0"/>
        </c:scaling>
        <c:delete val="0"/>
        <c:axPos val="b"/>
        <c:numFmt formatCode="0" sourceLinked="0"/>
        <c:majorTickMark val="out"/>
        <c:minorTickMark val="none"/>
        <c:tickLblPos val="nextTo"/>
        <c:crossAx val="132967040"/>
        <c:crosses val="autoZero"/>
        <c:crossBetween val="midCat"/>
      </c:valAx>
      <c:valAx>
        <c:axId val="132967040"/>
        <c:scaling>
          <c:orientation val="minMax"/>
          <c:max val="1"/>
          <c:min val="0"/>
        </c:scaling>
        <c:delete val="0"/>
        <c:axPos val="l"/>
        <c:majorGridlines/>
        <c:numFmt formatCode="0.00" sourceLinked="0"/>
        <c:majorTickMark val="out"/>
        <c:minorTickMark val="none"/>
        <c:tickLblPos val="nextTo"/>
        <c:crossAx val="132965504"/>
        <c:crosses val="autoZero"/>
        <c:crossBetween val="midCat"/>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8.5926904684859598E-2"/>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numRef>
              <c:f>PINNAE_Prod!$AN$13:$AN$37</c:f>
              <c:numCache>
                <c:formatCode>0.0000</c:formatCode>
                <c:ptCount val="25"/>
                <c:pt idx="0">
                  <c:v>0</c:v>
                </c:pt>
                <c:pt idx="1">
                  <c:v>5.3605555861977985</c:v>
                </c:pt>
                <c:pt idx="2">
                  <c:v>10</c:v>
                </c:pt>
                <c:pt idx="3">
                  <c:v>20</c:v>
                </c:pt>
                <c:pt idx="4">
                  <c:v>26.922669813782981</c:v>
                </c:pt>
                <c:pt idx="5">
                  <c:v>28.402760758696882</c:v>
                </c:pt>
                <c:pt idx="6">
                  <c:v>30</c:v>
                </c:pt>
                <c:pt idx="7">
                  <c:v>40</c:v>
                </c:pt>
                <c:pt idx="8">
                  <c:v>50</c:v>
                </c:pt>
                <c:pt idx="9">
                  <c:v>60</c:v>
                </c:pt>
                <c:pt idx="10">
                  <c:v>70</c:v>
                </c:pt>
                <c:pt idx="11">
                  <c:v>80</c:v>
                </c:pt>
                <c:pt idx="12">
                  <c:v>90</c:v>
                </c:pt>
                <c:pt idx="13">
                  <c:v>97.736572490101764</c:v>
                </c:pt>
                <c:pt idx="14">
                  <c:v>98.474693898206965</c:v>
                </c:pt>
                <c:pt idx="15">
                  <c:v>99.115172061249353</c:v>
                </c:pt>
                <c:pt idx="16">
                  <c:v>99.665653482478291</c:v>
                </c:pt>
              </c:numCache>
            </c:numRef>
          </c:xVal>
          <c:yVal>
            <c:numRef>
              <c:f>PINNAE_Prod!$AY$13:$AY$37</c:f>
              <c:numCache>
                <c:formatCode>0.00</c:formatCode>
                <c:ptCount val="25"/>
                <c:pt idx="0">
                  <c:v>14.294185173796306</c:v>
                </c:pt>
                <c:pt idx="1">
                  <c:v>36.547671312472303</c:v>
                </c:pt>
                <c:pt idx="2">
                  <c:v>35.305546665861606</c:v>
                </c:pt>
                <c:pt idx="3">
                  <c:v>40.618248467630252</c:v>
                </c:pt>
                <c:pt idx="4">
                  <c:v>35.200789165545046</c:v>
                </c:pt>
                <c:pt idx="5">
                  <c:v>37.077444956930364</c:v>
                </c:pt>
                <c:pt idx="6">
                  <c:v>39.884945965414303</c:v>
                </c:pt>
                <c:pt idx="7">
                  <c:v>36.173537382770292</c:v>
                </c:pt>
                <c:pt idx="8">
                  <c:v>38.897232391000976</c:v>
                </c:pt>
                <c:pt idx="9">
                  <c:v>40.992382397332278</c:v>
                </c:pt>
                <c:pt idx="10">
                  <c:v>41.695754185172063</c:v>
                </c:pt>
                <c:pt idx="11">
                  <c:v>27.141944319763585</c:v>
                </c:pt>
                <c:pt idx="12">
                  <c:v>22.674785199121498</c:v>
                </c:pt>
                <c:pt idx="13">
                  <c:v>32.46212880012628</c:v>
                </c:pt>
                <c:pt idx="14">
                  <c:v>27.20928842710995</c:v>
                </c:pt>
                <c:pt idx="15">
                  <c:v>15.685963392287812</c:v>
                </c:pt>
                <c:pt idx="16">
                  <c:v>5.4945551472048528</c:v>
                </c:pt>
              </c:numCache>
            </c:numRef>
          </c:yVal>
          <c:smooth val="0"/>
        </c:ser>
        <c:ser>
          <c:idx val="1"/>
          <c:order val="1"/>
          <c:tx>
            <c:strRef>
              <c:f>PINNAE_Prod!$AC$8</c:f>
              <c:strCache>
                <c:ptCount val="1"/>
                <c:pt idx="0">
                  <c:v>Mean</c:v>
                </c:pt>
              </c:strCache>
            </c:strRef>
          </c:tx>
          <c:xVal>
            <c:numRef>
              <c:f>PINNAE_Prod!$AQ$13:$AQ$37</c:f>
              <c:numCache>
                <c:formatCode>0.0000</c:formatCode>
                <c:ptCount val="25"/>
                <c:pt idx="0">
                  <c:v>0</c:v>
                </c:pt>
                <c:pt idx="1">
                  <c:v>10</c:v>
                </c:pt>
                <c:pt idx="2">
                  <c:v>40</c:v>
                </c:pt>
                <c:pt idx="3">
                  <c:v>50</c:v>
                </c:pt>
                <c:pt idx="4">
                  <c:v>60</c:v>
                </c:pt>
                <c:pt idx="5">
                  <c:v>70</c:v>
                </c:pt>
                <c:pt idx="6">
                  <c:v>80</c:v>
                </c:pt>
                <c:pt idx="7">
                  <c:v>90</c:v>
                </c:pt>
                <c:pt idx="8">
                  <c:v>98.474693898206965</c:v>
                </c:pt>
                <c:pt idx="9">
                  <c:v>99.665653482478291</c:v>
                </c:pt>
                <c:pt idx="10">
                  <c:v>99.951573567634654</c:v>
                </c:pt>
                <c:pt idx="11">
                  <c:v>100</c:v>
                </c:pt>
              </c:numCache>
            </c:numRef>
          </c:xVal>
          <c:yVal>
            <c:numRef>
              <c:f>PINNAE_Prod!$BB$13:$BB$37</c:f>
              <c:numCache>
                <c:formatCode>0.00</c:formatCode>
                <c:ptCount val="25"/>
                <c:pt idx="0">
                  <c:v>34.048456662062833</c:v>
                </c:pt>
                <c:pt idx="1">
                  <c:v>20.998665194056461</c:v>
                </c:pt>
                <c:pt idx="2">
                  <c:v>27.254184498674192</c:v>
                </c:pt>
                <c:pt idx="3">
                  <c:v>15.04245303320034</c:v>
                </c:pt>
                <c:pt idx="4">
                  <c:v>20.100743762771618</c:v>
                </c:pt>
                <c:pt idx="5">
                  <c:v>23.123745914763919</c:v>
                </c:pt>
                <c:pt idx="6">
                  <c:v>16.718573038265379</c:v>
                </c:pt>
                <c:pt idx="7">
                  <c:v>23.243468772268564</c:v>
                </c:pt>
                <c:pt idx="8">
                  <c:v>19.921159476514649</c:v>
                </c:pt>
                <c:pt idx="9">
                  <c:v>10.822222306161583</c:v>
                </c:pt>
                <c:pt idx="10">
                  <c:v>2.9803751396072933</c:v>
                </c:pt>
                <c:pt idx="11">
                  <c:v>14.892799461319534</c:v>
                </c:pt>
              </c:numCache>
            </c:numRef>
          </c:yVal>
          <c:smooth val="0"/>
        </c:ser>
        <c:ser>
          <c:idx val="3"/>
          <c:order val="2"/>
          <c:tx>
            <c:strRef>
              <c:f>PINNAE_Prod!$AD$8</c:f>
              <c:strCache>
                <c:ptCount val="1"/>
                <c:pt idx="0">
                  <c:v>Mean</c:v>
                </c:pt>
              </c:strCache>
            </c:strRef>
          </c:tx>
          <c:xVal>
            <c:numRef>
              <c:f>PINNAE_Prod!$AT$13:$AT$37</c:f>
              <c:numCache>
                <c:formatCode>0.0000</c:formatCode>
                <c:ptCount val="25"/>
                <c:pt idx="0">
                  <c:v>0</c:v>
                </c:pt>
                <c:pt idx="1">
                  <c:v>5.3605555861977985</c:v>
                </c:pt>
                <c:pt idx="2">
                  <c:v>10</c:v>
                </c:pt>
                <c:pt idx="3">
                  <c:v>20</c:v>
                </c:pt>
                <c:pt idx="4">
                  <c:v>26.922669813782981</c:v>
                </c:pt>
                <c:pt idx="5">
                  <c:v>28.402760758696882</c:v>
                </c:pt>
                <c:pt idx="6">
                  <c:v>30</c:v>
                </c:pt>
                <c:pt idx="7">
                  <c:v>40</c:v>
                </c:pt>
                <c:pt idx="8">
                  <c:v>50</c:v>
                </c:pt>
                <c:pt idx="9">
                  <c:v>60</c:v>
                </c:pt>
                <c:pt idx="10">
                  <c:v>70</c:v>
                </c:pt>
                <c:pt idx="11">
                  <c:v>80</c:v>
                </c:pt>
                <c:pt idx="12">
                  <c:v>90</c:v>
                </c:pt>
                <c:pt idx="13">
                  <c:v>97.736572490101764</c:v>
                </c:pt>
                <c:pt idx="14">
                  <c:v>98.474693898206965</c:v>
                </c:pt>
                <c:pt idx="15">
                  <c:v>99.115172061249353</c:v>
                </c:pt>
                <c:pt idx="16">
                  <c:v>99.665653482478291</c:v>
                </c:pt>
                <c:pt idx="17">
                  <c:v>99.951573567634654</c:v>
                </c:pt>
              </c:numCache>
            </c:numRef>
          </c:xVal>
          <c:yVal>
            <c:numRef>
              <c:f>PINNAE_Prod!$BE$13:$BE$37</c:f>
              <c:numCache>
                <c:formatCode>0.00</c:formatCode>
                <c:ptCount val="25"/>
                <c:pt idx="0">
                  <c:v>14.294185173796306</c:v>
                </c:pt>
                <c:pt idx="1">
                  <c:v>24.171320917929567</c:v>
                </c:pt>
                <c:pt idx="2">
                  <c:v>10.014093018005227</c:v>
                </c:pt>
                <c:pt idx="3">
                  <c:v>2.6212065670933598</c:v>
                </c:pt>
                <c:pt idx="4">
                  <c:v>3.6987122846351674</c:v>
                </c:pt>
                <c:pt idx="5">
                  <c:v>1.9926615651939663</c:v>
                </c:pt>
                <c:pt idx="6">
                  <c:v>6.3026844353612113</c:v>
                </c:pt>
                <c:pt idx="7">
                  <c:v>6.6019915791228261</c:v>
                </c:pt>
                <c:pt idx="8">
                  <c:v>3.7386199038033894</c:v>
                </c:pt>
                <c:pt idx="9">
                  <c:v>8.884208550305134</c:v>
                </c:pt>
                <c:pt idx="10">
                  <c:v>9.1236542653144248</c:v>
                </c:pt>
                <c:pt idx="11">
                  <c:v>5.6816221120558641</c:v>
                </c:pt>
                <c:pt idx="12">
                  <c:v>4.7762180021769769</c:v>
                </c:pt>
                <c:pt idx="13">
                  <c:v>4.7462872878008202</c:v>
                </c:pt>
                <c:pt idx="14">
                  <c:v>6.9012987228844427</c:v>
                </c:pt>
                <c:pt idx="15">
                  <c:v>5.5095205043929347</c:v>
                </c:pt>
                <c:pt idx="16">
                  <c:v>12.348688739345814</c:v>
                </c:pt>
                <c:pt idx="17">
                  <c:v>3.5640240699424446</c:v>
                </c:pt>
              </c:numCache>
            </c:numRef>
          </c:yVal>
          <c:smooth val="0"/>
        </c:ser>
        <c:dLbls>
          <c:showLegendKey val="0"/>
          <c:showVal val="0"/>
          <c:showCatName val="0"/>
          <c:showSerName val="0"/>
          <c:showPercent val="0"/>
          <c:showBubbleSize val="0"/>
        </c:dLbls>
        <c:axId val="133131648"/>
        <c:axId val="133145728"/>
      </c:scatterChart>
      <c:valAx>
        <c:axId val="133131648"/>
        <c:scaling>
          <c:orientation val="minMax"/>
          <c:max val="100"/>
          <c:min val="0"/>
        </c:scaling>
        <c:delete val="0"/>
        <c:axPos val="b"/>
        <c:numFmt formatCode="0" sourceLinked="0"/>
        <c:majorTickMark val="out"/>
        <c:minorTickMark val="none"/>
        <c:tickLblPos val="nextTo"/>
        <c:crossAx val="133145728"/>
        <c:crosses val="autoZero"/>
        <c:crossBetween val="midCat"/>
      </c:valAx>
      <c:valAx>
        <c:axId val="133145728"/>
        <c:scaling>
          <c:orientation val="minMax"/>
        </c:scaling>
        <c:delete val="0"/>
        <c:axPos val="l"/>
        <c:majorGridlines/>
        <c:numFmt formatCode="0" sourceLinked="0"/>
        <c:majorTickMark val="out"/>
        <c:minorTickMark val="none"/>
        <c:tickLblPos val="nextTo"/>
        <c:crossAx val="133131648"/>
        <c:crosses val="autoZero"/>
        <c:crossBetween val="midCat"/>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PINNAE_Prod!$C$13:$C$37</c:f>
              <c:numCache>
                <c:formatCode>General</c:formatCode>
                <c:ptCount val="25"/>
                <c:pt idx="0">
                  <c:v>1</c:v>
                </c:pt>
                <c:pt idx="1">
                  <c:v>28</c:v>
                </c:pt>
                <c:pt idx="2">
                  <c:v>32</c:v>
                </c:pt>
                <c:pt idx="3">
                  <c:v>124</c:v>
                </c:pt>
              </c:numCache>
            </c:numRef>
          </c:xVal>
          <c:yVal>
            <c:numRef>
              <c:f>PINNAE_Prod!$I$13:$I$37</c:f>
              <c:numCache>
                <c:formatCode>0.00</c:formatCode>
                <c:ptCount val="25"/>
                <c:pt idx="0">
                  <c:v>16.600000000000001</c:v>
                </c:pt>
                <c:pt idx="1">
                  <c:v>17.600000000000001</c:v>
                </c:pt>
                <c:pt idx="2">
                  <c:v>19.600000000000001</c:v>
                </c:pt>
                <c:pt idx="3">
                  <c:v>22.3</c:v>
                </c:pt>
              </c:numCache>
            </c:numRef>
          </c:yVal>
          <c:smooth val="0"/>
        </c:ser>
        <c:ser>
          <c:idx val="1"/>
          <c:order val="1"/>
          <c:tx>
            <c:strRef>
              <c:f>PINNAE_Prod!$I$12</c:f>
              <c:strCache>
                <c:ptCount val="1"/>
                <c:pt idx="0">
                  <c:v>Long Zone %</c:v>
                </c:pt>
              </c:strCache>
            </c:strRef>
          </c:tx>
          <c:xVal>
            <c:numRef>
              <c:f>PINNAE_Prod!$C$13:$C$37</c:f>
              <c:numCache>
                <c:formatCode>General</c:formatCode>
                <c:ptCount val="25"/>
                <c:pt idx="0">
                  <c:v>1</c:v>
                </c:pt>
                <c:pt idx="1">
                  <c:v>28</c:v>
                </c:pt>
                <c:pt idx="2">
                  <c:v>32</c:v>
                </c:pt>
                <c:pt idx="3">
                  <c:v>124</c:v>
                </c:pt>
              </c:numCache>
            </c:numRef>
          </c:xVal>
          <c:yVal>
            <c:numRef>
              <c:f>PINNAE_Prod!$N$13:$N$37</c:f>
              <c:numCache>
                <c:formatCode>0.00</c:formatCode>
                <c:ptCount val="25"/>
                <c:pt idx="0">
                  <c:v>70.550000000000011</c:v>
                </c:pt>
                <c:pt idx="1">
                  <c:v>69.900000000000006</c:v>
                </c:pt>
                <c:pt idx="2">
                  <c:v>69.300000000000011</c:v>
                </c:pt>
                <c:pt idx="3">
                  <c:v>72.3</c:v>
                </c:pt>
              </c:numCache>
            </c:numRef>
          </c:yVal>
          <c:smooth val="0"/>
        </c:ser>
        <c:ser>
          <c:idx val="2"/>
          <c:order val="2"/>
          <c:tx>
            <c:strRef>
              <c:f>PINNAE_Prod!$I$12</c:f>
              <c:strCache>
                <c:ptCount val="1"/>
                <c:pt idx="0">
                  <c:v>Long Zone %</c:v>
                </c:pt>
              </c:strCache>
            </c:strRef>
          </c:tx>
          <c:xVal>
            <c:numRef>
              <c:f>PINNAE_Prod!$C$13:$C$37</c:f>
              <c:numCache>
                <c:formatCode>General</c:formatCode>
                <c:ptCount val="25"/>
                <c:pt idx="0">
                  <c:v>1</c:v>
                </c:pt>
                <c:pt idx="1">
                  <c:v>28</c:v>
                </c:pt>
                <c:pt idx="2">
                  <c:v>32</c:v>
                </c:pt>
                <c:pt idx="3">
                  <c:v>124</c:v>
                </c:pt>
              </c:numCache>
            </c:numRef>
          </c:xVal>
          <c:yVal>
            <c:numRef>
              <c:f>PINNAE_Prod!$S$13:$S$37</c:f>
              <c:numCache>
                <c:formatCode>0.00</c:formatCode>
                <c:ptCount val="25"/>
                <c:pt idx="0">
                  <c:v>0</c:v>
                </c:pt>
                <c:pt idx="1">
                  <c:v>0</c:v>
                </c:pt>
                <c:pt idx="2">
                  <c:v>0</c:v>
                </c:pt>
                <c:pt idx="3">
                  <c:v>0</c:v>
                </c:pt>
              </c:numCache>
            </c:numRef>
          </c:yVal>
          <c:smooth val="0"/>
        </c:ser>
        <c:dLbls>
          <c:showLegendKey val="0"/>
          <c:showVal val="0"/>
          <c:showCatName val="0"/>
          <c:showSerName val="0"/>
          <c:showPercent val="0"/>
          <c:showBubbleSize val="0"/>
        </c:dLbls>
        <c:axId val="133327104"/>
        <c:axId val="133332992"/>
      </c:scatterChart>
      <c:valAx>
        <c:axId val="133327104"/>
        <c:scaling>
          <c:orientation val="minMax"/>
          <c:max val="100"/>
          <c:min val="0"/>
        </c:scaling>
        <c:delete val="0"/>
        <c:axPos val="b"/>
        <c:numFmt formatCode="0" sourceLinked="0"/>
        <c:majorTickMark val="out"/>
        <c:minorTickMark val="none"/>
        <c:tickLblPos val="nextTo"/>
        <c:crossAx val="133332992"/>
        <c:crosses val="autoZero"/>
        <c:crossBetween val="midCat"/>
      </c:valAx>
      <c:valAx>
        <c:axId val="133332992"/>
        <c:scaling>
          <c:orientation val="minMax"/>
          <c:min val="0"/>
        </c:scaling>
        <c:delete val="0"/>
        <c:axPos val="l"/>
        <c:majorGridlines/>
        <c:numFmt formatCode="0" sourceLinked="0"/>
        <c:majorTickMark val="out"/>
        <c:minorTickMark val="none"/>
        <c:tickLblPos val="nextTo"/>
        <c:crossAx val="133327104"/>
        <c:crosses val="autoZero"/>
        <c:crossBetween val="midCat"/>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PINNAE_Prod!$C$13:$C$37</c:f>
              <c:numCache>
                <c:formatCode>General</c:formatCode>
                <c:ptCount val="25"/>
                <c:pt idx="0">
                  <c:v>1</c:v>
                </c:pt>
                <c:pt idx="1">
                  <c:v>28</c:v>
                </c:pt>
                <c:pt idx="2">
                  <c:v>32</c:v>
                </c:pt>
                <c:pt idx="3">
                  <c:v>124</c:v>
                </c:pt>
              </c:numCache>
            </c:numRef>
          </c:xVal>
          <c:yVal>
            <c:numRef>
              <c:f>PINNAE_Prod!$I$13:$I$37</c:f>
              <c:numCache>
                <c:formatCode>0.00</c:formatCode>
                <c:ptCount val="25"/>
                <c:pt idx="0">
                  <c:v>16.600000000000001</c:v>
                </c:pt>
                <c:pt idx="1">
                  <c:v>17.600000000000001</c:v>
                </c:pt>
                <c:pt idx="2">
                  <c:v>19.600000000000001</c:v>
                </c:pt>
                <c:pt idx="3">
                  <c:v>22.3</c:v>
                </c:pt>
              </c:numCache>
            </c:numRef>
          </c:yVal>
          <c:smooth val="0"/>
        </c:ser>
        <c:ser>
          <c:idx val="1"/>
          <c:order val="1"/>
          <c:tx>
            <c:strRef>
              <c:f>PINNAE_Prod!$I$12</c:f>
              <c:strCache>
                <c:ptCount val="1"/>
                <c:pt idx="0">
                  <c:v>Long Zone %</c:v>
                </c:pt>
              </c:strCache>
            </c:strRef>
          </c:tx>
          <c:xVal>
            <c:numRef>
              <c:f>PINNAE_Prod!$C$13:$C$37</c:f>
              <c:numCache>
                <c:formatCode>General</c:formatCode>
                <c:ptCount val="25"/>
                <c:pt idx="0">
                  <c:v>1</c:v>
                </c:pt>
                <c:pt idx="1">
                  <c:v>28</c:v>
                </c:pt>
                <c:pt idx="2">
                  <c:v>32</c:v>
                </c:pt>
                <c:pt idx="3">
                  <c:v>124</c:v>
                </c:pt>
              </c:numCache>
            </c:numRef>
          </c:xVal>
          <c:yVal>
            <c:numRef>
              <c:f>PINNAE_Prod!$N$13:$N$37</c:f>
              <c:numCache>
                <c:formatCode>0.00</c:formatCode>
                <c:ptCount val="25"/>
                <c:pt idx="0">
                  <c:v>70.550000000000011</c:v>
                </c:pt>
                <c:pt idx="1">
                  <c:v>69.900000000000006</c:v>
                </c:pt>
                <c:pt idx="2">
                  <c:v>69.300000000000011</c:v>
                </c:pt>
                <c:pt idx="3">
                  <c:v>72.3</c:v>
                </c:pt>
              </c:numCache>
            </c:numRef>
          </c:yVal>
          <c:smooth val="0"/>
        </c:ser>
        <c:ser>
          <c:idx val="2"/>
          <c:order val="2"/>
          <c:tx>
            <c:strRef>
              <c:f>PINNAE_Prod!$I$12</c:f>
              <c:strCache>
                <c:ptCount val="1"/>
                <c:pt idx="0">
                  <c:v>Long Zone %</c:v>
                </c:pt>
              </c:strCache>
            </c:strRef>
          </c:tx>
          <c:xVal>
            <c:numRef>
              <c:f>PINNAE_Prod!$C$13:$C$37</c:f>
              <c:numCache>
                <c:formatCode>General</c:formatCode>
                <c:ptCount val="25"/>
                <c:pt idx="0">
                  <c:v>1</c:v>
                </c:pt>
                <c:pt idx="1">
                  <c:v>28</c:v>
                </c:pt>
                <c:pt idx="2">
                  <c:v>32</c:v>
                </c:pt>
                <c:pt idx="3">
                  <c:v>124</c:v>
                </c:pt>
              </c:numCache>
            </c:numRef>
          </c:xVal>
          <c:yVal>
            <c:numRef>
              <c:f>PINNAE_Prod!$S$13:$S$37</c:f>
              <c:numCache>
                <c:formatCode>0.00</c:formatCode>
                <c:ptCount val="25"/>
                <c:pt idx="0">
                  <c:v>0</c:v>
                </c:pt>
                <c:pt idx="1">
                  <c:v>0</c:v>
                </c:pt>
                <c:pt idx="2">
                  <c:v>0</c:v>
                </c:pt>
                <c:pt idx="3">
                  <c:v>0</c:v>
                </c:pt>
              </c:numCache>
            </c:numRef>
          </c:yVal>
          <c:smooth val="0"/>
        </c:ser>
        <c:dLbls>
          <c:showLegendKey val="0"/>
          <c:showVal val="0"/>
          <c:showCatName val="0"/>
          <c:showSerName val="0"/>
          <c:showPercent val="0"/>
          <c:showBubbleSize val="0"/>
        </c:dLbls>
        <c:axId val="133358720"/>
        <c:axId val="133360256"/>
      </c:scatterChart>
      <c:valAx>
        <c:axId val="133358720"/>
        <c:scaling>
          <c:orientation val="minMax"/>
          <c:min val="0"/>
        </c:scaling>
        <c:delete val="0"/>
        <c:axPos val="b"/>
        <c:numFmt formatCode="0" sourceLinked="0"/>
        <c:majorTickMark val="out"/>
        <c:minorTickMark val="none"/>
        <c:tickLblPos val="nextTo"/>
        <c:crossAx val="133360256"/>
        <c:crosses val="autoZero"/>
        <c:crossBetween val="midCat"/>
      </c:valAx>
      <c:valAx>
        <c:axId val="133360256"/>
        <c:scaling>
          <c:orientation val="minMax"/>
          <c:min val="0"/>
        </c:scaling>
        <c:delete val="0"/>
        <c:axPos val="l"/>
        <c:majorGridlines/>
        <c:numFmt formatCode="0" sourceLinked="0"/>
        <c:majorTickMark val="out"/>
        <c:minorTickMark val="none"/>
        <c:tickLblPos val="nextTo"/>
        <c:crossAx val="133358720"/>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STEM_Geom!$P$13:$P$37</c:f>
              <c:numCache>
                <c:formatCode>General</c:formatCode>
                <c:ptCount val="25"/>
                <c:pt idx="0">
                  <c:v>1</c:v>
                </c:pt>
                <c:pt idx="1">
                  <c:v>16</c:v>
                </c:pt>
                <c:pt idx="2">
                  <c:v>32</c:v>
                </c:pt>
                <c:pt idx="3">
                  <c:v>56</c:v>
                </c:pt>
                <c:pt idx="4">
                  <c:v>96</c:v>
                </c:pt>
                <c:pt idx="5">
                  <c:v>194</c:v>
                </c:pt>
              </c:numCache>
            </c:numRef>
          </c:xVal>
          <c:yVal>
            <c:numRef>
              <c:f>STEM_Geom!$Q$13:$Q$37</c:f>
              <c:numCache>
                <c:formatCode>0.00</c:formatCode>
                <c:ptCount val="25"/>
                <c:pt idx="0">
                  <c:v>36.25549603633376</c:v>
                </c:pt>
                <c:pt idx="1">
                  <c:v>54.112680651244418</c:v>
                </c:pt>
                <c:pt idx="2">
                  <c:v>59.523948716368857</c:v>
                </c:pt>
                <c:pt idx="3">
                  <c:v>57.295779513082323</c:v>
                </c:pt>
                <c:pt idx="4">
                  <c:v>52.521131220325458</c:v>
                </c:pt>
                <c:pt idx="5">
                  <c:v>49.895074659309181</c:v>
                </c:pt>
              </c:numCache>
            </c:numRef>
          </c:yVal>
          <c:smooth val="0"/>
        </c:ser>
        <c:dLbls>
          <c:showLegendKey val="0"/>
          <c:showVal val="0"/>
          <c:showCatName val="0"/>
          <c:showSerName val="0"/>
          <c:showPercent val="0"/>
          <c:showBubbleSize val="0"/>
        </c:dLbls>
        <c:axId val="125985152"/>
        <c:axId val="125987072"/>
      </c:scatterChart>
      <c:valAx>
        <c:axId val="125985152"/>
        <c:scaling>
          <c:orientation val="minMax"/>
          <c:min val="0"/>
        </c:scaling>
        <c:delete val="0"/>
        <c:axPos val="b"/>
        <c:numFmt formatCode="0" sourceLinked="0"/>
        <c:majorTickMark val="out"/>
        <c:minorTickMark val="none"/>
        <c:tickLblPos val="nextTo"/>
        <c:crossAx val="125987072"/>
        <c:crosses val="autoZero"/>
        <c:crossBetween val="midCat"/>
      </c:valAx>
      <c:valAx>
        <c:axId val="125987072"/>
        <c:scaling>
          <c:orientation val="minMax"/>
          <c:min val="0"/>
        </c:scaling>
        <c:delete val="0"/>
        <c:axPos val="l"/>
        <c:majorGridlines/>
        <c:numFmt formatCode="0.0" sourceLinked="0"/>
        <c:majorTickMark val="out"/>
        <c:minorTickMark val="none"/>
        <c:tickLblPos val="nextTo"/>
        <c:crossAx val="125985152"/>
        <c:crosses val="autoZero"/>
        <c:crossBetween val="midCat"/>
      </c:valAx>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PINNAE_Geom!$M$13:$M$37</c:f>
              <c:numCache>
                <c:formatCode>0.0000</c:formatCode>
                <c:ptCount val="25"/>
                <c:pt idx="0">
                  <c:v>0</c:v>
                </c:pt>
                <c:pt idx="1">
                  <c:v>5.3605555861977985</c:v>
                </c:pt>
                <c:pt idx="2">
                  <c:v>10</c:v>
                </c:pt>
                <c:pt idx="3">
                  <c:v>20</c:v>
                </c:pt>
                <c:pt idx="4">
                  <c:v>26.922669813782981</c:v>
                </c:pt>
                <c:pt idx="5">
                  <c:v>28.402760758696882</c:v>
                </c:pt>
                <c:pt idx="6">
                  <c:v>30</c:v>
                </c:pt>
                <c:pt idx="7">
                  <c:v>40</c:v>
                </c:pt>
                <c:pt idx="8">
                  <c:v>50</c:v>
                </c:pt>
                <c:pt idx="9">
                  <c:v>60</c:v>
                </c:pt>
                <c:pt idx="10">
                  <c:v>70</c:v>
                </c:pt>
                <c:pt idx="11">
                  <c:v>80</c:v>
                </c:pt>
                <c:pt idx="12">
                  <c:v>90</c:v>
                </c:pt>
                <c:pt idx="13">
                  <c:v>97.736572490101764</c:v>
                </c:pt>
                <c:pt idx="14">
                  <c:v>98.474693898206965</c:v>
                </c:pt>
                <c:pt idx="15">
                  <c:v>99.115172061249353</c:v>
                </c:pt>
                <c:pt idx="16">
                  <c:v>99.665653482478291</c:v>
                </c:pt>
                <c:pt idx="17">
                  <c:v>99.951573567634654</c:v>
                </c:pt>
                <c:pt idx="18">
                  <c:v>100</c:v>
                </c:pt>
              </c:numCache>
            </c:numRef>
          </c:xVal>
          <c:yVal>
            <c:numRef>
              <c:f>PINNAE_Geom!$N$13:$N$37</c:f>
              <c:numCache>
                <c:formatCode>0.00</c:formatCode>
                <c:ptCount val="25"/>
                <c:pt idx="0">
                  <c:v>6.0451119928720716E-2</c:v>
                </c:pt>
                <c:pt idx="1">
                  <c:v>6.0451119928720716E-2</c:v>
                </c:pt>
                <c:pt idx="2">
                  <c:v>0.41905708736350705</c:v>
                </c:pt>
                <c:pt idx="3">
                  <c:v>0.59286648916954554</c:v>
                </c:pt>
                <c:pt idx="4">
                  <c:v>0.13790369716305859</c:v>
                </c:pt>
                <c:pt idx="5">
                  <c:v>0.16121014738668019</c:v>
                </c:pt>
                <c:pt idx="6">
                  <c:v>0.53083380142421566</c:v>
                </c:pt>
                <c:pt idx="7">
                  <c:v>0.66968744168999161</c:v>
                </c:pt>
                <c:pt idx="8">
                  <c:v>0.84223940798541075</c:v>
                </c:pt>
                <c:pt idx="9">
                  <c:v>0.93840996563652601</c:v>
                </c:pt>
                <c:pt idx="10">
                  <c:v>1</c:v>
                </c:pt>
                <c:pt idx="11">
                  <c:v>0.97588525516237101</c:v>
                </c:pt>
                <c:pt idx="12">
                  <c:v>0.79330050133994234</c:v>
                </c:pt>
                <c:pt idx="13">
                  <c:v>0.69450689756235984</c:v>
                </c:pt>
                <c:pt idx="14">
                  <c:v>0.57818266096255277</c:v>
                </c:pt>
                <c:pt idx="15">
                  <c:v>0.56871820938166773</c:v>
                </c:pt>
                <c:pt idx="16">
                  <c:v>0.50177934390817547</c:v>
                </c:pt>
                <c:pt idx="17">
                  <c:v>0.42468832244650184</c:v>
                </c:pt>
                <c:pt idx="18">
                  <c:v>0.29012288709222106</c:v>
                </c:pt>
              </c:numCache>
            </c:numRef>
          </c:yVal>
          <c:smooth val="0"/>
        </c:ser>
        <c:dLbls>
          <c:showLegendKey val="0"/>
          <c:showVal val="0"/>
          <c:showCatName val="0"/>
          <c:showSerName val="0"/>
          <c:showPercent val="0"/>
          <c:showBubbleSize val="0"/>
        </c:dLbls>
        <c:axId val="133740416"/>
        <c:axId val="133746688"/>
      </c:scatterChart>
      <c:valAx>
        <c:axId val="133740416"/>
        <c:scaling>
          <c:orientation val="minMax"/>
          <c:max val="100"/>
          <c:min val="0"/>
        </c:scaling>
        <c:delete val="0"/>
        <c:axPos val="b"/>
        <c:numFmt formatCode="0" sourceLinked="0"/>
        <c:majorTickMark val="out"/>
        <c:minorTickMark val="none"/>
        <c:tickLblPos val="nextTo"/>
        <c:crossAx val="133746688"/>
        <c:crosses val="autoZero"/>
        <c:crossBetween val="midCat"/>
      </c:valAx>
      <c:valAx>
        <c:axId val="133746688"/>
        <c:scaling>
          <c:orientation val="minMax"/>
          <c:max val="1"/>
          <c:min val="0"/>
        </c:scaling>
        <c:delete val="0"/>
        <c:axPos val="l"/>
        <c:majorGridlines/>
        <c:numFmt formatCode="0.0" sourceLinked="0"/>
        <c:majorTickMark val="out"/>
        <c:minorTickMark val="none"/>
        <c:tickLblPos val="nextTo"/>
        <c:crossAx val="133740416"/>
        <c:crosses val="autoZero"/>
        <c:crossBetween val="midCat"/>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PINNAE_Geom!$R$13:$R$37</c:f>
              <c:numCache>
                <c:formatCode>0.00</c:formatCode>
                <c:ptCount val="25"/>
                <c:pt idx="0">
                  <c:v>0</c:v>
                </c:pt>
                <c:pt idx="1">
                  <c:v>33.33</c:v>
                </c:pt>
                <c:pt idx="2">
                  <c:v>66.67</c:v>
                </c:pt>
                <c:pt idx="3">
                  <c:v>100</c:v>
                </c:pt>
              </c:numCache>
            </c:numRef>
          </c:xVal>
          <c:yVal>
            <c:numRef>
              <c:f>PINNAE_Geom!$S$13:$S$37</c:f>
              <c:numCache>
                <c:formatCode>0.00</c:formatCode>
                <c:ptCount val="25"/>
                <c:pt idx="0">
                  <c:v>0.05</c:v>
                </c:pt>
                <c:pt idx="1">
                  <c:v>1</c:v>
                </c:pt>
                <c:pt idx="2">
                  <c:v>0.56999999999999995</c:v>
                </c:pt>
                <c:pt idx="3">
                  <c:v>0.01</c:v>
                </c:pt>
              </c:numCache>
            </c:numRef>
          </c:yVal>
          <c:smooth val="0"/>
        </c:ser>
        <c:dLbls>
          <c:showLegendKey val="0"/>
          <c:showVal val="0"/>
          <c:showCatName val="0"/>
          <c:showSerName val="0"/>
          <c:showPercent val="0"/>
          <c:showBubbleSize val="0"/>
        </c:dLbls>
        <c:axId val="133753856"/>
        <c:axId val="133772032"/>
      </c:scatterChart>
      <c:valAx>
        <c:axId val="133753856"/>
        <c:scaling>
          <c:orientation val="minMax"/>
          <c:max val="100"/>
          <c:min val="0"/>
        </c:scaling>
        <c:delete val="0"/>
        <c:axPos val="b"/>
        <c:numFmt formatCode="0" sourceLinked="0"/>
        <c:majorTickMark val="out"/>
        <c:minorTickMark val="none"/>
        <c:tickLblPos val="nextTo"/>
        <c:crossAx val="133772032"/>
        <c:crosses val="autoZero"/>
        <c:crossBetween val="midCat"/>
      </c:valAx>
      <c:valAx>
        <c:axId val="133772032"/>
        <c:scaling>
          <c:orientation val="minMax"/>
          <c:max val="1"/>
          <c:min val="0"/>
        </c:scaling>
        <c:delete val="0"/>
        <c:axPos val="l"/>
        <c:majorGridlines/>
        <c:numFmt formatCode="0.0" sourceLinked="0"/>
        <c:majorTickMark val="out"/>
        <c:minorTickMark val="none"/>
        <c:tickLblPos val="nextTo"/>
        <c:crossAx val="133753856"/>
        <c:crosses val="autoZero"/>
        <c:crossBetween val="midCat"/>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PINNAE_Geom!$Y$13:$Y$37</c:f>
              <c:numCache>
                <c:formatCode>0.0000</c:formatCode>
                <c:ptCount val="25"/>
                <c:pt idx="0">
                  <c:v>0</c:v>
                </c:pt>
                <c:pt idx="1">
                  <c:v>5.3605555861977985</c:v>
                </c:pt>
                <c:pt idx="2">
                  <c:v>10</c:v>
                </c:pt>
                <c:pt idx="3">
                  <c:v>20</c:v>
                </c:pt>
                <c:pt idx="4">
                  <c:v>26.922669813782981</c:v>
                </c:pt>
                <c:pt idx="5">
                  <c:v>28.402760758696882</c:v>
                </c:pt>
                <c:pt idx="6">
                  <c:v>30</c:v>
                </c:pt>
                <c:pt idx="7">
                  <c:v>40</c:v>
                </c:pt>
                <c:pt idx="8">
                  <c:v>50</c:v>
                </c:pt>
                <c:pt idx="9">
                  <c:v>60</c:v>
                </c:pt>
                <c:pt idx="10">
                  <c:v>70</c:v>
                </c:pt>
                <c:pt idx="11">
                  <c:v>80</c:v>
                </c:pt>
                <c:pt idx="12">
                  <c:v>90</c:v>
                </c:pt>
                <c:pt idx="13">
                  <c:v>97.736572490101764</c:v>
                </c:pt>
                <c:pt idx="14">
                  <c:v>98.474693898206965</c:v>
                </c:pt>
                <c:pt idx="15">
                  <c:v>99.115172061249353</c:v>
                </c:pt>
                <c:pt idx="16">
                  <c:v>99.665653482478291</c:v>
                </c:pt>
                <c:pt idx="17">
                  <c:v>99.951573567634654</c:v>
                </c:pt>
                <c:pt idx="18">
                  <c:v>100</c:v>
                </c:pt>
              </c:numCache>
            </c:numRef>
          </c:xVal>
          <c:yVal>
            <c:numRef>
              <c:f>PINNAE_Geom!$Z$13:$Z$37</c:f>
              <c:numCache>
                <c:formatCode>0.00</c:formatCode>
                <c:ptCount val="25"/>
                <c:pt idx="0">
                  <c:v>0.54806961086342354</c:v>
                </c:pt>
                <c:pt idx="1">
                  <c:v>0.2024729273868385</c:v>
                </c:pt>
                <c:pt idx="2">
                  <c:v>0.52744327374227051</c:v>
                </c:pt>
                <c:pt idx="3">
                  <c:v>0.64474114696268459</c:v>
                </c:pt>
                <c:pt idx="4">
                  <c:v>0.34078263144217608</c:v>
                </c:pt>
                <c:pt idx="5">
                  <c:v>0.3734054239992538</c:v>
                </c:pt>
                <c:pt idx="6">
                  <c:v>0.68187915575935398</c:v>
                </c:pt>
                <c:pt idx="7">
                  <c:v>0.78162731566514243</c:v>
                </c:pt>
                <c:pt idx="8">
                  <c:v>0.89155594950570005</c:v>
                </c:pt>
                <c:pt idx="9">
                  <c:v>0.96677694123264091</c:v>
                </c:pt>
                <c:pt idx="10">
                  <c:v>1</c:v>
                </c:pt>
                <c:pt idx="11">
                  <c:v>0.94699217718002382</c:v>
                </c:pt>
                <c:pt idx="12">
                  <c:v>0.75175762452766159</c:v>
                </c:pt>
                <c:pt idx="13">
                  <c:v>0.53643812476286767</c:v>
                </c:pt>
                <c:pt idx="14">
                  <c:v>0.50651509038857168</c:v>
                </c:pt>
                <c:pt idx="15">
                  <c:v>0.4944241374353272</c:v>
                </c:pt>
                <c:pt idx="16">
                  <c:v>0.44535553384278098</c:v>
                </c:pt>
                <c:pt idx="17">
                  <c:v>0.43826088293752108</c:v>
                </c:pt>
                <c:pt idx="18">
                  <c:v>0.47499058617664147</c:v>
                </c:pt>
              </c:numCache>
            </c:numRef>
          </c:yVal>
          <c:smooth val="0"/>
        </c:ser>
        <c:dLbls>
          <c:showLegendKey val="0"/>
          <c:showVal val="0"/>
          <c:showCatName val="0"/>
          <c:showSerName val="0"/>
          <c:showPercent val="0"/>
          <c:showBubbleSize val="0"/>
        </c:dLbls>
        <c:axId val="133787008"/>
        <c:axId val="133813760"/>
      </c:scatterChart>
      <c:valAx>
        <c:axId val="133787008"/>
        <c:scaling>
          <c:orientation val="minMax"/>
          <c:max val="100"/>
          <c:min val="0"/>
        </c:scaling>
        <c:delete val="0"/>
        <c:axPos val="b"/>
        <c:numFmt formatCode="0" sourceLinked="0"/>
        <c:majorTickMark val="out"/>
        <c:minorTickMark val="none"/>
        <c:tickLblPos val="nextTo"/>
        <c:crossAx val="133813760"/>
        <c:crosses val="autoZero"/>
        <c:crossBetween val="midCat"/>
      </c:valAx>
      <c:valAx>
        <c:axId val="133813760"/>
        <c:scaling>
          <c:orientation val="minMax"/>
          <c:max val="1"/>
          <c:min val="0"/>
        </c:scaling>
        <c:delete val="0"/>
        <c:axPos val="l"/>
        <c:majorGridlines/>
        <c:numFmt formatCode="0.0" sourceLinked="0"/>
        <c:majorTickMark val="out"/>
        <c:minorTickMark val="none"/>
        <c:tickLblPos val="nextTo"/>
        <c:crossAx val="133787008"/>
        <c:crosses val="autoZero"/>
        <c:crossBetween val="midCat"/>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PINNAE_Geom!$AD$13:$AD$37</c:f>
              <c:numCache>
                <c:formatCode>0.00</c:formatCode>
                <c:ptCount val="25"/>
                <c:pt idx="0">
                  <c:v>0</c:v>
                </c:pt>
                <c:pt idx="1">
                  <c:v>33.33</c:v>
                </c:pt>
                <c:pt idx="2">
                  <c:v>66.67</c:v>
                </c:pt>
                <c:pt idx="3">
                  <c:v>100</c:v>
                </c:pt>
              </c:numCache>
            </c:numRef>
          </c:xVal>
          <c:yVal>
            <c:numRef>
              <c:f>PINNAE_Geom!$AE$13:$AE$37</c:f>
              <c:numCache>
                <c:formatCode>0.00</c:formatCode>
                <c:ptCount val="25"/>
                <c:pt idx="0">
                  <c:v>1</c:v>
                </c:pt>
                <c:pt idx="1">
                  <c:v>0.6</c:v>
                </c:pt>
                <c:pt idx="2">
                  <c:v>0.32</c:v>
                </c:pt>
                <c:pt idx="3">
                  <c:v>4.0000000000000001E-3</c:v>
                </c:pt>
              </c:numCache>
            </c:numRef>
          </c:yVal>
          <c:smooth val="0"/>
        </c:ser>
        <c:dLbls>
          <c:showLegendKey val="0"/>
          <c:showVal val="0"/>
          <c:showCatName val="0"/>
          <c:showSerName val="0"/>
          <c:showPercent val="0"/>
          <c:showBubbleSize val="0"/>
        </c:dLbls>
        <c:axId val="134099712"/>
        <c:axId val="134101248"/>
      </c:scatterChart>
      <c:valAx>
        <c:axId val="134099712"/>
        <c:scaling>
          <c:orientation val="minMax"/>
          <c:max val="100"/>
          <c:min val="0"/>
        </c:scaling>
        <c:delete val="0"/>
        <c:axPos val="b"/>
        <c:numFmt formatCode="0" sourceLinked="0"/>
        <c:majorTickMark val="out"/>
        <c:minorTickMark val="none"/>
        <c:tickLblPos val="nextTo"/>
        <c:crossAx val="134101248"/>
        <c:crosses val="autoZero"/>
        <c:crossBetween val="midCat"/>
      </c:valAx>
      <c:valAx>
        <c:axId val="134101248"/>
        <c:scaling>
          <c:orientation val="minMax"/>
          <c:max val="1"/>
          <c:min val="0"/>
        </c:scaling>
        <c:delete val="0"/>
        <c:axPos val="l"/>
        <c:majorGridlines/>
        <c:numFmt formatCode="0.0" sourceLinked="0"/>
        <c:majorTickMark val="out"/>
        <c:minorTickMark val="none"/>
        <c:tickLblPos val="nextTo"/>
        <c:crossAx val="134099712"/>
        <c:crosses val="autoZero"/>
        <c:crossBetween val="midCat"/>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PINNAE_Geom!$E$13:$E$37</c:f>
              <c:numCache>
                <c:formatCode>0.0000</c:formatCode>
                <c:ptCount val="25"/>
                <c:pt idx="0">
                  <c:v>0</c:v>
                </c:pt>
                <c:pt idx="1">
                  <c:v>5.3605555861977985</c:v>
                </c:pt>
                <c:pt idx="2">
                  <c:v>10</c:v>
                </c:pt>
                <c:pt idx="3">
                  <c:v>20</c:v>
                </c:pt>
                <c:pt idx="4">
                  <c:v>26.922669813782981</c:v>
                </c:pt>
                <c:pt idx="5">
                  <c:v>28.402760758696882</c:v>
                </c:pt>
                <c:pt idx="6">
                  <c:v>30</c:v>
                </c:pt>
                <c:pt idx="7">
                  <c:v>40</c:v>
                </c:pt>
                <c:pt idx="8">
                  <c:v>50</c:v>
                </c:pt>
                <c:pt idx="9">
                  <c:v>60</c:v>
                </c:pt>
                <c:pt idx="10">
                  <c:v>70</c:v>
                </c:pt>
                <c:pt idx="11">
                  <c:v>80</c:v>
                </c:pt>
                <c:pt idx="12">
                  <c:v>90</c:v>
                </c:pt>
                <c:pt idx="13">
                  <c:v>97.737572490101769</c:v>
                </c:pt>
                <c:pt idx="14">
                  <c:v>98.475693898206984</c:v>
                </c:pt>
                <c:pt idx="15">
                  <c:v>99.116172061249358</c:v>
                </c:pt>
                <c:pt idx="16">
                  <c:v>99.666653482478281</c:v>
                </c:pt>
                <c:pt idx="17">
                  <c:v>99.952573567634673</c:v>
                </c:pt>
                <c:pt idx="18">
                  <c:v>100</c:v>
                </c:pt>
              </c:numCache>
            </c:numRef>
          </c:xVal>
          <c:yVal>
            <c:numRef>
              <c:f>PINNAE_Geom!$F$13:$F$37</c:f>
              <c:numCache>
                <c:formatCode>0.00</c:formatCode>
                <c:ptCount val="25"/>
                <c:pt idx="0">
                  <c:v>2.2690343569754325E-2</c:v>
                </c:pt>
                <c:pt idx="1">
                  <c:v>2.2690343569754325E-2</c:v>
                </c:pt>
                <c:pt idx="2">
                  <c:v>8.6307524460910418E-2</c:v>
                </c:pt>
                <c:pt idx="3">
                  <c:v>0.13795941653936974</c:v>
                </c:pt>
                <c:pt idx="4">
                  <c:v>0.26135782924466189</c:v>
                </c:pt>
                <c:pt idx="5">
                  <c:v>0.56028171860920428</c:v>
                </c:pt>
                <c:pt idx="6">
                  <c:v>0.9546344821119066</c:v>
                </c:pt>
                <c:pt idx="7">
                  <c:v>1</c:v>
                </c:pt>
                <c:pt idx="8">
                  <c:v>0.79796738926150967</c:v>
                </c:pt>
                <c:pt idx="9">
                  <c:v>0.85925259325248071</c:v>
                </c:pt>
                <c:pt idx="10">
                  <c:v>0.8226876052243689</c:v>
                </c:pt>
                <c:pt idx="11">
                  <c:v>0.69915706601103023</c:v>
                </c:pt>
                <c:pt idx="12">
                  <c:v>0.56572403231011159</c:v>
                </c:pt>
                <c:pt idx="13">
                  <c:v>0.50475930338069419</c:v>
                </c:pt>
                <c:pt idx="14">
                  <c:v>0.49349613420492838</c:v>
                </c:pt>
                <c:pt idx="15">
                  <c:v>0.48232604907193727</c:v>
                </c:pt>
                <c:pt idx="16">
                  <c:v>0.48964422786343265</c:v>
                </c:pt>
                <c:pt idx="17">
                  <c:v>0.5058763118939934</c:v>
                </c:pt>
                <c:pt idx="18">
                  <c:v>0.53675805122794107</c:v>
                </c:pt>
              </c:numCache>
            </c:numRef>
          </c:yVal>
          <c:smooth val="0"/>
        </c:ser>
        <c:dLbls>
          <c:showLegendKey val="0"/>
          <c:showVal val="0"/>
          <c:showCatName val="0"/>
          <c:showSerName val="0"/>
          <c:showPercent val="0"/>
          <c:showBubbleSize val="0"/>
        </c:dLbls>
        <c:axId val="134116864"/>
        <c:axId val="134118784"/>
      </c:scatterChart>
      <c:valAx>
        <c:axId val="134116864"/>
        <c:scaling>
          <c:orientation val="minMax"/>
          <c:max val="100"/>
          <c:min val="0"/>
        </c:scaling>
        <c:delete val="0"/>
        <c:axPos val="b"/>
        <c:numFmt formatCode="0" sourceLinked="0"/>
        <c:majorTickMark val="out"/>
        <c:minorTickMark val="none"/>
        <c:tickLblPos val="nextTo"/>
        <c:crossAx val="134118784"/>
        <c:crosses val="autoZero"/>
        <c:crossBetween val="midCat"/>
      </c:valAx>
      <c:valAx>
        <c:axId val="134118784"/>
        <c:scaling>
          <c:orientation val="minMax"/>
          <c:max val="1"/>
          <c:min val="0"/>
        </c:scaling>
        <c:delete val="0"/>
        <c:axPos val="l"/>
        <c:majorGridlines/>
        <c:numFmt formatCode="0.0" sourceLinked="0"/>
        <c:majorTickMark val="out"/>
        <c:minorTickMark val="none"/>
        <c:tickLblPos val="nextTo"/>
        <c:crossAx val="134116864"/>
        <c:crosses val="autoZero"/>
        <c:crossBetween val="midCat"/>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PINNAE_Geom!$C$13:$C$37</c:f>
              <c:numCache>
                <c:formatCode>General</c:formatCode>
                <c:ptCount val="25"/>
                <c:pt idx="0">
                  <c:v>1</c:v>
                </c:pt>
                <c:pt idx="1">
                  <c:v>28</c:v>
                </c:pt>
                <c:pt idx="2">
                  <c:v>114</c:v>
                </c:pt>
                <c:pt idx="3">
                  <c:v>124</c:v>
                </c:pt>
              </c:numCache>
            </c:numRef>
          </c:xVal>
          <c:yVal>
            <c:numRef>
              <c:f>PINNAE_Geom!$D$13:$D$37</c:f>
              <c:numCache>
                <c:formatCode>0.00</c:formatCode>
                <c:ptCount val="25"/>
                <c:pt idx="0">
                  <c:v>5.7</c:v>
                </c:pt>
                <c:pt idx="1">
                  <c:v>28.5</c:v>
                </c:pt>
                <c:pt idx="2">
                  <c:v>54</c:v>
                </c:pt>
                <c:pt idx="3">
                  <c:v>50</c:v>
                </c:pt>
              </c:numCache>
            </c:numRef>
          </c:yVal>
          <c:smooth val="0"/>
        </c:ser>
        <c:dLbls>
          <c:showLegendKey val="0"/>
          <c:showVal val="0"/>
          <c:showCatName val="0"/>
          <c:showSerName val="0"/>
          <c:showPercent val="0"/>
          <c:showBubbleSize val="0"/>
        </c:dLbls>
        <c:axId val="134351104"/>
        <c:axId val="134353280"/>
      </c:scatterChart>
      <c:valAx>
        <c:axId val="134351104"/>
        <c:scaling>
          <c:orientation val="minMax"/>
          <c:min val="0"/>
        </c:scaling>
        <c:delete val="0"/>
        <c:axPos val="b"/>
        <c:numFmt formatCode="0" sourceLinked="0"/>
        <c:majorTickMark val="out"/>
        <c:minorTickMark val="none"/>
        <c:tickLblPos val="nextTo"/>
        <c:crossAx val="134353280"/>
        <c:crosses val="autoZero"/>
        <c:crossBetween val="midCat"/>
        <c:majorUnit val="100"/>
      </c:valAx>
      <c:valAx>
        <c:axId val="134353280"/>
        <c:scaling>
          <c:orientation val="minMax"/>
          <c:min val="0"/>
        </c:scaling>
        <c:delete val="0"/>
        <c:axPos val="l"/>
        <c:majorGridlines/>
        <c:numFmt formatCode="0" sourceLinked="0"/>
        <c:majorTickMark val="out"/>
        <c:minorTickMark val="none"/>
        <c:tickLblPos val="nextTo"/>
        <c:crossAx val="134351104"/>
        <c:crosses val="autoZero"/>
        <c:crossBetween val="midCat"/>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PINNAE_Geom!$W$13:$W$37</c:f>
              <c:numCache>
                <c:formatCode>General</c:formatCode>
                <c:ptCount val="25"/>
                <c:pt idx="0">
                  <c:v>1</c:v>
                </c:pt>
                <c:pt idx="1">
                  <c:v>28</c:v>
                </c:pt>
                <c:pt idx="2">
                  <c:v>114</c:v>
                </c:pt>
                <c:pt idx="3">
                  <c:v>124</c:v>
                </c:pt>
              </c:numCache>
            </c:numRef>
          </c:xVal>
          <c:yVal>
            <c:numRef>
              <c:f>PINNAE_Geom!$X$13:$X$37</c:f>
              <c:numCache>
                <c:formatCode>0.00</c:formatCode>
                <c:ptCount val="25"/>
                <c:pt idx="0">
                  <c:v>0.74364940415661251</c:v>
                </c:pt>
                <c:pt idx="1">
                  <c:v>0.81801434457227384</c:v>
                </c:pt>
                <c:pt idx="2">
                  <c:v>1.0127796647085294</c:v>
                </c:pt>
                <c:pt idx="3">
                  <c:v>1.3406842023767778</c:v>
                </c:pt>
              </c:numCache>
            </c:numRef>
          </c:yVal>
          <c:smooth val="0"/>
        </c:ser>
        <c:dLbls>
          <c:showLegendKey val="0"/>
          <c:showVal val="0"/>
          <c:showCatName val="0"/>
          <c:showSerName val="0"/>
          <c:showPercent val="0"/>
          <c:showBubbleSize val="0"/>
        </c:dLbls>
        <c:axId val="134364160"/>
        <c:axId val="134370432"/>
      </c:scatterChart>
      <c:valAx>
        <c:axId val="134364160"/>
        <c:scaling>
          <c:orientation val="minMax"/>
          <c:min val="0"/>
        </c:scaling>
        <c:delete val="0"/>
        <c:axPos val="b"/>
        <c:numFmt formatCode="0" sourceLinked="0"/>
        <c:majorTickMark val="out"/>
        <c:minorTickMark val="none"/>
        <c:tickLblPos val="nextTo"/>
        <c:crossAx val="134370432"/>
        <c:crosses val="autoZero"/>
        <c:crossBetween val="midCat"/>
      </c:valAx>
      <c:valAx>
        <c:axId val="134370432"/>
        <c:scaling>
          <c:orientation val="minMax"/>
          <c:min val="0"/>
        </c:scaling>
        <c:delete val="0"/>
        <c:axPos val="l"/>
        <c:majorGridlines/>
        <c:numFmt formatCode="0.0" sourceLinked="0"/>
        <c:majorTickMark val="out"/>
        <c:minorTickMark val="none"/>
        <c:tickLblPos val="nextTo"/>
        <c:crossAx val="134364160"/>
        <c:crosses val="autoZero"/>
        <c:crossBetween val="midCat"/>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PINNAE_Geom!$K$13:$K$37</c:f>
              <c:numCache>
                <c:formatCode>General</c:formatCode>
                <c:ptCount val="25"/>
                <c:pt idx="0">
                  <c:v>1</c:v>
                </c:pt>
                <c:pt idx="1">
                  <c:v>28</c:v>
                </c:pt>
                <c:pt idx="2">
                  <c:v>114</c:v>
                </c:pt>
                <c:pt idx="3">
                  <c:v>124</c:v>
                </c:pt>
              </c:numCache>
            </c:numRef>
          </c:xVal>
          <c:yVal>
            <c:numRef>
              <c:f>PINNAE_Geom!$L$13:$L$37</c:f>
              <c:numCache>
                <c:formatCode>0.00</c:formatCode>
                <c:ptCount val="25"/>
                <c:pt idx="0">
                  <c:v>1.4727153607943391</c:v>
                </c:pt>
                <c:pt idx="1">
                  <c:v>1.6199868968737732</c:v>
                </c:pt>
                <c:pt idx="2">
                  <c:v>2.0056980627961001</c:v>
                </c:pt>
                <c:pt idx="3">
                  <c:v>2.6550767173058456</c:v>
                </c:pt>
              </c:numCache>
            </c:numRef>
          </c:yVal>
          <c:smooth val="0"/>
        </c:ser>
        <c:dLbls>
          <c:showLegendKey val="0"/>
          <c:showVal val="0"/>
          <c:showCatName val="0"/>
          <c:showSerName val="0"/>
          <c:showPercent val="0"/>
          <c:showBubbleSize val="0"/>
        </c:dLbls>
        <c:axId val="134553600"/>
        <c:axId val="134555520"/>
      </c:scatterChart>
      <c:valAx>
        <c:axId val="134553600"/>
        <c:scaling>
          <c:orientation val="minMax"/>
          <c:min val="0"/>
        </c:scaling>
        <c:delete val="0"/>
        <c:axPos val="b"/>
        <c:numFmt formatCode="0" sourceLinked="0"/>
        <c:majorTickMark val="out"/>
        <c:minorTickMark val="none"/>
        <c:tickLblPos val="nextTo"/>
        <c:crossAx val="134555520"/>
        <c:crosses val="autoZero"/>
        <c:crossBetween val="midCat"/>
      </c:valAx>
      <c:valAx>
        <c:axId val="134555520"/>
        <c:scaling>
          <c:orientation val="minMax"/>
          <c:min val="0"/>
        </c:scaling>
        <c:delete val="0"/>
        <c:axPos val="l"/>
        <c:majorGridlines/>
        <c:numFmt formatCode="0" sourceLinked="0"/>
        <c:majorTickMark val="out"/>
        <c:minorTickMark val="none"/>
        <c:tickLblPos val="nextTo"/>
        <c:crossAx val="134553600"/>
        <c:crosses val="autoZero"/>
        <c:crossBetween val="midCat"/>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PINNAE_Geom!$AI$13:$AI$37</c:f>
              <c:numCache>
                <c:formatCode>0.00</c:formatCode>
                <c:ptCount val="25"/>
                <c:pt idx="0">
                  <c:v>0</c:v>
                </c:pt>
                <c:pt idx="1">
                  <c:v>50</c:v>
                </c:pt>
                <c:pt idx="2">
                  <c:v>100</c:v>
                </c:pt>
              </c:numCache>
            </c:numRef>
          </c:xVal>
          <c:yVal>
            <c:numRef>
              <c:f>PINNAE_Geom!$AJ$13:$AJ$37</c:f>
              <c:numCache>
                <c:formatCode>0.00</c:formatCode>
                <c:ptCount val="25"/>
                <c:pt idx="0">
                  <c:v>310000</c:v>
                </c:pt>
                <c:pt idx="1">
                  <c:v>283000</c:v>
                </c:pt>
                <c:pt idx="2">
                  <c:v>260000</c:v>
                </c:pt>
              </c:numCache>
            </c:numRef>
          </c:yVal>
          <c:smooth val="0"/>
        </c:ser>
        <c:ser>
          <c:idx val="1"/>
          <c:order val="1"/>
          <c:xVal>
            <c:numRef>
              <c:f>PINNAE_Geom!$AI$13:$AI$37</c:f>
              <c:numCache>
                <c:formatCode>0.00</c:formatCode>
                <c:ptCount val="25"/>
                <c:pt idx="0">
                  <c:v>0</c:v>
                </c:pt>
                <c:pt idx="1">
                  <c:v>50</c:v>
                </c:pt>
                <c:pt idx="2">
                  <c:v>100</c:v>
                </c:pt>
              </c:numCache>
            </c:numRef>
          </c:xVal>
          <c:yVal>
            <c:numRef>
              <c:f>PINNAE_Geom!$AK$13:$AK$37</c:f>
              <c:numCache>
                <c:formatCode>0.00</c:formatCode>
                <c:ptCount val="25"/>
                <c:pt idx="0">
                  <c:v>40</c:v>
                </c:pt>
                <c:pt idx="1">
                  <c:v>30</c:v>
                </c:pt>
                <c:pt idx="2">
                  <c:v>20</c:v>
                </c:pt>
              </c:numCache>
            </c:numRef>
          </c:yVal>
          <c:smooth val="0"/>
        </c:ser>
        <c:dLbls>
          <c:showLegendKey val="0"/>
          <c:showVal val="0"/>
          <c:showCatName val="0"/>
          <c:showSerName val="0"/>
          <c:showPercent val="0"/>
          <c:showBubbleSize val="0"/>
        </c:dLbls>
        <c:axId val="134588288"/>
        <c:axId val="134589824"/>
      </c:scatterChart>
      <c:valAx>
        <c:axId val="134588288"/>
        <c:scaling>
          <c:orientation val="minMax"/>
          <c:max val="100"/>
          <c:min val="0"/>
        </c:scaling>
        <c:delete val="0"/>
        <c:axPos val="b"/>
        <c:numFmt formatCode="0" sourceLinked="0"/>
        <c:majorTickMark val="out"/>
        <c:minorTickMark val="none"/>
        <c:tickLblPos val="nextTo"/>
        <c:crossAx val="134589824"/>
        <c:crosses val="autoZero"/>
        <c:crossBetween val="midCat"/>
      </c:valAx>
      <c:valAx>
        <c:axId val="134589824"/>
        <c:scaling>
          <c:orientation val="minMax"/>
          <c:min val="0"/>
        </c:scaling>
        <c:delete val="0"/>
        <c:axPos val="l"/>
        <c:majorGridlines/>
        <c:numFmt formatCode="0" sourceLinked="0"/>
        <c:majorTickMark val="out"/>
        <c:minorTickMark val="none"/>
        <c:tickLblPos val="nextTo"/>
        <c:crossAx val="134588288"/>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PINNAE_Geom!$AO$13:$AO$37</c:f>
              <c:numCache>
                <c:formatCode>0.00</c:formatCode>
                <c:ptCount val="25"/>
                <c:pt idx="0">
                  <c:v>0</c:v>
                </c:pt>
                <c:pt idx="1">
                  <c:v>25</c:v>
                </c:pt>
                <c:pt idx="2">
                  <c:v>50</c:v>
                </c:pt>
                <c:pt idx="3">
                  <c:v>75</c:v>
                </c:pt>
                <c:pt idx="4">
                  <c:v>100</c:v>
                </c:pt>
              </c:numCache>
            </c:numRef>
          </c:xVal>
          <c:yVal>
            <c:numRef>
              <c:f>PINNAE_Geom!$AP$13:$AP$37</c:f>
              <c:numCache>
                <c:formatCode>0.00</c:formatCode>
                <c:ptCount val="25"/>
                <c:pt idx="0">
                  <c:v>90</c:v>
                </c:pt>
                <c:pt idx="1">
                  <c:v>70</c:v>
                </c:pt>
                <c:pt idx="2">
                  <c:v>50</c:v>
                </c:pt>
                <c:pt idx="3">
                  <c:v>60</c:v>
                </c:pt>
                <c:pt idx="4">
                  <c:v>80</c:v>
                </c:pt>
              </c:numCache>
            </c:numRef>
          </c:yVal>
          <c:smooth val="0"/>
        </c:ser>
        <c:dLbls>
          <c:showLegendKey val="0"/>
          <c:showVal val="0"/>
          <c:showCatName val="0"/>
          <c:showSerName val="0"/>
          <c:showPercent val="0"/>
          <c:showBubbleSize val="0"/>
        </c:dLbls>
        <c:axId val="134760320"/>
        <c:axId val="134774784"/>
      </c:scatterChart>
      <c:valAx>
        <c:axId val="134760320"/>
        <c:scaling>
          <c:orientation val="minMax"/>
          <c:max val="100"/>
          <c:min val="0"/>
        </c:scaling>
        <c:delete val="0"/>
        <c:axPos val="b"/>
        <c:numFmt formatCode="0" sourceLinked="0"/>
        <c:majorTickMark val="out"/>
        <c:minorTickMark val="none"/>
        <c:tickLblPos val="nextTo"/>
        <c:crossAx val="134774784"/>
        <c:crosses val="autoZero"/>
        <c:crossBetween val="midCat"/>
      </c:valAx>
      <c:valAx>
        <c:axId val="134774784"/>
        <c:scaling>
          <c:orientation val="minMax"/>
          <c:min val="0"/>
        </c:scaling>
        <c:delete val="0"/>
        <c:axPos val="l"/>
        <c:majorGridlines/>
        <c:numFmt formatCode="0" sourceLinked="0"/>
        <c:majorTickMark val="out"/>
        <c:minorTickMark val="none"/>
        <c:tickLblPos val="nextTo"/>
        <c:crossAx val="134760320"/>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3"/>
    </mc:Choice>
    <mc:Fallback>
      <c:style val="43"/>
    </mc:Fallback>
  </mc:AlternateContent>
  <c:chart>
    <c:autoTitleDeleted val="0"/>
    <c:plotArea>
      <c:layout>
        <c:manualLayout>
          <c:layoutTarget val="inner"/>
          <c:xMode val="edge"/>
          <c:yMode val="edge"/>
          <c:x val="0.1545304397925869"/>
          <c:y val="3.9498509288280713E-2"/>
          <c:w val="0.88301159230096238"/>
          <c:h val="0.87891586468358118"/>
        </c:manualLayout>
      </c:layout>
      <c:scatterChart>
        <c:scatterStyle val="lineMarker"/>
        <c:varyColors val="0"/>
        <c:ser>
          <c:idx val="0"/>
          <c:order val="0"/>
          <c:xVal>
            <c:numRef>
              <c:f>STEM_Geom!$M$13:$M$37</c:f>
              <c:numCache>
                <c:formatCode>General</c:formatCode>
                <c:ptCount val="25"/>
                <c:pt idx="0">
                  <c:v>1</c:v>
                </c:pt>
                <c:pt idx="1">
                  <c:v>40</c:v>
                </c:pt>
              </c:numCache>
            </c:numRef>
          </c:xVal>
          <c:yVal>
            <c:numRef>
              <c:f>STEM_Geom!$N$13:$N$37</c:f>
              <c:numCache>
                <c:formatCode>0.00</c:formatCode>
                <c:ptCount val="25"/>
                <c:pt idx="0">
                  <c:v>0.25</c:v>
                </c:pt>
                <c:pt idx="1">
                  <c:v>1</c:v>
                </c:pt>
              </c:numCache>
            </c:numRef>
          </c:yVal>
          <c:smooth val="0"/>
        </c:ser>
        <c:dLbls>
          <c:showLegendKey val="0"/>
          <c:showVal val="0"/>
          <c:showCatName val="0"/>
          <c:showSerName val="0"/>
          <c:showPercent val="0"/>
          <c:showBubbleSize val="0"/>
        </c:dLbls>
        <c:axId val="126158336"/>
        <c:axId val="126159872"/>
      </c:scatterChart>
      <c:valAx>
        <c:axId val="126158336"/>
        <c:scaling>
          <c:orientation val="minMax"/>
          <c:min val="0"/>
        </c:scaling>
        <c:delete val="0"/>
        <c:axPos val="b"/>
        <c:numFmt formatCode="0" sourceLinked="0"/>
        <c:majorTickMark val="out"/>
        <c:minorTickMark val="none"/>
        <c:tickLblPos val="nextTo"/>
        <c:crossAx val="126159872"/>
        <c:crosses val="autoZero"/>
        <c:crossBetween val="midCat"/>
      </c:valAx>
      <c:valAx>
        <c:axId val="126159872"/>
        <c:scaling>
          <c:orientation val="minMax"/>
          <c:max val="1"/>
          <c:min val="0"/>
        </c:scaling>
        <c:delete val="0"/>
        <c:axPos val="l"/>
        <c:majorGridlines/>
        <c:numFmt formatCode="0.00" sourceLinked="0"/>
        <c:majorTickMark val="out"/>
        <c:minorTickMark val="none"/>
        <c:tickLblPos val="nextTo"/>
        <c:crossAx val="126158336"/>
        <c:crosses val="autoZero"/>
        <c:crossBetween val="midCat"/>
      </c:valAx>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FROND_Prod!$Y$13:$Y$37</c:f>
              <c:numCache>
                <c:formatCode>General</c:formatCode>
                <c:ptCount val="25"/>
                <c:pt idx="0">
                  <c:v>1</c:v>
                </c:pt>
                <c:pt idx="1">
                  <c:v>57</c:v>
                </c:pt>
                <c:pt idx="2">
                  <c:v>83</c:v>
                </c:pt>
                <c:pt idx="3">
                  <c:v>98</c:v>
                </c:pt>
              </c:numCache>
            </c:numRef>
          </c:xVal>
          <c:yVal>
            <c:numRef>
              <c:f>FROND_Prod!$Z$13:$Z$37</c:f>
              <c:numCache>
                <c:formatCode>0.00</c:formatCode>
                <c:ptCount val="25"/>
                <c:pt idx="0">
                  <c:v>8.2278481012658236E-2</c:v>
                </c:pt>
                <c:pt idx="1">
                  <c:v>0.74050632911392411</c:v>
                </c:pt>
                <c:pt idx="2">
                  <c:v>0.90506329113924056</c:v>
                </c:pt>
                <c:pt idx="3">
                  <c:v>1</c:v>
                </c:pt>
              </c:numCache>
            </c:numRef>
          </c:yVal>
          <c:smooth val="0"/>
        </c:ser>
        <c:dLbls>
          <c:showLegendKey val="0"/>
          <c:showVal val="0"/>
          <c:showCatName val="0"/>
          <c:showSerName val="0"/>
          <c:showPercent val="0"/>
          <c:showBubbleSize val="0"/>
        </c:dLbls>
        <c:axId val="134786432"/>
        <c:axId val="135001216"/>
      </c:scatterChart>
      <c:valAx>
        <c:axId val="134786432"/>
        <c:scaling>
          <c:orientation val="minMax"/>
        </c:scaling>
        <c:delete val="0"/>
        <c:axPos val="b"/>
        <c:numFmt formatCode="0" sourceLinked="0"/>
        <c:majorTickMark val="out"/>
        <c:minorTickMark val="none"/>
        <c:tickLblPos val="nextTo"/>
        <c:crossAx val="135001216"/>
        <c:crosses val="autoZero"/>
        <c:crossBetween val="midCat"/>
      </c:valAx>
      <c:valAx>
        <c:axId val="135001216"/>
        <c:scaling>
          <c:orientation val="minMax"/>
          <c:max val="1"/>
          <c:min val="0"/>
        </c:scaling>
        <c:delete val="0"/>
        <c:axPos val="l"/>
        <c:majorGridlines/>
        <c:numFmt formatCode="0.00" sourceLinked="0"/>
        <c:majorTickMark val="out"/>
        <c:minorTickMark val="none"/>
        <c:tickLblPos val="nextTo"/>
        <c:crossAx val="134786432"/>
        <c:crosses val="autoZero"/>
        <c:crossBetween val="midCat"/>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INFLO_Prod!$G$13:$G$37</c:f>
              <c:numCache>
                <c:formatCode>0.00</c:formatCode>
                <c:ptCount val="25"/>
                <c:pt idx="0">
                  <c:v>0</c:v>
                </c:pt>
                <c:pt idx="1">
                  <c:v>20</c:v>
                </c:pt>
                <c:pt idx="2">
                  <c:v>70</c:v>
                </c:pt>
                <c:pt idx="3">
                  <c:v>100</c:v>
                </c:pt>
              </c:numCache>
            </c:numRef>
          </c:xVal>
          <c:yVal>
            <c:numRef>
              <c:f>INFLO_Prod!$H$13:$H$37</c:f>
              <c:numCache>
                <c:formatCode>0.00</c:formatCode>
                <c:ptCount val="25"/>
                <c:pt idx="0">
                  <c:v>0</c:v>
                </c:pt>
                <c:pt idx="1">
                  <c:v>70</c:v>
                </c:pt>
                <c:pt idx="2">
                  <c:v>70</c:v>
                </c:pt>
                <c:pt idx="3">
                  <c:v>90</c:v>
                </c:pt>
              </c:numCache>
            </c:numRef>
          </c:yVal>
          <c:smooth val="0"/>
        </c:ser>
        <c:dLbls>
          <c:showLegendKey val="0"/>
          <c:showVal val="0"/>
          <c:showCatName val="0"/>
          <c:showSerName val="0"/>
          <c:showPercent val="0"/>
          <c:showBubbleSize val="0"/>
        </c:dLbls>
        <c:axId val="135086080"/>
        <c:axId val="135088000"/>
      </c:scatterChart>
      <c:valAx>
        <c:axId val="135086080"/>
        <c:scaling>
          <c:orientation val="minMax"/>
          <c:max val="100"/>
          <c:min val="0"/>
        </c:scaling>
        <c:delete val="0"/>
        <c:axPos val="b"/>
        <c:numFmt formatCode="0" sourceLinked="0"/>
        <c:majorTickMark val="out"/>
        <c:minorTickMark val="none"/>
        <c:tickLblPos val="nextTo"/>
        <c:crossAx val="135088000"/>
        <c:crosses val="autoZero"/>
        <c:crossBetween val="midCat"/>
      </c:valAx>
      <c:valAx>
        <c:axId val="135088000"/>
        <c:scaling>
          <c:orientation val="minMax"/>
          <c:max val="100"/>
          <c:min val="0"/>
        </c:scaling>
        <c:delete val="0"/>
        <c:axPos val="l"/>
        <c:majorGridlines/>
        <c:numFmt formatCode="0.0" sourceLinked="0"/>
        <c:majorTickMark val="out"/>
        <c:minorTickMark val="none"/>
        <c:tickLblPos val="nextTo"/>
        <c:crossAx val="135086080"/>
        <c:crosses val="autoZero"/>
        <c:crossBetween val="midCat"/>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STALK_Geom!$C$13:$C$37</c:f>
              <c:numCache>
                <c:formatCode>General</c:formatCode>
                <c:ptCount val="25"/>
                <c:pt idx="0">
                  <c:v>1</c:v>
                </c:pt>
                <c:pt idx="1">
                  <c:v>100</c:v>
                </c:pt>
                <c:pt idx="2">
                  <c:v>200</c:v>
                </c:pt>
              </c:numCache>
            </c:numRef>
          </c:xVal>
          <c:yVal>
            <c:numRef>
              <c:f>STALK_Geom!$D$13:$D$37</c:f>
              <c:numCache>
                <c:formatCode>0.00</c:formatCode>
                <c:ptCount val="25"/>
                <c:pt idx="0">
                  <c:v>100</c:v>
                </c:pt>
                <c:pt idx="1">
                  <c:v>200</c:v>
                </c:pt>
                <c:pt idx="2">
                  <c:v>250</c:v>
                </c:pt>
              </c:numCache>
            </c:numRef>
          </c:yVal>
          <c:smooth val="0"/>
        </c:ser>
        <c:dLbls>
          <c:showLegendKey val="0"/>
          <c:showVal val="0"/>
          <c:showCatName val="0"/>
          <c:showSerName val="0"/>
          <c:showPercent val="0"/>
          <c:showBubbleSize val="0"/>
        </c:dLbls>
        <c:axId val="135252608"/>
        <c:axId val="135254784"/>
      </c:scatterChart>
      <c:valAx>
        <c:axId val="135252608"/>
        <c:scaling>
          <c:orientation val="minMax"/>
        </c:scaling>
        <c:delete val="0"/>
        <c:axPos val="b"/>
        <c:numFmt formatCode="0" sourceLinked="0"/>
        <c:majorTickMark val="out"/>
        <c:minorTickMark val="none"/>
        <c:tickLblPos val="nextTo"/>
        <c:crossAx val="135254784"/>
        <c:crosses val="autoZero"/>
        <c:crossBetween val="midCat"/>
      </c:valAx>
      <c:valAx>
        <c:axId val="135254784"/>
        <c:scaling>
          <c:orientation val="minMax"/>
          <c:min val="0"/>
        </c:scaling>
        <c:delete val="0"/>
        <c:axPos val="l"/>
        <c:majorGridlines/>
        <c:numFmt formatCode="0" sourceLinked="0"/>
        <c:majorTickMark val="out"/>
        <c:minorTickMark val="none"/>
        <c:tickLblPos val="nextTo"/>
        <c:crossAx val="135252608"/>
        <c:crosses val="autoZero"/>
        <c:crossBetween val="midCat"/>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STALK_Geom!$G$13:$G$37</c:f>
              <c:numCache>
                <c:formatCode>General</c:formatCode>
                <c:ptCount val="25"/>
                <c:pt idx="0">
                  <c:v>1</c:v>
                </c:pt>
                <c:pt idx="1">
                  <c:v>100</c:v>
                </c:pt>
                <c:pt idx="2">
                  <c:v>200</c:v>
                </c:pt>
              </c:numCache>
            </c:numRef>
          </c:xVal>
          <c:yVal>
            <c:numRef>
              <c:f>STALK_Geom!$H$13:$H$37</c:f>
              <c:numCache>
                <c:formatCode>0.00</c:formatCode>
                <c:ptCount val="25"/>
                <c:pt idx="0">
                  <c:v>3</c:v>
                </c:pt>
                <c:pt idx="1">
                  <c:v>4</c:v>
                </c:pt>
                <c:pt idx="2">
                  <c:v>5</c:v>
                </c:pt>
              </c:numCache>
            </c:numRef>
          </c:yVal>
          <c:smooth val="0"/>
        </c:ser>
        <c:dLbls>
          <c:showLegendKey val="0"/>
          <c:showVal val="0"/>
          <c:showCatName val="0"/>
          <c:showSerName val="0"/>
          <c:showPercent val="0"/>
          <c:showBubbleSize val="0"/>
        </c:dLbls>
        <c:axId val="135601536"/>
        <c:axId val="135607808"/>
      </c:scatterChart>
      <c:valAx>
        <c:axId val="135601536"/>
        <c:scaling>
          <c:orientation val="minMax"/>
        </c:scaling>
        <c:delete val="0"/>
        <c:axPos val="b"/>
        <c:numFmt formatCode="0" sourceLinked="0"/>
        <c:majorTickMark val="out"/>
        <c:minorTickMark val="none"/>
        <c:tickLblPos val="nextTo"/>
        <c:crossAx val="135607808"/>
        <c:crosses val="autoZero"/>
        <c:crossBetween val="midCat"/>
      </c:valAx>
      <c:valAx>
        <c:axId val="135607808"/>
        <c:scaling>
          <c:orientation val="minMax"/>
          <c:min val="0"/>
        </c:scaling>
        <c:delete val="0"/>
        <c:axPos val="l"/>
        <c:majorGridlines/>
        <c:numFmt formatCode="0" sourceLinked="0"/>
        <c:majorTickMark val="out"/>
        <c:minorTickMark val="none"/>
        <c:tickLblPos val="nextTo"/>
        <c:crossAx val="135601536"/>
        <c:crosses val="autoZero"/>
        <c:crossBetween val="midCat"/>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STALK_Geom!$J$13:$J$37</c:f>
              <c:numCache>
                <c:formatCode>0.00</c:formatCode>
                <c:ptCount val="25"/>
                <c:pt idx="0">
                  <c:v>0</c:v>
                </c:pt>
                <c:pt idx="1">
                  <c:v>70</c:v>
                </c:pt>
                <c:pt idx="2">
                  <c:v>75</c:v>
                </c:pt>
                <c:pt idx="3">
                  <c:v>100</c:v>
                </c:pt>
              </c:numCache>
            </c:numRef>
          </c:xVal>
          <c:yVal>
            <c:numRef>
              <c:f>STALK_Geom!$K$13:$K$37</c:f>
              <c:numCache>
                <c:formatCode>0.00</c:formatCode>
                <c:ptCount val="25"/>
                <c:pt idx="0">
                  <c:v>1</c:v>
                </c:pt>
                <c:pt idx="1">
                  <c:v>0.95</c:v>
                </c:pt>
                <c:pt idx="2">
                  <c:v>0.9</c:v>
                </c:pt>
                <c:pt idx="3">
                  <c:v>0.1</c:v>
                </c:pt>
              </c:numCache>
            </c:numRef>
          </c:yVal>
          <c:smooth val="0"/>
        </c:ser>
        <c:dLbls>
          <c:showLegendKey val="0"/>
          <c:showVal val="0"/>
          <c:showCatName val="0"/>
          <c:showSerName val="0"/>
          <c:showPercent val="0"/>
          <c:showBubbleSize val="0"/>
        </c:dLbls>
        <c:axId val="135631616"/>
        <c:axId val="135633152"/>
      </c:scatterChart>
      <c:valAx>
        <c:axId val="135631616"/>
        <c:scaling>
          <c:orientation val="minMax"/>
          <c:max val="100"/>
          <c:min val="0"/>
        </c:scaling>
        <c:delete val="0"/>
        <c:axPos val="b"/>
        <c:numFmt formatCode="0" sourceLinked="0"/>
        <c:majorTickMark val="out"/>
        <c:minorTickMark val="none"/>
        <c:tickLblPos val="nextTo"/>
        <c:crossAx val="135633152"/>
        <c:crosses val="autoZero"/>
        <c:crossBetween val="midCat"/>
      </c:valAx>
      <c:valAx>
        <c:axId val="135633152"/>
        <c:scaling>
          <c:orientation val="minMax"/>
          <c:max val="1"/>
          <c:min val="0"/>
        </c:scaling>
        <c:delete val="0"/>
        <c:axPos val="l"/>
        <c:majorGridlines/>
        <c:numFmt formatCode="0.0" sourceLinked="0"/>
        <c:majorTickMark val="out"/>
        <c:minorTickMark val="none"/>
        <c:tickLblPos val="nextTo"/>
        <c:crossAx val="135631616"/>
        <c:crosses val="autoZero"/>
        <c:crossBetween val="midCat"/>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STALK_Geom!$P$13:$P$37</c:f>
              <c:numCache>
                <c:formatCode>0.00</c:formatCode>
                <c:ptCount val="25"/>
                <c:pt idx="0">
                  <c:v>0</c:v>
                </c:pt>
                <c:pt idx="1">
                  <c:v>70</c:v>
                </c:pt>
                <c:pt idx="2">
                  <c:v>75</c:v>
                </c:pt>
                <c:pt idx="3">
                  <c:v>100</c:v>
                </c:pt>
              </c:numCache>
            </c:numRef>
          </c:xVal>
          <c:yVal>
            <c:numRef>
              <c:f>STALK_Geom!$Q$13:$Q$37</c:f>
              <c:numCache>
                <c:formatCode>0.00</c:formatCode>
                <c:ptCount val="25"/>
                <c:pt idx="0">
                  <c:v>1</c:v>
                </c:pt>
                <c:pt idx="1">
                  <c:v>0.95</c:v>
                </c:pt>
                <c:pt idx="2">
                  <c:v>0.9</c:v>
                </c:pt>
                <c:pt idx="3">
                  <c:v>0.1</c:v>
                </c:pt>
              </c:numCache>
            </c:numRef>
          </c:yVal>
          <c:smooth val="0"/>
        </c:ser>
        <c:dLbls>
          <c:showLegendKey val="0"/>
          <c:showVal val="0"/>
          <c:showCatName val="0"/>
          <c:showSerName val="0"/>
          <c:showPercent val="0"/>
          <c:showBubbleSize val="0"/>
        </c:dLbls>
        <c:axId val="135648768"/>
        <c:axId val="135650304"/>
      </c:scatterChart>
      <c:valAx>
        <c:axId val="135648768"/>
        <c:scaling>
          <c:orientation val="minMax"/>
          <c:max val="100"/>
          <c:min val="0"/>
        </c:scaling>
        <c:delete val="0"/>
        <c:axPos val="b"/>
        <c:numFmt formatCode="0" sourceLinked="0"/>
        <c:majorTickMark val="out"/>
        <c:minorTickMark val="none"/>
        <c:tickLblPos val="nextTo"/>
        <c:crossAx val="135650304"/>
        <c:crosses val="autoZero"/>
        <c:crossBetween val="midCat"/>
      </c:valAx>
      <c:valAx>
        <c:axId val="135650304"/>
        <c:scaling>
          <c:orientation val="minMax"/>
          <c:max val="1"/>
          <c:min val="0"/>
        </c:scaling>
        <c:delete val="0"/>
        <c:axPos val="l"/>
        <c:majorGridlines/>
        <c:numFmt formatCode="0.0" sourceLinked="0"/>
        <c:majorTickMark val="out"/>
        <c:minorTickMark val="none"/>
        <c:tickLblPos val="nextTo"/>
        <c:crossAx val="135648768"/>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STALK_Geom!$M$13:$M$37</c:f>
              <c:numCache>
                <c:formatCode>General</c:formatCode>
                <c:ptCount val="25"/>
                <c:pt idx="0">
                  <c:v>1</c:v>
                </c:pt>
                <c:pt idx="1">
                  <c:v>200</c:v>
                </c:pt>
              </c:numCache>
            </c:numRef>
          </c:xVal>
          <c:yVal>
            <c:numRef>
              <c:f>STALK_Geom!$N$13:$N$37</c:f>
              <c:numCache>
                <c:formatCode>0.00</c:formatCode>
                <c:ptCount val="25"/>
                <c:pt idx="0">
                  <c:v>1</c:v>
                </c:pt>
                <c:pt idx="1">
                  <c:v>2</c:v>
                </c:pt>
              </c:numCache>
            </c:numRef>
          </c:yVal>
          <c:smooth val="0"/>
        </c:ser>
        <c:dLbls>
          <c:showLegendKey val="0"/>
          <c:showVal val="0"/>
          <c:showCatName val="0"/>
          <c:showSerName val="0"/>
          <c:showPercent val="0"/>
          <c:showBubbleSize val="0"/>
        </c:dLbls>
        <c:axId val="144234368"/>
        <c:axId val="144240640"/>
      </c:scatterChart>
      <c:valAx>
        <c:axId val="144234368"/>
        <c:scaling>
          <c:orientation val="minMax"/>
        </c:scaling>
        <c:delete val="0"/>
        <c:axPos val="b"/>
        <c:numFmt formatCode="0" sourceLinked="0"/>
        <c:majorTickMark val="out"/>
        <c:minorTickMark val="none"/>
        <c:tickLblPos val="nextTo"/>
        <c:crossAx val="144240640"/>
        <c:crosses val="autoZero"/>
        <c:crossBetween val="midCat"/>
      </c:valAx>
      <c:valAx>
        <c:axId val="144240640"/>
        <c:scaling>
          <c:orientation val="minMax"/>
          <c:min val="0"/>
        </c:scaling>
        <c:delete val="0"/>
        <c:axPos val="l"/>
        <c:majorGridlines/>
        <c:numFmt formatCode="0" sourceLinked="0"/>
        <c:majorTickMark val="out"/>
        <c:minorTickMark val="none"/>
        <c:tickLblPos val="nextTo"/>
        <c:crossAx val="144234368"/>
        <c:crosses val="autoZero"/>
        <c:crossBetween val="midCat"/>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STALK_Geom!$AF$13:$AF$37</c:f>
              <c:numCache>
                <c:formatCode>0.00</c:formatCode>
                <c:ptCount val="25"/>
                <c:pt idx="0">
                  <c:v>0</c:v>
                </c:pt>
                <c:pt idx="1">
                  <c:v>10</c:v>
                </c:pt>
                <c:pt idx="2">
                  <c:v>100</c:v>
                </c:pt>
              </c:numCache>
            </c:numRef>
          </c:xVal>
          <c:yVal>
            <c:numRef>
              <c:f>STALK_Geom!$AG$13:$AG$37</c:f>
              <c:numCache>
                <c:formatCode>0.00</c:formatCode>
                <c:ptCount val="25"/>
                <c:pt idx="0">
                  <c:v>0</c:v>
                </c:pt>
                <c:pt idx="1">
                  <c:v>20</c:v>
                </c:pt>
                <c:pt idx="2">
                  <c:v>40</c:v>
                </c:pt>
              </c:numCache>
            </c:numRef>
          </c:yVal>
          <c:smooth val="0"/>
        </c:ser>
        <c:dLbls>
          <c:showLegendKey val="0"/>
          <c:showVal val="0"/>
          <c:showCatName val="0"/>
          <c:showSerName val="0"/>
          <c:showPercent val="0"/>
          <c:showBubbleSize val="0"/>
        </c:dLbls>
        <c:axId val="144313344"/>
        <c:axId val="144327424"/>
      </c:scatterChart>
      <c:valAx>
        <c:axId val="144313344"/>
        <c:scaling>
          <c:orientation val="minMax"/>
          <c:max val="100"/>
          <c:min val="0"/>
        </c:scaling>
        <c:delete val="0"/>
        <c:axPos val="b"/>
        <c:numFmt formatCode="0" sourceLinked="0"/>
        <c:majorTickMark val="out"/>
        <c:minorTickMark val="none"/>
        <c:tickLblPos val="nextTo"/>
        <c:crossAx val="144327424"/>
        <c:crosses val="autoZero"/>
        <c:crossBetween val="midCat"/>
      </c:valAx>
      <c:valAx>
        <c:axId val="144327424"/>
        <c:scaling>
          <c:orientation val="minMax"/>
          <c:min val="0"/>
        </c:scaling>
        <c:delete val="0"/>
        <c:axPos val="l"/>
        <c:majorGridlines/>
        <c:numFmt formatCode="0" sourceLinked="0"/>
        <c:majorTickMark val="out"/>
        <c:minorTickMark val="none"/>
        <c:tickLblPos val="nextTo"/>
        <c:crossAx val="144313344"/>
        <c:crosses val="autoZero"/>
        <c:crossBetween val="midCat"/>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STALK_Geom!$Z$13:$Z$37</c:f>
              <c:numCache>
                <c:formatCode>0.00</c:formatCode>
                <c:ptCount val="25"/>
                <c:pt idx="0">
                  <c:v>0</c:v>
                </c:pt>
                <c:pt idx="1">
                  <c:v>10</c:v>
                </c:pt>
                <c:pt idx="2">
                  <c:v>100</c:v>
                </c:pt>
              </c:numCache>
            </c:numRef>
          </c:xVal>
          <c:yVal>
            <c:numRef>
              <c:f>STALK_Geom!$AA$13:$AA$37</c:f>
              <c:numCache>
                <c:formatCode>0.00</c:formatCode>
                <c:ptCount val="25"/>
                <c:pt idx="0">
                  <c:v>0</c:v>
                </c:pt>
                <c:pt idx="1">
                  <c:v>10</c:v>
                </c:pt>
                <c:pt idx="2">
                  <c:v>90</c:v>
                </c:pt>
              </c:numCache>
            </c:numRef>
          </c:yVal>
          <c:smooth val="0"/>
        </c:ser>
        <c:dLbls>
          <c:showLegendKey val="0"/>
          <c:showVal val="0"/>
          <c:showCatName val="0"/>
          <c:showSerName val="0"/>
          <c:showPercent val="0"/>
          <c:showBubbleSize val="0"/>
        </c:dLbls>
        <c:axId val="144355328"/>
        <c:axId val="144356864"/>
      </c:scatterChart>
      <c:valAx>
        <c:axId val="144355328"/>
        <c:scaling>
          <c:orientation val="minMax"/>
          <c:max val="100"/>
          <c:min val="0"/>
        </c:scaling>
        <c:delete val="0"/>
        <c:axPos val="b"/>
        <c:numFmt formatCode="0" sourceLinked="0"/>
        <c:majorTickMark val="out"/>
        <c:minorTickMark val="none"/>
        <c:tickLblPos val="nextTo"/>
        <c:crossAx val="144356864"/>
        <c:crosses val="autoZero"/>
        <c:crossBetween val="midCat"/>
      </c:valAx>
      <c:valAx>
        <c:axId val="144356864"/>
        <c:scaling>
          <c:orientation val="minMax"/>
          <c:min val="0"/>
        </c:scaling>
        <c:delete val="0"/>
        <c:axPos val="l"/>
        <c:majorGridlines/>
        <c:numFmt formatCode="0" sourceLinked="0"/>
        <c:majorTickMark val="out"/>
        <c:minorTickMark val="none"/>
        <c:tickLblPos val="nextTo"/>
        <c:crossAx val="144355328"/>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STALK_Geom!$T$6</c:f>
              <c:strCache>
                <c:ptCount val="1"/>
                <c:pt idx="0">
                  <c:v>Initial</c:v>
                </c:pt>
              </c:strCache>
            </c:strRef>
          </c:tx>
          <c:xVal>
            <c:numRef>
              <c:f>STALK_Geom!$S$13:$S$37</c:f>
              <c:numCache>
                <c:formatCode>0.00</c:formatCode>
                <c:ptCount val="25"/>
                <c:pt idx="0">
                  <c:v>0</c:v>
                </c:pt>
                <c:pt idx="1">
                  <c:v>25</c:v>
                </c:pt>
                <c:pt idx="2">
                  <c:v>50</c:v>
                </c:pt>
                <c:pt idx="3">
                  <c:v>75</c:v>
                </c:pt>
                <c:pt idx="4">
                  <c:v>100</c:v>
                </c:pt>
              </c:numCache>
            </c:numRef>
          </c:xVal>
          <c:yVal>
            <c:numRef>
              <c:f>STALK_Geom!$T$13:$T$37</c:f>
              <c:numCache>
                <c:formatCode>0.00</c:formatCode>
                <c:ptCount val="25"/>
                <c:pt idx="0">
                  <c:v>0</c:v>
                </c:pt>
                <c:pt idx="1">
                  <c:v>2</c:v>
                </c:pt>
                <c:pt idx="2">
                  <c:v>4</c:v>
                </c:pt>
                <c:pt idx="3">
                  <c:v>6</c:v>
                </c:pt>
                <c:pt idx="4">
                  <c:v>8</c:v>
                </c:pt>
              </c:numCache>
            </c:numRef>
          </c:yVal>
          <c:smooth val="0"/>
        </c:ser>
        <c:ser>
          <c:idx val="1"/>
          <c:order val="1"/>
          <c:tx>
            <c:strRef>
              <c:f>STALK_Geom!$V$6:$W$6</c:f>
              <c:strCache>
                <c:ptCount val="1"/>
                <c:pt idx="0">
                  <c:v>Final</c:v>
                </c:pt>
              </c:strCache>
            </c:strRef>
          </c:tx>
          <c:xVal>
            <c:numRef>
              <c:f>STALK_Geom!$U$13:$U$37</c:f>
              <c:numCache>
                <c:formatCode>0.00</c:formatCode>
                <c:ptCount val="25"/>
                <c:pt idx="0">
                  <c:v>0</c:v>
                </c:pt>
                <c:pt idx="1">
                  <c:v>20</c:v>
                </c:pt>
                <c:pt idx="2">
                  <c:v>45</c:v>
                </c:pt>
                <c:pt idx="3">
                  <c:v>70</c:v>
                </c:pt>
                <c:pt idx="4">
                  <c:v>100</c:v>
                </c:pt>
              </c:numCache>
            </c:numRef>
          </c:xVal>
          <c:yVal>
            <c:numRef>
              <c:f>STALK_Geom!$V$13:$V$37</c:f>
              <c:numCache>
                <c:formatCode>0.00</c:formatCode>
                <c:ptCount val="25"/>
                <c:pt idx="0">
                  <c:v>0</c:v>
                </c:pt>
                <c:pt idx="1">
                  <c:v>20</c:v>
                </c:pt>
                <c:pt idx="2">
                  <c:v>100</c:v>
                </c:pt>
                <c:pt idx="3">
                  <c:v>140</c:v>
                </c:pt>
                <c:pt idx="4">
                  <c:v>170</c:v>
                </c:pt>
              </c:numCache>
            </c:numRef>
          </c:yVal>
          <c:smooth val="0"/>
        </c:ser>
        <c:dLbls>
          <c:showLegendKey val="0"/>
          <c:showVal val="0"/>
          <c:showCatName val="0"/>
          <c:showSerName val="0"/>
          <c:showPercent val="0"/>
          <c:showBubbleSize val="0"/>
        </c:dLbls>
        <c:axId val="144377344"/>
        <c:axId val="144378880"/>
      </c:scatterChart>
      <c:valAx>
        <c:axId val="144377344"/>
        <c:scaling>
          <c:orientation val="minMax"/>
          <c:max val="100"/>
          <c:min val="0"/>
        </c:scaling>
        <c:delete val="0"/>
        <c:axPos val="b"/>
        <c:numFmt formatCode="0" sourceLinked="0"/>
        <c:majorTickMark val="out"/>
        <c:minorTickMark val="none"/>
        <c:tickLblPos val="nextTo"/>
        <c:crossAx val="144378880"/>
        <c:crosses val="autoZero"/>
        <c:crossBetween val="midCat"/>
      </c:valAx>
      <c:valAx>
        <c:axId val="144378880"/>
        <c:scaling>
          <c:orientation val="minMax"/>
          <c:min val="0"/>
        </c:scaling>
        <c:delete val="0"/>
        <c:axPos val="l"/>
        <c:majorGridlines/>
        <c:numFmt formatCode="0" sourceLinked="0"/>
        <c:majorTickMark val="out"/>
        <c:minorTickMark val="none"/>
        <c:tickLblPos val="nextTo"/>
        <c:crossAx val="144377344"/>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SPEAR!$P$13:$P$37</c:f>
              <c:numCache>
                <c:formatCode>0.00</c:formatCode>
                <c:ptCount val="25"/>
                <c:pt idx="0">
                  <c:v>0</c:v>
                </c:pt>
                <c:pt idx="1">
                  <c:v>5.15970515970516</c:v>
                </c:pt>
                <c:pt idx="2">
                  <c:v>19.237669202955026</c:v>
                </c:pt>
                <c:pt idx="3">
                  <c:v>99.99</c:v>
                </c:pt>
                <c:pt idx="4">
                  <c:v>100</c:v>
                </c:pt>
              </c:numCache>
            </c:numRef>
          </c:xVal>
          <c:yVal>
            <c:numRef>
              <c:f>SPEAR!$Q$13:$Q$37</c:f>
              <c:numCache>
                <c:formatCode>0.00</c:formatCode>
                <c:ptCount val="25"/>
                <c:pt idx="0">
                  <c:v>0</c:v>
                </c:pt>
                <c:pt idx="1">
                  <c:v>1</c:v>
                </c:pt>
                <c:pt idx="2">
                  <c:v>3</c:v>
                </c:pt>
                <c:pt idx="3">
                  <c:v>6</c:v>
                </c:pt>
                <c:pt idx="4">
                  <c:v>10</c:v>
                </c:pt>
              </c:numCache>
            </c:numRef>
          </c:yVal>
          <c:smooth val="0"/>
        </c:ser>
        <c:dLbls>
          <c:showLegendKey val="0"/>
          <c:showVal val="0"/>
          <c:showCatName val="0"/>
          <c:showSerName val="0"/>
          <c:showPercent val="0"/>
          <c:showBubbleSize val="0"/>
        </c:dLbls>
        <c:axId val="126196352"/>
        <c:axId val="126386560"/>
      </c:scatterChart>
      <c:valAx>
        <c:axId val="126196352"/>
        <c:scaling>
          <c:orientation val="minMax"/>
          <c:max val="100"/>
          <c:min val="0"/>
        </c:scaling>
        <c:delete val="0"/>
        <c:axPos val="b"/>
        <c:numFmt formatCode="0" sourceLinked="0"/>
        <c:majorTickMark val="out"/>
        <c:minorTickMark val="none"/>
        <c:tickLblPos val="nextTo"/>
        <c:crossAx val="126386560"/>
        <c:crosses val="autoZero"/>
        <c:crossBetween val="midCat"/>
      </c:valAx>
      <c:valAx>
        <c:axId val="126386560"/>
        <c:scaling>
          <c:orientation val="minMax"/>
          <c:min val="0"/>
        </c:scaling>
        <c:delete val="0"/>
        <c:axPos val="l"/>
        <c:majorGridlines/>
        <c:numFmt formatCode="0" sourceLinked="0"/>
        <c:majorTickMark val="out"/>
        <c:minorTickMark val="none"/>
        <c:tickLblPos val="nextTo"/>
        <c:crossAx val="126196352"/>
        <c:crosses val="autoZero"/>
        <c:crossBetween val="midCat"/>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STALK_Geom!$AC$13:$AC$37</c:f>
              <c:numCache>
                <c:formatCode>General</c:formatCode>
                <c:ptCount val="25"/>
                <c:pt idx="0">
                  <c:v>1</c:v>
                </c:pt>
                <c:pt idx="1">
                  <c:v>32</c:v>
                </c:pt>
              </c:numCache>
            </c:numRef>
          </c:xVal>
          <c:yVal>
            <c:numRef>
              <c:f>STALK_Geom!$AD$13:$AD$37</c:f>
              <c:numCache>
                <c:formatCode>0.00</c:formatCode>
                <c:ptCount val="25"/>
                <c:pt idx="0">
                  <c:v>0.1</c:v>
                </c:pt>
                <c:pt idx="1">
                  <c:v>1</c:v>
                </c:pt>
              </c:numCache>
            </c:numRef>
          </c:yVal>
          <c:smooth val="0"/>
        </c:ser>
        <c:dLbls>
          <c:showLegendKey val="0"/>
          <c:showVal val="0"/>
          <c:showCatName val="0"/>
          <c:showSerName val="0"/>
          <c:showPercent val="0"/>
          <c:showBubbleSize val="0"/>
        </c:dLbls>
        <c:axId val="144398592"/>
        <c:axId val="144408576"/>
      </c:scatterChart>
      <c:valAx>
        <c:axId val="144398592"/>
        <c:scaling>
          <c:orientation val="minMax"/>
          <c:min val="0"/>
        </c:scaling>
        <c:delete val="0"/>
        <c:axPos val="b"/>
        <c:numFmt formatCode="0" sourceLinked="0"/>
        <c:majorTickMark val="out"/>
        <c:minorTickMark val="none"/>
        <c:tickLblPos val="nextTo"/>
        <c:crossAx val="144408576"/>
        <c:crosses val="autoZero"/>
        <c:crossBetween val="midCat"/>
      </c:valAx>
      <c:valAx>
        <c:axId val="144408576"/>
        <c:scaling>
          <c:orientation val="minMax"/>
          <c:max val="1"/>
          <c:min val="0"/>
        </c:scaling>
        <c:delete val="0"/>
        <c:axPos val="l"/>
        <c:majorGridlines/>
        <c:numFmt formatCode="0.00" sourceLinked="0"/>
        <c:majorTickMark val="out"/>
        <c:minorTickMark val="none"/>
        <c:tickLblPos val="nextTo"/>
        <c:crossAx val="144398592"/>
        <c:crosses val="autoZero"/>
        <c:crossBetween val="midCat"/>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STALK_Geom!$AI$13:$AI$37</c:f>
              <c:numCache>
                <c:formatCode>General</c:formatCode>
                <c:ptCount val="25"/>
                <c:pt idx="0">
                  <c:v>1</c:v>
                </c:pt>
                <c:pt idx="1">
                  <c:v>32</c:v>
                </c:pt>
              </c:numCache>
            </c:numRef>
          </c:xVal>
          <c:yVal>
            <c:numRef>
              <c:f>STALK_Geom!$AJ$13:$AJ$37</c:f>
              <c:numCache>
                <c:formatCode>0.00</c:formatCode>
                <c:ptCount val="25"/>
                <c:pt idx="0">
                  <c:v>0.1</c:v>
                </c:pt>
                <c:pt idx="1">
                  <c:v>1</c:v>
                </c:pt>
              </c:numCache>
            </c:numRef>
          </c:yVal>
          <c:smooth val="0"/>
        </c:ser>
        <c:dLbls>
          <c:showLegendKey val="0"/>
          <c:showVal val="0"/>
          <c:showCatName val="0"/>
          <c:showSerName val="0"/>
          <c:showPercent val="0"/>
          <c:showBubbleSize val="0"/>
        </c:dLbls>
        <c:axId val="144436224"/>
        <c:axId val="144446208"/>
      </c:scatterChart>
      <c:valAx>
        <c:axId val="144436224"/>
        <c:scaling>
          <c:orientation val="minMax"/>
          <c:min val="0"/>
        </c:scaling>
        <c:delete val="0"/>
        <c:axPos val="b"/>
        <c:numFmt formatCode="0" sourceLinked="0"/>
        <c:majorTickMark val="out"/>
        <c:minorTickMark val="none"/>
        <c:tickLblPos val="nextTo"/>
        <c:crossAx val="144446208"/>
        <c:crosses val="autoZero"/>
        <c:crossBetween val="midCat"/>
      </c:valAx>
      <c:valAx>
        <c:axId val="144446208"/>
        <c:scaling>
          <c:orientation val="minMax"/>
          <c:max val="1"/>
          <c:min val="0"/>
        </c:scaling>
        <c:delete val="0"/>
        <c:axPos val="l"/>
        <c:majorGridlines/>
        <c:numFmt formatCode="0.00" sourceLinked="0"/>
        <c:majorTickMark val="out"/>
        <c:minorTickMark val="none"/>
        <c:tickLblPos val="nextTo"/>
        <c:crossAx val="144436224"/>
        <c:crosses val="autoZero"/>
        <c:crossBetween val="midCat"/>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xVal>
            <c:numRef>
              <c:f>BRACT_Prod!$V$13:$V$37</c:f>
              <c:numCache>
                <c:formatCode>General</c:formatCode>
                <c:ptCount val="25"/>
                <c:pt idx="0">
                  <c:v>1</c:v>
                </c:pt>
                <c:pt idx="1">
                  <c:v>32</c:v>
                </c:pt>
              </c:numCache>
            </c:numRef>
          </c:xVal>
          <c:yVal>
            <c:numRef>
              <c:f>BRACT_Prod!$W$13:$W$37</c:f>
              <c:numCache>
                <c:formatCode>0.00</c:formatCode>
                <c:ptCount val="25"/>
                <c:pt idx="0">
                  <c:v>0.1</c:v>
                </c:pt>
                <c:pt idx="1">
                  <c:v>1</c:v>
                </c:pt>
              </c:numCache>
            </c:numRef>
          </c:yVal>
          <c:smooth val="0"/>
        </c:ser>
        <c:dLbls>
          <c:showLegendKey val="0"/>
          <c:showVal val="0"/>
          <c:showCatName val="0"/>
          <c:showSerName val="0"/>
          <c:showPercent val="0"/>
          <c:showBubbleSize val="0"/>
        </c:dLbls>
        <c:axId val="144815232"/>
        <c:axId val="144816768"/>
      </c:scatterChart>
      <c:valAx>
        <c:axId val="144815232"/>
        <c:scaling>
          <c:orientation val="minMax"/>
        </c:scaling>
        <c:delete val="0"/>
        <c:axPos val="b"/>
        <c:numFmt formatCode="0" sourceLinked="0"/>
        <c:majorTickMark val="out"/>
        <c:minorTickMark val="none"/>
        <c:tickLblPos val="nextTo"/>
        <c:crossAx val="144816768"/>
        <c:crosses val="autoZero"/>
        <c:crossBetween val="midCat"/>
      </c:valAx>
      <c:valAx>
        <c:axId val="144816768"/>
        <c:scaling>
          <c:orientation val="minMax"/>
          <c:max val="1"/>
          <c:min val="0"/>
        </c:scaling>
        <c:delete val="0"/>
        <c:axPos val="l"/>
        <c:majorGridlines/>
        <c:numFmt formatCode="0.00" sourceLinked="0"/>
        <c:majorTickMark val="out"/>
        <c:minorTickMark val="none"/>
        <c:tickLblPos val="nextTo"/>
        <c:crossAx val="144815232"/>
        <c:crosses val="autoZero"/>
        <c:crossBetween val="midCat"/>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BRACT_Prod!$I$13:$I$37</c:f>
              <c:numCache>
                <c:formatCode>0.00</c:formatCode>
                <c:ptCount val="25"/>
                <c:pt idx="0">
                  <c:v>0</c:v>
                </c:pt>
              </c:numCache>
            </c:numRef>
          </c:xVal>
          <c:yVal>
            <c:numRef>
              <c:f>BRACT_Prod!$J$13:$J$37</c:f>
              <c:numCache>
                <c:formatCode>0.00</c:formatCode>
                <c:ptCount val="25"/>
                <c:pt idx="0">
                  <c:v>1</c:v>
                </c:pt>
              </c:numCache>
            </c:numRef>
          </c:yVal>
          <c:smooth val="0"/>
        </c:ser>
        <c:dLbls>
          <c:showLegendKey val="0"/>
          <c:showVal val="0"/>
          <c:showCatName val="0"/>
          <c:showSerName val="0"/>
          <c:showPercent val="0"/>
          <c:showBubbleSize val="0"/>
        </c:dLbls>
        <c:axId val="144852480"/>
        <c:axId val="144854400"/>
      </c:scatterChart>
      <c:valAx>
        <c:axId val="144852480"/>
        <c:scaling>
          <c:orientation val="minMax"/>
          <c:max val="100"/>
          <c:min val="0"/>
        </c:scaling>
        <c:delete val="0"/>
        <c:axPos val="b"/>
        <c:numFmt formatCode="0" sourceLinked="0"/>
        <c:majorTickMark val="out"/>
        <c:minorTickMark val="none"/>
        <c:tickLblPos val="nextTo"/>
        <c:crossAx val="144854400"/>
        <c:crosses val="autoZero"/>
        <c:crossBetween val="midCat"/>
      </c:valAx>
      <c:valAx>
        <c:axId val="144854400"/>
        <c:scaling>
          <c:orientation val="minMax"/>
          <c:min val="0"/>
        </c:scaling>
        <c:delete val="0"/>
        <c:axPos val="l"/>
        <c:majorGridlines/>
        <c:numFmt formatCode="0.0" sourceLinked="0"/>
        <c:majorTickMark val="out"/>
        <c:minorTickMark val="none"/>
        <c:tickLblPos val="nextTo"/>
        <c:crossAx val="144852480"/>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BRACT_Prod!$O$13:$O$37</c:f>
              <c:numCache>
                <c:formatCode>0.00</c:formatCode>
                <c:ptCount val="25"/>
                <c:pt idx="0">
                  <c:v>0</c:v>
                </c:pt>
              </c:numCache>
            </c:numRef>
          </c:xVal>
          <c:yVal>
            <c:numRef>
              <c:f>BRACT_Prod!$P$13:$P$37</c:f>
              <c:numCache>
                <c:formatCode>0.00</c:formatCode>
                <c:ptCount val="25"/>
                <c:pt idx="0">
                  <c:v>90</c:v>
                </c:pt>
              </c:numCache>
            </c:numRef>
          </c:yVal>
          <c:smooth val="0"/>
        </c:ser>
        <c:dLbls>
          <c:showLegendKey val="0"/>
          <c:showVal val="0"/>
          <c:showCatName val="0"/>
          <c:showSerName val="0"/>
          <c:showPercent val="0"/>
          <c:showBubbleSize val="0"/>
        </c:dLbls>
        <c:axId val="144869632"/>
        <c:axId val="144892288"/>
      </c:scatterChart>
      <c:valAx>
        <c:axId val="144869632"/>
        <c:scaling>
          <c:orientation val="minMax"/>
          <c:max val="100"/>
          <c:min val="0"/>
        </c:scaling>
        <c:delete val="0"/>
        <c:axPos val="b"/>
        <c:numFmt formatCode="0" sourceLinked="0"/>
        <c:majorTickMark val="out"/>
        <c:minorTickMark val="none"/>
        <c:tickLblPos val="nextTo"/>
        <c:crossAx val="144892288"/>
        <c:crosses val="autoZero"/>
        <c:crossBetween val="midCat"/>
      </c:valAx>
      <c:valAx>
        <c:axId val="144892288"/>
        <c:scaling>
          <c:orientation val="minMax"/>
          <c:min val="0"/>
        </c:scaling>
        <c:delete val="0"/>
        <c:axPos val="l"/>
        <c:majorGridlines/>
        <c:numFmt formatCode="0" sourceLinked="0"/>
        <c:majorTickMark val="out"/>
        <c:minorTickMark val="none"/>
        <c:tickLblPos val="nextTo"/>
        <c:crossAx val="144869632"/>
        <c:crosses val="autoZero"/>
        <c:crossBetween val="midCat"/>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BRACT_Geom!$C$13:$C$37</c:f>
              <c:numCache>
                <c:formatCode>General</c:formatCode>
                <c:ptCount val="25"/>
                <c:pt idx="0">
                  <c:v>1</c:v>
                </c:pt>
                <c:pt idx="1">
                  <c:v>100</c:v>
                </c:pt>
                <c:pt idx="2">
                  <c:v>200</c:v>
                </c:pt>
              </c:numCache>
            </c:numRef>
          </c:xVal>
          <c:yVal>
            <c:numRef>
              <c:f>BRACT_Geom!$D$13:$D$37</c:f>
              <c:numCache>
                <c:formatCode>0.00</c:formatCode>
                <c:ptCount val="25"/>
                <c:pt idx="0">
                  <c:v>100</c:v>
                </c:pt>
                <c:pt idx="1">
                  <c:v>150</c:v>
                </c:pt>
                <c:pt idx="2">
                  <c:v>200</c:v>
                </c:pt>
              </c:numCache>
            </c:numRef>
          </c:yVal>
          <c:smooth val="0"/>
        </c:ser>
        <c:dLbls>
          <c:showLegendKey val="0"/>
          <c:showVal val="0"/>
          <c:showCatName val="0"/>
          <c:showSerName val="0"/>
          <c:showPercent val="0"/>
          <c:showBubbleSize val="0"/>
        </c:dLbls>
        <c:axId val="144995456"/>
        <c:axId val="144997376"/>
      </c:scatterChart>
      <c:valAx>
        <c:axId val="144995456"/>
        <c:scaling>
          <c:orientation val="minMax"/>
        </c:scaling>
        <c:delete val="0"/>
        <c:axPos val="b"/>
        <c:numFmt formatCode="0" sourceLinked="0"/>
        <c:majorTickMark val="out"/>
        <c:minorTickMark val="none"/>
        <c:tickLblPos val="nextTo"/>
        <c:crossAx val="144997376"/>
        <c:crosses val="autoZero"/>
        <c:crossBetween val="midCat"/>
      </c:valAx>
      <c:valAx>
        <c:axId val="144997376"/>
        <c:scaling>
          <c:orientation val="minMax"/>
        </c:scaling>
        <c:delete val="0"/>
        <c:axPos val="l"/>
        <c:majorGridlines/>
        <c:numFmt formatCode="0" sourceLinked="0"/>
        <c:majorTickMark val="out"/>
        <c:minorTickMark val="none"/>
        <c:tickLblPos val="nextTo"/>
        <c:crossAx val="144995456"/>
        <c:crosses val="autoZero"/>
        <c:crossBetween val="midCat"/>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BRACT_Geom!$I$13:$I$37</c:f>
              <c:numCache>
                <c:formatCode>General</c:formatCode>
                <c:ptCount val="25"/>
                <c:pt idx="0">
                  <c:v>1</c:v>
                </c:pt>
                <c:pt idx="1">
                  <c:v>100</c:v>
                </c:pt>
                <c:pt idx="2">
                  <c:v>200</c:v>
                </c:pt>
              </c:numCache>
            </c:numRef>
          </c:xVal>
          <c:yVal>
            <c:numRef>
              <c:f>BRACT_Geom!$J$13:$J$37</c:f>
              <c:numCache>
                <c:formatCode>0.00</c:formatCode>
                <c:ptCount val="25"/>
                <c:pt idx="0">
                  <c:v>3</c:v>
                </c:pt>
                <c:pt idx="1">
                  <c:v>5</c:v>
                </c:pt>
                <c:pt idx="2">
                  <c:v>7</c:v>
                </c:pt>
              </c:numCache>
            </c:numRef>
          </c:yVal>
          <c:smooth val="0"/>
        </c:ser>
        <c:dLbls>
          <c:showLegendKey val="0"/>
          <c:showVal val="0"/>
          <c:showCatName val="0"/>
          <c:showSerName val="0"/>
          <c:showPercent val="0"/>
          <c:showBubbleSize val="0"/>
        </c:dLbls>
        <c:axId val="145168256"/>
        <c:axId val="145182720"/>
      </c:scatterChart>
      <c:valAx>
        <c:axId val="145168256"/>
        <c:scaling>
          <c:orientation val="minMax"/>
        </c:scaling>
        <c:delete val="0"/>
        <c:axPos val="b"/>
        <c:numFmt formatCode="0" sourceLinked="0"/>
        <c:majorTickMark val="out"/>
        <c:minorTickMark val="none"/>
        <c:tickLblPos val="nextTo"/>
        <c:crossAx val="145182720"/>
        <c:crosses val="autoZero"/>
        <c:crossBetween val="midCat"/>
      </c:valAx>
      <c:valAx>
        <c:axId val="145182720"/>
        <c:scaling>
          <c:orientation val="minMax"/>
        </c:scaling>
        <c:delete val="0"/>
        <c:axPos val="l"/>
        <c:majorGridlines/>
        <c:numFmt formatCode="0" sourceLinked="0"/>
        <c:majorTickMark val="out"/>
        <c:minorTickMark val="none"/>
        <c:tickLblPos val="nextTo"/>
        <c:crossAx val="145168256"/>
        <c:crosses val="autoZero"/>
        <c:crossBetween val="midCat"/>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BRACT_Geom!$L$13:$L$37</c:f>
              <c:numCache>
                <c:formatCode>0.00</c:formatCode>
                <c:ptCount val="25"/>
                <c:pt idx="0">
                  <c:v>0</c:v>
                </c:pt>
                <c:pt idx="1">
                  <c:v>20</c:v>
                </c:pt>
                <c:pt idx="2">
                  <c:v>40</c:v>
                </c:pt>
                <c:pt idx="3">
                  <c:v>60</c:v>
                </c:pt>
                <c:pt idx="4">
                  <c:v>80</c:v>
                </c:pt>
                <c:pt idx="5">
                  <c:v>100</c:v>
                </c:pt>
              </c:numCache>
            </c:numRef>
          </c:xVal>
          <c:yVal>
            <c:numRef>
              <c:f>BRACT_Geom!$M$13:$M$37</c:f>
              <c:numCache>
                <c:formatCode>0.00</c:formatCode>
                <c:ptCount val="25"/>
                <c:pt idx="0">
                  <c:v>0.6</c:v>
                </c:pt>
                <c:pt idx="1">
                  <c:v>0.8</c:v>
                </c:pt>
                <c:pt idx="2">
                  <c:v>1</c:v>
                </c:pt>
                <c:pt idx="3">
                  <c:v>0.8</c:v>
                </c:pt>
                <c:pt idx="4">
                  <c:v>0.5</c:v>
                </c:pt>
                <c:pt idx="5">
                  <c:v>0.1</c:v>
                </c:pt>
              </c:numCache>
            </c:numRef>
          </c:yVal>
          <c:smooth val="0"/>
        </c:ser>
        <c:dLbls>
          <c:showLegendKey val="0"/>
          <c:showVal val="0"/>
          <c:showCatName val="0"/>
          <c:showSerName val="0"/>
          <c:showPercent val="0"/>
          <c:showBubbleSize val="0"/>
        </c:dLbls>
        <c:axId val="145189504"/>
        <c:axId val="145199872"/>
      </c:scatterChart>
      <c:valAx>
        <c:axId val="145189504"/>
        <c:scaling>
          <c:orientation val="minMax"/>
          <c:max val="100"/>
          <c:min val="0"/>
        </c:scaling>
        <c:delete val="0"/>
        <c:axPos val="b"/>
        <c:numFmt formatCode="0" sourceLinked="0"/>
        <c:majorTickMark val="out"/>
        <c:minorTickMark val="none"/>
        <c:tickLblPos val="nextTo"/>
        <c:crossAx val="145199872"/>
        <c:crosses val="autoZero"/>
        <c:crossBetween val="midCat"/>
      </c:valAx>
      <c:valAx>
        <c:axId val="145199872"/>
        <c:scaling>
          <c:orientation val="minMax"/>
          <c:max val="1"/>
          <c:min val="0"/>
        </c:scaling>
        <c:delete val="0"/>
        <c:axPos val="l"/>
        <c:majorGridlines/>
        <c:numFmt formatCode="0.0" sourceLinked="0"/>
        <c:majorTickMark val="out"/>
        <c:minorTickMark val="none"/>
        <c:tickLblPos val="nextTo"/>
        <c:crossAx val="145189504"/>
        <c:crosses val="autoZero"/>
        <c:crossBetween val="midCat"/>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BRACT_Geom!$O$13:$O$37</c:f>
              <c:numCache>
                <c:formatCode>General</c:formatCode>
                <c:ptCount val="25"/>
                <c:pt idx="0">
                  <c:v>1</c:v>
                </c:pt>
                <c:pt idx="1">
                  <c:v>100</c:v>
                </c:pt>
                <c:pt idx="2">
                  <c:v>200</c:v>
                </c:pt>
              </c:numCache>
            </c:numRef>
          </c:xVal>
          <c:yVal>
            <c:numRef>
              <c:f>BRACT_Geom!$P$13:$P$37</c:f>
              <c:numCache>
                <c:formatCode>0.00</c:formatCode>
                <c:ptCount val="25"/>
                <c:pt idx="0">
                  <c:v>1</c:v>
                </c:pt>
                <c:pt idx="1">
                  <c:v>1.5</c:v>
                </c:pt>
                <c:pt idx="2">
                  <c:v>2</c:v>
                </c:pt>
              </c:numCache>
            </c:numRef>
          </c:yVal>
          <c:smooth val="0"/>
        </c:ser>
        <c:dLbls>
          <c:showLegendKey val="0"/>
          <c:showVal val="0"/>
          <c:showCatName val="0"/>
          <c:showSerName val="0"/>
          <c:showPercent val="0"/>
          <c:showBubbleSize val="0"/>
        </c:dLbls>
        <c:axId val="145210752"/>
        <c:axId val="145307136"/>
      </c:scatterChart>
      <c:valAx>
        <c:axId val="145210752"/>
        <c:scaling>
          <c:orientation val="minMax"/>
        </c:scaling>
        <c:delete val="0"/>
        <c:axPos val="b"/>
        <c:numFmt formatCode="0" sourceLinked="0"/>
        <c:majorTickMark val="out"/>
        <c:minorTickMark val="none"/>
        <c:tickLblPos val="nextTo"/>
        <c:crossAx val="145307136"/>
        <c:crosses val="autoZero"/>
        <c:crossBetween val="midCat"/>
      </c:valAx>
      <c:valAx>
        <c:axId val="145307136"/>
        <c:scaling>
          <c:orientation val="minMax"/>
        </c:scaling>
        <c:delete val="0"/>
        <c:axPos val="l"/>
        <c:majorGridlines/>
        <c:numFmt formatCode="0" sourceLinked="0"/>
        <c:majorTickMark val="out"/>
        <c:minorTickMark val="none"/>
        <c:tickLblPos val="nextTo"/>
        <c:crossAx val="145210752"/>
        <c:crosses val="autoZero"/>
        <c:crossBetween val="midCat"/>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BRACT_Geom!$R$13:$R$37</c:f>
              <c:numCache>
                <c:formatCode>0.00</c:formatCode>
                <c:ptCount val="25"/>
                <c:pt idx="0">
                  <c:v>0</c:v>
                </c:pt>
                <c:pt idx="1">
                  <c:v>20</c:v>
                </c:pt>
                <c:pt idx="2">
                  <c:v>40</c:v>
                </c:pt>
                <c:pt idx="3">
                  <c:v>60</c:v>
                </c:pt>
                <c:pt idx="4">
                  <c:v>80</c:v>
                </c:pt>
                <c:pt idx="5">
                  <c:v>100</c:v>
                </c:pt>
              </c:numCache>
            </c:numRef>
          </c:xVal>
          <c:yVal>
            <c:numRef>
              <c:f>BRACT_Geom!$S$13:$S$37</c:f>
              <c:numCache>
                <c:formatCode>0.00</c:formatCode>
                <c:ptCount val="25"/>
                <c:pt idx="0">
                  <c:v>0.8</c:v>
                </c:pt>
                <c:pt idx="1">
                  <c:v>0.9</c:v>
                </c:pt>
                <c:pt idx="2">
                  <c:v>1</c:v>
                </c:pt>
                <c:pt idx="3">
                  <c:v>0.8</c:v>
                </c:pt>
                <c:pt idx="4">
                  <c:v>0.6</c:v>
                </c:pt>
                <c:pt idx="5">
                  <c:v>0.1</c:v>
                </c:pt>
              </c:numCache>
            </c:numRef>
          </c:yVal>
          <c:smooth val="0"/>
        </c:ser>
        <c:dLbls>
          <c:showLegendKey val="0"/>
          <c:showVal val="0"/>
          <c:showCatName val="0"/>
          <c:showSerName val="0"/>
          <c:showPercent val="0"/>
          <c:showBubbleSize val="0"/>
        </c:dLbls>
        <c:axId val="145326464"/>
        <c:axId val="145328384"/>
      </c:scatterChart>
      <c:valAx>
        <c:axId val="145326464"/>
        <c:scaling>
          <c:orientation val="minMax"/>
          <c:max val="100"/>
          <c:min val="0"/>
        </c:scaling>
        <c:delete val="0"/>
        <c:axPos val="b"/>
        <c:numFmt formatCode="0" sourceLinked="0"/>
        <c:majorTickMark val="out"/>
        <c:minorTickMark val="none"/>
        <c:tickLblPos val="nextTo"/>
        <c:crossAx val="145328384"/>
        <c:crosses val="autoZero"/>
        <c:crossBetween val="midCat"/>
      </c:valAx>
      <c:valAx>
        <c:axId val="145328384"/>
        <c:scaling>
          <c:orientation val="minMax"/>
          <c:max val="1"/>
          <c:min val="0"/>
        </c:scaling>
        <c:delete val="0"/>
        <c:axPos val="l"/>
        <c:majorGridlines/>
        <c:numFmt formatCode="0.0" sourceLinked="0"/>
        <c:majorTickMark val="out"/>
        <c:minorTickMark val="none"/>
        <c:tickLblPos val="nextTo"/>
        <c:crossAx val="145326464"/>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SPEAR!$I$13:$I$37</c:f>
              <c:numCache>
                <c:formatCode>General</c:formatCode>
                <c:ptCount val="25"/>
                <c:pt idx="0">
                  <c:v>1</c:v>
                </c:pt>
                <c:pt idx="1">
                  <c:v>28</c:v>
                </c:pt>
                <c:pt idx="2">
                  <c:v>32</c:v>
                </c:pt>
                <c:pt idx="3">
                  <c:v>124</c:v>
                </c:pt>
              </c:numCache>
            </c:numRef>
          </c:xVal>
          <c:yVal>
            <c:numRef>
              <c:f>SPEAR!$J$13:$J$37</c:f>
              <c:numCache>
                <c:formatCode>0.00</c:formatCode>
                <c:ptCount val="25"/>
                <c:pt idx="0">
                  <c:v>37.933261292941459</c:v>
                </c:pt>
                <c:pt idx="1">
                  <c:v>113.79978387882439</c:v>
                </c:pt>
                <c:pt idx="2">
                  <c:v>113.79978387882439</c:v>
                </c:pt>
                <c:pt idx="3">
                  <c:v>351.06396563500567</c:v>
                </c:pt>
              </c:numCache>
            </c:numRef>
          </c:yVal>
          <c:smooth val="0"/>
        </c:ser>
        <c:dLbls>
          <c:showLegendKey val="0"/>
          <c:showVal val="0"/>
          <c:showCatName val="0"/>
          <c:showSerName val="0"/>
          <c:showPercent val="0"/>
          <c:showBubbleSize val="0"/>
        </c:dLbls>
        <c:axId val="126491648"/>
        <c:axId val="126493824"/>
      </c:scatterChart>
      <c:valAx>
        <c:axId val="126491648"/>
        <c:scaling>
          <c:orientation val="minMax"/>
          <c:min val="0"/>
        </c:scaling>
        <c:delete val="0"/>
        <c:axPos val="b"/>
        <c:numFmt formatCode="0" sourceLinked="0"/>
        <c:majorTickMark val="out"/>
        <c:minorTickMark val="none"/>
        <c:tickLblPos val="nextTo"/>
        <c:crossAx val="126493824"/>
        <c:crosses val="autoZero"/>
        <c:crossBetween val="midCat"/>
      </c:valAx>
      <c:valAx>
        <c:axId val="126493824"/>
        <c:scaling>
          <c:orientation val="minMax"/>
          <c:min val="0"/>
        </c:scaling>
        <c:delete val="0"/>
        <c:axPos val="l"/>
        <c:majorGridlines/>
        <c:numFmt formatCode="0" sourceLinked="0"/>
        <c:majorTickMark val="out"/>
        <c:minorTickMark val="none"/>
        <c:tickLblPos val="nextTo"/>
        <c:crossAx val="126491648"/>
        <c:crosses val="autoZero"/>
        <c:crossBetween val="midCat"/>
      </c:valAx>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BRACT_Geom!$AH$13:$AH$37</c:f>
              <c:numCache>
                <c:formatCode>0.00</c:formatCode>
                <c:ptCount val="25"/>
                <c:pt idx="0">
                  <c:v>0</c:v>
                </c:pt>
                <c:pt idx="1">
                  <c:v>10</c:v>
                </c:pt>
                <c:pt idx="2">
                  <c:v>100</c:v>
                </c:pt>
              </c:numCache>
            </c:numRef>
          </c:xVal>
          <c:yVal>
            <c:numRef>
              <c:f>BRACT_Geom!$AI$13:$AI$37</c:f>
              <c:numCache>
                <c:formatCode>0.00</c:formatCode>
                <c:ptCount val="25"/>
                <c:pt idx="0">
                  <c:v>0</c:v>
                </c:pt>
                <c:pt idx="1">
                  <c:v>20</c:v>
                </c:pt>
                <c:pt idx="2">
                  <c:v>40</c:v>
                </c:pt>
              </c:numCache>
            </c:numRef>
          </c:yVal>
          <c:smooth val="0"/>
        </c:ser>
        <c:dLbls>
          <c:showLegendKey val="0"/>
          <c:showVal val="0"/>
          <c:showCatName val="0"/>
          <c:showSerName val="0"/>
          <c:showPercent val="0"/>
          <c:showBubbleSize val="0"/>
        </c:dLbls>
        <c:axId val="145343616"/>
        <c:axId val="145345536"/>
      </c:scatterChart>
      <c:valAx>
        <c:axId val="145343616"/>
        <c:scaling>
          <c:orientation val="minMax"/>
          <c:max val="100"/>
          <c:min val="0"/>
        </c:scaling>
        <c:delete val="0"/>
        <c:axPos val="b"/>
        <c:numFmt formatCode="0" sourceLinked="0"/>
        <c:majorTickMark val="out"/>
        <c:minorTickMark val="none"/>
        <c:tickLblPos val="nextTo"/>
        <c:crossAx val="145345536"/>
        <c:crosses val="autoZero"/>
        <c:crossBetween val="midCat"/>
      </c:valAx>
      <c:valAx>
        <c:axId val="145345536"/>
        <c:scaling>
          <c:orientation val="minMax"/>
          <c:min val="0"/>
        </c:scaling>
        <c:delete val="0"/>
        <c:axPos val="l"/>
        <c:majorGridlines/>
        <c:numFmt formatCode="0" sourceLinked="0"/>
        <c:majorTickMark val="out"/>
        <c:minorTickMark val="none"/>
        <c:tickLblPos val="nextTo"/>
        <c:crossAx val="145343616"/>
        <c:crosses val="autoZero"/>
        <c:crossBetween val="midCat"/>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BRACT_Geom!$AB$13:$AB$37</c:f>
              <c:numCache>
                <c:formatCode>0.00</c:formatCode>
                <c:ptCount val="25"/>
                <c:pt idx="0">
                  <c:v>0</c:v>
                </c:pt>
                <c:pt idx="1">
                  <c:v>10</c:v>
                </c:pt>
                <c:pt idx="2">
                  <c:v>100</c:v>
                </c:pt>
              </c:numCache>
            </c:numRef>
          </c:xVal>
          <c:yVal>
            <c:numRef>
              <c:f>BRACT_Geom!$AC$13:$AC$37</c:f>
              <c:numCache>
                <c:formatCode>0.00</c:formatCode>
                <c:ptCount val="25"/>
                <c:pt idx="0">
                  <c:v>0</c:v>
                </c:pt>
                <c:pt idx="1">
                  <c:v>10</c:v>
                </c:pt>
                <c:pt idx="2">
                  <c:v>45</c:v>
                </c:pt>
              </c:numCache>
            </c:numRef>
          </c:yVal>
          <c:smooth val="0"/>
        </c:ser>
        <c:dLbls>
          <c:showLegendKey val="0"/>
          <c:showVal val="0"/>
          <c:showCatName val="0"/>
          <c:showSerName val="0"/>
          <c:showPercent val="0"/>
          <c:showBubbleSize val="0"/>
        </c:dLbls>
        <c:axId val="145368960"/>
        <c:axId val="145391616"/>
      </c:scatterChart>
      <c:valAx>
        <c:axId val="145368960"/>
        <c:scaling>
          <c:orientation val="minMax"/>
          <c:max val="100"/>
          <c:min val="0"/>
        </c:scaling>
        <c:delete val="0"/>
        <c:axPos val="b"/>
        <c:numFmt formatCode="0" sourceLinked="0"/>
        <c:majorTickMark val="out"/>
        <c:minorTickMark val="none"/>
        <c:tickLblPos val="nextTo"/>
        <c:crossAx val="145391616"/>
        <c:crosses val="autoZero"/>
        <c:crossBetween val="midCat"/>
      </c:valAx>
      <c:valAx>
        <c:axId val="145391616"/>
        <c:scaling>
          <c:orientation val="minMax"/>
          <c:min val="0"/>
        </c:scaling>
        <c:delete val="0"/>
        <c:axPos val="l"/>
        <c:majorGridlines/>
        <c:numFmt formatCode="0" sourceLinked="0"/>
        <c:majorTickMark val="out"/>
        <c:minorTickMark val="none"/>
        <c:tickLblPos val="nextTo"/>
        <c:crossAx val="145368960"/>
        <c:crosses val="autoZero"/>
        <c:crossBetween val="midCat"/>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5748231794283247"/>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BRACT_Geom!$U$13:$U$37</c:f>
              <c:numCache>
                <c:formatCode>0.00</c:formatCode>
                <c:ptCount val="25"/>
                <c:pt idx="0">
                  <c:v>0</c:v>
                </c:pt>
                <c:pt idx="1">
                  <c:v>25</c:v>
                </c:pt>
                <c:pt idx="2">
                  <c:v>50</c:v>
                </c:pt>
                <c:pt idx="3">
                  <c:v>75</c:v>
                </c:pt>
                <c:pt idx="4">
                  <c:v>100</c:v>
                </c:pt>
              </c:numCache>
            </c:numRef>
          </c:xVal>
          <c:yVal>
            <c:numRef>
              <c:f>BRACT_Geom!$V$13:$V$37</c:f>
              <c:numCache>
                <c:formatCode>0.00</c:formatCode>
                <c:ptCount val="25"/>
                <c:pt idx="0">
                  <c:v>0</c:v>
                </c:pt>
                <c:pt idx="1">
                  <c:v>2</c:v>
                </c:pt>
                <c:pt idx="2">
                  <c:v>4</c:v>
                </c:pt>
                <c:pt idx="3">
                  <c:v>6</c:v>
                </c:pt>
                <c:pt idx="4">
                  <c:v>8</c:v>
                </c:pt>
              </c:numCache>
            </c:numRef>
          </c:yVal>
          <c:smooth val="0"/>
        </c:ser>
        <c:ser>
          <c:idx val="1"/>
          <c:order val="1"/>
          <c:spPr>
            <a:ln>
              <a:solidFill>
                <a:srgbClr val="00B050"/>
              </a:solidFill>
            </a:ln>
          </c:spPr>
          <c:marker>
            <c:spPr>
              <a:solidFill>
                <a:srgbClr val="92D050"/>
              </a:solidFill>
              <a:ln>
                <a:solidFill>
                  <a:srgbClr val="00B050"/>
                </a:solidFill>
              </a:ln>
            </c:spPr>
          </c:marker>
          <c:xVal>
            <c:numRef>
              <c:f>BRACT_Geom!$W$13:$W$37</c:f>
              <c:numCache>
                <c:formatCode>0.00</c:formatCode>
                <c:ptCount val="25"/>
                <c:pt idx="0">
                  <c:v>0</c:v>
                </c:pt>
                <c:pt idx="1">
                  <c:v>20</c:v>
                </c:pt>
                <c:pt idx="2">
                  <c:v>50</c:v>
                </c:pt>
                <c:pt idx="3">
                  <c:v>70</c:v>
                </c:pt>
                <c:pt idx="4">
                  <c:v>100</c:v>
                </c:pt>
              </c:numCache>
            </c:numRef>
          </c:xVal>
          <c:yVal>
            <c:numRef>
              <c:f>BRACT_Geom!$X$13:$X$37</c:f>
              <c:numCache>
                <c:formatCode>0.00</c:formatCode>
                <c:ptCount val="25"/>
                <c:pt idx="0">
                  <c:v>0</c:v>
                </c:pt>
                <c:pt idx="1">
                  <c:v>20</c:v>
                </c:pt>
                <c:pt idx="2">
                  <c:v>40</c:v>
                </c:pt>
                <c:pt idx="3">
                  <c:v>70</c:v>
                </c:pt>
                <c:pt idx="4">
                  <c:v>90</c:v>
                </c:pt>
              </c:numCache>
            </c:numRef>
          </c:yVal>
          <c:smooth val="0"/>
        </c:ser>
        <c:dLbls>
          <c:showLegendKey val="0"/>
          <c:showVal val="0"/>
          <c:showCatName val="0"/>
          <c:showSerName val="0"/>
          <c:showPercent val="0"/>
          <c:showBubbleSize val="0"/>
        </c:dLbls>
        <c:axId val="145399168"/>
        <c:axId val="145417728"/>
      </c:scatterChart>
      <c:valAx>
        <c:axId val="145399168"/>
        <c:scaling>
          <c:orientation val="minMax"/>
          <c:max val="100"/>
          <c:min val="0"/>
        </c:scaling>
        <c:delete val="0"/>
        <c:axPos val="b"/>
        <c:numFmt formatCode="0" sourceLinked="0"/>
        <c:majorTickMark val="out"/>
        <c:minorTickMark val="none"/>
        <c:tickLblPos val="nextTo"/>
        <c:crossAx val="145417728"/>
        <c:crosses val="autoZero"/>
        <c:crossBetween val="midCat"/>
      </c:valAx>
      <c:valAx>
        <c:axId val="145417728"/>
        <c:scaling>
          <c:orientation val="minMax"/>
          <c:min val="0"/>
        </c:scaling>
        <c:delete val="0"/>
        <c:axPos val="l"/>
        <c:majorGridlines/>
        <c:numFmt formatCode="0" sourceLinked="0"/>
        <c:majorTickMark val="out"/>
        <c:minorTickMark val="none"/>
        <c:tickLblPos val="nextTo"/>
        <c:crossAx val="145399168"/>
        <c:crosses val="autoZero"/>
        <c:crossBetween val="midCat"/>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BRACT_Geom!$F$13:$F$37</c:f>
              <c:numCache>
                <c:formatCode>General</c:formatCode>
                <c:ptCount val="25"/>
                <c:pt idx="0">
                  <c:v>1</c:v>
                </c:pt>
                <c:pt idx="1">
                  <c:v>10</c:v>
                </c:pt>
              </c:numCache>
            </c:numRef>
          </c:xVal>
          <c:yVal>
            <c:numRef>
              <c:f>BRACT_Geom!$G$13:$G$37</c:f>
              <c:numCache>
                <c:formatCode>0.00</c:formatCode>
                <c:ptCount val="25"/>
                <c:pt idx="0">
                  <c:v>0.1</c:v>
                </c:pt>
                <c:pt idx="1">
                  <c:v>1</c:v>
                </c:pt>
              </c:numCache>
            </c:numRef>
          </c:yVal>
          <c:smooth val="0"/>
        </c:ser>
        <c:dLbls>
          <c:showLegendKey val="0"/>
          <c:showVal val="0"/>
          <c:showCatName val="0"/>
          <c:showSerName val="0"/>
          <c:showPercent val="0"/>
          <c:showBubbleSize val="0"/>
        </c:dLbls>
        <c:axId val="145691392"/>
        <c:axId val="145692928"/>
      </c:scatterChart>
      <c:valAx>
        <c:axId val="145691392"/>
        <c:scaling>
          <c:orientation val="minMax"/>
          <c:min val="0"/>
        </c:scaling>
        <c:delete val="0"/>
        <c:axPos val="b"/>
        <c:numFmt formatCode="0" sourceLinked="0"/>
        <c:majorTickMark val="out"/>
        <c:minorTickMark val="none"/>
        <c:tickLblPos val="nextTo"/>
        <c:crossAx val="145692928"/>
        <c:crosses val="autoZero"/>
        <c:crossBetween val="midCat"/>
      </c:valAx>
      <c:valAx>
        <c:axId val="145692928"/>
        <c:scaling>
          <c:orientation val="minMax"/>
          <c:max val="1"/>
          <c:min val="0"/>
        </c:scaling>
        <c:delete val="0"/>
        <c:axPos val="l"/>
        <c:majorGridlines/>
        <c:numFmt formatCode="0.00" sourceLinked="0"/>
        <c:majorTickMark val="out"/>
        <c:minorTickMark val="none"/>
        <c:tickLblPos val="nextTo"/>
        <c:crossAx val="145691392"/>
        <c:crosses val="autoZero"/>
        <c:crossBetween val="midCat"/>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BRACT_Geom!$AE$13:$AE$37</c:f>
              <c:numCache>
                <c:formatCode>General</c:formatCode>
                <c:ptCount val="25"/>
                <c:pt idx="0">
                  <c:v>1</c:v>
                </c:pt>
                <c:pt idx="1">
                  <c:v>32</c:v>
                </c:pt>
              </c:numCache>
            </c:numRef>
          </c:xVal>
          <c:yVal>
            <c:numRef>
              <c:f>BRACT_Geom!$AF$13:$AF$37</c:f>
              <c:numCache>
                <c:formatCode>0.00</c:formatCode>
                <c:ptCount val="25"/>
                <c:pt idx="0">
                  <c:v>0.1</c:v>
                </c:pt>
                <c:pt idx="1">
                  <c:v>1</c:v>
                </c:pt>
              </c:numCache>
            </c:numRef>
          </c:yVal>
          <c:smooth val="0"/>
        </c:ser>
        <c:dLbls>
          <c:showLegendKey val="0"/>
          <c:showVal val="0"/>
          <c:showCatName val="0"/>
          <c:showSerName val="0"/>
          <c:showPercent val="0"/>
          <c:showBubbleSize val="0"/>
        </c:dLbls>
        <c:axId val="145712640"/>
        <c:axId val="145714176"/>
      </c:scatterChart>
      <c:valAx>
        <c:axId val="145712640"/>
        <c:scaling>
          <c:orientation val="minMax"/>
          <c:min val="0"/>
        </c:scaling>
        <c:delete val="0"/>
        <c:axPos val="b"/>
        <c:numFmt formatCode="0" sourceLinked="0"/>
        <c:majorTickMark val="out"/>
        <c:minorTickMark val="none"/>
        <c:tickLblPos val="nextTo"/>
        <c:crossAx val="145714176"/>
        <c:crosses val="autoZero"/>
        <c:crossBetween val="midCat"/>
      </c:valAx>
      <c:valAx>
        <c:axId val="145714176"/>
        <c:scaling>
          <c:orientation val="minMax"/>
          <c:max val="1"/>
          <c:min val="0"/>
        </c:scaling>
        <c:delete val="0"/>
        <c:axPos val="l"/>
        <c:majorGridlines/>
        <c:numFmt formatCode="0.00" sourceLinked="0"/>
        <c:majorTickMark val="out"/>
        <c:minorTickMark val="none"/>
        <c:tickLblPos val="nextTo"/>
        <c:crossAx val="145712640"/>
        <c:crosses val="autoZero"/>
        <c:crossBetween val="midCat"/>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BRACT_Geom!$AK$13:$AK$37</c:f>
              <c:numCache>
                <c:formatCode>General</c:formatCode>
                <c:ptCount val="25"/>
                <c:pt idx="0">
                  <c:v>1</c:v>
                </c:pt>
                <c:pt idx="1">
                  <c:v>32</c:v>
                </c:pt>
              </c:numCache>
            </c:numRef>
          </c:xVal>
          <c:yVal>
            <c:numRef>
              <c:f>BRACT_Geom!$AL$13:$AL$37</c:f>
              <c:numCache>
                <c:formatCode>0.00</c:formatCode>
                <c:ptCount val="25"/>
                <c:pt idx="0">
                  <c:v>0.1</c:v>
                </c:pt>
                <c:pt idx="1">
                  <c:v>1</c:v>
                </c:pt>
              </c:numCache>
            </c:numRef>
          </c:yVal>
          <c:smooth val="0"/>
        </c:ser>
        <c:dLbls>
          <c:showLegendKey val="0"/>
          <c:showVal val="0"/>
          <c:showCatName val="0"/>
          <c:showSerName val="0"/>
          <c:showPercent val="0"/>
          <c:showBubbleSize val="0"/>
        </c:dLbls>
        <c:axId val="145729792"/>
        <c:axId val="145735680"/>
      </c:scatterChart>
      <c:valAx>
        <c:axId val="145729792"/>
        <c:scaling>
          <c:orientation val="minMax"/>
          <c:min val="0"/>
        </c:scaling>
        <c:delete val="0"/>
        <c:axPos val="b"/>
        <c:numFmt formatCode="0" sourceLinked="0"/>
        <c:majorTickMark val="out"/>
        <c:minorTickMark val="none"/>
        <c:tickLblPos val="nextTo"/>
        <c:crossAx val="145735680"/>
        <c:crosses val="autoZero"/>
        <c:crossBetween val="midCat"/>
      </c:valAx>
      <c:valAx>
        <c:axId val="145735680"/>
        <c:scaling>
          <c:orientation val="minMax"/>
          <c:max val="1"/>
          <c:min val="0"/>
        </c:scaling>
        <c:delete val="0"/>
        <c:axPos val="l"/>
        <c:majorGridlines/>
        <c:numFmt formatCode="0.00" sourceLinked="0"/>
        <c:majorTickMark val="out"/>
        <c:minorTickMark val="none"/>
        <c:tickLblPos val="nextTo"/>
        <c:crossAx val="145729792"/>
        <c:crosses val="autoZero"/>
        <c:crossBetween val="midCat"/>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SPIKELET_Prod!$X$13:$X$37</c:f>
              <c:numCache>
                <c:formatCode>0.00</c:formatCode>
                <c:ptCount val="25"/>
                <c:pt idx="0">
                  <c:v>0</c:v>
                </c:pt>
                <c:pt idx="1">
                  <c:v>70</c:v>
                </c:pt>
                <c:pt idx="2">
                  <c:v>100</c:v>
                </c:pt>
              </c:numCache>
            </c:numRef>
          </c:xVal>
          <c:yVal>
            <c:numRef>
              <c:f>SPIKELET_Prod!$Y$13:$Y$37</c:f>
              <c:numCache>
                <c:formatCode>0.00</c:formatCode>
                <c:ptCount val="25"/>
                <c:pt idx="0">
                  <c:v>0</c:v>
                </c:pt>
                <c:pt idx="1">
                  <c:v>5</c:v>
                </c:pt>
                <c:pt idx="2">
                  <c:v>2</c:v>
                </c:pt>
              </c:numCache>
            </c:numRef>
          </c:yVal>
          <c:smooth val="0"/>
        </c:ser>
        <c:dLbls>
          <c:showLegendKey val="0"/>
          <c:showVal val="0"/>
          <c:showCatName val="0"/>
          <c:showSerName val="0"/>
          <c:showPercent val="0"/>
          <c:showBubbleSize val="0"/>
        </c:dLbls>
        <c:axId val="145767808"/>
        <c:axId val="145835520"/>
      </c:scatterChart>
      <c:valAx>
        <c:axId val="145767808"/>
        <c:scaling>
          <c:orientation val="minMax"/>
          <c:max val="100"/>
          <c:min val="0"/>
        </c:scaling>
        <c:delete val="0"/>
        <c:axPos val="b"/>
        <c:numFmt formatCode="0" sourceLinked="0"/>
        <c:majorTickMark val="out"/>
        <c:minorTickMark val="none"/>
        <c:tickLblPos val="nextTo"/>
        <c:crossAx val="145835520"/>
        <c:crosses val="autoZero"/>
        <c:crossBetween val="midCat"/>
      </c:valAx>
      <c:valAx>
        <c:axId val="145835520"/>
        <c:scaling>
          <c:orientation val="minMax"/>
          <c:min val="0"/>
        </c:scaling>
        <c:delete val="0"/>
        <c:axPos val="l"/>
        <c:majorGridlines/>
        <c:numFmt formatCode="0.0" sourceLinked="0"/>
        <c:majorTickMark val="out"/>
        <c:minorTickMark val="none"/>
        <c:tickLblPos val="nextTo"/>
        <c:crossAx val="145767808"/>
        <c:crosses val="autoZero"/>
        <c:crossBetween val="midCat"/>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SPIKELET_Prod!$P$13:$P$37</c:f>
              <c:numCache>
                <c:formatCode>0.00</c:formatCode>
                <c:ptCount val="25"/>
                <c:pt idx="0">
                  <c:v>0</c:v>
                </c:pt>
                <c:pt idx="1">
                  <c:v>70</c:v>
                </c:pt>
                <c:pt idx="2">
                  <c:v>100</c:v>
                </c:pt>
              </c:numCache>
            </c:numRef>
          </c:xVal>
          <c:yVal>
            <c:numRef>
              <c:f>SPIKELET_Prod!$Q$13:$Q$37</c:f>
              <c:numCache>
                <c:formatCode>0.00</c:formatCode>
                <c:ptCount val="25"/>
                <c:pt idx="0">
                  <c:v>0</c:v>
                </c:pt>
                <c:pt idx="1">
                  <c:v>3</c:v>
                </c:pt>
                <c:pt idx="2">
                  <c:v>3</c:v>
                </c:pt>
              </c:numCache>
            </c:numRef>
          </c:yVal>
          <c:smooth val="0"/>
        </c:ser>
        <c:ser>
          <c:idx val="1"/>
          <c:order val="1"/>
          <c:xVal>
            <c:numRef>
              <c:f>SPIKELET_Prod!$P$13:$P$37</c:f>
              <c:numCache>
                <c:formatCode>0.00</c:formatCode>
                <c:ptCount val="25"/>
                <c:pt idx="0">
                  <c:v>0</c:v>
                </c:pt>
                <c:pt idx="1">
                  <c:v>70</c:v>
                </c:pt>
                <c:pt idx="2">
                  <c:v>100</c:v>
                </c:pt>
              </c:numCache>
            </c:numRef>
          </c:xVal>
          <c:yVal>
            <c:numRef>
              <c:f>SPIKELET_Prod!$S$13:$S$37</c:f>
              <c:numCache>
                <c:formatCode>0.00</c:formatCode>
                <c:ptCount val="25"/>
                <c:pt idx="0">
                  <c:v>0</c:v>
                </c:pt>
                <c:pt idx="1">
                  <c:v>1</c:v>
                </c:pt>
                <c:pt idx="2">
                  <c:v>1</c:v>
                </c:pt>
              </c:numCache>
            </c:numRef>
          </c:yVal>
          <c:smooth val="0"/>
        </c:ser>
        <c:dLbls>
          <c:showLegendKey val="0"/>
          <c:showVal val="0"/>
          <c:showCatName val="0"/>
          <c:showSerName val="0"/>
          <c:showPercent val="0"/>
          <c:showBubbleSize val="0"/>
        </c:dLbls>
        <c:axId val="145872384"/>
        <c:axId val="145873920"/>
      </c:scatterChart>
      <c:valAx>
        <c:axId val="145872384"/>
        <c:scaling>
          <c:orientation val="minMax"/>
          <c:max val="100"/>
          <c:min val="0"/>
        </c:scaling>
        <c:delete val="0"/>
        <c:axPos val="b"/>
        <c:numFmt formatCode="0" sourceLinked="0"/>
        <c:majorTickMark val="out"/>
        <c:minorTickMark val="none"/>
        <c:tickLblPos val="nextTo"/>
        <c:crossAx val="145873920"/>
        <c:crosses val="autoZero"/>
        <c:crossBetween val="midCat"/>
      </c:valAx>
      <c:valAx>
        <c:axId val="145873920"/>
        <c:scaling>
          <c:orientation val="minMax"/>
          <c:min val="0"/>
        </c:scaling>
        <c:delete val="0"/>
        <c:axPos val="l"/>
        <c:majorGridlines/>
        <c:numFmt formatCode="0.00" sourceLinked="0"/>
        <c:majorTickMark val="out"/>
        <c:minorTickMark val="none"/>
        <c:tickLblPos val="nextTo"/>
        <c:crossAx val="145872384"/>
        <c:crosses val="autoZero"/>
        <c:crossBetween val="midCat"/>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SPIKELET_Prod!$AF$13:$AF$37</c:f>
              <c:numCache>
                <c:formatCode>0.00</c:formatCode>
                <c:ptCount val="25"/>
                <c:pt idx="0">
                  <c:v>0</c:v>
                </c:pt>
                <c:pt idx="1">
                  <c:v>70</c:v>
                </c:pt>
                <c:pt idx="2">
                  <c:v>100</c:v>
                </c:pt>
              </c:numCache>
            </c:numRef>
          </c:xVal>
          <c:yVal>
            <c:numRef>
              <c:f>SPIKELET_Prod!$AG$13:$AG$37</c:f>
              <c:numCache>
                <c:formatCode>0.00</c:formatCode>
                <c:ptCount val="25"/>
                <c:pt idx="0">
                  <c:v>0</c:v>
                </c:pt>
                <c:pt idx="1">
                  <c:v>20</c:v>
                </c:pt>
                <c:pt idx="2">
                  <c:v>10</c:v>
                </c:pt>
              </c:numCache>
            </c:numRef>
          </c:yVal>
          <c:smooth val="0"/>
        </c:ser>
        <c:dLbls>
          <c:showLegendKey val="0"/>
          <c:showVal val="0"/>
          <c:showCatName val="0"/>
          <c:showSerName val="0"/>
          <c:showPercent val="0"/>
          <c:showBubbleSize val="0"/>
        </c:dLbls>
        <c:axId val="145954688"/>
        <c:axId val="145981440"/>
      </c:scatterChart>
      <c:valAx>
        <c:axId val="145954688"/>
        <c:scaling>
          <c:orientation val="minMax"/>
          <c:max val="100"/>
          <c:min val="0"/>
        </c:scaling>
        <c:delete val="0"/>
        <c:axPos val="b"/>
        <c:numFmt formatCode="0" sourceLinked="0"/>
        <c:majorTickMark val="out"/>
        <c:minorTickMark val="none"/>
        <c:tickLblPos val="nextTo"/>
        <c:crossAx val="145981440"/>
        <c:crosses val="autoZero"/>
        <c:crossBetween val="midCat"/>
      </c:valAx>
      <c:valAx>
        <c:axId val="145981440"/>
        <c:scaling>
          <c:orientation val="minMax"/>
          <c:min val="0"/>
        </c:scaling>
        <c:delete val="0"/>
        <c:axPos val="l"/>
        <c:majorGridlines/>
        <c:numFmt formatCode="0" sourceLinked="0"/>
        <c:majorTickMark val="out"/>
        <c:minorTickMark val="none"/>
        <c:tickLblPos val="nextTo"/>
        <c:crossAx val="145954688"/>
        <c:crosses val="autoZero"/>
        <c:crossBetween val="midCat"/>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SPIKELET_Prod!$AL$13:$AL$37</c:f>
              <c:numCache>
                <c:formatCode>0.00</c:formatCode>
                <c:ptCount val="25"/>
                <c:pt idx="0">
                  <c:v>0</c:v>
                </c:pt>
                <c:pt idx="1">
                  <c:v>70</c:v>
                </c:pt>
                <c:pt idx="2">
                  <c:v>100</c:v>
                </c:pt>
              </c:numCache>
            </c:numRef>
          </c:xVal>
          <c:yVal>
            <c:numRef>
              <c:f>SPIKELET_Prod!$AM$13:$AM$37</c:f>
              <c:numCache>
                <c:formatCode>0.00</c:formatCode>
                <c:ptCount val="25"/>
                <c:pt idx="0">
                  <c:v>0</c:v>
                </c:pt>
                <c:pt idx="1">
                  <c:v>30</c:v>
                </c:pt>
                <c:pt idx="2">
                  <c:v>10</c:v>
                </c:pt>
              </c:numCache>
            </c:numRef>
          </c:yVal>
          <c:smooth val="0"/>
        </c:ser>
        <c:ser>
          <c:idx val="1"/>
          <c:order val="1"/>
          <c:xVal>
            <c:numRef>
              <c:f>SPIKELET_Prod!$AL$13:$AL$37</c:f>
              <c:numCache>
                <c:formatCode>0.00</c:formatCode>
                <c:ptCount val="25"/>
                <c:pt idx="0">
                  <c:v>0</c:v>
                </c:pt>
                <c:pt idx="1">
                  <c:v>70</c:v>
                </c:pt>
                <c:pt idx="2">
                  <c:v>100</c:v>
                </c:pt>
              </c:numCache>
            </c:numRef>
          </c:xVal>
          <c:yVal>
            <c:numRef>
              <c:f>SPIKELET_Prod!$AO$13:$AO$37</c:f>
              <c:numCache>
                <c:formatCode>0.00</c:formatCode>
                <c:ptCount val="25"/>
                <c:pt idx="0">
                  <c:v>0</c:v>
                </c:pt>
                <c:pt idx="1">
                  <c:v>40</c:v>
                </c:pt>
                <c:pt idx="2">
                  <c:v>20</c:v>
                </c:pt>
              </c:numCache>
            </c:numRef>
          </c:yVal>
          <c:smooth val="0"/>
        </c:ser>
        <c:dLbls>
          <c:showLegendKey val="0"/>
          <c:showVal val="0"/>
          <c:showCatName val="0"/>
          <c:showSerName val="0"/>
          <c:showPercent val="0"/>
          <c:showBubbleSize val="0"/>
        </c:dLbls>
        <c:axId val="146006016"/>
        <c:axId val="146007552"/>
      </c:scatterChart>
      <c:valAx>
        <c:axId val="146006016"/>
        <c:scaling>
          <c:orientation val="minMax"/>
          <c:max val="100"/>
          <c:min val="0"/>
        </c:scaling>
        <c:delete val="0"/>
        <c:axPos val="b"/>
        <c:numFmt formatCode="0" sourceLinked="0"/>
        <c:majorTickMark val="out"/>
        <c:minorTickMark val="none"/>
        <c:tickLblPos val="nextTo"/>
        <c:crossAx val="146007552"/>
        <c:crosses val="autoZero"/>
        <c:crossBetween val="midCat"/>
      </c:valAx>
      <c:valAx>
        <c:axId val="146007552"/>
        <c:scaling>
          <c:orientation val="minMax"/>
          <c:min val="0"/>
        </c:scaling>
        <c:delete val="0"/>
        <c:axPos val="l"/>
        <c:majorGridlines/>
        <c:numFmt formatCode="0.0" sourceLinked="0"/>
        <c:majorTickMark val="out"/>
        <c:minorTickMark val="none"/>
        <c:tickLblPos val="nextTo"/>
        <c:crossAx val="146006016"/>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SPEAR!$M$13:$M$37</c:f>
              <c:numCache>
                <c:formatCode>General</c:formatCode>
                <c:ptCount val="25"/>
                <c:pt idx="0">
                  <c:v>1</c:v>
                </c:pt>
                <c:pt idx="1">
                  <c:v>28</c:v>
                </c:pt>
                <c:pt idx="2">
                  <c:v>32</c:v>
                </c:pt>
                <c:pt idx="3">
                  <c:v>124</c:v>
                </c:pt>
              </c:numCache>
            </c:numRef>
          </c:xVal>
          <c:yVal>
            <c:numRef>
              <c:f>SPEAR!$N$13:$N$37</c:f>
              <c:numCache>
                <c:formatCode>0.00</c:formatCode>
                <c:ptCount val="25"/>
                <c:pt idx="0">
                  <c:v>0.9696499999999999</c:v>
                </c:pt>
                <c:pt idx="1">
                  <c:v>1.4619473245143606</c:v>
                </c:pt>
                <c:pt idx="2">
                  <c:v>1.4619473245143606</c:v>
                </c:pt>
                <c:pt idx="3">
                  <c:v>4.51</c:v>
                </c:pt>
              </c:numCache>
            </c:numRef>
          </c:yVal>
          <c:smooth val="0"/>
        </c:ser>
        <c:dLbls>
          <c:showLegendKey val="0"/>
          <c:showVal val="0"/>
          <c:showCatName val="0"/>
          <c:showSerName val="0"/>
          <c:showPercent val="0"/>
          <c:showBubbleSize val="0"/>
        </c:dLbls>
        <c:axId val="128327680"/>
        <c:axId val="128329600"/>
      </c:scatterChart>
      <c:valAx>
        <c:axId val="128327680"/>
        <c:scaling>
          <c:orientation val="minMax"/>
        </c:scaling>
        <c:delete val="0"/>
        <c:axPos val="b"/>
        <c:numFmt formatCode="0" sourceLinked="0"/>
        <c:majorTickMark val="out"/>
        <c:minorTickMark val="none"/>
        <c:tickLblPos val="nextTo"/>
        <c:crossAx val="128329600"/>
        <c:crosses val="autoZero"/>
        <c:crossBetween val="midCat"/>
      </c:valAx>
      <c:valAx>
        <c:axId val="128329600"/>
        <c:scaling>
          <c:orientation val="minMax"/>
          <c:min val="0"/>
        </c:scaling>
        <c:delete val="0"/>
        <c:axPos val="l"/>
        <c:majorGridlines/>
        <c:numFmt formatCode="0" sourceLinked="0"/>
        <c:majorTickMark val="out"/>
        <c:minorTickMark val="none"/>
        <c:tickLblPos val="nextTo"/>
        <c:crossAx val="128327680"/>
        <c:crosses val="autoZero"/>
        <c:crossBetween val="midCat"/>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SPIKELET_Prod!$AB$13:$AB$37</c:f>
              <c:numCache>
                <c:formatCode>0.00</c:formatCode>
                <c:ptCount val="25"/>
                <c:pt idx="0">
                  <c:v>0</c:v>
                </c:pt>
                <c:pt idx="1">
                  <c:v>70</c:v>
                </c:pt>
                <c:pt idx="2">
                  <c:v>80</c:v>
                </c:pt>
                <c:pt idx="3">
                  <c:v>90</c:v>
                </c:pt>
              </c:numCache>
            </c:numRef>
          </c:xVal>
          <c:yVal>
            <c:numRef>
              <c:f>SPIKELET_Prod!$AC$13:$AC$37</c:f>
              <c:numCache>
                <c:formatCode>0.00</c:formatCode>
                <c:ptCount val="25"/>
                <c:pt idx="0">
                  <c:v>0</c:v>
                </c:pt>
                <c:pt idx="1">
                  <c:v>80</c:v>
                </c:pt>
                <c:pt idx="2">
                  <c:v>100</c:v>
                </c:pt>
                <c:pt idx="3">
                  <c:v>120</c:v>
                </c:pt>
              </c:numCache>
            </c:numRef>
          </c:yVal>
          <c:smooth val="0"/>
        </c:ser>
        <c:dLbls>
          <c:showLegendKey val="0"/>
          <c:showVal val="0"/>
          <c:showCatName val="0"/>
          <c:showSerName val="0"/>
          <c:showPercent val="0"/>
          <c:showBubbleSize val="0"/>
        </c:dLbls>
        <c:axId val="146022784"/>
        <c:axId val="146024704"/>
      </c:scatterChart>
      <c:valAx>
        <c:axId val="146022784"/>
        <c:scaling>
          <c:orientation val="minMax"/>
          <c:max val="100"/>
          <c:min val="0"/>
        </c:scaling>
        <c:delete val="0"/>
        <c:axPos val="b"/>
        <c:numFmt formatCode="0" sourceLinked="0"/>
        <c:majorTickMark val="out"/>
        <c:minorTickMark val="none"/>
        <c:tickLblPos val="nextTo"/>
        <c:crossAx val="146024704"/>
        <c:crosses val="autoZero"/>
        <c:crossBetween val="midCat"/>
      </c:valAx>
      <c:valAx>
        <c:axId val="146024704"/>
        <c:scaling>
          <c:orientation val="minMax"/>
          <c:min val="0"/>
        </c:scaling>
        <c:delete val="0"/>
        <c:axPos val="l"/>
        <c:majorGridlines/>
        <c:numFmt formatCode="0" sourceLinked="0"/>
        <c:majorTickMark val="out"/>
        <c:minorTickMark val="none"/>
        <c:tickLblPos val="nextTo"/>
        <c:crossAx val="146022784"/>
        <c:crosses val="autoZero"/>
        <c:crossBetween val="midCat"/>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SPIKELET_Prod!$I$12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SPIKELET_Prod!$C$13:$C$37</c:f>
              <c:numCache>
                <c:formatCode>General</c:formatCode>
                <c:ptCount val="25"/>
                <c:pt idx="0">
                  <c:v>1</c:v>
                </c:pt>
                <c:pt idx="1">
                  <c:v>100</c:v>
                </c:pt>
                <c:pt idx="2">
                  <c:v>200</c:v>
                </c:pt>
              </c:numCache>
            </c:numRef>
          </c:xVal>
          <c:yVal>
            <c:numRef>
              <c:f>SPIKELET_Prod!$I$13:$I$37</c:f>
              <c:numCache>
                <c:formatCode>0</c:formatCode>
                <c:ptCount val="25"/>
                <c:pt idx="0">
                  <c:v>40</c:v>
                </c:pt>
                <c:pt idx="1">
                  <c:v>30</c:v>
                </c:pt>
                <c:pt idx="2">
                  <c:v>20</c:v>
                </c:pt>
              </c:numCache>
            </c:numRef>
          </c:yVal>
          <c:smooth val="0"/>
        </c:ser>
        <c:dLbls>
          <c:showLegendKey val="0"/>
          <c:showVal val="0"/>
          <c:showCatName val="0"/>
          <c:showSerName val="0"/>
          <c:showPercent val="0"/>
          <c:showBubbleSize val="0"/>
        </c:dLbls>
        <c:axId val="146065280"/>
        <c:axId val="146066816"/>
      </c:scatterChart>
      <c:valAx>
        <c:axId val="146065280"/>
        <c:scaling>
          <c:orientation val="minMax"/>
          <c:min val="0"/>
        </c:scaling>
        <c:delete val="0"/>
        <c:axPos val="b"/>
        <c:numFmt formatCode="0" sourceLinked="0"/>
        <c:majorTickMark val="out"/>
        <c:minorTickMark val="none"/>
        <c:tickLblPos val="nextTo"/>
        <c:crossAx val="146066816"/>
        <c:crosses val="autoZero"/>
        <c:crossBetween val="midCat"/>
      </c:valAx>
      <c:valAx>
        <c:axId val="146066816"/>
        <c:scaling>
          <c:orientation val="minMax"/>
          <c:min val="0"/>
        </c:scaling>
        <c:delete val="0"/>
        <c:axPos val="l"/>
        <c:majorGridlines/>
        <c:numFmt formatCode="0" sourceLinked="0"/>
        <c:majorTickMark val="out"/>
        <c:minorTickMark val="none"/>
        <c:tickLblPos val="nextTo"/>
        <c:crossAx val="146065280"/>
        <c:crosses val="autoZero"/>
        <c:crossBetween val="midCat"/>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6">
                  <a:lumMod val="75000"/>
                </a:schemeClr>
              </a:solidFill>
            </a:ln>
          </c:spPr>
          <c:marker>
            <c:spPr>
              <a:ln>
                <a:solidFill>
                  <a:schemeClr val="accent6">
                    <a:lumMod val="75000"/>
                  </a:schemeClr>
                </a:solidFill>
              </a:ln>
            </c:spPr>
          </c:marker>
          <c:xVal>
            <c:numRef>
              <c:f>SPIKELET_Geom!$E$13:$E$37</c:f>
              <c:numCache>
                <c:formatCode>0.00</c:formatCode>
                <c:ptCount val="25"/>
                <c:pt idx="0">
                  <c:v>0</c:v>
                </c:pt>
                <c:pt idx="1">
                  <c:v>70</c:v>
                </c:pt>
                <c:pt idx="2">
                  <c:v>100</c:v>
                </c:pt>
              </c:numCache>
            </c:numRef>
          </c:xVal>
          <c:yVal>
            <c:numRef>
              <c:f>SPIKELET_Geom!$F$13:$F$37</c:f>
              <c:numCache>
                <c:formatCode>0.00</c:formatCode>
                <c:ptCount val="25"/>
                <c:pt idx="0">
                  <c:v>0</c:v>
                </c:pt>
                <c:pt idx="1">
                  <c:v>1</c:v>
                </c:pt>
                <c:pt idx="2">
                  <c:v>0.2</c:v>
                </c:pt>
              </c:numCache>
            </c:numRef>
          </c:yVal>
          <c:smooth val="0"/>
        </c:ser>
        <c:dLbls>
          <c:showLegendKey val="0"/>
          <c:showVal val="0"/>
          <c:showCatName val="0"/>
          <c:showSerName val="0"/>
          <c:showPercent val="0"/>
          <c:showBubbleSize val="0"/>
        </c:dLbls>
        <c:axId val="146172160"/>
        <c:axId val="146174336"/>
      </c:scatterChart>
      <c:valAx>
        <c:axId val="146172160"/>
        <c:scaling>
          <c:orientation val="minMax"/>
          <c:max val="100"/>
          <c:min val="0"/>
        </c:scaling>
        <c:delete val="0"/>
        <c:axPos val="b"/>
        <c:numFmt formatCode="0" sourceLinked="0"/>
        <c:majorTickMark val="out"/>
        <c:minorTickMark val="none"/>
        <c:tickLblPos val="nextTo"/>
        <c:crossAx val="146174336"/>
        <c:crosses val="autoZero"/>
        <c:crossBetween val="midCat"/>
      </c:valAx>
      <c:valAx>
        <c:axId val="146174336"/>
        <c:scaling>
          <c:orientation val="minMax"/>
          <c:max val="1"/>
          <c:min val="0"/>
        </c:scaling>
        <c:delete val="0"/>
        <c:axPos val="l"/>
        <c:majorGridlines/>
        <c:numFmt formatCode="0.0" sourceLinked="0"/>
        <c:majorTickMark val="out"/>
        <c:minorTickMark val="none"/>
        <c:tickLblPos val="nextTo"/>
        <c:crossAx val="146172160"/>
        <c:crosses val="autoZero"/>
        <c:crossBetween val="midCat"/>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6">
                  <a:lumMod val="75000"/>
                </a:schemeClr>
              </a:solidFill>
            </a:ln>
          </c:spPr>
          <c:marker>
            <c:spPr>
              <a:ln>
                <a:solidFill>
                  <a:schemeClr val="accent6">
                    <a:lumMod val="75000"/>
                  </a:schemeClr>
                </a:solidFill>
              </a:ln>
            </c:spPr>
          </c:marker>
          <c:xVal>
            <c:numRef>
              <c:f>SPIKELET_Geom!$M$13:$M$37</c:f>
              <c:numCache>
                <c:formatCode>0.00</c:formatCode>
                <c:ptCount val="25"/>
                <c:pt idx="0">
                  <c:v>0</c:v>
                </c:pt>
                <c:pt idx="1">
                  <c:v>70</c:v>
                </c:pt>
                <c:pt idx="2">
                  <c:v>100</c:v>
                </c:pt>
              </c:numCache>
            </c:numRef>
          </c:xVal>
          <c:yVal>
            <c:numRef>
              <c:f>SPIKELET_Geom!$N$13:$N$37</c:f>
              <c:numCache>
                <c:formatCode>0.00</c:formatCode>
                <c:ptCount val="25"/>
                <c:pt idx="0">
                  <c:v>1</c:v>
                </c:pt>
                <c:pt idx="1">
                  <c:v>1</c:v>
                </c:pt>
                <c:pt idx="2">
                  <c:v>0.5</c:v>
                </c:pt>
              </c:numCache>
            </c:numRef>
          </c:yVal>
          <c:smooth val="0"/>
        </c:ser>
        <c:dLbls>
          <c:showLegendKey val="0"/>
          <c:showVal val="0"/>
          <c:showCatName val="0"/>
          <c:showSerName val="0"/>
          <c:showPercent val="0"/>
          <c:showBubbleSize val="0"/>
        </c:dLbls>
        <c:axId val="146181120"/>
        <c:axId val="146187392"/>
      </c:scatterChart>
      <c:valAx>
        <c:axId val="146181120"/>
        <c:scaling>
          <c:orientation val="minMax"/>
          <c:max val="100"/>
          <c:min val="0"/>
        </c:scaling>
        <c:delete val="0"/>
        <c:axPos val="b"/>
        <c:numFmt formatCode="0" sourceLinked="0"/>
        <c:majorTickMark val="out"/>
        <c:minorTickMark val="none"/>
        <c:tickLblPos val="nextTo"/>
        <c:crossAx val="146187392"/>
        <c:crosses val="autoZero"/>
        <c:crossBetween val="midCat"/>
      </c:valAx>
      <c:valAx>
        <c:axId val="146187392"/>
        <c:scaling>
          <c:orientation val="minMax"/>
          <c:max val="1"/>
          <c:min val="0"/>
        </c:scaling>
        <c:delete val="0"/>
        <c:axPos val="l"/>
        <c:majorGridlines/>
        <c:numFmt formatCode="0.0" sourceLinked="0"/>
        <c:majorTickMark val="out"/>
        <c:minorTickMark val="none"/>
        <c:tickLblPos val="nextTo"/>
        <c:crossAx val="146181120"/>
        <c:crosses val="autoZero"/>
        <c:crossBetween val="midCat"/>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3">
                  <a:lumMod val="75000"/>
                </a:schemeClr>
              </a:solidFill>
            </a:ln>
          </c:spPr>
          <c:marker>
            <c:spPr>
              <a:ln>
                <a:solidFill>
                  <a:schemeClr val="accent3">
                    <a:lumMod val="75000"/>
                  </a:schemeClr>
                </a:solidFill>
              </a:ln>
            </c:spPr>
          </c:marker>
          <c:xVal>
            <c:numRef>
              <c:f>SPIKELET_Geom!$P$13:$P$37</c:f>
              <c:numCache>
                <c:formatCode>0.00</c:formatCode>
                <c:ptCount val="25"/>
                <c:pt idx="0">
                  <c:v>0</c:v>
                </c:pt>
                <c:pt idx="1">
                  <c:v>100</c:v>
                </c:pt>
              </c:numCache>
            </c:numRef>
          </c:xVal>
          <c:yVal>
            <c:numRef>
              <c:f>SPIKELET_Geom!$Q$13:$Q$37</c:f>
              <c:numCache>
                <c:formatCode>0.00</c:formatCode>
                <c:ptCount val="25"/>
                <c:pt idx="0">
                  <c:v>1</c:v>
                </c:pt>
                <c:pt idx="1">
                  <c:v>0.2</c:v>
                </c:pt>
              </c:numCache>
            </c:numRef>
          </c:yVal>
          <c:smooth val="0"/>
        </c:ser>
        <c:dLbls>
          <c:showLegendKey val="0"/>
          <c:showVal val="0"/>
          <c:showCatName val="0"/>
          <c:showSerName val="0"/>
          <c:showPercent val="0"/>
          <c:showBubbleSize val="0"/>
        </c:dLbls>
        <c:axId val="146284544"/>
        <c:axId val="146286464"/>
      </c:scatterChart>
      <c:valAx>
        <c:axId val="146284544"/>
        <c:scaling>
          <c:orientation val="minMax"/>
          <c:max val="100"/>
          <c:min val="0"/>
        </c:scaling>
        <c:delete val="0"/>
        <c:axPos val="b"/>
        <c:numFmt formatCode="0" sourceLinked="0"/>
        <c:majorTickMark val="out"/>
        <c:minorTickMark val="none"/>
        <c:tickLblPos val="nextTo"/>
        <c:crossAx val="146286464"/>
        <c:crosses val="autoZero"/>
        <c:crossBetween val="midCat"/>
      </c:valAx>
      <c:valAx>
        <c:axId val="146286464"/>
        <c:scaling>
          <c:orientation val="minMax"/>
          <c:max val="1"/>
          <c:min val="0"/>
        </c:scaling>
        <c:delete val="0"/>
        <c:axPos val="l"/>
        <c:majorGridlines/>
        <c:numFmt formatCode="0.0" sourceLinked="0"/>
        <c:majorTickMark val="out"/>
        <c:minorTickMark val="none"/>
        <c:tickLblPos val="nextTo"/>
        <c:crossAx val="146284544"/>
        <c:crosses val="autoZero"/>
        <c:crossBetween val="midCat"/>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SPIKELET_Geom!$S$13:$S$37</c:f>
              <c:numCache>
                <c:formatCode>0.00</c:formatCode>
                <c:ptCount val="25"/>
                <c:pt idx="0">
                  <c:v>0</c:v>
                </c:pt>
                <c:pt idx="1">
                  <c:v>70</c:v>
                </c:pt>
                <c:pt idx="2">
                  <c:v>100</c:v>
                </c:pt>
              </c:numCache>
            </c:numRef>
          </c:xVal>
          <c:yVal>
            <c:numRef>
              <c:f>SPIKELET_Geom!$T$13:$T$37</c:f>
              <c:numCache>
                <c:formatCode>0.00</c:formatCode>
                <c:ptCount val="25"/>
                <c:pt idx="0">
                  <c:v>100</c:v>
                </c:pt>
                <c:pt idx="1">
                  <c:v>3000</c:v>
                </c:pt>
                <c:pt idx="2">
                  <c:v>3000</c:v>
                </c:pt>
              </c:numCache>
            </c:numRef>
          </c:yVal>
          <c:smooth val="0"/>
        </c:ser>
        <c:ser>
          <c:idx val="1"/>
          <c:order val="1"/>
          <c:xVal>
            <c:numRef>
              <c:f>SPIKELET_Geom!$S$13:$S$37</c:f>
              <c:numCache>
                <c:formatCode>0.00</c:formatCode>
                <c:ptCount val="25"/>
                <c:pt idx="0">
                  <c:v>0</c:v>
                </c:pt>
                <c:pt idx="1">
                  <c:v>70</c:v>
                </c:pt>
                <c:pt idx="2">
                  <c:v>100</c:v>
                </c:pt>
              </c:numCache>
            </c:numRef>
          </c:xVal>
          <c:yVal>
            <c:numRef>
              <c:f>SPIKELET_Geom!$U$13:$U$37</c:f>
              <c:numCache>
                <c:formatCode>0.00</c:formatCode>
                <c:ptCount val="25"/>
                <c:pt idx="0">
                  <c:v>100</c:v>
                </c:pt>
                <c:pt idx="1">
                  <c:v>0</c:v>
                </c:pt>
                <c:pt idx="2">
                  <c:v>0</c:v>
                </c:pt>
              </c:numCache>
            </c:numRef>
          </c:yVal>
          <c:smooth val="0"/>
        </c:ser>
        <c:dLbls>
          <c:showLegendKey val="0"/>
          <c:showVal val="0"/>
          <c:showCatName val="0"/>
          <c:showSerName val="0"/>
          <c:showPercent val="0"/>
          <c:showBubbleSize val="0"/>
        </c:dLbls>
        <c:axId val="146319232"/>
        <c:axId val="146320768"/>
      </c:scatterChart>
      <c:valAx>
        <c:axId val="146319232"/>
        <c:scaling>
          <c:orientation val="minMax"/>
          <c:max val="100"/>
          <c:min val="0"/>
        </c:scaling>
        <c:delete val="0"/>
        <c:axPos val="b"/>
        <c:numFmt formatCode="0" sourceLinked="0"/>
        <c:majorTickMark val="out"/>
        <c:minorTickMark val="none"/>
        <c:tickLblPos val="nextTo"/>
        <c:crossAx val="146320768"/>
        <c:crosses val="autoZero"/>
        <c:crossBetween val="midCat"/>
      </c:valAx>
      <c:valAx>
        <c:axId val="146320768"/>
        <c:scaling>
          <c:orientation val="minMax"/>
          <c:min val="0"/>
        </c:scaling>
        <c:delete val="0"/>
        <c:axPos val="l"/>
        <c:majorGridlines/>
        <c:numFmt formatCode="0" sourceLinked="0"/>
        <c:majorTickMark val="out"/>
        <c:minorTickMark val="none"/>
        <c:tickLblPos val="nextTo"/>
        <c:crossAx val="146319232"/>
        <c:crosses val="autoZero"/>
        <c:crossBetween val="midCat"/>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3">
                  <a:lumMod val="75000"/>
                </a:schemeClr>
              </a:solidFill>
            </a:ln>
          </c:spPr>
          <c:marker>
            <c:spPr>
              <a:ln>
                <a:solidFill>
                  <a:schemeClr val="accent3">
                    <a:lumMod val="75000"/>
                  </a:schemeClr>
                </a:solidFill>
              </a:ln>
            </c:spPr>
          </c:marker>
          <c:xVal>
            <c:numRef>
              <c:f>SPIKELET_Geom!$Y$13:$Y$37</c:f>
              <c:numCache>
                <c:formatCode>0.00</c:formatCode>
                <c:ptCount val="25"/>
                <c:pt idx="0">
                  <c:v>0</c:v>
                </c:pt>
                <c:pt idx="1">
                  <c:v>40</c:v>
                </c:pt>
              </c:numCache>
            </c:numRef>
          </c:xVal>
          <c:yVal>
            <c:numRef>
              <c:f>SPIKELET_Geom!$Z$13:$Z$37</c:f>
              <c:numCache>
                <c:formatCode>0.00</c:formatCode>
                <c:ptCount val="25"/>
                <c:pt idx="0">
                  <c:v>3</c:v>
                </c:pt>
                <c:pt idx="1">
                  <c:v>10</c:v>
                </c:pt>
              </c:numCache>
            </c:numRef>
          </c:yVal>
          <c:smooth val="0"/>
        </c:ser>
        <c:dLbls>
          <c:showLegendKey val="0"/>
          <c:showVal val="0"/>
          <c:showCatName val="0"/>
          <c:showSerName val="0"/>
          <c:showPercent val="0"/>
          <c:showBubbleSize val="0"/>
        </c:dLbls>
        <c:axId val="146434304"/>
        <c:axId val="146436480"/>
      </c:scatterChart>
      <c:valAx>
        <c:axId val="146434304"/>
        <c:scaling>
          <c:orientation val="minMax"/>
          <c:max val="100"/>
          <c:min val="0"/>
        </c:scaling>
        <c:delete val="0"/>
        <c:axPos val="b"/>
        <c:numFmt formatCode="0" sourceLinked="0"/>
        <c:majorTickMark val="out"/>
        <c:minorTickMark val="none"/>
        <c:tickLblPos val="nextTo"/>
        <c:crossAx val="146436480"/>
        <c:crosses val="autoZero"/>
        <c:crossBetween val="midCat"/>
      </c:valAx>
      <c:valAx>
        <c:axId val="146436480"/>
        <c:scaling>
          <c:orientation val="minMax"/>
          <c:min val="0"/>
        </c:scaling>
        <c:delete val="0"/>
        <c:axPos val="l"/>
        <c:majorGridlines/>
        <c:numFmt formatCode="0" sourceLinked="0"/>
        <c:majorTickMark val="out"/>
        <c:minorTickMark val="none"/>
        <c:tickLblPos val="nextTo"/>
        <c:crossAx val="146434304"/>
        <c:crosses val="autoZero"/>
        <c:crossBetween val="midCat"/>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FEMALE_FLOWER_Prod!$M$13:$M$37</c:f>
              <c:numCache>
                <c:formatCode>0.00</c:formatCode>
                <c:ptCount val="25"/>
                <c:pt idx="0">
                  <c:v>0</c:v>
                </c:pt>
                <c:pt idx="1">
                  <c:v>70</c:v>
                </c:pt>
                <c:pt idx="2">
                  <c:v>100</c:v>
                </c:pt>
              </c:numCache>
            </c:numRef>
          </c:xVal>
          <c:yVal>
            <c:numRef>
              <c:f>FEMALE_FLOWER_Prod!$N$13:$N$37</c:f>
              <c:numCache>
                <c:formatCode>0.00</c:formatCode>
                <c:ptCount val="25"/>
                <c:pt idx="0">
                  <c:v>1</c:v>
                </c:pt>
                <c:pt idx="1">
                  <c:v>2</c:v>
                </c:pt>
                <c:pt idx="2">
                  <c:v>1</c:v>
                </c:pt>
              </c:numCache>
            </c:numRef>
          </c:yVal>
          <c:smooth val="0"/>
        </c:ser>
        <c:ser>
          <c:idx val="1"/>
          <c:order val="1"/>
          <c:xVal>
            <c:numRef>
              <c:f>FEMALE_FLOWER_Prod!$M$13:$M$37</c:f>
              <c:numCache>
                <c:formatCode>0.00</c:formatCode>
                <c:ptCount val="25"/>
                <c:pt idx="0">
                  <c:v>0</c:v>
                </c:pt>
                <c:pt idx="1">
                  <c:v>70</c:v>
                </c:pt>
                <c:pt idx="2">
                  <c:v>100</c:v>
                </c:pt>
              </c:numCache>
            </c:numRef>
          </c:xVal>
          <c:yVal>
            <c:numRef>
              <c:f>FEMALE_FLOWER_Prod!$P$13:$P$37</c:f>
              <c:numCache>
                <c:formatCode>0.00</c:formatCode>
                <c:ptCount val="25"/>
                <c:pt idx="0">
                  <c:v>1</c:v>
                </c:pt>
                <c:pt idx="1">
                  <c:v>1</c:v>
                </c:pt>
                <c:pt idx="2">
                  <c:v>0.3</c:v>
                </c:pt>
              </c:numCache>
            </c:numRef>
          </c:yVal>
          <c:smooth val="0"/>
        </c:ser>
        <c:dLbls>
          <c:showLegendKey val="0"/>
          <c:showVal val="0"/>
          <c:showCatName val="0"/>
          <c:showSerName val="0"/>
          <c:showPercent val="0"/>
          <c:showBubbleSize val="0"/>
        </c:dLbls>
        <c:axId val="146797696"/>
        <c:axId val="146799232"/>
      </c:scatterChart>
      <c:valAx>
        <c:axId val="146797696"/>
        <c:scaling>
          <c:orientation val="minMax"/>
          <c:max val="100"/>
          <c:min val="0"/>
        </c:scaling>
        <c:delete val="0"/>
        <c:axPos val="b"/>
        <c:numFmt formatCode="0" sourceLinked="0"/>
        <c:majorTickMark val="out"/>
        <c:minorTickMark val="none"/>
        <c:tickLblPos val="nextTo"/>
        <c:crossAx val="146799232"/>
        <c:crosses val="autoZero"/>
        <c:crossBetween val="midCat"/>
      </c:valAx>
      <c:valAx>
        <c:axId val="146799232"/>
        <c:scaling>
          <c:orientation val="minMax"/>
          <c:min val="0"/>
        </c:scaling>
        <c:delete val="0"/>
        <c:axPos val="l"/>
        <c:majorGridlines/>
        <c:numFmt formatCode="0.0" sourceLinked="0"/>
        <c:majorTickMark val="out"/>
        <c:minorTickMark val="none"/>
        <c:tickLblPos val="nextTo"/>
        <c:crossAx val="146797696"/>
        <c:crosses val="autoZero"/>
        <c:crossBetween val="midCat"/>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FEMALE_FLOWER_Prod!$Y$13:$Y$37</c:f>
              <c:numCache>
                <c:formatCode>0.00</c:formatCode>
                <c:ptCount val="25"/>
                <c:pt idx="0">
                  <c:v>0</c:v>
                </c:pt>
                <c:pt idx="1">
                  <c:v>70</c:v>
                </c:pt>
                <c:pt idx="2">
                  <c:v>100</c:v>
                </c:pt>
              </c:numCache>
            </c:numRef>
          </c:xVal>
          <c:yVal>
            <c:numRef>
              <c:f>FEMALE_FLOWER_Prod!$Z$13:$Z$37</c:f>
              <c:numCache>
                <c:formatCode>0.00</c:formatCode>
                <c:ptCount val="25"/>
                <c:pt idx="0">
                  <c:v>30</c:v>
                </c:pt>
                <c:pt idx="1">
                  <c:v>60</c:v>
                </c:pt>
                <c:pt idx="2">
                  <c:v>30</c:v>
                </c:pt>
              </c:numCache>
            </c:numRef>
          </c:yVal>
          <c:smooth val="0"/>
        </c:ser>
        <c:dLbls>
          <c:showLegendKey val="0"/>
          <c:showVal val="0"/>
          <c:showCatName val="0"/>
          <c:showSerName val="0"/>
          <c:showPercent val="0"/>
          <c:showBubbleSize val="0"/>
        </c:dLbls>
        <c:axId val="146953728"/>
        <c:axId val="146955648"/>
      </c:scatterChart>
      <c:valAx>
        <c:axId val="146953728"/>
        <c:scaling>
          <c:orientation val="minMax"/>
          <c:max val="100"/>
          <c:min val="0"/>
        </c:scaling>
        <c:delete val="0"/>
        <c:axPos val="b"/>
        <c:numFmt formatCode="0" sourceLinked="0"/>
        <c:majorTickMark val="out"/>
        <c:minorTickMark val="none"/>
        <c:tickLblPos val="nextTo"/>
        <c:crossAx val="146955648"/>
        <c:crosses val="autoZero"/>
        <c:crossBetween val="midCat"/>
      </c:valAx>
      <c:valAx>
        <c:axId val="146955648"/>
        <c:scaling>
          <c:orientation val="minMax"/>
          <c:min val="0"/>
        </c:scaling>
        <c:delete val="0"/>
        <c:axPos val="l"/>
        <c:majorGridlines/>
        <c:numFmt formatCode="0" sourceLinked="0"/>
        <c:majorTickMark val="out"/>
        <c:minorTickMark val="none"/>
        <c:tickLblPos val="nextTo"/>
        <c:crossAx val="146953728"/>
        <c:crosses val="autoZero"/>
        <c:crossBetween val="midCat"/>
      </c:valAx>
    </c:plotArea>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FEMALE_FLOWER_Prod!$U$13:$U$37</c:f>
              <c:numCache>
                <c:formatCode>0.00</c:formatCode>
                <c:ptCount val="25"/>
                <c:pt idx="0">
                  <c:v>0</c:v>
                </c:pt>
              </c:numCache>
            </c:numRef>
          </c:xVal>
          <c:yVal>
            <c:numRef>
              <c:f>FEMALE_FLOWER_Prod!$V$13:$V$37</c:f>
              <c:numCache>
                <c:formatCode>0.00</c:formatCode>
                <c:ptCount val="25"/>
                <c:pt idx="0">
                  <c:v>137</c:v>
                </c:pt>
              </c:numCache>
            </c:numRef>
          </c:yVal>
          <c:smooth val="0"/>
        </c:ser>
        <c:dLbls>
          <c:showLegendKey val="0"/>
          <c:showVal val="0"/>
          <c:showCatName val="0"/>
          <c:showSerName val="0"/>
          <c:showPercent val="0"/>
          <c:showBubbleSize val="0"/>
        </c:dLbls>
        <c:axId val="147208448"/>
        <c:axId val="147210624"/>
      </c:scatterChart>
      <c:valAx>
        <c:axId val="147208448"/>
        <c:scaling>
          <c:orientation val="minMax"/>
          <c:max val="100"/>
          <c:min val="0"/>
        </c:scaling>
        <c:delete val="0"/>
        <c:axPos val="b"/>
        <c:numFmt formatCode="0" sourceLinked="0"/>
        <c:majorTickMark val="out"/>
        <c:minorTickMark val="none"/>
        <c:tickLblPos val="nextTo"/>
        <c:crossAx val="147210624"/>
        <c:crosses val="autoZero"/>
        <c:crossBetween val="midCat"/>
      </c:valAx>
      <c:valAx>
        <c:axId val="147210624"/>
        <c:scaling>
          <c:orientation val="minMax"/>
          <c:min val="0"/>
        </c:scaling>
        <c:delete val="0"/>
        <c:axPos val="l"/>
        <c:majorGridlines/>
        <c:numFmt formatCode="0" sourceLinked="0"/>
        <c:majorTickMark val="out"/>
        <c:minorTickMark val="none"/>
        <c:tickLblPos val="nextTo"/>
        <c:crossAx val="147208448"/>
        <c:crosses val="autoZero"/>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FROND_Prod!$S$13:$S$37</c:f>
              <c:numCache>
                <c:formatCode>General</c:formatCode>
                <c:ptCount val="25"/>
                <c:pt idx="0">
                  <c:v>1</c:v>
                </c:pt>
                <c:pt idx="1">
                  <c:v>57</c:v>
                </c:pt>
                <c:pt idx="2">
                  <c:v>83</c:v>
                </c:pt>
                <c:pt idx="3">
                  <c:v>98</c:v>
                </c:pt>
              </c:numCache>
            </c:numRef>
          </c:xVal>
          <c:yVal>
            <c:numRef>
              <c:f>FROND_Prod!$T$13:$T$37</c:f>
              <c:numCache>
                <c:formatCode>0.00</c:formatCode>
                <c:ptCount val="25"/>
                <c:pt idx="0">
                  <c:v>8.2278481012658236E-2</c:v>
                </c:pt>
                <c:pt idx="1">
                  <c:v>0.74050632911392411</c:v>
                </c:pt>
                <c:pt idx="2">
                  <c:v>0.90506329113924056</c:v>
                </c:pt>
                <c:pt idx="3">
                  <c:v>1</c:v>
                </c:pt>
              </c:numCache>
            </c:numRef>
          </c:yVal>
          <c:smooth val="0"/>
        </c:ser>
        <c:dLbls>
          <c:showLegendKey val="0"/>
          <c:showVal val="0"/>
          <c:showCatName val="0"/>
          <c:showSerName val="0"/>
          <c:showPercent val="0"/>
          <c:showBubbleSize val="0"/>
        </c:dLbls>
        <c:axId val="130824064"/>
        <c:axId val="130825600"/>
      </c:scatterChart>
      <c:valAx>
        <c:axId val="130824064"/>
        <c:scaling>
          <c:orientation val="minMax"/>
          <c:min val="0"/>
        </c:scaling>
        <c:delete val="0"/>
        <c:axPos val="b"/>
        <c:numFmt formatCode="0" sourceLinked="0"/>
        <c:majorTickMark val="out"/>
        <c:minorTickMark val="none"/>
        <c:tickLblPos val="nextTo"/>
        <c:crossAx val="130825600"/>
        <c:crosses val="autoZero"/>
        <c:crossBetween val="midCat"/>
      </c:valAx>
      <c:valAx>
        <c:axId val="130825600"/>
        <c:scaling>
          <c:orientation val="minMax"/>
          <c:min val="0"/>
        </c:scaling>
        <c:delete val="0"/>
        <c:axPos val="l"/>
        <c:majorGridlines/>
        <c:numFmt formatCode="0.00" sourceLinked="0"/>
        <c:majorTickMark val="out"/>
        <c:minorTickMark val="none"/>
        <c:tickLblPos val="nextTo"/>
        <c:crossAx val="130824064"/>
        <c:crosses val="autoZero"/>
        <c:crossBetween val="midCat"/>
      </c:valAx>
    </c:plotArea>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FEMALE_FLOWER_Prod!$G$13:$G$37</c:f>
              <c:numCache>
                <c:formatCode>0.00</c:formatCode>
                <c:ptCount val="25"/>
                <c:pt idx="0">
                  <c:v>0</c:v>
                </c:pt>
                <c:pt idx="1">
                  <c:v>70</c:v>
                </c:pt>
                <c:pt idx="2">
                  <c:v>100</c:v>
                </c:pt>
              </c:numCache>
            </c:numRef>
          </c:xVal>
          <c:yVal>
            <c:numRef>
              <c:f>FEMALE_FLOWER_Prod!$H$13:$H$37</c:f>
              <c:numCache>
                <c:formatCode>0.00</c:formatCode>
                <c:ptCount val="25"/>
                <c:pt idx="0">
                  <c:v>100</c:v>
                </c:pt>
                <c:pt idx="1">
                  <c:v>50</c:v>
                </c:pt>
                <c:pt idx="2">
                  <c:v>25</c:v>
                </c:pt>
              </c:numCache>
            </c:numRef>
          </c:yVal>
          <c:smooth val="0"/>
        </c:ser>
        <c:ser>
          <c:idx val="1"/>
          <c:order val="1"/>
          <c:xVal>
            <c:numRef>
              <c:f>FEMALE_FLOWER_Prod!$G$13:$G$37</c:f>
              <c:numCache>
                <c:formatCode>0.00</c:formatCode>
                <c:ptCount val="25"/>
                <c:pt idx="0">
                  <c:v>0</c:v>
                </c:pt>
                <c:pt idx="1">
                  <c:v>70</c:v>
                </c:pt>
                <c:pt idx="2">
                  <c:v>100</c:v>
                </c:pt>
              </c:numCache>
            </c:numRef>
          </c:xVal>
          <c:yVal>
            <c:numRef>
              <c:f>FEMALE_FLOWER_Prod!$I$13:$I$37</c:f>
              <c:numCache>
                <c:formatCode>0.00</c:formatCode>
                <c:ptCount val="25"/>
                <c:pt idx="0">
                  <c:v>0</c:v>
                </c:pt>
                <c:pt idx="1">
                  <c:v>50</c:v>
                </c:pt>
                <c:pt idx="2">
                  <c:v>50</c:v>
                </c:pt>
              </c:numCache>
            </c:numRef>
          </c:yVal>
          <c:smooth val="0"/>
        </c:ser>
        <c:ser>
          <c:idx val="2"/>
          <c:order val="2"/>
          <c:xVal>
            <c:numRef>
              <c:f>FEMALE_FLOWER_Prod!$G$13:$G$37</c:f>
              <c:numCache>
                <c:formatCode>0.00</c:formatCode>
                <c:ptCount val="25"/>
                <c:pt idx="0">
                  <c:v>0</c:v>
                </c:pt>
                <c:pt idx="1">
                  <c:v>70</c:v>
                </c:pt>
                <c:pt idx="2">
                  <c:v>100</c:v>
                </c:pt>
              </c:numCache>
            </c:numRef>
          </c:xVal>
          <c:yVal>
            <c:numRef>
              <c:f>FEMALE_FLOWER_Prod!$J$13:$J$37</c:f>
              <c:numCache>
                <c:formatCode>0.00</c:formatCode>
                <c:ptCount val="25"/>
                <c:pt idx="0">
                  <c:v>0</c:v>
                </c:pt>
                <c:pt idx="1">
                  <c:v>0</c:v>
                </c:pt>
                <c:pt idx="2">
                  <c:v>25</c:v>
                </c:pt>
              </c:numCache>
            </c:numRef>
          </c:yVal>
          <c:smooth val="0"/>
        </c:ser>
        <c:ser>
          <c:idx val="3"/>
          <c:order val="3"/>
          <c:xVal>
            <c:numRef>
              <c:f>FEMALE_FLOWER_Prod!$G$13:$G$37</c:f>
              <c:numCache>
                <c:formatCode>0.00</c:formatCode>
                <c:ptCount val="25"/>
                <c:pt idx="0">
                  <c:v>0</c:v>
                </c:pt>
                <c:pt idx="1">
                  <c:v>70</c:v>
                </c:pt>
                <c:pt idx="2">
                  <c:v>100</c:v>
                </c:pt>
              </c:numCache>
            </c:numRef>
          </c:xVal>
          <c:yVal>
            <c:numRef>
              <c:f>FEMALE_FLOWER_Prod!$K$13:$K$37</c:f>
              <c:numCache>
                <c:formatCode>0.00</c:formatCode>
                <c:ptCount val="25"/>
                <c:pt idx="0">
                  <c:v>0</c:v>
                </c:pt>
                <c:pt idx="1">
                  <c:v>0</c:v>
                </c:pt>
                <c:pt idx="2">
                  <c:v>0</c:v>
                </c:pt>
              </c:numCache>
            </c:numRef>
          </c:yVal>
          <c:smooth val="0"/>
        </c:ser>
        <c:dLbls>
          <c:showLegendKey val="0"/>
          <c:showVal val="0"/>
          <c:showCatName val="0"/>
          <c:showSerName val="0"/>
          <c:showPercent val="0"/>
          <c:showBubbleSize val="0"/>
        </c:dLbls>
        <c:axId val="147249024"/>
        <c:axId val="147250560"/>
      </c:scatterChart>
      <c:valAx>
        <c:axId val="147249024"/>
        <c:scaling>
          <c:orientation val="minMax"/>
          <c:max val="100"/>
          <c:min val="0"/>
        </c:scaling>
        <c:delete val="0"/>
        <c:axPos val="b"/>
        <c:numFmt formatCode="0" sourceLinked="0"/>
        <c:majorTickMark val="out"/>
        <c:minorTickMark val="none"/>
        <c:tickLblPos val="nextTo"/>
        <c:crossAx val="147250560"/>
        <c:crosses val="autoZero"/>
        <c:crossBetween val="midCat"/>
      </c:valAx>
      <c:valAx>
        <c:axId val="147250560"/>
        <c:scaling>
          <c:orientation val="minMax"/>
          <c:max val="100"/>
          <c:min val="0"/>
        </c:scaling>
        <c:delete val="0"/>
        <c:axPos val="l"/>
        <c:majorGridlines/>
        <c:numFmt formatCode="0" sourceLinked="0"/>
        <c:majorTickMark val="out"/>
        <c:minorTickMark val="none"/>
        <c:tickLblPos val="nextTo"/>
        <c:crossAx val="147249024"/>
        <c:crosses val="autoZero"/>
        <c:crossBetween val="midCat"/>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FEMALE_FLOWER_Prod!$C$13:$C$37</c:f>
              <c:numCache>
                <c:formatCode>0.00</c:formatCode>
                <c:ptCount val="25"/>
                <c:pt idx="0">
                  <c:v>0</c:v>
                </c:pt>
                <c:pt idx="1">
                  <c:v>70</c:v>
                </c:pt>
                <c:pt idx="2">
                  <c:v>100</c:v>
                </c:pt>
              </c:numCache>
            </c:numRef>
          </c:xVal>
          <c:yVal>
            <c:numRef>
              <c:f>FEMALE_FLOWER_Prod!$D$13:$D$37</c:f>
              <c:numCache>
                <c:formatCode>0</c:formatCode>
                <c:ptCount val="25"/>
                <c:pt idx="0">
                  <c:v>60</c:v>
                </c:pt>
                <c:pt idx="1">
                  <c:v>20</c:v>
                </c:pt>
                <c:pt idx="2">
                  <c:v>40</c:v>
                </c:pt>
              </c:numCache>
            </c:numRef>
          </c:yVal>
          <c:smooth val="0"/>
        </c:ser>
        <c:dLbls>
          <c:showLegendKey val="0"/>
          <c:showVal val="0"/>
          <c:showCatName val="0"/>
          <c:showSerName val="0"/>
          <c:showPercent val="0"/>
          <c:showBubbleSize val="0"/>
        </c:dLbls>
        <c:axId val="147290368"/>
        <c:axId val="147296640"/>
      </c:scatterChart>
      <c:valAx>
        <c:axId val="147290368"/>
        <c:scaling>
          <c:orientation val="minMax"/>
          <c:max val="100"/>
          <c:min val="0"/>
        </c:scaling>
        <c:delete val="0"/>
        <c:axPos val="b"/>
        <c:numFmt formatCode="0" sourceLinked="0"/>
        <c:majorTickMark val="out"/>
        <c:minorTickMark val="none"/>
        <c:tickLblPos val="nextTo"/>
        <c:crossAx val="147296640"/>
        <c:crosses val="autoZero"/>
        <c:crossBetween val="midCat"/>
      </c:valAx>
      <c:valAx>
        <c:axId val="147296640"/>
        <c:scaling>
          <c:orientation val="minMax"/>
          <c:min val="0"/>
        </c:scaling>
        <c:delete val="0"/>
        <c:axPos val="l"/>
        <c:majorGridlines/>
        <c:numFmt formatCode="0" sourceLinked="0"/>
        <c:majorTickMark val="out"/>
        <c:minorTickMark val="none"/>
        <c:tickLblPos val="nextTo"/>
        <c:crossAx val="147290368"/>
        <c:crosses val="autoZero"/>
        <c:crossBetween val="midCat"/>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FEMALE_FLOWER_Geom!$C$13:$C$37</c:f>
              <c:numCache>
                <c:formatCode>0.00</c:formatCode>
                <c:ptCount val="25"/>
                <c:pt idx="0">
                  <c:v>0</c:v>
                </c:pt>
                <c:pt idx="1">
                  <c:v>70</c:v>
                </c:pt>
                <c:pt idx="2">
                  <c:v>100</c:v>
                </c:pt>
              </c:numCache>
            </c:numRef>
          </c:xVal>
          <c:yVal>
            <c:numRef>
              <c:f>FEMALE_FLOWER_Geom!$D$13:$D$37</c:f>
              <c:numCache>
                <c:formatCode>0.00</c:formatCode>
                <c:ptCount val="25"/>
                <c:pt idx="0">
                  <c:v>1</c:v>
                </c:pt>
                <c:pt idx="1">
                  <c:v>5</c:v>
                </c:pt>
                <c:pt idx="2">
                  <c:v>3</c:v>
                </c:pt>
              </c:numCache>
            </c:numRef>
          </c:yVal>
          <c:smooth val="0"/>
        </c:ser>
        <c:dLbls>
          <c:showLegendKey val="0"/>
          <c:showVal val="0"/>
          <c:showCatName val="0"/>
          <c:showSerName val="0"/>
          <c:showPercent val="0"/>
          <c:showBubbleSize val="0"/>
        </c:dLbls>
        <c:axId val="147312000"/>
        <c:axId val="147453440"/>
      </c:scatterChart>
      <c:valAx>
        <c:axId val="147312000"/>
        <c:scaling>
          <c:orientation val="minMax"/>
          <c:max val="100"/>
          <c:min val="0"/>
        </c:scaling>
        <c:delete val="0"/>
        <c:axPos val="b"/>
        <c:numFmt formatCode="0" sourceLinked="0"/>
        <c:majorTickMark val="out"/>
        <c:minorTickMark val="none"/>
        <c:tickLblPos val="nextTo"/>
        <c:crossAx val="147453440"/>
        <c:crosses val="autoZero"/>
        <c:crossBetween val="midCat"/>
      </c:valAx>
      <c:valAx>
        <c:axId val="147453440"/>
        <c:scaling>
          <c:orientation val="minMax"/>
          <c:min val="0"/>
        </c:scaling>
        <c:delete val="0"/>
        <c:axPos val="l"/>
        <c:majorGridlines/>
        <c:numFmt formatCode="0.0" sourceLinked="0"/>
        <c:majorTickMark val="out"/>
        <c:minorTickMark val="none"/>
        <c:tickLblPos val="nextTo"/>
        <c:crossAx val="147312000"/>
        <c:crosses val="autoZero"/>
        <c:crossBetween val="midCat"/>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FEMALE_FLOWER_Geom!$I$13:$I$37</c:f>
              <c:numCache>
                <c:formatCode>0.00</c:formatCode>
                <c:ptCount val="25"/>
                <c:pt idx="0">
                  <c:v>0</c:v>
                </c:pt>
                <c:pt idx="1">
                  <c:v>70</c:v>
                </c:pt>
                <c:pt idx="2">
                  <c:v>100</c:v>
                </c:pt>
              </c:numCache>
            </c:numRef>
          </c:xVal>
          <c:yVal>
            <c:numRef>
              <c:f>FEMALE_FLOWER_Geom!$J$13:$J$37</c:f>
              <c:numCache>
                <c:formatCode>0.00</c:formatCode>
                <c:ptCount val="25"/>
                <c:pt idx="0">
                  <c:v>1</c:v>
                </c:pt>
                <c:pt idx="1">
                  <c:v>3</c:v>
                </c:pt>
                <c:pt idx="2">
                  <c:v>2</c:v>
                </c:pt>
              </c:numCache>
            </c:numRef>
          </c:yVal>
          <c:smooth val="0"/>
        </c:ser>
        <c:dLbls>
          <c:showLegendKey val="0"/>
          <c:showVal val="0"/>
          <c:showCatName val="0"/>
          <c:showSerName val="0"/>
          <c:showPercent val="0"/>
          <c:showBubbleSize val="0"/>
        </c:dLbls>
        <c:axId val="147489152"/>
        <c:axId val="147491072"/>
      </c:scatterChart>
      <c:valAx>
        <c:axId val="147489152"/>
        <c:scaling>
          <c:orientation val="minMax"/>
          <c:max val="100"/>
          <c:min val="0"/>
        </c:scaling>
        <c:delete val="0"/>
        <c:axPos val="b"/>
        <c:numFmt formatCode="0" sourceLinked="0"/>
        <c:majorTickMark val="out"/>
        <c:minorTickMark val="none"/>
        <c:tickLblPos val="nextTo"/>
        <c:crossAx val="147491072"/>
        <c:crosses val="autoZero"/>
        <c:crossBetween val="midCat"/>
      </c:valAx>
      <c:valAx>
        <c:axId val="147491072"/>
        <c:scaling>
          <c:orientation val="minMax"/>
          <c:min val="0"/>
        </c:scaling>
        <c:delete val="0"/>
        <c:axPos val="l"/>
        <c:majorGridlines/>
        <c:numFmt formatCode="0.0" sourceLinked="0"/>
        <c:majorTickMark val="out"/>
        <c:minorTickMark val="none"/>
        <c:tickLblPos val="nextTo"/>
        <c:crossAx val="147489152"/>
        <c:crosses val="autoZero"/>
        <c:crossBetween val="midCat"/>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MALE_FLOWER_Prod!$M$13:$M$37</c:f>
              <c:numCache>
                <c:formatCode>0.00</c:formatCode>
                <c:ptCount val="25"/>
                <c:pt idx="0">
                  <c:v>0</c:v>
                </c:pt>
              </c:numCache>
            </c:numRef>
          </c:xVal>
          <c:yVal>
            <c:numRef>
              <c:f>MALE_FLOWER_Prod!$N$13:$N$37</c:f>
              <c:numCache>
                <c:formatCode>0.00</c:formatCode>
                <c:ptCount val="25"/>
                <c:pt idx="0">
                  <c:v>0</c:v>
                </c:pt>
              </c:numCache>
            </c:numRef>
          </c:yVal>
          <c:smooth val="0"/>
        </c:ser>
        <c:ser>
          <c:idx val="1"/>
          <c:order val="1"/>
          <c:xVal>
            <c:numRef>
              <c:f>MALE_FLOWER_Prod!$M$13:$M$37</c:f>
              <c:numCache>
                <c:formatCode>0.00</c:formatCode>
                <c:ptCount val="25"/>
                <c:pt idx="0">
                  <c:v>0</c:v>
                </c:pt>
              </c:numCache>
            </c:numRef>
          </c:xVal>
          <c:yVal>
            <c:numRef>
              <c:f>MALE_FLOWER_Prod!$P$13:$P$37</c:f>
              <c:numCache>
                <c:formatCode>0.00</c:formatCode>
                <c:ptCount val="25"/>
                <c:pt idx="0">
                  <c:v>0</c:v>
                </c:pt>
              </c:numCache>
            </c:numRef>
          </c:yVal>
          <c:smooth val="0"/>
        </c:ser>
        <c:dLbls>
          <c:showLegendKey val="0"/>
          <c:showVal val="0"/>
          <c:showCatName val="0"/>
          <c:showSerName val="0"/>
          <c:showPercent val="0"/>
          <c:showBubbleSize val="0"/>
        </c:dLbls>
        <c:axId val="147581952"/>
        <c:axId val="147620608"/>
      </c:scatterChart>
      <c:valAx>
        <c:axId val="147581952"/>
        <c:scaling>
          <c:orientation val="minMax"/>
          <c:max val="100"/>
          <c:min val="0"/>
        </c:scaling>
        <c:delete val="0"/>
        <c:axPos val="b"/>
        <c:numFmt formatCode="0" sourceLinked="0"/>
        <c:majorTickMark val="out"/>
        <c:minorTickMark val="none"/>
        <c:tickLblPos val="nextTo"/>
        <c:crossAx val="147620608"/>
        <c:crosses val="autoZero"/>
        <c:crossBetween val="midCat"/>
      </c:valAx>
      <c:valAx>
        <c:axId val="147620608"/>
        <c:scaling>
          <c:orientation val="minMax"/>
          <c:min val="0"/>
        </c:scaling>
        <c:delete val="0"/>
        <c:axPos val="l"/>
        <c:majorGridlines/>
        <c:numFmt formatCode="0.0" sourceLinked="0"/>
        <c:majorTickMark val="out"/>
        <c:minorTickMark val="none"/>
        <c:tickLblPos val="nextTo"/>
        <c:crossAx val="147581952"/>
        <c:crosses val="autoZero"/>
        <c:crossBetween val="midCat"/>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MALE_FLOWER_Prod!$Y$13:$Y$37</c:f>
              <c:numCache>
                <c:formatCode>0.00</c:formatCode>
                <c:ptCount val="25"/>
                <c:pt idx="0">
                  <c:v>0</c:v>
                </c:pt>
              </c:numCache>
            </c:numRef>
          </c:xVal>
          <c:yVal>
            <c:numRef>
              <c:f>MALE_FLOWER_Prod!$Z$13:$Z$37</c:f>
              <c:numCache>
                <c:formatCode>0.00</c:formatCode>
                <c:ptCount val="25"/>
                <c:pt idx="0">
                  <c:v>10</c:v>
                </c:pt>
              </c:numCache>
            </c:numRef>
          </c:yVal>
          <c:smooth val="0"/>
        </c:ser>
        <c:dLbls>
          <c:showLegendKey val="0"/>
          <c:showVal val="0"/>
          <c:showCatName val="0"/>
          <c:showSerName val="0"/>
          <c:showPercent val="0"/>
          <c:showBubbleSize val="0"/>
        </c:dLbls>
        <c:axId val="147639680"/>
        <c:axId val="147662336"/>
      </c:scatterChart>
      <c:valAx>
        <c:axId val="147639680"/>
        <c:scaling>
          <c:orientation val="minMax"/>
          <c:max val="100"/>
          <c:min val="0"/>
        </c:scaling>
        <c:delete val="0"/>
        <c:axPos val="b"/>
        <c:numFmt formatCode="0" sourceLinked="0"/>
        <c:majorTickMark val="out"/>
        <c:minorTickMark val="none"/>
        <c:tickLblPos val="nextTo"/>
        <c:crossAx val="147662336"/>
        <c:crosses val="autoZero"/>
        <c:crossBetween val="midCat"/>
      </c:valAx>
      <c:valAx>
        <c:axId val="147662336"/>
        <c:scaling>
          <c:orientation val="minMax"/>
          <c:min val="0"/>
        </c:scaling>
        <c:delete val="0"/>
        <c:axPos val="l"/>
        <c:majorGridlines/>
        <c:numFmt formatCode="0" sourceLinked="0"/>
        <c:majorTickMark val="out"/>
        <c:minorTickMark val="none"/>
        <c:tickLblPos val="nextTo"/>
        <c:crossAx val="147639680"/>
        <c:crosses val="autoZero"/>
        <c:crossBetween val="midCat"/>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4934383202099738"/>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MALE_FLOWER_Prod!$U$13:$U$37</c:f>
              <c:numCache>
                <c:formatCode>0.00</c:formatCode>
                <c:ptCount val="25"/>
                <c:pt idx="0">
                  <c:v>0</c:v>
                </c:pt>
              </c:numCache>
            </c:numRef>
          </c:xVal>
          <c:yVal>
            <c:numRef>
              <c:f>MALE_FLOWER_Prod!$V$13:$V$37</c:f>
              <c:numCache>
                <c:formatCode>0.00</c:formatCode>
                <c:ptCount val="25"/>
                <c:pt idx="0">
                  <c:v>137</c:v>
                </c:pt>
              </c:numCache>
            </c:numRef>
          </c:yVal>
          <c:smooth val="0"/>
        </c:ser>
        <c:dLbls>
          <c:showLegendKey val="0"/>
          <c:showVal val="0"/>
          <c:showCatName val="0"/>
          <c:showSerName val="0"/>
          <c:showPercent val="0"/>
          <c:showBubbleSize val="0"/>
        </c:dLbls>
        <c:axId val="147685760"/>
        <c:axId val="147687680"/>
      </c:scatterChart>
      <c:valAx>
        <c:axId val="147685760"/>
        <c:scaling>
          <c:orientation val="minMax"/>
          <c:max val="100"/>
          <c:min val="0"/>
        </c:scaling>
        <c:delete val="0"/>
        <c:axPos val="b"/>
        <c:numFmt formatCode="0" sourceLinked="0"/>
        <c:majorTickMark val="out"/>
        <c:minorTickMark val="none"/>
        <c:tickLblPos val="nextTo"/>
        <c:crossAx val="147687680"/>
        <c:crosses val="autoZero"/>
        <c:crossBetween val="midCat"/>
      </c:valAx>
      <c:valAx>
        <c:axId val="147687680"/>
        <c:scaling>
          <c:orientation val="minMax"/>
          <c:min val="0"/>
        </c:scaling>
        <c:delete val="0"/>
        <c:axPos val="l"/>
        <c:majorGridlines/>
        <c:numFmt formatCode="0" sourceLinked="0"/>
        <c:majorTickMark val="out"/>
        <c:minorTickMark val="none"/>
        <c:tickLblPos val="nextTo"/>
        <c:crossAx val="147685760"/>
        <c:crosses val="autoZero"/>
        <c:crossBetween val="midCat"/>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MALE_FLOWER_Prod!$G$14:$G$38</c:f>
              <c:numCache>
                <c:formatCode>0.00</c:formatCode>
                <c:ptCount val="25"/>
              </c:numCache>
            </c:numRef>
          </c:xVal>
          <c:yVal>
            <c:numRef>
              <c:f>MALE_FLOWER_Prod!$H$14:$H$38</c:f>
              <c:numCache>
                <c:formatCode>0.00</c:formatCode>
                <c:ptCount val="25"/>
              </c:numCache>
            </c:numRef>
          </c:yVal>
          <c:smooth val="0"/>
        </c:ser>
        <c:ser>
          <c:idx val="1"/>
          <c:order val="1"/>
          <c:xVal>
            <c:numRef>
              <c:f>MALE_FLOWER_Prod!$G$14:$G$38</c:f>
              <c:numCache>
                <c:formatCode>0.00</c:formatCode>
                <c:ptCount val="25"/>
              </c:numCache>
            </c:numRef>
          </c:xVal>
          <c:yVal>
            <c:numRef>
              <c:f>MALE_FLOWER_Prod!$I$14:$I$38</c:f>
              <c:numCache>
                <c:formatCode>0.00</c:formatCode>
                <c:ptCount val="25"/>
              </c:numCache>
            </c:numRef>
          </c:yVal>
          <c:smooth val="0"/>
        </c:ser>
        <c:ser>
          <c:idx val="2"/>
          <c:order val="2"/>
          <c:xVal>
            <c:numRef>
              <c:f>MALE_FLOWER_Prod!$G$14:$G$38</c:f>
              <c:numCache>
                <c:formatCode>0.00</c:formatCode>
                <c:ptCount val="25"/>
              </c:numCache>
            </c:numRef>
          </c:xVal>
          <c:yVal>
            <c:numRef>
              <c:f>MALE_FLOWER_Prod!$J$14:$J$38</c:f>
              <c:numCache>
                <c:formatCode>0.00</c:formatCode>
                <c:ptCount val="25"/>
              </c:numCache>
            </c:numRef>
          </c:yVal>
          <c:smooth val="0"/>
        </c:ser>
        <c:ser>
          <c:idx val="3"/>
          <c:order val="3"/>
          <c:xVal>
            <c:numRef>
              <c:f>MALE_FLOWER_Prod!$G$14:$G$38</c:f>
              <c:numCache>
                <c:formatCode>0.00</c:formatCode>
                <c:ptCount val="25"/>
              </c:numCache>
            </c:numRef>
          </c:xVal>
          <c:yVal>
            <c:numRef>
              <c:f>MALE_FLOWER_Prod!$K$14:$K$38</c:f>
              <c:numCache>
                <c:formatCode>0.00</c:formatCode>
                <c:ptCount val="25"/>
              </c:numCache>
            </c:numRef>
          </c:yVal>
          <c:smooth val="0"/>
        </c:ser>
        <c:dLbls>
          <c:showLegendKey val="0"/>
          <c:showVal val="0"/>
          <c:showCatName val="0"/>
          <c:showSerName val="0"/>
          <c:showPercent val="0"/>
          <c:showBubbleSize val="0"/>
        </c:dLbls>
        <c:axId val="147939328"/>
        <c:axId val="147940864"/>
      </c:scatterChart>
      <c:valAx>
        <c:axId val="147939328"/>
        <c:scaling>
          <c:orientation val="minMax"/>
          <c:max val="100"/>
          <c:min val="0"/>
        </c:scaling>
        <c:delete val="0"/>
        <c:axPos val="b"/>
        <c:numFmt formatCode="0" sourceLinked="0"/>
        <c:majorTickMark val="out"/>
        <c:minorTickMark val="none"/>
        <c:tickLblPos val="nextTo"/>
        <c:crossAx val="147940864"/>
        <c:crosses val="autoZero"/>
        <c:crossBetween val="midCat"/>
      </c:valAx>
      <c:valAx>
        <c:axId val="147940864"/>
        <c:scaling>
          <c:orientation val="minMax"/>
          <c:max val="100"/>
          <c:min val="0"/>
        </c:scaling>
        <c:delete val="0"/>
        <c:axPos val="l"/>
        <c:majorGridlines/>
        <c:numFmt formatCode="0" sourceLinked="0"/>
        <c:majorTickMark val="out"/>
        <c:minorTickMark val="none"/>
        <c:tickLblPos val="nextTo"/>
        <c:crossAx val="147939328"/>
        <c:crosses val="autoZero"/>
        <c:crossBetween val="midCat"/>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4934383202099738"/>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MALE_FLOWER_Prod!$C$13:$C$37</c:f>
              <c:numCache>
                <c:formatCode>0.00</c:formatCode>
                <c:ptCount val="25"/>
                <c:pt idx="0">
                  <c:v>0</c:v>
                </c:pt>
              </c:numCache>
            </c:numRef>
          </c:xVal>
          <c:yVal>
            <c:numRef>
              <c:f>MALE_FLOWER_Prod!$D$13:$D$37</c:f>
              <c:numCache>
                <c:formatCode>0</c:formatCode>
                <c:ptCount val="25"/>
                <c:pt idx="0">
                  <c:v>20</c:v>
                </c:pt>
              </c:numCache>
            </c:numRef>
          </c:yVal>
          <c:smooth val="0"/>
        </c:ser>
        <c:dLbls>
          <c:showLegendKey val="0"/>
          <c:showVal val="0"/>
          <c:showCatName val="0"/>
          <c:showSerName val="0"/>
          <c:showPercent val="0"/>
          <c:showBubbleSize val="0"/>
        </c:dLbls>
        <c:axId val="147980672"/>
        <c:axId val="147982592"/>
      </c:scatterChart>
      <c:valAx>
        <c:axId val="147980672"/>
        <c:scaling>
          <c:orientation val="minMax"/>
          <c:max val="100"/>
          <c:min val="0"/>
        </c:scaling>
        <c:delete val="0"/>
        <c:axPos val="b"/>
        <c:numFmt formatCode="0" sourceLinked="0"/>
        <c:majorTickMark val="out"/>
        <c:minorTickMark val="none"/>
        <c:tickLblPos val="nextTo"/>
        <c:crossAx val="147982592"/>
        <c:crosses val="autoZero"/>
        <c:crossBetween val="midCat"/>
      </c:valAx>
      <c:valAx>
        <c:axId val="147982592"/>
        <c:scaling>
          <c:orientation val="minMax"/>
          <c:min val="0"/>
        </c:scaling>
        <c:delete val="0"/>
        <c:axPos val="l"/>
        <c:majorGridlines/>
        <c:numFmt formatCode="0" sourceLinked="0"/>
        <c:majorTickMark val="out"/>
        <c:minorTickMark val="none"/>
        <c:tickLblPos val="nextTo"/>
        <c:crossAx val="147980672"/>
        <c:crosses val="autoZero"/>
        <c:crossBetween val="midCat"/>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MALE_FLOWER_Geom!$C$13:$C$37</c:f>
              <c:numCache>
                <c:formatCode>0.00</c:formatCode>
                <c:ptCount val="25"/>
                <c:pt idx="0">
                  <c:v>0</c:v>
                </c:pt>
              </c:numCache>
            </c:numRef>
          </c:xVal>
          <c:yVal>
            <c:numRef>
              <c:f>MALE_FLOWER_Geom!$D$13:$D$37</c:f>
              <c:numCache>
                <c:formatCode>0.00</c:formatCode>
                <c:ptCount val="25"/>
                <c:pt idx="0">
                  <c:v>0.3</c:v>
                </c:pt>
              </c:numCache>
            </c:numRef>
          </c:yVal>
          <c:smooth val="0"/>
        </c:ser>
        <c:dLbls>
          <c:showLegendKey val="0"/>
          <c:showVal val="0"/>
          <c:showCatName val="0"/>
          <c:showSerName val="0"/>
          <c:showPercent val="0"/>
          <c:showBubbleSize val="0"/>
        </c:dLbls>
        <c:axId val="148178432"/>
        <c:axId val="148180352"/>
      </c:scatterChart>
      <c:valAx>
        <c:axId val="148178432"/>
        <c:scaling>
          <c:orientation val="minMax"/>
          <c:max val="100"/>
          <c:min val="0"/>
        </c:scaling>
        <c:delete val="0"/>
        <c:axPos val="b"/>
        <c:numFmt formatCode="0" sourceLinked="0"/>
        <c:majorTickMark val="out"/>
        <c:minorTickMark val="none"/>
        <c:tickLblPos val="nextTo"/>
        <c:crossAx val="148180352"/>
        <c:crosses val="autoZero"/>
        <c:crossBetween val="midCat"/>
      </c:valAx>
      <c:valAx>
        <c:axId val="148180352"/>
        <c:scaling>
          <c:orientation val="minMax"/>
          <c:min val="0"/>
        </c:scaling>
        <c:delete val="0"/>
        <c:axPos val="l"/>
        <c:majorGridlines/>
        <c:numFmt formatCode="0.0" sourceLinked="0"/>
        <c:majorTickMark val="out"/>
        <c:minorTickMark val="none"/>
        <c:tickLblPos val="nextTo"/>
        <c:crossAx val="148178432"/>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00"/>
              </a:solidFill>
              <a:ln>
                <a:solidFill>
                  <a:srgbClr val="FFFF00"/>
                </a:solidFill>
              </a:ln>
            </c:spPr>
          </c:marker>
          <c:xVal>
            <c:numRef>
              <c:f>FROND_Prod!$L$13:$L$37</c:f>
              <c:numCache>
                <c:formatCode>General</c:formatCode>
                <c:ptCount val="25"/>
                <c:pt idx="0">
                  <c:v>1</c:v>
                </c:pt>
                <c:pt idx="1">
                  <c:v>56</c:v>
                </c:pt>
                <c:pt idx="2">
                  <c:v>96</c:v>
                </c:pt>
                <c:pt idx="3">
                  <c:v>194</c:v>
                </c:pt>
              </c:numCache>
            </c:numRef>
          </c:xVal>
          <c:yVal>
            <c:numRef>
              <c:f>FROND_Prod!$M$13:$M$37</c:f>
              <c:numCache>
                <c:formatCode>0.00</c:formatCode>
                <c:ptCount val="25"/>
                <c:pt idx="0">
                  <c:v>137.58058441410265</c:v>
                </c:pt>
                <c:pt idx="1">
                  <c:v>137.68058441410264</c:v>
                </c:pt>
                <c:pt idx="2">
                  <c:v>137.78058441410263</c:v>
                </c:pt>
                <c:pt idx="3">
                  <c:v>137.78058441410263</c:v>
                </c:pt>
              </c:numCache>
            </c:numRef>
          </c:yVal>
          <c:smooth val="0"/>
        </c:ser>
        <c:dLbls>
          <c:showLegendKey val="0"/>
          <c:showVal val="0"/>
          <c:showCatName val="0"/>
          <c:showSerName val="0"/>
          <c:showPercent val="0"/>
          <c:showBubbleSize val="0"/>
        </c:dLbls>
        <c:axId val="130840832"/>
        <c:axId val="130855296"/>
      </c:scatterChart>
      <c:valAx>
        <c:axId val="130840832"/>
        <c:scaling>
          <c:orientation val="minMax"/>
          <c:min val="0"/>
        </c:scaling>
        <c:delete val="0"/>
        <c:axPos val="b"/>
        <c:numFmt formatCode="0" sourceLinked="0"/>
        <c:majorTickMark val="out"/>
        <c:minorTickMark val="none"/>
        <c:tickLblPos val="nextTo"/>
        <c:crossAx val="130855296"/>
        <c:crosses val="autoZero"/>
        <c:crossBetween val="midCat"/>
      </c:valAx>
      <c:valAx>
        <c:axId val="130855296"/>
        <c:scaling>
          <c:orientation val="minMax"/>
          <c:min val="0"/>
        </c:scaling>
        <c:delete val="0"/>
        <c:axPos val="l"/>
        <c:majorGridlines/>
        <c:numFmt formatCode="0" sourceLinked="0"/>
        <c:majorTickMark val="out"/>
        <c:minorTickMark val="none"/>
        <c:tickLblPos val="nextTo"/>
        <c:crossAx val="130840832"/>
        <c:crosses val="autoZero"/>
        <c:crossBetween val="midCat"/>
      </c:valAx>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MALE_FLOWER_Geom!$G$13:$G$37</c:f>
              <c:numCache>
                <c:formatCode>0.00</c:formatCode>
                <c:ptCount val="25"/>
                <c:pt idx="0">
                  <c:v>0</c:v>
                </c:pt>
              </c:numCache>
            </c:numRef>
          </c:xVal>
          <c:yVal>
            <c:numRef>
              <c:f>MALE_FLOWER_Geom!$H$13:$H$37</c:f>
              <c:numCache>
                <c:formatCode>0.00</c:formatCode>
                <c:ptCount val="25"/>
                <c:pt idx="0">
                  <c:v>0.2</c:v>
                </c:pt>
              </c:numCache>
            </c:numRef>
          </c:yVal>
          <c:smooth val="0"/>
        </c:ser>
        <c:dLbls>
          <c:showLegendKey val="0"/>
          <c:showVal val="0"/>
          <c:showCatName val="0"/>
          <c:showSerName val="0"/>
          <c:showPercent val="0"/>
          <c:showBubbleSize val="0"/>
        </c:dLbls>
        <c:axId val="148203776"/>
        <c:axId val="148214144"/>
      </c:scatterChart>
      <c:valAx>
        <c:axId val="148203776"/>
        <c:scaling>
          <c:orientation val="minMax"/>
          <c:max val="100"/>
          <c:min val="0"/>
        </c:scaling>
        <c:delete val="0"/>
        <c:axPos val="b"/>
        <c:numFmt formatCode="0" sourceLinked="0"/>
        <c:majorTickMark val="out"/>
        <c:minorTickMark val="none"/>
        <c:tickLblPos val="nextTo"/>
        <c:crossAx val="148214144"/>
        <c:crosses val="autoZero"/>
        <c:crossBetween val="midCat"/>
      </c:valAx>
      <c:valAx>
        <c:axId val="148214144"/>
        <c:scaling>
          <c:orientation val="minMax"/>
          <c:min val="0"/>
        </c:scaling>
        <c:delete val="0"/>
        <c:axPos val="l"/>
        <c:majorGridlines/>
        <c:numFmt formatCode="0.0" sourceLinked="0"/>
        <c:majorTickMark val="out"/>
        <c:minorTickMark val="none"/>
        <c:tickLblPos val="nextTo"/>
        <c:crossAx val="148203776"/>
        <c:crosses val="autoZero"/>
        <c:crossBetween val="midCat"/>
      </c:valAx>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MIXED_FLOWER_Prod!$C$13:$C$37</c:f>
              <c:numCache>
                <c:formatCode>0.00</c:formatCode>
                <c:ptCount val="25"/>
                <c:pt idx="0">
                  <c:v>0</c:v>
                </c:pt>
                <c:pt idx="1">
                  <c:v>50</c:v>
                </c:pt>
              </c:numCache>
            </c:numRef>
          </c:xVal>
          <c:yVal>
            <c:numRef>
              <c:f>MIXED_FLOWER_Prod!$D$13:$D$37</c:f>
              <c:numCache>
                <c:formatCode>0.00</c:formatCode>
                <c:ptCount val="25"/>
                <c:pt idx="0">
                  <c:v>10</c:v>
                </c:pt>
                <c:pt idx="1">
                  <c:v>50</c:v>
                </c:pt>
              </c:numCache>
            </c:numRef>
          </c:yVal>
          <c:smooth val="0"/>
        </c:ser>
        <c:dLbls>
          <c:showLegendKey val="0"/>
          <c:showVal val="0"/>
          <c:showCatName val="0"/>
          <c:showSerName val="0"/>
          <c:showPercent val="0"/>
          <c:showBubbleSize val="0"/>
        </c:dLbls>
        <c:axId val="148245888"/>
        <c:axId val="148334080"/>
      </c:scatterChart>
      <c:valAx>
        <c:axId val="148245888"/>
        <c:scaling>
          <c:orientation val="minMax"/>
          <c:max val="100"/>
          <c:min val="0"/>
        </c:scaling>
        <c:delete val="0"/>
        <c:axPos val="b"/>
        <c:numFmt formatCode="0" sourceLinked="0"/>
        <c:majorTickMark val="out"/>
        <c:minorTickMark val="none"/>
        <c:tickLblPos val="nextTo"/>
        <c:crossAx val="148334080"/>
        <c:crosses val="autoZero"/>
        <c:crossBetween val="midCat"/>
      </c:valAx>
      <c:valAx>
        <c:axId val="148334080"/>
        <c:scaling>
          <c:orientation val="minMax"/>
          <c:max val="100"/>
          <c:min val="0"/>
        </c:scaling>
        <c:delete val="0"/>
        <c:axPos val="l"/>
        <c:majorGridlines/>
        <c:numFmt formatCode="0" sourceLinked="0"/>
        <c:majorTickMark val="out"/>
        <c:minorTickMark val="none"/>
        <c:tickLblPos val="nextTo"/>
        <c:crossAx val="148245888"/>
        <c:crosses val="autoZero"/>
        <c:crossBetween val="midCat"/>
      </c:valAx>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MIXED_FLOWER_Prod!$Y$13:$Y$37</c:f>
              <c:numCache>
                <c:formatCode>0.00</c:formatCode>
                <c:ptCount val="25"/>
                <c:pt idx="0">
                  <c:v>0</c:v>
                </c:pt>
              </c:numCache>
            </c:numRef>
          </c:xVal>
          <c:yVal>
            <c:numRef>
              <c:f>MIXED_FLOWER_Prod!$Z$13:$Z$37</c:f>
              <c:numCache>
                <c:formatCode>0.00</c:formatCode>
                <c:ptCount val="25"/>
                <c:pt idx="0">
                  <c:v>136</c:v>
                </c:pt>
              </c:numCache>
            </c:numRef>
          </c:yVal>
          <c:smooth val="0"/>
        </c:ser>
        <c:dLbls>
          <c:showLegendKey val="0"/>
          <c:showVal val="0"/>
          <c:showCatName val="0"/>
          <c:showSerName val="0"/>
          <c:showPercent val="0"/>
          <c:showBubbleSize val="0"/>
        </c:dLbls>
        <c:axId val="148439424"/>
        <c:axId val="148441344"/>
      </c:scatterChart>
      <c:valAx>
        <c:axId val="148439424"/>
        <c:scaling>
          <c:orientation val="minMax"/>
          <c:max val="100"/>
          <c:min val="0"/>
        </c:scaling>
        <c:delete val="0"/>
        <c:axPos val="b"/>
        <c:numFmt formatCode="0" sourceLinked="0"/>
        <c:majorTickMark val="out"/>
        <c:minorTickMark val="none"/>
        <c:tickLblPos val="nextTo"/>
        <c:crossAx val="148441344"/>
        <c:crosses val="autoZero"/>
        <c:crossBetween val="midCat"/>
      </c:valAx>
      <c:valAx>
        <c:axId val="148441344"/>
        <c:scaling>
          <c:orientation val="minMax"/>
          <c:min val="0"/>
        </c:scaling>
        <c:delete val="0"/>
        <c:axPos val="l"/>
        <c:majorGridlines/>
        <c:numFmt formatCode="0" sourceLinked="0"/>
        <c:majorTickMark val="out"/>
        <c:minorTickMark val="none"/>
        <c:tickLblPos val="nextTo"/>
        <c:crossAx val="148439424"/>
        <c:crosses val="autoZero"/>
        <c:crossBetween val="midCat"/>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MIXED_FLOWER_Prod!$Q$13:$Q$37</c:f>
              <c:numCache>
                <c:formatCode>0.00</c:formatCode>
                <c:ptCount val="25"/>
                <c:pt idx="0">
                  <c:v>0</c:v>
                </c:pt>
              </c:numCache>
            </c:numRef>
          </c:xVal>
          <c:yVal>
            <c:numRef>
              <c:f>MIXED_FLOWER_Prod!$R$13:$R$37</c:f>
              <c:numCache>
                <c:formatCode>0.00</c:formatCode>
                <c:ptCount val="25"/>
                <c:pt idx="0">
                  <c:v>3</c:v>
                </c:pt>
              </c:numCache>
            </c:numRef>
          </c:yVal>
          <c:smooth val="0"/>
        </c:ser>
        <c:ser>
          <c:idx val="1"/>
          <c:order val="1"/>
          <c:xVal>
            <c:numRef>
              <c:f>MIXED_FLOWER_Prod!$Q$13:$Q$37</c:f>
              <c:numCache>
                <c:formatCode>0.00</c:formatCode>
                <c:ptCount val="25"/>
                <c:pt idx="0">
                  <c:v>0</c:v>
                </c:pt>
              </c:numCache>
            </c:numRef>
          </c:xVal>
          <c:yVal>
            <c:numRef>
              <c:f>MIXED_FLOWER_Prod!$T$13:$T$37</c:f>
              <c:numCache>
                <c:formatCode>0.00</c:formatCode>
                <c:ptCount val="25"/>
                <c:pt idx="0">
                  <c:v>2</c:v>
                </c:pt>
              </c:numCache>
            </c:numRef>
          </c:yVal>
          <c:smooth val="0"/>
        </c:ser>
        <c:dLbls>
          <c:showLegendKey val="0"/>
          <c:showVal val="0"/>
          <c:showCatName val="0"/>
          <c:showSerName val="0"/>
          <c:showPercent val="0"/>
          <c:showBubbleSize val="0"/>
        </c:dLbls>
        <c:axId val="148482304"/>
        <c:axId val="148496384"/>
      </c:scatterChart>
      <c:valAx>
        <c:axId val="148482304"/>
        <c:scaling>
          <c:orientation val="minMax"/>
          <c:max val="100"/>
          <c:min val="0"/>
        </c:scaling>
        <c:delete val="0"/>
        <c:axPos val="b"/>
        <c:numFmt formatCode="0" sourceLinked="0"/>
        <c:majorTickMark val="out"/>
        <c:minorTickMark val="none"/>
        <c:tickLblPos val="nextTo"/>
        <c:crossAx val="148496384"/>
        <c:crosses val="autoZero"/>
        <c:crossBetween val="midCat"/>
      </c:valAx>
      <c:valAx>
        <c:axId val="148496384"/>
        <c:scaling>
          <c:orientation val="minMax"/>
          <c:min val="0"/>
        </c:scaling>
        <c:delete val="0"/>
        <c:axPos val="l"/>
        <c:majorGridlines/>
        <c:numFmt formatCode="0.0" sourceLinked="0"/>
        <c:majorTickMark val="out"/>
        <c:minorTickMark val="none"/>
        <c:tickLblPos val="nextTo"/>
        <c:crossAx val="148482304"/>
        <c:crosses val="autoZero"/>
        <c:crossBetween val="midCat"/>
      </c:valAx>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MIXED_FLOWER_Prod!$K$13:$K$37</c:f>
              <c:numCache>
                <c:formatCode>0.00</c:formatCode>
                <c:ptCount val="25"/>
                <c:pt idx="0">
                  <c:v>0</c:v>
                </c:pt>
              </c:numCache>
            </c:numRef>
          </c:xVal>
          <c:yVal>
            <c:numRef>
              <c:f>MIXED_FLOWER_Prod!$L$13:$L$37</c:f>
              <c:numCache>
                <c:formatCode>0.00</c:formatCode>
                <c:ptCount val="25"/>
                <c:pt idx="0">
                  <c:v>100</c:v>
                </c:pt>
              </c:numCache>
            </c:numRef>
          </c:yVal>
          <c:smooth val="0"/>
        </c:ser>
        <c:ser>
          <c:idx val="1"/>
          <c:order val="1"/>
          <c:xVal>
            <c:numRef>
              <c:f>MIXED_FLOWER_Prod!$K$13:$K$37</c:f>
              <c:numCache>
                <c:formatCode>0.00</c:formatCode>
                <c:ptCount val="25"/>
                <c:pt idx="0">
                  <c:v>0</c:v>
                </c:pt>
              </c:numCache>
            </c:numRef>
          </c:xVal>
          <c:yVal>
            <c:numRef>
              <c:f>MIXED_FLOWER_Prod!$M$13:$M$37</c:f>
              <c:numCache>
                <c:formatCode>0.00</c:formatCode>
                <c:ptCount val="25"/>
                <c:pt idx="0">
                  <c:v>0</c:v>
                </c:pt>
              </c:numCache>
            </c:numRef>
          </c:yVal>
          <c:smooth val="0"/>
        </c:ser>
        <c:ser>
          <c:idx val="2"/>
          <c:order val="2"/>
          <c:xVal>
            <c:numRef>
              <c:f>MIXED_FLOWER_Prod!$K$13:$K$37</c:f>
              <c:numCache>
                <c:formatCode>0.00</c:formatCode>
                <c:ptCount val="25"/>
                <c:pt idx="0">
                  <c:v>0</c:v>
                </c:pt>
              </c:numCache>
            </c:numRef>
          </c:xVal>
          <c:yVal>
            <c:numRef>
              <c:f>MIXED_FLOWER_Prod!$N$13:$N$37</c:f>
              <c:numCache>
                <c:formatCode>0.00</c:formatCode>
                <c:ptCount val="25"/>
                <c:pt idx="0">
                  <c:v>0</c:v>
                </c:pt>
              </c:numCache>
            </c:numRef>
          </c:yVal>
          <c:smooth val="0"/>
        </c:ser>
        <c:ser>
          <c:idx val="3"/>
          <c:order val="3"/>
          <c:xVal>
            <c:numRef>
              <c:f>MIXED_FLOWER_Prod!$K$13:$K$37</c:f>
              <c:numCache>
                <c:formatCode>0.00</c:formatCode>
                <c:ptCount val="25"/>
                <c:pt idx="0">
                  <c:v>0</c:v>
                </c:pt>
              </c:numCache>
            </c:numRef>
          </c:xVal>
          <c:yVal>
            <c:numRef>
              <c:f>MIXED_FLOWER_Prod!$O$13:$O$37</c:f>
              <c:numCache>
                <c:formatCode>0.00</c:formatCode>
                <c:ptCount val="25"/>
                <c:pt idx="0">
                  <c:v>0</c:v>
                </c:pt>
              </c:numCache>
            </c:numRef>
          </c:yVal>
          <c:smooth val="0"/>
        </c:ser>
        <c:dLbls>
          <c:showLegendKey val="0"/>
          <c:showVal val="0"/>
          <c:showCatName val="0"/>
          <c:showSerName val="0"/>
          <c:showPercent val="0"/>
          <c:showBubbleSize val="0"/>
        </c:dLbls>
        <c:axId val="148608512"/>
        <c:axId val="148610048"/>
      </c:scatterChart>
      <c:valAx>
        <c:axId val="148608512"/>
        <c:scaling>
          <c:orientation val="minMax"/>
          <c:max val="100"/>
          <c:min val="0"/>
        </c:scaling>
        <c:delete val="0"/>
        <c:axPos val="b"/>
        <c:numFmt formatCode="0" sourceLinked="0"/>
        <c:majorTickMark val="out"/>
        <c:minorTickMark val="none"/>
        <c:tickLblPos val="nextTo"/>
        <c:crossAx val="148610048"/>
        <c:crosses val="autoZero"/>
        <c:crossBetween val="midCat"/>
      </c:valAx>
      <c:valAx>
        <c:axId val="148610048"/>
        <c:scaling>
          <c:orientation val="minMax"/>
          <c:min val="0"/>
        </c:scaling>
        <c:delete val="0"/>
        <c:axPos val="l"/>
        <c:majorGridlines/>
        <c:numFmt formatCode="0.0" sourceLinked="0"/>
        <c:majorTickMark val="out"/>
        <c:minorTickMark val="none"/>
        <c:tickLblPos val="nextTo"/>
        <c:crossAx val="148608512"/>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5" Type="http://schemas.openxmlformats.org/officeDocument/2006/relationships/chart" Target="../charts/chart76.xml"/><Relationship Id="rId4" Type="http://schemas.openxmlformats.org/officeDocument/2006/relationships/chart" Target="../charts/chart7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5" Type="http://schemas.openxmlformats.org/officeDocument/2006/relationships/chart" Target="../charts/chart81.xml"/><Relationship Id="rId4" Type="http://schemas.openxmlformats.org/officeDocument/2006/relationships/chart" Target="../charts/chart8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openxmlformats.org/officeDocument/2006/relationships/chart" Target="../charts/chart88.xml"/><Relationship Id="rId4" Type="http://schemas.openxmlformats.org/officeDocument/2006/relationships/chart" Target="../charts/chart8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4" Type="http://schemas.openxmlformats.org/officeDocument/2006/relationships/chart" Target="../charts/chart9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9</xdr:col>
      <xdr:colOff>0</xdr:colOff>
      <xdr:row>37</xdr:row>
      <xdr:rowOff>38100</xdr:rowOff>
    </xdr:from>
    <xdr:to>
      <xdr:col>11</xdr:col>
      <xdr:colOff>771525</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37</xdr:row>
      <xdr:rowOff>38100</xdr:rowOff>
    </xdr:from>
    <xdr:to>
      <xdr:col>20</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742949</xdr:colOff>
      <xdr:row>37</xdr:row>
      <xdr:rowOff>38100</xdr:rowOff>
    </xdr:from>
    <xdr:to>
      <xdr:col>18</xdr:col>
      <xdr:colOff>0</xdr:colOff>
      <xdr:row>47</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37</xdr:row>
      <xdr:rowOff>0</xdr:rowOff>
    </xdr:from>
    <xdr:to>
      <xdr:col>14</xdr:col>
      <xdr:colOff>57150</xdr:colOff>
      <xdr:row>46</xdr:row>
      <xdr:rowOff>161925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613103</xdr:colOff>
      <xdr:row>37</xdr:row>
      <xdr:rowOff>28575</xdr:rowOff>
    </xdr:from>
    <xdr:to>
      <xdr:col>5</xdr:col>
      <xdr:colOff>240862</xdr:colOff>
      <xdr:row>46</xdr:row>
      <xdr:rowOff>190500</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xdr:colOff>
      <xdr:row>37</xdr:row>
      <xdr:rowOff>38100</xdr:rowOff>
    </xdr:from>
    <xdr:to>
      <xdr:col>10</xdr:col>
      <xdr:colOff>0</xdr:colOff>
      <xdr:row>47</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xdr:colOff>
      <xdr:row>37</xdr:row>
      <xdr:rowOff>66675</xdr:rowOff>
    </xdr:from>
    <xdr:to>
      <xdr:col>14</xdr:col>
      <xdr:colOff>1</xdr:colOff>
      <xdr:row>47</xdr:row>
      <xdr:rowOff>28575</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85725</xdr:colOff>
      <xdr:row>36</xdr:row>
      <xdr:rowOff>180975</xdr:rowOff>
    </xdr:from>
    <xdr:to>
      <xdr:col>16</xdr:col>
      <xdr:colOff>38100</xdr:colOff>
      <xdr:row>46</xdr:row>
      <xdr:rowOff>142875</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657226</xdr:colOff>
      <xdr:row>36</xdr:row>
      <xdr:rowOff>180975</xdr:rowOff>
    </xdr:from>
    <xdr:to>
      <xdr:col>18</xdr:col>
      <xdr:colOff>771526</xdr:colOff>
      <xdr:row>46</xdr:row>
      <xdr:rowOff>142875</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0</xdr:colOff>
      <xdr:row>36</xdr:row>
      <xdr:rowOff>190500</xdr:rowOff>
    </xdr:from>
    <xdr:to>
      <xdr:col>36</xdr:col>
      <xdr:colOff>87587</xdr:colOff>
      <xdr:row>46</xdr:row>
      <xdr:rowOff>152400</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66676</xdr:colOff>
      <xdr:row>37</xdr:row>
      <xdr:rowOff>47625</xdr:rowOff>
    </xdr:from>
    <xdr:to>
      <xdr:col>30</xdr:col>
      <xdr:colOff>142328</xdr:colOff>
      <xdr:row>47</xdr:row>
      <xdr:rowOff>9525</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19050</xdr:colOff>
      <xdr:row>37</xdr:row>
      <xdr:rowOff>19050</xdr:rowOff>
    </xdr:from>
    <xdr:to>
      <xdr:col>26</xdr:col>
      <xdr:colOff>38100</xdr:colOff>
      <xdr:row>46</xdr:row>
      <xdr:rowOff>180975</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37</xdr:row>
      <xdr:rowOff>8540</xdr:rowOff>
    </xdr:from>
    <xdr:to>
      <xdr:col>8</xdr:col>
      <xdr:colOff>13248</xdr:colOff>
      <xdr:row>47</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0</xdr:colOff>
      <xdr:row>37</xdr:row>
      <xdr:rowOff>8540</xdr:rowOff>
    </xdr:from>
    <xdr:to>
      <xdr:col>33</xdr:col>
      <xdr:colOff>100834</xdr:colOff>
      <xdr:row>47</xdr:row>
      <xdr:rowOff>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35</xdr:col>
      <xdr:colOff>665546</xdr:colOff>
      <xdr:row>37</xdr:row>
      <xdr:rowOff>8540</xdr:rowOff>
    </xdr:from>
    <xdr:to>
      <xdr:col>39</xdr:col>
      <xdr:colOff>0</xdr:colOff>
      <xdr:row>47</xdr:row>
      <xdr:rowOff>0</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22</xdr:col>
      <xdr:colOff>114299</xdr:colOff>
      <xdr:row>37</xdr:row>
      <xdr:rowOff>38100</xdr:rowOff>
    </xdr:from>
    <xdr:to>
      <xdr:col>27</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37</xdr:row>
      <xdr:rowOff>19050</xdr:rowOff>
    </xdr:from>
    <xdr:to>
      <xdr:col>23</xdr:col>
      <xdr:colOff>0</xdr:colOff>
      <xdr:row>46</xdr:row>
      <xdr:rowOff>180975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19049</xdr:colOff>
      <xdr:row>37</xdr:row>
      <xdr:rowOff>28575</xdr:rowOff>
    </xdr:from>
    <xdr:to>
      <xdr:col>34</xdr:col>
      <xdr:colOff>38100</xdr:colOff>
      <xdr:row>46</xdr:row>
      <xdr:rowOff>190500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9524</xdr:colOff>
      <xdr:row>37</xdr:row>
      <xdr:rowOff>85725</xdr:rowOff>
    </xdr:from>
    <xdr:to>
      <xdr:col>41</xdr:col>
      <xdr:colOff>719666</xdr:colOff>
      <xdr:row>47</xdr:row>
      <xdr:rowOff>47625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95250</xdr:colOff>
      <xdr:row>37</xdr:row>
      <xdr:rowOff>0</xdr:rowOff>
    </xdr:from>
    <xdr:to>
      <xdr:col>31</xdr:col>
      <xdr:colOff>0</xdr:colOff>
      <xdr:row>46</xdr:row>
      <xdr:rowOff>161925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10583</xdr:colOff>
      <xdr:row>38</xdr:row>
      <xdr:rowOff>0</xdr:rowOff>
    </xdr:from>
    <xdr:to>
      <xdr:col>17</xdr:col>
      <xdr:colOff>139698</xdr:colOff>
      <xdr:row>47</xdr:row>
      <xdr:rowOff>161925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47624</xdr:colOff>
      <xdr:row>37</xdr:row>
      <xdr:rowOff>47625</xdr:rowOff>
    </xdr:from>
    <xdr:to>
      <xdr:col>9</xdr:col>
      <xdr:colOff>57149</xdr:colOff>
      <xdr:row>47</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28573</xdr:colOff>
      <xdr:row>37</xdr:row>
      <xdr:rowOff>28575</xdr:rowOff>
    </xdr:from>
    <xdr:to>
      <xdr:col>15</xdr:col>
      <xdr:colOff>123826</xdr:colOff>
      <xdr:row>46</xdr:row>
      <xdr:rowOff>190500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447675</xdr:colOff>
      <xdr:row>37</xdr:row>
      <xdr:rowOff>0</xdr:rowOff>
    </xdr:from>
    <xdr:to>
      <xdr:col>18</xdr:col>
      <xdr:colOff>123825</xdr:colOff>
      <xdr:row>46</xdr:row>
      <xdr:rowOff>161925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38</xdr:row>
      <xdr:rowOff>0</xdr:rowOff>
    </xdr:from>
    <xdr:to>
      <xdr:col>23</xdr:col>
      <xdr:colOff>0</xdr:colOff>
      <xdr:row>47</xdr:row>
      <xdr:rowOff>161925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95250</xdr:colOff>
      <xdr:row>37</xdr:row>
      <xdr:rowOff>28575</xdr:rowOff>
    </xdr:from>
    <xdr:to>
      <xdr:col>28</xdr:col>
      <xdr:colOff>19050</xdr:colOff>
      <xdr:row>46</xdr:row>
      <xdr:rowOff>190500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600074</xdr:colOff>
      <xdr:row>37</xdr:row>
      <xdr:rowOff>38100</xdr:rowOff>
    </xdr:from>
    <xdr:to>
      <xdr:col>19</xdr:col>
      <xdr:colOff>114299</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37</xdr:row>
      <xdr:rowOff>38100</xdr:rowOff>
    </xdr:from>
    <xdr:to>
      <xdr:col>28</xdr:col>
      <xdr:colOff>0</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36</xdr:row>
      <xdr:rowOff>180975</xdr:rowOff>
    </xdr:from>
    <xdr:to>
      <xdr:col>23</xdr:col>
      <xdr:colOff>0</xdr:colOff>
      <xdr:row>46</xdr:row>
      <xdr:rowOff>142875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36</xdr:row>
      <xdr:rowOff>190500</xdr:rowOff>
    </xdr:from>
    <xdr:to>
      <xdr:col>12</xdr:col>
      <xdr:colOff>0</xdr:colOff>
      <xdr:row>46</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37</xdr:row>
      <xdr:rowOff>38100</xdr:rowOff>
    </xdr:from>
    <xdr:to>
      <xdr:col>4</xdr:col>
      <xdr:colOff>752475</xdr:colOff>
      <xdr:row>47</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28575</xdr:colOff>
      <xdr:row>37</xdr:row>
      <xdr:rowOff>38100</xdr:rowOff>
    </xdr:from>
    <xdr:to>
      <xdr:col>8</xdr:col>
      <xdr:colOff>38101</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37</xdr:row>
      <xdr:rowOff>38100</xdr:rowOff>
    </xdr:from>
    <xdr:to>
      <xdr:col>11</xdr:col>
      <xdr:colOff>57151</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600074</xdr:colOff>
      <xdr:row>37</xdr:row>
      <xdr:rowOff>38100</xdr:rowOff>
    </xdr:from>
    <xdr:to>
      <xdr:col>19</xdr:col>
      <xdr:colOff>114299</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114299</xdr:colOff>
      <xdr:row>37</xdr:row>
      <xdr:rowOff>38100</xdr:rowOff>
    </xdr:from>
    <xdr:to>
      <xdr:col>27</xdr:col>
      <xdr:colOff>114299</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37</xdr:row>
      <xdr:rowOff>0</xdr:rowOff>
    </xdr:from>
    <xdr:to>
      <xdr:col>23</xdr:col>
      <xdr:colOff>0</xdr:colOff>
      <xdr:row>46</xdr:row>
      <xdr:rowOff>161925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37</xdr:row>
      <xdr:rowOff>19050</xdr:rowOff>
    </xdr:from>
    <xdr:to>
      <xdr:col>12</xdr:col>
      <xdr:colOff>0</xdr:colOff>
      <xdr:row>46</xdr:row>
      <xdr:rowOff>180975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36</xdr:row>
      <xdr:rowOff>180975</xdr:rowOff>
    </xdr:from>
    <xdr:to>
      <xdr:col>6</xdr:col>
      <xdr:colOff>0</xdr:colOff>
      <xdr:row>46</xdr:row>
      <xdr:rowOff>142875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28575</xdr:colOff>
      <xdr:row>37</xdr:row>
      <xdr:rowOff>9525</xdr:rowOff>
    </xdr:from>
    <xdr:to>
      <xdr:col>6</xdr:col>
      <xdr:colOff>1</xdr:colOff>
      <xdr:row>46</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37</xdr:row>
      <xdr:rowOff>57150</xdr:rowOff>
    </xdr:from>
    <xdr:to>
      <xdr:col>10</xdr:col>
      <xdr:colOff>0</xdr:colOff>
      <xdr:row>47</xdr:row>
      <xdr:rowOff>19050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37</xdr:row>
      <xdr:rowOff>66675</xdr:rowOff>
    </xdr:from>
    <xdr:to>
      <xdr:col>6</xdr:col>
      <xdr:colOff>1</xdr:colOff>
      <xdr:row>47</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37</xdr:row>
      <xdr:rowOff>47625</xdr:rowOff>
    </xdr:from>
    <xdr:to>
      <xdr:col>28</xdr:col>
      <xdr:colOff>0</xdr:colOff>
      <xdr:row>47</xdr:row>
      <xdr:rowOff>9525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542924</xdr:colOff>
      <xdr:row>36</xdr:row>
      <xdr:rowOff>190500</xdr:rowOff>
    </xdr:from>
    <xdr:to>
      <xdr:col>20</xdr:col>
      <xdr:colOff>447674</xdr:colOff>
      <xdr:row>46</xdr:row>
      <xdr:rowOff>152400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37</xdr:row>
      <xdr:rowOff>47625</xdr:rowOff>
    </xdr:from>
    <xdr:to>
      <xdr:col>16</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37</xdr:row>
      <xdr:rowOff>38100</xdr:rowOff>
    </xdr:from>
    <xdr:to>
      <xdr:col>17</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933449</xdr:colOff>
      <xdr:row>37</xdr:row>
      <xdr:rowOff>57150</xdr:rowOff>
    </xdr:from>
    <xdr:to>
      <xdr:col>11</xdr:col>
      <xdr:colOff>114299</xdr:colOff>
      <xdr:row>47</xdr:row>
      <xdr:rowOff>19050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9525</xdr:colOff>
      <xdr:row>37</xdr:row>
      <xdr:rowOff>114300</xdr:rowOff>
    </xdr:from>
    <xdr:to>
      <xdr:col>15</xdr:col>
      <xdr:colOff>0</xdr:colOff>
      <xdr:row>47</xdr:row>
      <xdr:rowOff>76200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37</xdr:row>
      <xdr:rowOff>47625</xdr:rowOff>
    </xdr:from>
    <xdr:to>
      <xdr:col>21</xdr:col>
      <xdr:colOff>38099</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37</xdr:row>
      <xdr:rowOff>47625</xdr:rowOff>
    </xdr:from>
    <xdr:to>
      <xdr:col>14</xdr:col>
      <xdr:colOff>0</xdr:colOff>
      <xdr:row>47</xdr:row>
      <xdr:rowOff>9525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695325</xdr:colOff>
      <xdr:row>37</xdr:row>
      <xdr:rowOff>0</xdr:rowOff>
    </xdr:from>
    <xdr:to>
      <xdr:col>18</xdr:col>
      <xdr:colOff>295275</xdr:colOff>
      <xdr:row>46</xdr:row>
      <xdr:rowOff>161925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37</xdr:row>
      <xdr:rowOff>38100</xdr:rowOff>
    </xdr:from>
    <xdr:to>
      <xdr:col>5</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37</xdr:row>
      <xdr:rowOff>38100</xdr:rowOff>
    </xdr:from>
    <xdr:to>
      <xdr:col>11</xdr:col>
      <xdr:colOff>152400</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xdr:colOff>
      <xdr:row>37</xdr:row>
      <xdr:rowOff>38100</xdr:rowOff>
    </xdr:from>
    <xdr:to>
      <xdr:col>16</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37</xdr:row>
      <xdr:rowOff>47625</xdr:rowOff>
    </xdr:from>
    <xdr:to>
      <xdr:col>19</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37</xdr:row>
      <xdr:rowOff>57150</xdr:rowOff>
    </xdr:from>
    <xdr:to>
      <xdr:col>24</xdr:col>
      <xdr:colOff>0</xdr:colOff>
      <xdr:row>47</xdr:row>
      <xdr:rowOff>19050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57150</xdr:colOff>
      <xdr:row>37</xdr:row>
      <xdr:rowOff>47625</xdr:rowOff>
    </xdr:from>
    <xdr:to>
      <xdr:col>40</xdr:col>
      <xdr:colOff>133350</xdr:colOff>
      <xdr:row>47</xdr:row>
      <xdr:rowOff>9525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1</xdr:colOff>
      <xdr:row>37</xdr:row>
      <xdr:rowOff>38100</xdr:rowOff>
    </xdr:from>
    <xdr:to>
      <xdr:col>34</xdr:col>
      <xdr:colOff>19051</xdr:colOff>
      <xdr:row>47</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47623</xdr:colOff>
      <xdr:row>37</xdr:row>
      <xdr:rowOff>57150</xdr:rowOff>
    </xdr:from>
    <xdr:to>
      <xdr:col>30</xdr:col>
      <xdr:colOff>0</xdr:colOff>
      <xdr:row>47</xdr:row>
      <xdr:rowOff>19050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0</xdr:colOff>
      <xdr:row>37</xdr:row>
      <xdr:rowOff>38100</xdr:rowOff>
    </xdr:from>
    <xdr:to>
      <xdr:col>43</xdr:col>
      <xdr:colOff>0</xdr:colOff>
      <xdr:row>47</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466725</xdr:colOff>
      <xdr:row>37</xdr:row>
      <xdr:rowOff>19050</xdr:rowOff>
    </xdr:from>
    <xdr:to>
      <xdr:col>37</xdr:col>
      <xdr:colOff>19049</xdr:colOff>
      <xdr:row>46</xdr:row>
      <xdr:rowOff>180975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809625</xdr:colOff>
      <xdr:row>36</xdr:row>
      <xdr:rowOff>190500</xdr:rowOff>
    </xdr:from>
    <xdr:to>
      <xdr:col>8</xdr:col>
      <xdr:colOff>95250</xdr:colOff>
      <xdr:row>46</xdr:row>
      <xdr:rowOff>142875</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25</xdr:col>
      <xdr:colOff>0</xdr:colOff>
      <xdr:row>37</xdr:row>
      <xdr:rowOff>38100</xdr:rowOff>
    </xdr:from>
    <xdr:to>
      <xdr:col>31</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37</xdr:row>
      <xdr:rowOff>66675</xdr:rowOff>
    </xdr:from>
    <xdr:to>
      <xdr:col>39</xdr:col>
      <xdr:colOff>0</xdr:colOff>
      <xdr:row>47</xdr:row>
      <xdr:rowOff>28575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59</xdr:col>
      <xdr:colOff>0</xdr:colOff>
      <xdr:row>38</xdr:row>
      <xdr:rowOff>38099</xdr:rowOff>
    </xdr:from>
    <xdr:to>
      <xdr:col>67</xdr:col>
      <xdr:colOff>532341</xdr:colOff>
      <xdr:row>48</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0</xdr:colOff>
      <xdr:row>37</xdr:row>
      <xdr:rowOff>38100</xdr:rowOff>
    </xdr:from>
    <xdr:to>
      <xdr:col>48</xdr:col>
      <xdr:colOff>9525</xdr:colOff>
      <xdr:row>47</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67</xdr:col>
      <xdr:colOff>666750</xdr:colOff>
      <xdr:row>37</xdr:row>
      <xdr:rowOff>0</xdr:rowOff>
    </xdr:from>
    <xdr:to>
      <xdr:col>70</xdr:col>
      <xdr:colOff>0</xdr:colOff>
      <xdr:row>46</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52917</xdr:colOff>
      <xdr:row>37</xdr:row>
      <xdr:rowOff>66675</xdr:rowOff>
    </xdr:from>
    <xdr:to>
      <xdr:col>58</xdr:col>
      <xdr:colOff>51858</xdr:colOff>
      <xdr:row>47</xdr:row>
      <xdr:rowOff>28575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31751</xdr:colOff>
      <xdr:row>37</xdr:row>
      <xdr:rowOff>42333</xdr:rowOff>
    </xdr:from>
    <xdr:to>
      <xdr:col>22</xdr:col>
      <xdr:colOff>31750</xdr:colOff>
      <xdr:row>47</xdr:row>
      <xdr:rowOff>4233</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422276</xdr:colOff>
      <xdr:row>37</xdr:row>
      <xdr:rowOff>4233</xdr:rowOff>
    </xdr:from>
    <xdr:to>
      <xdr:col>21</xdr:col>
      <xdr:colOff>688975</xdr:colOff>
      <xdr:row>46</xdr:row>
      <xdr:rowOff>166158</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781049</xdr:colOff>
      <xdr:row>37</xdr:row>
      <xdr:rowOff>38100</xdr:rowOff>
    </xdr:from>
    <xdr:to>
      <xdr:col>15</xdr:col>
      <xdr:colOff>761998</xdr:colOff>
      <xdr:row>47</xdr:row>
      <xdr:rowOff>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xdr:colOff>
      <xdr:row>37</xdr:row>
      <xdr:rowOff>38100</xdr:rowOff>
    </xdr:from>
    <xdr:to>
      <xdr:col>20</xdr:col>
      <xdr:colOff>1</xdr:colOff>
      <xdr:row>47</xdr:row>
      <xdr:rowOff>0</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37</xdr:row>
      <xdr:rowOff>38100</xdr:rowOff>
    </xdr:from>
    <xdr:to>
      <xdr:col>28</xdr:col>
      <xdr:colOff>0</xdr:colOff>
      <xdr:row>47</xdr:row>
      <xdr:rowOff>0</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37</xdr:row>
      <xdr:rowOff>38100</xdr:rowOff>
    </xdr:from>
    <xdr:to>
      <xdr:col>32</xdr:col>
      <xdr:colOff>0</xdr:colOff>
      <xdr:row>47</xdr:row>
      <xdr:rowOff>0</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37</xdr:row>
      <xdr:rowOff>0</xdr:rowOff>
    </xdr:from>
    <xdr:to>
      <xdr:col>10</xdr:col>
      <xdr:colOff>0</xdr:colOff>
      <xdr:row>46</xdr:row>
      <xdr:rowOff>161925</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257174</xdr:colOff>
      <xdr:row>37</xdr:row>
      <xdr:rowOff>38100</xdr:rowOff>
    </xdr:from>
    <xdr:to>
      <xdr:col>4</xdr:col>
      <xdr:colOff>0</xdr:colOff>
      <xdr:row>47</xdr:row>
      <xdr:rowOff>0</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552449</xdr:colOff>
      <xdr:row>37</xdr:row>
      <xdr:rowOff>38100</xdr:rowOff>
    </xdr:from>
    <xdr:to>
      <xdr:col>24</xdr:col>
      <xdr:colOff>0</xdr:colOff>
      <xdr:row>47</xdr:row>
      <xdr:rowOff>0</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57149</xdr:colOff>
      <xdr:row>36</xdr:row>
      <xdr:rowOff>171450</xdr:rowOff>
    </xdr:from>
    <xdr:to>
      <xdr:col>12</xdr:col>
      <xdr:colOff>0</xdr:colOff>
      <xdr:row>46</xdr:row>
      <xdr:rowOff>133350</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0</xdr:colOff>
      <xdr:row>38</xdr:row>
      <xdr:rowOff>38100</xdr:rowOff>
    </xdr:from>
    <xdr:to>
      <xdr:col>39</xdr:col>
      <xdr:colOff>0</xdr:colOff>
      <xdr:row>48</xdr:row>
      <xdr:rowOff>0</xdr:rowOff>
    </xdr:to>
    <xdr:graphicFrame macro="">
      <xdr:nvGraphicFramePr>
        <xdr:cNvPr id="12" name="Graphique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0</xdr:colOff>
      <xdr:row>37</xdr:row>
      <xdr:rowOff>76200</xdr:rowOff>
    </xdr:from>
    <xdr:to>
      <xdr:col>45</xdr:col>
      <xdr:colOff>0</xdr:colOff>
      <xdr:row>47</xdr:row>
      <xdr:rowOff>38100</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17</xdr:col>
      <xdr:colOff>0</xdr:colOff>
      <xdr:row>37</xdr:row>
      <xdr:rowOff>38100</xdr:rowOff>
    </xdr:from>
    <xdr:to>
      <xdr:col>20</xdr:col>
      <xdr:colOff>104775</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304800</xdr:colOff>
      <xdr:row>37</xdr:row>
      <xdr:rowOff>0</xdr:rowOff>
    </xdr:from>
    <xdr:to>
      <xdr:col>9</xdr:col>
      <xdr:colOff>0</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158750</xdr:colOff>
      <xdr:row>37</xdr:row>
      <xdr:rowOff>0</xdr:rowOff>
    </xdr:from>
    <xdr:to>
      <xdr:col>5</xdr:col>
      <xdr:colOff>0</xdr:colOff>
      <xdr:row>46</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37</xdr:row>
      <xdr:rowOff>0</xdr:rowOff>
    </xdr:from>
    <xdr:to>
      <xdr:col>9</xdr:col>
      <xdr:colOff>0</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37</xdr:row>
      <xdr:rowOff>38100</xdr:rowOff>
    </xdr:from>
    <xdr:to>
      <xdr:col>12</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781049</xdr:colOff>
      <xdr:row>37</xdr:row>
      <xdr:rowOff>47625</xdr:rowOff>
    </xdr:from>
    <xdr:to>
      <xdr:col>18</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95250</xdr:colOff>
      <xdr:row>36</xdr:row>
      <xdr:rowOff>190500</xdr:rowOff>
    </xdr:from>
    <xdr:to>
      <xdr:col>15</xdr:col>
      <xdr:colOff>0</xdr:colOff>
      <xdr:row>46</xdr:row>
      <xdr:rowOff>152400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0</xdr:colOff>
      <xdr:row>37</xdr:row>
      <xdr:rowOff>19050</xdr:rowOff>
    </xdr:from>
    <xdr:to>
      <xdr:col>34</xdr:col>
      <xdr:colOff>142875</xdr:colOff>
      <xdr:row>46</xdr:row>
      <xdr:rowOff>180975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590550</xdr:colOff>
      <xdr:row>37</xdr:row>
      <xdr:rowOff>28575</xdr:rowOff>
    </xdr:from>
    <xdr:to>
      <xdr:col>28</xdr:col>
      <xdr:colOff>114300</xdr:colOff>
      <xdr:row>46</xdr:row>
      <xdr:rowOff>190500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37</xdr:row>
      <xdr:rowOff>38100</xdr:rowOff>
    </xdr:from>
    <xdr:to>
      <xdr:col>24</xdr:col>
      <xdr:colOff>0</xdr:colOff>
      <xdr:row>47</xdr:row>
      <xdr:rowOff>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27</xdr:col>
      <xdr:colOff>600075</xdr:colOff>
      <xdr:row>37</xdr:row>
      <xdr:rowOff>0</xdr:rowOff>
    </xdr:from>
    <xdr:to>
      <xdr:col>30</xdr:col>
      <xdr:colOff>0</xdr:colOff>
      <xdr:row>46</xdr:row>
      <xdr:rowOff>161925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600075</xdr:colOff>
      <xdr:row>37</xdr:row>
      <xdr:rowOff>38100</xdr:rowOff>
    </xdr:from>
    <xdr:to>
      <xdr:col>36</xdr:col>
      <xdr:colOff>0</xdr:colOff>
      <xdr:row>47</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37</xdr:row>
      <xdr:rowOff>28575</xdr:rowOff>
    </xdr:from>
    <xdr:to>
      <xdr:col>23</xdr:col>
      <xdr:colOff>114299</xdr:colOff>
      <xdr:row>46</xdr:row>
      <xdr:rowOff>190500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37</xdr:row>
      <xdr:rowOff>0</xdr:rowOff>
    </xdr:from>
    <xdr:to>
      <xdr:col>21</xdr:col>
      <xdr:colOff>1</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37</xdr:row>
      <xdr:rowOff>9525</xdr:rowOff>
    </xdr:from>
    <xdr:to>
      <xdr:col>18</xdr:col>
      <xdr:colOff>0</xdr:colOff>
      <xdr:row>46</xdr:row>
      <xdr:rowOff>171450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nn&#233;es_2/RL_CIRAD/MOCAF%20PRINCIPES/PRINCIPES_Docs_files/Versions2014.09_FR/Principes_Saisie_V14.1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nn&#233;es_2/RL_CIRAD/MOCAF%20PRINCIPES/PRINCIPES_Docs_files/Versions2014.09_FR/Principes_Saisie_V14.09.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_PRINCIPES/v2015a/!FichParamPhoenixDactylifera/Boufeggous%20(Hassane)/Phoenix_dactylifera_Boufeggous10ans_v2015a_HR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ipe=phyllotaxie&amp;croissance"/>
      <sheetName val="IGAP"/>
      <sheetName val="1Principes2014b"/>
      <sheetName val="Nervure=pétiole&amp;rachis"/>
      <sheetName val="Feuilles=description générale"/>
      <sheetName val="Feuilles=description rejets"/>
      <sheetName val="Folioles=disposition&amp;groupes"/>
      <sheetName val="Sections rachis &amp; L pennes"/>
      <sheetName val="Longueurs pennes (1-1)"/>
      <sheetName val="Ouvertures pennes"/>
      <sheetName val="Ouvertures pennes (1-1)"/>
      <sheetName val="Ouvertures pennes (2-1)"/>
      <sheetName val="Ouvertures pennes (MAX)"/>
      <sheetName val="Largeurs pennes"/>
      <sheetName val="Hauteurs pennes (0-1)"/>
      <sheetName val="Hauteurs pennes (1-1)"/>
      <sheetName val="Hauteurs pennes (2-1)"/>
      <sheetName val="Hauteurs pennes (MAX)"/>
      <sheetName val="Angles des pennes"/>
      <sheetName val="Angle horizontal pennes (1-1)"/>
      <sheetName val="Angle rotation pennes (1-1)"/>
      <sheetName val="PLANT"/>
      <sheetName val="STEM_Geom"/>
      <sheetName val="SPEAR"/>
      <sheetName val="FROND_Prod"/>
      <sheetName val="FROND_NERVURE_Geom"/>
      <sheetName val="STUMP"/>
      <sheetName val="PINNAE_Prod"/>
      <sheetName val="PINNAE_Geom"/>
      <sheetName val="INFLO_Prod"/>
      <sheetName val="STALK_Geom"/>
      <sheetName val="BRACT_Prod"/>
      <sheetName val="BRACT_Geom"/>
      <sheetName val="SPIKELET_Prod"/>
      <sheetName val="SPIKELET_Geom"/>
      <sheetName val="FEMALE_FLOWER_Prod"/>
      <sheetName val="FEMALE_FLOWER_Geom"/>
      <sheetName val="MALE_FLOWER_Prod"/>
      <sheetName val="MALE_FLOWER_Geom"/>
      <sheetName val="MIXED_FLOWER_Prod"/>
      <sheetName val="FRUI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ipe=phyllotaxie&amp;croissance"/>
      <sheetName val="IGAP"/>
      <sheetName val="1Principes2014b"/>
      <sheetName val="Nervure=pétiole&amp;rachis"/>
      <sheetName val="Feuilles=description générale"/>
      <sheetName val="Feuilles=description rejets"/>
      <sheetName val="Folioles=disposition&amp;groupes"/>
      <sheetName val="Sections rachis &amp; L pennes"/>
      <sheetName val="Longueurs pennes (1-1)"/>
      <sheetName val="Ouvertures pennes"/>
      <sheetName val="Ouvertures pennes (1-1)"/>
      <sheetName val="Ouvertures pennes (2-1)"/>
      <sheetName val="Ouvertures pennes (MAX)"/>
      <sheetName val="Largeurs pennes"/>
      <sheetName val="Hauteurs pennes (0-1)"/>
      <sheetName val="Hauteurs pennes (1-1)"/>
      <sheetName val="Hauteurs pennes (2-1)"/>
      <sheetName val="Hauteurs pennes (MAX)"/>
      <sheetName val="Angles des pennes"/>
      <sheetName val="Angle horizontal pennes (1-1)"/>
      <sheetName val="Angle rotation pennes (1-1)"/>
      <sheetName val="PLANT"/>
      <sheetName val="STEM_Geom"/>
      <sheetName val="SPEAR"/>
      <sheetName val="FROND_Prod"/>
      <sheetName val="FROND_NERVURE_Geom"/>
      <sheetName val="STUMP"/>
      <sheetName val="PINNAE_Prod"/>
      <sheetName val="PINNAE_Geom"/>
      <sheetName val="INFLO_Prod"/>
      <sheetName val="STALK_Geom"/>
      <sheetName val="BRACT_Prod"/>
      <sheetName val="BRACT_Geom"/>
      <sheetName val="SPIKELET_Prod"/>
      <sheetName val="SPIKELET_Geom"/>
      <sheetName val="FEMALE_FLOWER_Prod"/>
      <sheetName val="FEMALE_FLOWER_Geom"/>
      <sheetName val="MALE_FLOWER_Prod"/>
      <sheetName val="MALE_FLOWER_Geom"/>
      <sheetName val="MIXED_FLOWER_Prod"/>
      <sheetName val="FRU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AP"/>
      <sheetName val="Phoenix_boufeggous10ans_v2015a"/>
      <sheetName val="Summary"/>
      <sheetName val="PLANT"/>
      <sheetName val="STEM_Geom"/>
      <sheetName val="SPEAR"/>
      <sheetName val="FROND_Prod"/>
      <sheetName val="FROND_NERVURE_Geom"/>
      <sheetName val="PINNAE_Prod"/>
      <sheetName val="PINNAE_Geom"/>
      <sheetName val="INFLO_Prod"/>
      <sheetName val="STALK_Geom"/>
      <sheetName val="BRACT_Prod"/>
      <sheetName val="BRACT_Geom"/>
      <sheetName val="SPIKELET_Prod"/>
      <sheetName val="SPIKELET_Geom"/>
      <sheetName val="FEMALE_FLOWER_Prod"/>
      <sheetName val="FEMALE_FLOWER_Geom"/>
      <sheetName val="MALE_FLOWER_Prod"/>
      <sheetName val="MALE_FLOWER_Geom"/>
      <sheetName val="MIXED_FLOWER_Prod"/>
      <sheetName val="Feui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
          <cell r="H13">
            <v>1</v>
          </cell>
          <cell r="I13">
            <v>0.5</v>
          </cell>
        </row>
        <row r="14">
          <cell r="H14">
            <v>13</v>
          </cell>
          <cell r="I14">
            <v>0.8</v>
          </cell>
        </row>
      </sheetData>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20"/>
  <sheetViews>
    <sheetView zoomScale="90" zoomScaleNormal="90" workbookViewId="0">
      <selection activeCell="AI13" sqref="AI13:AL31"/>
    </sheetView>
  </sheetViews>
  <sheetFormatPr baseColWidth="10" defaultRowHeight="15" customHeight="1"/>
  <cols>
    <col min="1" max="1" width="1.42578125" style="84" customWidth="1"/>
    <col min="2" max="2" width="36.42578125" style="86" bestFit="1" customWidth="1"/>
    <col min="3" max="3" width="38.5703125" style="92" customWidth="1"/>
    <col min="4" max="4" width="2.85546875" style="92" customWidth="1"/>
    <col min="5" max="5" width="38.5703125" style="92" customWidth="1"/>
    <col min="6" max="6" width="2.85546875" style="92" customWidth="1"/>
    <col min="7" max="7" width="36.42578125" style="92" customWidth="1"/>
    <col min="8" max="8" width="2.85546875" style="92" customWidth="1"/>
    <col min="9" max="9" width="38.5703125" style="84" customWidth="1"/>
    <col min="10" max="10" width="35.5703125" style="84" customWidth="1"/>
    <col min="11" max="11" width="30.42578125" style="84" customWidth="1"/>
    <col min="12" max="12" width="50" style="84" bestFit="1" customWidth="1"/>
    <col min="13" max="13" width="1.42578125" style="84" customWidth="1"/>
    <col min="14" max="30" width="20.7109375" style="84" customWidth="1"/>
    <col min="31" max="33" width="11.42578125" style="97"/>
    <col min="34" max="16384" width="11.42578125" style="84"/>
  </cols>
  <sheetData>
    <row r="1" spans="1:33" ht="15" customHeight="1" thickBot="1">
      <c r="A1" s="81"/>
      <c r="B1" s="82"/>
      <c r="C1" s="90"/>
      <c r="D1" s="90"/>
      <c r="E1" s="90"/>
      <c r="F1" s="90"/>
      <c r="G1" s="90"/>
      <c r="H1" s="90"/>
      <c r="I1" s="81"/>
      <c r="J1" s="81"/>
      <c r="K1" s="81"/>
      <c r="L1" s="81"/>
      <c r="M1" s="81"/>
      <c r="N1" s="81"/>
      <c r="O1" s="81"/>
      <c r="P1" s="81"/>
      <c r="Q1" s="81"/>
      <c r="R1" s="81"/>
      <c r="S1" s="81"/>
      <c r="T1" s="81"/>
      <c r="U1" s="81"/>
      <c r="V1" s="81"/>
      <c r="W1" s="81"/>
      <c r="X1" s="81"/>
      <c r="Y1" s="81"/>
      <c r="Z1" s="81"/>
      <c r="AA1" s="81"/>
      <c r="AB1" s="81"/>
      <c r="AC1" s="81"/>
      <c r="AD1" s="81"/>
    </row>
    <row r="2" spans="1:33" s="94" customFormat="1" ht="47.25" thickBot="1">
      <c r="A2" s="93"/>
      <c r="B2" s="112" t="s">
        <v>328</v>
      </c>
      <c r="C2" s="113" t="s">
        <v>576</v>
      </c>
      <c r="D2" s="113"/>
      <c r="E2" s="114" t="s">
        <v>327</v>
      </c>
      <c r="F2" s="113"/>
      <c r="G2" s="114" t="s">
        <v>327</v>
      </c>
      <c r="H2" s="113"/>
      <c r="I2" s="114" t="s">
        <v>327</v>
      </c>
      <c r="J2" s="82"/>
      <c r="K2" s="82"/>
      <c r="L2" s="82"/>
      <c r="M2" s="82"/>
      <c r="N2" s="82"/>
      <c r="O2" s="93"/>
      <c r="P2" s="93"/>
      <c r="Q2" s="93"/>
      <c r="R2" s="93"/>
      <c r="S2" s="93"/>
      <c r="T2" s="93"/>
      <c r="U2" s="93"/>
      <c r="V2" s="93"/>
      <c r="W2" s="93"/>
      <c r="X2" s="93"/>
      <c r="Y2" s="93"/>
      <c r="Z2" s="93"/>
      <c r="AA2" s="93"/>
      <c r="AB2" s="93"/>
      <c r="AC2" s="93"/>
      <c r="AD2" s="93"/>
      <c r="AE2" s="98"/>
      <c r="AF2" s="98"/>
      <c r="AG2" s="98"/>
    </row>
    <row r="3" spans="1:33" ht="22.5" customHeight="1" thickBot="1">
      <c r="A3" s="81"/>
      <c r="B3" s="82"/>
      <c r="C3" s="90"/>
      <c r="D3" s="113"/>
      <c r="E3" s="90"/>
      <c r="F3" s="113"/>
      <c r="G3" s="90"/>
      <c r="H3" s="113"/>
      <c r="I3" s="81"/>
      <c r="J3" s="82"/>
      <c r="K3" s="82"/>
      <c r="L3" s="82"/>
      <c r="M3" s="82"/>
      <c r="N3" s="82"/>
      <c r="O3" s="81"/>
      <c r="P3" s="81"/>
      <c r="Q3" s="81"/>
      <c r="R3" s="81"/>
      <c r="S3" s="81"/>
      <c r="T3" s="81"/>
      <c r="U3" s="81"/>
      <c r="V3" s="81"/>
      <c r="W3" s="81"/>
      <c r="X3" s="81"/>
      <c r="Y3" s="81"/>
      <c r="Z3" s="81"/>
      <c r="AA3" s="81"/>
      <c r="AB3" s="81"/>
      <c r="AC3" s="81"/>
      <c r="AD3" s="81"/>
    </row>
    <row r="4" spans="1:33" ht="22.5" customHeight="1" thickBot="1">
      <c r="A4" s="81"/>
      <c r="B4" s="95" t="s">
        <v>452</v>
      </c>
      <c r="C4" s="96"/>
      <c r="D4" s="113"/>
      <c r="E4" s="116" t="s">
        <v>610</v>
      </c>
      <c r="F4" s="113"/>
      <c r="G4" s="116" t="s">
        <v>607</v>
      </c>
      <c r="H4" s="113"/>
      <c r="I4" s="116" t="s">
        <v>608</v>
      </c>
      <c r="J4" s="82"/>
      <c r="K4" s="82"/>
      <c r="L4" s="82"/>
      <c r="M4" s="82"/>
      <c r="N4" s="82"/>
      <c r="O4" s="81"/>
      <c r="P4" s="81"/>
      <c r="Q4" s="81"/>
      <c r="R4" s="81"/>
      <c r="S4" s="81"/>
      <c r="T4" s="81"/>
      <c r="U4" s="81"/>
      <c r="V4" s="81"/>
      <c r="W4" s="81"/>
      <c r="X4" s="81"/>
      <c r="Y4" s="81"/>
      <c r="Z4" s="81"/>
      <c r="AA4" s="81"/>
      <c r="AB4" s="81"/>
      <c r="AC4" s="81"/>
      <c r="AD4" s="81"/>
    </row>
    <row r="5" spans="1:33" ht="22.5" customHeight="1" thickBot="1">
      <c r="A5" s="81"/>
      <c r="B5" s="82"/>
      <c r="C5" s="81"/>
      <c r="D5" s="113"/>
      <c r="E5" s="81"/>
      <c r="F5" s="117"/>
      <c r="G5" s="118"/>
      <c r="H5" s="117"/>
      <c r="I5" s="81"/>
      <c r="J5" s="82"/>
      <c r="K5" s="82"/>
      <c r="L5" s="82"/>
      <c r="M5" s="82"/>
      <c r="N5" s="82"/>
      <c r="O5" s="81"/>
      <c r="P5" s="81"/>
      <c r="Q5" s="81"/>
      <c r="R5" s="81"/>
      <c r="S5" s="81"/>
      <c r="T5" s="81"/>
      <c r="U5" s="81"/>
      <c r="V5" s="81"/>
      <c r="W5" s="81"/>
      <c r="X5" s="81"/>
      <c r="Y5" s="81"/>
      <c r="Z5" s="81"/>
      <c r="AA5" s="81"/>
      <c r="AB5" s="81"/>
      <c r="AC5" s="81"/>
      <c r="AD5" s="81"/>
    </row>
    <row r="6" spans="1:33" ht="22.5" customHeight="1" thickBot="1">
      <c r="A6" s="81"/>
      <c r="B6" s="101" t="s">
        <v>448</v>
      </c>
      <c r="C6" s="101" t="s">
        <v>569</v>
      </c>
      <c r="D6" s="113"/>
      <c r="E6" s="119" t="s">
        <v>569</v>
      </c>
      <c r="F6" s="117"/>
      <c r="G6" s="81"/>
      <c r="H6" s="117"/>
      <c r="I6" s="81"/>
      <c r="J6" s="82"/>
      <c r="K6" s="82"/>
      <c r="L6" s="82"/>
      <c r="M6" s="82"/>
      <c r="N6" s="82"/>
      <c r="O6" s="81"/>
      <c r="P6" s="81"/>
      <c r="Q6" s="81"/>
      <c r="R6" s="81"/>
      <c r="S6" s="81"/>
      <c r="T6" s="81"/>
      <c r="U6" s="81"/>
      <c r="V6" s="81"/>
      <c r="W6" s="81"/>
      <c r="X6" s="81"/>
      <c r="Y6" s="81"/>
      <c r="Z6" s="81"/>
      <c r="AA6" s="81"/>
      <c r="AB6" s="81"/>
      <c r="AC6" s="81"/>
      <c r="AD6" s="81"/>
    </row>
    <row r="7" spans="1:33" ht="22.5" customHeight="1" thickBot="1">
      <c r="A7" s="81"/>
      <c r="B7" s="101"/>
      <c r="C7" s="101" t="s">
        <v>570</v>
      </c>
      <c r="D7" s="113"/>
      <c r="E7" s="81"/>
      <c r="F7" s="117"/>
      <c r="G7" s="81"/>
      <c r="H7" s="117"/>
      <c r="I7" s="119" t="s">
        <v>571</v>
      </c>
      <c r="J7" s="82"/>
      <c r="K7" s="82"/>
      <c r="L7" s="82"/>
      <c r="M7" s="82"/>
      <c r="N7" s="82"/>
      <c r="O7" s="81"/>
      <c r="P7" s="81"/>
      <c r="Q7" s="81"/>
      <c r="R7" s="81"/>
      <c r="S7" s="81"/>
      <c r="T7" s="81"/>
      <c r="U7" s="81"/>
      <c r="V7" s="81"/>
      <c r="W7" s="81"/>
      <c r="X7" s="81"/>
      <c r="Y7" s="81"/>
      <c r="Z7" s="81"/>
      <c r="AA7" s="81"/>
      <c r="AB7" s="81"/>
      <c r="AC7" s="81"/>
      <c r="AD7" s="81"/>
    </row>
    <row r="8" spans="1:33" ht="22.5" customHeight="1" thickBot="1">
      <c r="A8" s="81"/>
      <c r="B8" s="101"/>
      <c r="C8" s="101" t="s">
        <v>612</v>
      </c>
      <c r="D8" s="113"/>
      <c r="E8" s="119" t="s">
        <v>612</v>
      </c>
      <c r="F8" s="117"/>
      <c r="G8" s="81"/>
      <c r="H8" s="117"/>
      <c r="I8" s="81"/>
      <c r="J8" s="82"/>
      <c r="K8" s="82"/>
      <c r="L8" s="82"/>
      <c r="M8" s="82"/>
      <c r="N8" s="82"/>
      <c r="O8" s="81"/>
      <c r="P8" s="81"/>
      <c r="Q8" s="81"/>
      <c r="R8" s="81"/>
      <c r="S8" s="81"/>
      <c r="T8" s="81"/>
      <c r="U8" s="81"/>
      <c r="V8" s="81"/>
      <c r="W8" s="81"/>
      <c r="X8" s="81"/>
      <c r="Y8" s="81"/>
      <c r="Z8" s="81"/>
      <c r="AA8" s="81"/>
      <c r="AB8" s="81"/>
      <c r="AC8" s="81"/>
      <c r="AD8" s="81"/>
    </row>
    <row r="9" spans="1:33" ht="22.5" customHeight="1" thickBot="1">
      <c r="A9" s="81"/>
      <c r="B9" s="101"/>
      <c r="C9" s="122" t="s">
        <v>1092</v>
      </c>
      <c r="D9" s="113"/>
      <c r="E9" s="81"/>
      <c r="F9" s="117"/>
      <c r="G9" s="119" t="s">
        <v>572</v>
      </c>
      <c r="H9" s="117"/>
      <c r="I9" s="119" t="s">
        <v>573</v>
      </c>
      <c r="J9" s="82"/>
      <c r="K9" s="82"/>
      <c r="L9" s="82"/>
      <c r="M9" s="82"/>
      <c r="N9" s="82"/>
      <c r="O9" s="81"/>
      <c r="P9" s="81"/>
      <c r="Q9" s="81"/>
      <c r="R9" s="81"/>
      <c r="S9" s="81"/>
      <c r="T9" s="81"/>
      <c r="U9" s="81"/>
      <c r="V9" s="81"/>
      <c r="W9" s="81"/>
      <c r="X9" s="81"/>
      <c r="Y9" s="81"/>
      <c r="Z9" s="81"/>
      <c r="AA9" s="81"/>
      <c r="AB9" s="81"/>
      <c r="AC9" s="81"/>
      <c r="AD9" s="81"/>
    </row>
    <row r="10" spans="1:33" ht="22.5" customHeight="1" thickBot="1">
      <c r="A10" s="81"/>
      <c r="B10" s="101"/>
      <c r="C10" s="101" t="s">
        <v>252</v>
      </c>
      <c r="D10" s="113"/>
      <c r="E10" s="81"/>
      <c r="F10" s="117"/>
      <c r="G10" s="119" t="s">
        <v>574</v>
      </c>
      <c r="H10" s="117"/>
      <c r="I10" s="119" t="s">
        <v>575</v>
      </c>
      <c r="J10" s="82"/>
      <c r="K10" s="82"/>
      <c r="L10" s="82"/>
      <c r="M10" s="82"/>
      <c r="N10" s="82"/>
      <c r="O10" s="81"/>
      <c r="P10" s="81"/>
      <c r="Q10" s="81"/>
      <c r="R10" s="81"/>
      <c r="S10" s="81"/>
      <c r="T10" s="81"/>
      <c r="U10" s="81"/>
      <c r="V10" s="81"/>
      <c r="W10" s="81"/>
      <c r="X10" s="81"/>
      <c r="Y10" s="81"/>
      <c r="Z10" s="81"/>
      <c r="AA10" s="81"/>
      <c r="AB10" s="81"/>
      <c r="AC10" s="81"/>
      <c r="AD10" s="81"/>
    </row>
    <row r="11" spans="1:33" ht="22.5" customHeight="1" thickBot="1">
      <c r="A11" s="81"/>
      <c r="B11" s="85"/>
      <c r="C11" s="81"/>
      <c r="D11" s="113"/>
      <c r="E11" s="81"/>
      <c r="F11" s="117"/>
      <c r="G11" s="120"/>
      <c r="H11" s="117"/>
      <c r="I11" s="81"/>
      <c r="J11" s="82"/>
      <c r="K11" s="82"/>
      <c r="L11" s="82"/>
      <c r="M11" s="82"/>
      <c r="N11" s="82"/>
      <c r="O11" s="81"/>
      <c r="P11" s="81"/>
      <c r="Q11" s="81"/>
      <c r="R11" s="81"/>
      <c r="S11" s="81"/>
      <c r="T11" s="81"/>
      <c r="U11" s="81"/>
      <c r="V11" s="81"/>
      <c r="W11" s="81"/>
      <c r="X11" s="81"/>
      <c r="Y11" s="81"/>
      <c r="Z11" s="81"/>
      <c r="AA11" s="81"/>
      <c r="AB11" s="81"/>
      <c r="AC11" s="81"/>
      <c r="AD11" s="81"/>
    </row>
    <row r="12" spans="1:33" ht="22.5" customHeight="1" thickBot="1">
      <c r="A12" s="81"/>
      <c r="B12" s="100" t="s">
        <v>449</v>
      </c>
      <c r="C12" s="100" t="s">
        <v>613</v>
      </c>
      <c r="D12" s="113"/>
      <c r="E12" s="81"/>
      <c r="F12" s="117"/>
      <c r="G12" s="121" t="s">
        <v>577</v>
      </c>
      <c r="H12" s="117"/>
      <c r="I12" s="121" t="s">
        <v>578</v>
      </c>
      <c r="J12" s="82"/>
      <c r="K12" s="82"/>
      <c r="L12" s="82"/>
      <c r="M12" s="82"/>
      <c r="N12" s="82"/>
      <c r="O12" s="81"/>
      <c r="P12" s="81"/>
      <c r="Q12" s="81"/>
      <c r="R12" s="81"/>
      <c r="S12" s="81"/>
      <c r="T12" s="81"/>
      <c r="U12" s="81"/>
      <c r="V12" s="81"/>
      <c r="W12" s="81"/>
      <c r="X12" s="81"/>
      <c r="Y12" s="81"/>
      <c r="Z12" s="81"/>
      <c r="AA12" s="81"/>
      <c r="AB12" s="81"/>
      <c r="AC12" s="81"/>
      <c r="AD12" s="81"/>
    </row>
    <row r="13" spans="1:33" ht="22.5" customHeight="1" thickBot="1">
      <c r="A13" s="81"/>
      <c r="B13" s="99"/>
      <c r="C13" s="100" t="s">
        <v>254</v>
      </c>
      <c r="D13" s="113"/>
      <c r="E13" s="81"/>
      <c r="F13" s="117"/>
      <c r="G13" s="121" t="s">
        <v>579</v>
      </c>
      <c r="H13" s="117"/>
      <c r="I13" s="121" t="s">
        <v>580</v>
      </c>
      <c r="J13" s="82"/>
      <c r="K13" s="82"/>
      <c r="L13" s="82"/>
      <c r="M13" s="82"/>
      <c r="N13" s="82"/>
      <c r="O13" s="81"/>
      <c r="P13" s="81"/>
      <c r="Q13" s="81"/>
      <c r="R13" s="81"/>
      <c r="S13" s="81"/>
      <c r="T13" s="81"/>
      <c r="U13" s="81"/>
      <c r="V13" s="81"/>
      <c r="W13" s="81"/>
      <c r="X13" s="81"/>
      <c r="Y13" s="81"/>
      <c r="Z13" s="81"/>
      <c r="AA13" s="81"/>
      <c r="AB13" s="81"/>
      <c r="AC13" s="81"/>
      <c r="AD13" s="81"/>
    </row>
    <row r="14" spans="1:33" ht="22.5" customHeight="1" thickBot="1">
      <c r="A14" s="81"/>
      <c r="B14" s="99"/>
      <c r="C14" s="100" t="s">
        <v>255</v>
      </c>
      <c r="D14" s="113"/>
      <c r="E14" s="81"/>
      <c r="F14" s="117"/>
      <c r="G14" s="121" t="s">
        <v>581</v>
      </c>
      <c r="H14" s="117"/>
      <c r="I14" s="121" t="s">
        <v>582</v>
      </c>
      <c r="J14" s="82"/>
      <c r="K14" s="82"/>
      <c r="L14" s="82"/>
      <c r="M14" s="82"/>
      <c r="N14" s="82"/>
      <c r="O14" s="81"/>
      <c r="P14" s="81"/>
      <c r="Q14" s="81"/>
      <c r="R14" s="81"/>
      <c r="S14" s="81"/>
      <c r="T14" s="81"/>
      <c r="U14" s="81"/>
      <c r="V14" s="81"/>
      <c r="W14" s="81"/>
      <c r="X14" s="81"/>
      <c r="Y14" s="81"/>
      <c r="Z14" s="81"/>
      <c r="AA14" s="81"/>
      <c r="AB14" s="81"/>
      <c r="AC14" s="81"/>
      <c r="AD14" s="81"/>
    </row>
    <row r="15" spans="1:33" ht="22.5" customHeight="1" thickBot="1">
      <c r="A15" s="81"/>
      <c r="B15" s="99"/>
      <c r="C15" s="100" t="s">
        <v>588</v>
      </c>
      <c r="D15" s="113"/>
      <c r="E15" s="81"/>
      <c r="F15" s="117"/>
      <c r="G15" s="121" t="s">
        <v>583</v>
      </c>
      <c r="H15" s="117"/>
      <c r="I15" s="121" t="s">
        <v>584</v>
      </c>
      <c r="J15" s="81"/>
      <c r="K15" s="81"/>
      <c r="L15" s="81"/>
      <c r="M15" s="81"/>
      <c r="N15" s="81"/>
      <c r="O15" s="81"/>
      <c r="P15" s="81"/>
      <c r="Q15" s="81"/>
      <c r="R15" s="81"/>
      <c r="S15" s="81"/>
      <c r="T15" s="81"/>
      <c r="U15" s="81"/>
      <c r="V15" s="81"/>
      <c r="W15" s="81"/>
      <c r="X15" s="81"/>
      <c r="Y15" s="81"/>
      <c r="Z15" s="81"/>
      <c r="AA15" s="81"/>
      <c r="AB15" s="81"/>
      <c r="AC15" s="81"/>
      <c r="AD15" s="81"/>
    </row>
    <row r="16" spans="1:33" ht="22.5" customHeight="1" thickBot="1">
      <c r="A16" s="81"/>
      <c r="B16" s="99"/>
      <c r="C16" s="100" t="s">
        <v>589</v>
      </c>
      <c r="D16" s="113"/>
      <c r="E16" s="81"/>
      <c r="F16" s="117"/>
      <c r="G16" s="121" t="s">
        <v>585</v>
      </c>
      <c r="H16" s="117"/>
      <c r="I16" s="121" t="s">
        <v>586</v>
      </c>
      <c r="J16" s="81"/>
      <c r="K16" s="81"/>
      <c r="L16" s="81"/>
      <c r="M16" s="81"/>
      <c r="N16" s="81"/>
      <c r="O16" s="81"/>
      <c r="P16" s="81"/>
      <c r="Q16" s="81"/>
      <c r="R16" s="81"/>
      <c r="S16" s="81"/>
      <c r="T16" s="81"/>
      <c r="U16" s="81"/>
      <c r="V16" s="81"/>
      <c r="W16" s="81"/>
      <c r="X16" s="81"/>
      <c r="Y16" s="81"/>
      <c r="Z16" s="81"/>
      <c r="AA16" s="81"/>
      <c r="AB16" s="81"/>
      <c r="AC16" s="81"/>
      <c r="AD16" s="81"/>
    </row>
    <row r="17" spans="1:30" ht="22.5" customHeight="1" thickBot="1">
      <c r="A17" s="81"/>
      <c r="B17" s="99"/>
      <c r="C17" s="100" t="s">
        <v>590</v>
      </c>
      <c r="D17" s="113"/>
      <c r="E17" s="81"/>
      <c r="F17" s="117"/>
      <c r="G17" s="121" t="s">
        <v>587</v>
      </c>
      <c r="H17" s="117"/>
      <c r="I17" s="81"/>
      <c r="J17" s="81"/>
      <c r="K17" s="81"/>
      <c r="L17" s="81"/>
      <c r="M17" s="81"/>
      <c r="N17" s="81"/>
      <c r="O17" s="81"/>
      <c r="P17" s="81"/>
      <c r="Q17" s="81"/>
      <c r="R17" s="81"/>
      <c r="S17" s="81"/>
      <c r="T17" s="81"/>
      <c r="U17" s="81"/>
      <c r="V17" s="81"/>
      <c r="W17" s="81"/>
      <c r="X17" s="81"/>
      <c r="Y17" s="81"/>
      <c r="Z17" s="81"/>
      <c r="AA17" s="81"/>
      <c r="AB17" s="81"/>
      <c r="AC17" s="81"/>
      <c r="AD17" s="81"/>
    </row>
    <row r="18" spans="1:30" ht="22.5" customHeight="1" thickBot="1">
      <c r="A18" s="81"/>
      <c r="B18" s="99"/>
      <c r="C18" s="100" t="s">
        <v>300</v>
      </c>
      <c r="D18" s="113"/>
      <c r="E18" s="121" t="s">
        <v>300</v>
      </c>
      <c r="F18" s="117"/>
      <c r="G18" s="81"/>
      <c r="H18" s="117"/>
      <c r="I18" s="81"/>
      <c r="J18" s="81"/>
      <c r="K18" s="81"/>
      <c r="L18" s="81"/>
      <c r="M18" s="81"/>
      <c r="N18" s="81"/>
      <c r="O18" s="81"/>
      <c r="P18" s="81"/>
      <c r="Q18" s="81"/>
      <c r="R18" s="81"/>
      <c r="S18" s="81"/>
      <c r="T18" s="81"/>
      <c r="U18" s="81"/>
      <c r="V18" s="81"/>
      <c r="W18" s="81"/>
      <c r="X18" s="81"/>
      <c r="Y18" s="81"/>
      <c r="Z18" s="81"/>
      <c r="AA18" s="81"/>
      <c r="AB18" s="81"/>
      <c r="AC18" s="81"/>
      <c r="AD18" s="81"/>
    </row>
    <row r="19" spans="1:30" ht="15" customHeight="1">
      <c r="A19" s="83"/>
      <c r="B19" s="81"/>
      <c r="C19" s="81"/>
      <c r="D19" s="113"/>
      <c r="E19" s="81"/>
      <c r="F19" s="113"/>
      <c r="G19" s="81"/>
      <c r="H19" s="113"/>
      <c r="I19" s="83"/>
      <c r="J19" s="82"/>
      <c r="K19" s="82"/>
      <c r="L19" s="82"/>
      <c r="M19" s="83"/>
      <c r="N19" s="83"/>
      <c r="O19" s="83"/>
      <c r="P19" s="83"/>
      <c r="Q19" s="83"/>
      <c r="R19" s="83"/>
      <c r="S19" s="83"/>
      <c r="T19" s="83"/>
      <c r="U19" s="83"/>
      <c r="V19" s="83"/>
      <c r="W19" s="83"/>
      <c r="X19" s="83"/>
      <c r="Y19" s="83"/>
      <c r="Z19" s="83"/>
      <c r="AA19" s="83"/>
      <c r="AB19" s="83"/>
      <c r="AC19" s="83"/>
      <c r="AD19" s="83"/>
    </row>
    <row r="20" spans="1:30" ht="15" customHeight="1">
      <c r="A20" s="85"/>
      <c r="B20" s="85"/>
      <c r="C20" s="91"/>
      <c r="D20" s="91"/>
      <c r="E20" s="91"/>
      <c r="F20" s="91"/>
      <c r="G20" s="91"/>
      <c r="H20" s="91"/>
      <c r="I20" s="85"/>
      <c r="J20" s="85"/>
      <c r="K20" s="85"/>
      <c r="L20" s="85"/>
      <c r="M20" s="85"/>
      <c r="N20" s="85"/>
      <c r="O20" s="85"/>
      <c r="P20" s="85"/>
      <c r="Q20" s="85"/>
      <c r="R20" s="85"/>
      <c r="S20" s="85"/>
      <c r="T20" s="85"/>
      <c r="U20" s="85"/>
      <c r="V20" s="85"/>
      <c r="W20" s="85"/>
      <c r="X20" s="85"/>
      <c r="Y20" s="85"/>
      <c r="Z20" s="85"/>
      <c r="AA20" s="85"/>
      <c r="AB20" s="85"/>
      <c r="AC20" s="85"/>
      <c r="AD20" s="85"/>
    </row>
  </sheetData>
  <sheetProtection selectLockedCells="1"/>
  <hyperlinks>
    <hyperlink ref="I7" location="STEM_Geom!A1" display="STEM_Geom"/>
    <hyperlink ref="E8" location="ARROW!A1" display="ARROW"/>
    <hyperlink ref="G9" location="FROND_Prod!A1" display="FROND_Prod"/>
    <hyperlink ref="G10" location="PINNAE_Prod!A1" display="PINNAE_PROD"/>
    <hyperlink ref="I10" location="PINNAE_Geom!A1" display="PINNAE_Geom"/>
    <hyperlink ref="I12" location="STALK_Geom!A1" display="STALK_Geom"/>
    <hyperlink ref="G13" location="BRACT_Prod!A1" display="BRACT_Prod"/>
    <hyperlink ref="I13" location="BRACT_Geom!A1" display="BRACT_Geom"/>
    <hyperlink ref="G14" location="SPIKELET_Prod!A1" display="SPIKELET_Prod"/>
    <hyperlink ref="I14" location="SPIKELET_Geom!A1" display="SPIKELET_Geom"/>
    <hyperlink ref="G15" location="MALE_FLOWER_Prod!A1" display="FEMALE_FLOWER_Prod"/>
    <hyperlink ref="E6" location="PLANT!A1" display="PLANT"/>
    <hyperlink ref="G12" location="INFLO_Prod!A1" display="INFLO_Prod"/>
    <hyperlink ref="I9" location="FROND_NERVURE_Geom!A1" display="FROND_NERVURE_Geom"/>
    <hyperlink ref="I15" location="FEMALE_FLOWER_Geom!A1" display="FEMALE_FLOWER_Geom"/>
    <hyperlink ref="G16" location="MALE_FLOWER_Prod!A1" display="MALE_FLOWER_Prod"/>
    <hyperlink ref="I16" location="MALE_FLOWER_Geom!A1" display="MALE_FLOWER_Geom"/>
    <hyperlink ref="G17" location="MIXED_FLOWER_Prod!A1" display="MIXED_FLOWER_Prod"/>
    <hyperlink ref="E18" location="FRUIT!A1" display="FRUIT"/>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07"/>
  <sheetViews>
    <sheetView topLeftCell="A37" workbookViewId="0">
      <selection activeCell="S65" sqref="S65"/>
    </sheetView>
  </sheetViews>
  <sheetFormatPr baseColWidth="10" defaultRowHeight="12.75"/>
  <cols>
    <col min="5" max="5" width="12.28515625" bestFit="1" customWidth="1"/>
  </cols>
  <sheetData>
    <row r="1" spans="1:21" s="345" customFormat="1" ht="18">
      <c r="A1" s="574"/>
      <c r="C1" s="1228" t="s">
        <v>1101</v>
      </c>
      <c r="D1" s="1228"/>
      <c r="J1" s="1320">
        <f>IF('Stipe=phyllotaxie&amp;croissance'!E9&gt;0,'Stipe=phyllotaxie&amp;croissance'!E9,"")</f>
        <v>40826</v>
      </c>
      <c r="K1" s="1320"/>
      <c r="L1" s="574"/>
    </row>
    <row r="2" spans="1:21" s="345" customFormat="1" ht="18">
      <c r="C2" s="346"/>
      <c r="D2" s="346"/>
    </row>
    <row r="3" spans="1:21" s="345" customFormat="1" ht="15.75">
      <c r="A3" s="576"/>
      <c r="B3" s="1323" t="s">
        <v>1102</v>
      </c>
      <c r="C3" s="1323"/>
      <c r="D3" s="1323"/>
      <c r="E3" s="1323"/>
      <c r="F3" s="1323"/>
      <c r="G3" s="1322" t="str">
        <f>IF('Stipe=phyllotaxie&amp;croissance'!$E$11&gt;0,'Stipe=phyllotaxie&amp;croissance'!$E$11,"")</f>
        <v>Rochdi</v>
      </c>
      <c r="H3" s="1322"/>
      <c r="I3" s="1323" t="s">
        <v>1103</v>
      </c>
      <c r="J3" s="1323"/>
      <c r="K3" s="1323"/>
      <c r="L3" s="1323"/>
      <c r="M3" s="1512" t="str">
        <f>IF('Stipe=phyllotaxie&amp;croissance'!$E$10&gt;0,'Stipe=phyllotaxie&amp;croissance'!$E$10,"")</f>
        <v>01</v>
      </c>
      <c r="N3" s="1512"/>
    </row>
    <row r="4" spans="1:21" s="345" customFormat="1" ht="18">
      <c r="C4" s="346"/>
      <c r="D4" s="346"/>
    </row>
    <row r="5" spans="1:21" s="345" customFormat="1" ht="18">
      <c r="A5" s="379"/>
      <c r="C5" s="1319" t="s">
        <v>1367</v>
      </c>
      <c r="D5" s="1319"/>
      <c r="E5" s="1319"/>
      <c r="F5" s="1319"/>
      <c r="G5" s="1319"/>
      <c r="H5" s="1319"/>
      <c r="I5" s="1319"/>
      <c r="J5" s="446"/>
      <c r="K5" s="446"/>
      <c r="L5" s="379"/>
    </row>
    <row r="6" spans="1:21" s="345" customFormat="1" ht="13.5" thickBot="1"/>
    <row r="7" spans="1:21" s="345" customFormat="1" ht="15.75" thickBot="1">
      <c r="C7" s="1496" t="s">
        <v>1229</v>
      </c>
      <c r="D7" s="1497"/>
      <c r="E7" s="1497"/>
      <c r="F7" s="577">
        <f>IF('Folioles=disposition&amp;groupes'!$D$7&gt;0,'Folioles=disposition&amp;groupes'!$D$7,"")</f>
        <v>57</v>
      </c>
    </row>
    <row r="8" spans="1:21" s="345" customFormat="1" ht="15.75" customHeight="1"/>
    <row r="9" spans="1:21" s="345" customFormat="1" ht="15">
      <c r="B9" s="582"/>
      <c r="C9" s="1514" t="s">
        <v>1289</v>
      </c>
      <c r="D9" s="1514"/>
      <c r="E9" s="1514"/>
    </row>
    <row r="10" spans="1:21" s="345" customFormat="1" ht="15.75" thickBot="1">
      <c r="B10" s="582"/>
      <c r="C10" s="580"/>
      <c r="D10" s="580"/>
      <c r="E10" s="580"/>
    </row>
    <row r="11" spans="1:21" s="345" customFormat="1" ht="12" customHeight="1" thickBot="1">
      <c r="C11" s="1515" t="s">
        <v>1233</v>
      </c>
      <c r="D11" s="1609" t="s">
        <v>1237</v>
      </c>
      <c r="E11" s="1610"/>
      <c r="F11" s="1610"/>
      <c r="G11" s="1610"/>
      <c r="H11" s="1610"/>
      <c r="I11" s="1610"/>
      <c r="J11" s="1610"/>
      <c r="K11" s="1262"/>
      <c r="M11" s="1515" t="s">
        <v>1233</v>
      </c>
      <c r="N11" s="1609" t="s">
        <v>1238</v>
      </c>
      <c r="O11" s="1610"/>
      <c r="P11" s="1610"/>
      <c r="Q11" s="1610"/>
      <c r="R11" s="1610"/>
      <c r="S11" s="1610"/>
      <c r="T11" s="1610"/>
      <c r="U11" s="1262"/>
    </row>
    <row r="12" spans="1:21" s="345" customFormat="1" ht="13.5" customHeight="1" thickBot="1">
      <c r="C12" s="1608"/>
      <c r="D12" s="1611" t="s">
        <v>1290</v>
      </c>
      <c r="E12" s="1521"/>
      <c r="F12" s="1521"/>
      <c r="G12" s="1522"/>
      <c r="H12" s="1520" t="s">
        <v>1291</v>
      </c>
      <c r="I12" s="1521"/>
      <c r="J12" s="1521"/>
      <c r="K12" s="1522"/>
      <c r="M12" s="1608"/>
      <c r="N12" s="1611" t="s">
        <v>1290</v>
      </c>
      <c r="O12" s="1521"/>
      <c r="P12" s="1521"/>
      <c r="Q12" s="1522"/>
      <c r="R12" s="1520" t="s">
        <v>1291</v>
      </c>
      <c r="S12" s="1521"/>
      <c r="T12" s="1521"/>
      <c r="U12" s="1522"/>
    </row>
    <row r="13" spans="1:21" s="345" customFormat="1" ht="13.5" customHeight="1" thickBot="1">
      <c r="C13" s="1608"/>
      <c r="D13" s="584" t="s">
        <v>1239</v>
      </c>
      <c r="E13" s="585" t="s">
        <v>1240</v>
      </c>
      <c r="F13" s="585" t="s">
        <v>1240</v>
      </c>
      <c r="G13" s="586" t="s">
        <v>1241</v>
      </c>
      <c r="H13" s="584" t="s">
        <v>1239</v>
      </c>
      <c r="I13" s="585" t="s">
        <v>1240</v>
      </c>
      <c r="J13" s="585" t="s">
        <v>1240</v>
      </c>
      <c r="K13" s="586" t="s">
        <v>1241</v>
      </c>
      <c r="M13" s="1608"/>
      <c r="N13" s="584" t="s">
        <v>1239</v>
      </c>
      <c r="O13" s="585" t="s">
        <v>1240</v>
      </c>
      <c r="P13" s="585" t="s">
        <v>1240</v>
      </c>
      <c r="Q13" s="586" t="s">
        <v>1241</v>
      </c>
      <c r="R13" s="584" t="s">
        <v>1239</v>
      </c>
      <c r="S13" s="585" t="s">
        <v>1240</v>
      </c>
      <c r="T13" s="585" t="s">
        <v>1240</v>
      </c>
      <c r="U13" s="586" t="s">
        <v>1241</v>
      </c>
    </row>
    <row r="14" spans="1:21" s="345" customFormat="1" ht="13.5" customHeight="1">
      <c r="B14" s="595" t="s">
        <v>1243</v>
      </c>
      <c r="C14" s="890">
        <f>IF('Sections rachis &amp; L pennes'!Q13="","",'Sections rachis &amp; L pennes'!Q13)</f>
        <v>5.15970515970516</v>
      </c>
      <c r="D14" s="597"/>
      <c r="E14" s="598"/>
      <c r="F14" s="598"/>
      <c r="G14" s="599">
        <v>0.13800000000000001</v>
      </c>
      <c r="H14" s="891"/>
      <c r="I14" s="598"/>
      <c r="J14" s="598"/>
      <c r="K14" s="598">
        <v>0.10199999999999999</v>
      </c>
      <c r="L14" s="595" t="s">
        <v>1243</v>
      </c>
      <c r="M14" s="892">
        <f>IF('Sections rachis &amp; L pennes'!V13="","",'Sections rachis &amp; L pennes'!V13)</f>
        <v>5.4054054054054053</v>
      </c>
      <c r="N14" s="597"/>
      <c r="O14" s="598"/>
      <c r="P14" s="893"/>
      <c r="Q14" s="599">
        <v>0.157</v>
      </c>
      <c r="R14" s="597"/>
      <c r="S14" s="598"/>
      <c r="T14" s="893"/>
      <c r="U14" s="599">
        <v>0.13700000000000001</v>
      </c>
    </row>
    <row r="15" spans="1:21" s="345" customFormat="1" ht="13.5" customHeight="1">
      <c r="B15" s="609" t="s">
        <v>1244</v>
      </c>
      <c r="C15" s="894">
        <f>IF('Sections rachis &amp; L pennes'!Q14="","",'Sections rachis &amp; L pennes'!Q14)</f>
        <v>27.346437346437348</v>
      </c>
      <c r="D15" s="611"/>
      <c r="E15" s="612"/>
      <c r="F15" s="612"/>
      <c r="G15" s="613">
        <v>0.315</v>
      </c>
      <c r="H15" s="895"/>
      <c r="I15" s="612"/>
      <c r="J15" s="612"/>
      <c r="K15" s="612">
        <v>0.30299999999999999</v>
      </c>
      <c r="L15" s="609" t="s">
        <v>1244</v>
      </c>
      <c r="M15" s="896">
        <f>IF('Sections rachis &amp; L pennes'!V14="","",'Sections rachis &amp; L pennes'!V14)</f>
        <v>28.157248157248159</v>
      </c>
      <c r="N15" s="611">
        <v>0.32</v>
      </c>
      <c r="O15" s="612"/>
      <c r="P15" s="615"/>
      <c r="Q15" s="613"/>
      <c r="R15" s="611">
        <v>0.27</v>
      </c>
      <c r="S15" s="612"/>
      <c r="T15" s="615"/>
      <c r="U15" s="613"/>
    </row>
    <row r="16" spans="1:21" s="345" customFormat="1" ht="13.5" customHeight="1" thickBot="1">
      <c r="B16" s="620" t="s">
        <v>1245</v>
      </c>
      <c r="C16" s="897">
        <f>IF('Sections rachis &amp; L pennes'!Q15="","",'Sections rachis &amp; L pennes'!Q15)</f>
        <v>30.466830466830466</v>
      </c>
      <c r="D16" s="626">
        <v>0.35699999999999998</v>
      </c>
      <c r="E16" s="627"/>
      <c r="F16" s="627"/>
      <c r="G16" s="629"/>
      <c r="H16" s="898">
        <v>0.28399999999999997</v>
      </c>
      <c r="I16" s="627"/>
      <c r="J16" s="627"/>
      <c r="K16" s="627"/>
      <c r="L16" s="620" t="s">
        <v>1245</v>
      </c>
      <c r="M16" s="899">
        <f>IF('Sections rachis &amp; L pennes'!V15="","",'Sections rachis &amp; L pennes'!V15)</f>
        <v>28.55036855036855</v>
      </c>
      <c r="N16" s="626"/>
      <c r="O16" s="627"/>
      <c r="P16" s="628"/>
      <c r="Q16" s="629">
        <v>0.27</v>
      </c>
      <c r="R16" s="626"/>
      <c r="S16" s="627"/>
      <c r="T16" s="628"/>
      <c r="U16" s="629">
        <v>0.34</v>
      </c>
    </row>
    <row r="17" spans="2:21" s="345" customFormat="1" ht="13.5" customHeight="1">
      <c r="C17" s="900" t="str">
        <f>IF('Sections rachis &amp; L pennes'!Q16="","",'Sections rachis &amp; L pennes'!Q16)</f>
        <v/>
      </c>
      <c r="D17" s="901"/>
      <c r="E17" s="902"/>
      <c r="F17" s="902"/>
      <c r="G17" s="903"/>
      <c r="H17" s="901"/>
      <c r="I17" s="902"/>
      <c r="J17" s="902"/>
      <c r="K17" s="904"/>
      <c r="L17" s="694"/>
      <c r="M17" s="905" t="str">
        <f>IF('Sections rachis &amp; L pennes'!V16="","",'Sections rachis &amp; L pennes'!V16)</f>
        <v/>
      </c>
      <c r="N17" s="901"/>
      <c r="O17" s="902"/>
      <c r="P17" s="902"/>
      <c r="Q17" s="903"/>
      <c r="R17" s="901"/>
      <c r="S17" s="902"/>
      <c r="T17" s="902"/>
      <c r="U17" s="904"/>
    </row>
    <row r="18" spans="2:21" s="345" customFormat="1" ht="13.5" customHeight="1">
      <c r="C18" s="906">
        <f>IF('Sections rachis &amp; L pennes'!Q17="","",'Sections rachis &amp; L pennes'!Q17)</f>
        <v>10</v>
      </c>
      <c r="D18" s="907">
        <f>IF('Sections rachis &amp; L pennes'!R17="","",($E$70+$E$71*$C18+$E$72*100*'Sections rachis &amp; L pennes'!R17/'Sections rachis &amp; L pennes'!$P$40)*'Sections rachis &amp; L pennes'!$L45*$F$70/100)</f>
        <v>1.0612225636335881</v>
      </c>
      <c r="E18" s="908" t="str">
        <f>IF('Sections rachis &amp; L pennes'!S17="","",($E$70+$E$71*$C18+$E$72*100*'Sections rachis &amp; L pennes'!S17/'Sections rachis &amp; L pennes'!$P$40)*'Sections rachis &amp; L pennes'!$L45*$F$70/100)</f>
        <v/>
      </c>
      <c r="F18" s="908" t="str">
        <f>IF('Sections rachis &amp; L pennes'!T17="","",($E$70+$E$71*$C18+$E$72*100*'Sections rachis &amp; L pennes'!T17/'Sections rachis &amp; L pennes'!$P$40)*'Sections rachis &amp; L pennes'!$L45*$F$70/100)</f>
        <v/>
      </c>
      <c r="G18" s="909" t="str">
        <f>IF('Sections rachis &amp; L pennes'!U17="","",($E$70+$E$71*$C18+$E$72*100*'Sections rachis &amp; L pennes'!U17/'Sections rachis &amp; L pennes'!$P$40)*'Sections rachis &amp; L pennes'!$L45*$F$70/100)</f>
        <v/>
      </c>
      <c r="H18" s="907">
        <f>IF('Sections rachis &amp; L pennes'!R17="","",($I$70+$I$71*$C18+$I$72*100*'Sections rachis &amp; L pennes'!R17/'Sections rachis &amp; L pennes'!$P$40)*'Sections rachis &amp; L pennes'!$L45*$J$70/100)</f>
        <v>0.98367928561406293</v>
      </c>
      <c r="I18" s="908" t="str">
        <f>IF('Sections rachis &amp; L pennes'!S17="","",($I$70+$I$71*$C18+$I$72*100*'Sections rachis &amp; L pennes'!S17/'Sections rachis &amp; L pennes'!$P$40)*'Sections rachis &amp; L pennes'!$L45*$J$70/100)</f>
        <v/>
      </c>
      <c r="J18" s="908" t="str">
        <f>IF('Sections rachis &amp; L pennes'!T17="","",($I$70+$I$71*$C18+$I$72*100*'Sections rachis &amp; L pennes'!T17/'Sections rachis &amp; L pennes'!$P$40)*'Sections rachis &amp; L pennes'!$L45*$J$70/100)</f>
        <v/>
      </c>
      <c r="K18" s="910" t="str">
        <f>IF('Sections rachis &amp; L pennes'!U17="","",($I$70+$I$71*$C18+$I$72*100*'Sections rachis &amp; L pennes'!U17/'Sections rachis &amp; L pennes'!$P$40)*'Sections rachis &amp; L pennes'!$L45*$J$70/100)</f>
        <v/>
      </c>
      <c r="L18" s="694"/>
      <c r="M18" s="911">
        <f>IF('Sections rachis &amp; L pennes'!V17="","",'Sections rachis &amp; L pennes'!V17)</f>
        <v>10</v>
      </c>
      <c r="N18" s="907">
        <f>IF('Sections rachis &amp; L pennes'!W17="","",($E$70+$E$71*$M18+$E$72*100*'Sections rachis &amp; L pennes'!W17/'Sections rachis &amp; L pennes'!$P$40)*'Sections rachis &amp; L pennes'!$L45*$F$70/100)</f>
        <v>1.0836464072927656</v>
      </c>
      <c r="O18" s="908" t="str">
        <f>IF('Sections rachis &amp; L pennes'!X17="","",($E$70+$E$71*$M18+$E$72*100*'Sections rachis &amp; L pennes'!X17/'Sections rachis &amp; L pennes'!$P$40)*'Sections rachis &amp; L pennes'!$L45*$F$70/100)</f>
        <v/>
      </c>
      <c r="P18" s="908" t="str">
        <f>IF('Sections rachis &amp; L pennes'!Y17="","",($E$70+$E$71*$M18+$E$72*100*'Sections rachis &amp; L pennes'!Y17/'Sections rachis &amp; L pennes'!$P$40)*'Sections rachis &amp; L pennes'!$L45*$F$70/100)</f>
        <v/>
      </c>
      <c r="Q18" s="909">
        <f>IF('Sections rachis &amp; L pennes'!Z17="","",($E$70+$E$71*$M18+$E$72*100*'Sections rachis &amp; L pennes'!Z17/'Sections rachis &amp; L pennes'!$P$40)*'Sections rachis &amp; L pennes'!$L45*$F$70/100)</f>
        <v>1.0436038293299486</v>
      </c>
      <c r="R18" s="907">
        <f>IF('Sections rachis &amp; L pennes'!W17="","",($I$70+$I$71*$M18+$I$72*100*'Sections rachis &amp; L pennes'!W17/'Sections rachis &amp; L pennes'!$P$40)*'Sections rachis &amp; L pennes'!$L45*$J$70/100)</f>
        <v>1.0153808841739156</v>
      </c>
      <c r="S18" s="908" t="str">
        <f>IF('Sections rachis &amp; L pennes'!X17="","",($I$70+$I$71*$M18+$I$72*100*'Sections rachis &amp; L pennes'!X17/'Sections rachis &amp; L pennes'!$P$40)*'Sections rachis &amp; L pennes'!$L45*$J$70/100)</f>
        <v/>
      </c>
      <c r="T18" s="908" t="str">
        <f>IF('Sections rachis &amp; L pennes'!Y17="","",($I$70+$I$71*$M18+$I$72*100*'Sections rachis &amp; L pennes'!Y17/'Sections rachis &amp; L pennes'!$P$40)*'Sections rachis &amp; L pennes'!$L45*$J$70/100)</f>
        <v/>
      </c>
      <c r="U18" s="910">
        <f>IF('Sections rachis &amp; L pennes'!Z17="","",($I$70+$I$71*$M18+$I$72*100*'Sections rachis &amp; L pennes'!Z17/'Sections rachis &amp; L pennes'!$P$40)*'Sections rachis &amp; L pennes'!$L45*$J$70/100)</f>
        <v>0.95877088674560729</v>
      </c>
    </row>
    <row r="19" spans="2:21" s="345" customFormat="1">
      <c r="C19" s="906">
        <f>IF('Sections rachis &amp; L pennes'!Q18="","",'Sections rachis &amp; L pennes'!Q18)</f>
        <v>20</v>
      </c>
      <c r="D19" s="907">
        <f>IF('Sections rachis &amp; L pennes'!R18="","",($E$70+$E$71*$C19+$E$72*100*'Sections rachis &amp; L pennes'!R18/'Sections rachis &amp; L pennes'!$P$40)*'Sections rachis &amp; L pennes'!$L46*$F$70/100)</f>
        <v>1.5014140382747627</v>
      </c>
      <c r="E19" s="908" t="str">
        <f>IF('Sections rachis &amp; L pennes'!S18="","",($E$70+$E$71*$C19+$E$72*100*'Sections rachis &amp; L pennes'!S18/'Sections rachis &amp; L pennes'!$P$40)*'Sections rachis &amp; L pennes'!$L46*$F$70/100)</f>
        <v/>
      </c>
      <c r="F19" s="908" t="str">
        <f>IF('Sections rachis &amp; L pennes'!T18="","",($E$70+$E$71*$C19+$E$72*100*'Sections rachis &amp; L pennes'!T18/'Sections rachis &amp; L pennes'!$P$40)*'Sections rachis &amp; L pennes'!$L46*$F$70/100)</f>
        <v/>
      </c>
      <c r="G19" s="909" t="str">
        <f>IF('Sections rachis &amp; L pennes'!U18="","",($E$70+$E$71*$C19+$E$72*100*'Sections rachis &amp; L pennes'!U18/'Sections rachis &amp; L pennes'!$P$40)*'Sections rachis &amp; L pennes'!$L46*$F$70/100)</f>
        <v/>
      </c>
      <c r="H19" s="907">
        <f>IF('Sections rachis &amp; L pennes'!R18="","",($I$70+$I$71*$C19+$I$72*100*'Sections rachis &amp; L pennes'!R18/'Sections rachis &amp; L pennes'!$P$40)*'Sections rachis &amp; L pennes'!$L46*$J$70/100)</f>
        <v>1.2472171289408076</v>
      </c>
      <c r="I19" s="908" t="str">
        <f>IF('Sections rachis &amp; L pennes'!S18="","",($I$70+$I$71*$C19+$I$72*100*'Sections rachis &amp; L pennes'!S18/'Sections rachis &amp; L pennes'!$P$40)*'Sections rachis &amp; L pennes'!$L46*$J$70/100)</f>
        <v/>
      </c>
      <c r="J19" s="908" t="str">
        <f>IF('Sections rachis &amp; L pennes'!T18="","",($I$70+$I$71*$C19+$I$72*100*'Sections rachis &amp; L pennes'!T18/'Sections rachis &amp; L pennes'!$P$40)*'Sections rachis &amp; L pennes'!$L46*$J$70/100)</f>
        <v/>
      </c>
      <c r="K19" s="910" t="str">
        <f>IF('Sections rachis &amp; L pennes'!U18="","",($I$70+$I$71*$C19+$I$72*100*'Sections rachis &amp; L pennes'!U18/'Sections rachis &amp; L pennes'!$P$40)*'Sections rachis &amp; L pennes'!$L46*$J$70/100)</f>
        <v/>
      </c>
      <c r="L19" s="694"/>
      <c r="M19" s="911">
        <f>IF('Sections rachis &amp; L pennes'!V18="","",'Sections rachis &amp; L pennes'!V18)</f>
        <v>20</v>
      </c>
      <c r="N19" s="907">
        <f>IF('Sections rachis &amp; L pennes'!W18="","",($E$70+$E$71*$M19+$E$72*100*'Sections rachis &amp; L pennes'!W18/'Sections rachis &amp; L pennes'!$P$40)*'Sections rachis &amp; L pennes'!$L46*$F$70/100)</f>
        <v>1.4978316610704665</v>
      </c>
      <c r="O19" s="908" t="str">
        <f>IF('Sections rachis &amp; L pennes'!X18="","",($E$70+$E$71*$M19+$E$72*100*'Sections rachis &amp; L pennes'!X18/'Sections rachis &amp; L pennes'!$P$40)*'Sections rachis &amp; L pennes'!$L46*$F$70/100)</f>
        <v/>
      </c>
      <c r="P19" s="908" t="str">
        <f>IF('Sections rachis &amp; L pennes'!Y18="","",($E$70+$E$71*$M19+$E$72*100*'Sections rachis &amp; L pennes'!Y18/'Sections rachis &amp; L pennes'!$P$40)*'Sections rachis &amp; L pennes'!$L46*$F$70/100)</f>
        <v/>
      </c>
      <c r="Q19" s="909" t="str">
        <f>IF('Sections rachis &amp; L pennes'!Z18="","",($E$70+$E$71*$M19+$E$72*100*'Sections rachis &amp; L pennes'!Z18/'Sections rachis &amp; L pennes'!$P$40)*'Sections rachis &amp; L pennes'!$L46*$F$70/100)</f>
        <v/>
      </c>
      <c r="R19" s="907">
        <f>IF('Sections rachis &amp; L pennes'!W18="","",($I$70+$I$71*$M19+$I$72*100*'Sections rachis &amp; L pennes'!W18/'Sections rachis &amp; L pennes'!$P$40)*'Sections rachis &amp; L pennes'!$L46*$J$70/100)</f>
        <v>1.2421525608075878</v>
      </c>
      <c r="S19" s="908" t="str">
        <f>IF('Sections rachis &amp; L pennes'!X18="","",($I$70+$I$71*$M19+$I$72*100*'Sections rachis &amp; L pennes'!X18/'Sections rachis &amp; L pennes'!$P$40)*'Sections rachis &amp; L pennes'!$L46*$J$70/100)</f>
        <v/>
      </c>
      <c r="T19" s="908" t="str">
        <f>IF('Sections rachis &amp; L pennes'!Y18="","",($I$70+$I$71*$M19+$I$72*100*'Sections rachis &amp; L pennes'!Y18/'Sections rachis &amp; L pennes'!$P$40)*'Sections rachis &amp; L pennes'!$L46*$J$70/100)</f>
        <v/>
      </c>
      <c r="U19" s="910" t="str">
        <f>IF('Sections rachis &amp; L pennes'!Z18="","",($I$70+$I$71*$M19+$I$72*100*'Sections rachis &amp; L pennes'!Z18/'Sections rachis &amp; L pennes'!$P$40)*'Sections rachis &amp; L pennes'!$L46*$J$70/100)</f>
        <v/>
      </c>
    </row>
    <row r="20" spans="2:21" s="345" customFormat="1" ht="13.5" customHeight="1">
      <c r="C20" s="906">
        <f>IF('Sections rachis &amp; L pennes'!Q19="","",'Sections rachis &amp; L pennes'!Q19)</f>
        <v>30</v>
      </c>
      <c r="D20" s="907">
        <f>IF('Sections rachis &amp; L pennes'!R19="","",($E$70+$E$71*$C20+$E$72*100*'Sections rachis &amp; L pennes'!R19/'Sections rachis &amp; L pennes'!$P$40)*'Sections rachis &amp; L pennes'!$L47*$F$70/100)</f>
        <v>1.3142331502695042</v>
      </c>
      <c r="E20" s="908" t="str">
        <f>IF('Sections rachis &amp; L pennes'!S19="","",($E$70+$E$71*$C20+$E$72*100*'Sections rachis &amp; L pennes'!S19/'Sections rachis &amp; L pennes'!$P$40)*'Sections rachis &amp; L pennes'!$L47*$F$70/100)</f>
        <v/>
      </c>
      <c r="F20" s="908" t="str">
        <f>IF('Sections rachis &amp; L pennes'!T19="","",($E$70+$E$71*$C20+$E$72*100*'Sections rachis &amp; L pennes'!T19/'Sections rachis &amp; L pennes'!$P$40)*'Sections rachis &amp; L pennes'!$L47*$F$70/100)</f>
        <v/>
      </c>
      <c r="G20" s="909">
        <f>IF('Sections rachis &amp; L pennes'!U19="","",($E$70+$E$71*$C20+$E$72*100*'Sections rachis &amp; L pennes'!U19/'Sections rachis &amp; L pennes'!$P$40)*'Sections rachis &amp; L pennes'!$L47*$F$70/100)</f>
        <v>1.2707909426988031</v>
      </c>
      <c r="H20" s="907">
        <f>IF('Sections rachis &amp; L pennes'!R19="","",($I$70+$I$71*$C20+$I$72*100*'Sections rachis &amp; L pennes'!R19/'Sections rachis &amp; L pennes'!$P$40)*'Sections rachis &amp; L pennes'!$L47*$J$70/100)</f>
        <v>0.72885552109963359</v>
      </c>
      <c r="I20" s="908" t="str">
        <f>IF('Sections rachis &amp; L pennes'!S19="","",($I$70+$I$71*$C20+$I$72*100*'Sections rachis &amp; L pennes'!S19/'Sections rachis &amp; L pennes'!$P$40)*'Sections rachis &amp; L pennes'!$L47*$J$70/100)</f>
        <v/>
      </c>
      <c r="J20" s="908" t="str">
        <f>IF('Sections rachis &amp; L pennes'!T19="","",($I$70+$I$71*$C20+$I$72*100*'Sections rachis &amp; L pennes'!T19/'Sections rachis &amp; L pennes'!$P$40)*'Sections rachis &amp; L pennes'!$L47*$J$70/100)</f>
        <v/>
      </c>
      <c r="K20" s="910">
        <f>IF('Sections rachis &amp; L pennes'!U19="","",($I$70+$I$71*$C20+$I$72*100*'Sections rachis &amp; L pennes'!U19/'Sections rachis &amp; L pennes'!$P$40)*'Sections rachis &amp; L pennes'!$L47*$J$70/100)</f>
        <v>0.66743931405269885</v>
      </c>
      <c r="L20" s="694"/>
      <c r="M20" s="911">
        <f>IF('Sections rachis &amp; L pennes'!V19="","",'Sections rachis &amp; L pennes'!V19)</f>
        <v>30</v>
      </c>
      <c r="N20" s="907">
        <f>IF('Sections rachis &amp; L pennes'!W19="","",($E$70+$E$71*$M20+$E$72*100*'Sections rachis &amp; L pennes'!W19/'Sections rachis &amp; L pennes'!$P$40)*'Sections rachis &amp; L pennes'!$L47*$F$70/100)</f>
        <v>1.3408908685515255</v>
      </c>
      <c r="O20" s="908" t="str">
        <f>IF('Sections rachis &amp; L pennes'!X19="","",($E$70+$E$71*$M20+$E$72*100*'Sections rachis &amp; L pennes'!X19/'Sections rachis &amp; L pennes'!$P$40)*'Sections rachis &amp; L pennes'!$L47*$F$70/100)</f>
        <v/>
      </c>
      <c r="P20" s="908" t="str">
        <f>IF('Sections rachis &amp; L pennes'!Y19="","",($E$70+$E$71*$M20+$E$72*100*'Sections rachis &amp; L pennes'!Y19/'Sections rachis &amp; L pennes'!$P$40)*'Sections rachis &amp; L pennes'!$L47*$F$70/100)</f>
        <v/>
      </c>
      <c r="Q20" s="909">
        <f>IF('Sections rachis &amp; L pennes'!Z19="","",($E$70+$E$71*$M20+$E$72*100*'Sections rachis &amp; L pennes'!Z19/'Sections rachis &amp; L pennes'!$P$40)*'Sections rachis &amp; L pennes'!$L47*$F$70/100)</f>
        <v>1.3073218899741657</v>
      </c>
      <c r="R20" s="907">
        <f>IF('Sections rachis &amp; L pennes'!W19="","",($I$70+$I$71*$M20+$I$72*100*'Sections rachis &amp; L pennes'!W19/'Sections rachis &amp; L pennes'!$P$40)*'Sections rachis &amp; L pennes'!$L47*$J$70/100)</f>
        <v>0.7665427390602525</v>
      </c>
      <c r="S20" s="908" t="str">
        <f>IF('Sections rachis &amp; L pennes'!X19="","",($I$70+$I$71*$M20+$I$72*100*'Sections rachis &amp; L pennes'!X19/'Sections rachis &amp; L pennes'!$P$40)*'Sections rachis &amp; L pennes'!$L47*$J$70/100)</f>
        <v/>
      </c>
      <c r="T20" s="908" t="str">
        <f>IF('Sections rachis &amp; L pennes'!Y19="","",($I$70+$I$71*$M20+$I$72*100*'Sections rachis &amp; L pennes'!Y19/'Sections rachis &amp; L pennes'!$P$40)*'Sections rachis &amp; L pennes'!$L47*$J$70/100)</f>
        <v/>
      </c>
      <c r="U20" s="910">
        <f>IF('Sections rachis &amp; L pennes'!Z19="","",($I$70+$I$71*$M20+$I$72*100*'Sections rachis &amp; L pennes'!Z19/'Sections rachis &amp; L pennes'!$P$40)*'Sections rachis &amp; L pennes'!$L47*$J$70/100)</f>
        <v>0.71908476088762119</v>
      </c>
    </row>
    <row r="21" spans="2:21" s="345" customFormat="1">
      <c r="C21" s="906">
        <f>IF('Sections rachis &amp; L pennes'!Q20="","",'Sections rachis &amp; L pennes'!Q20)</f>
        <v>40</v>
      </c>
      <c r="D21" s="907">
        <f>IF('Sections rachis &amp; L pennes'!R20="","",($E$70+$E$71*$C21+$E$72*100*'Sections rachis &amp; L pennes'!R20/'Sections rachis &amp; L pennes'!$P$40)*'Sections rachis &amp; L pennes'!$L48*$F$70/100)</f>
        <v>1.7443364405826915</v>
      </c>
      <c r="E21" s="908">
        <f>IF('Sections rachis &amp; L pennes'!S20="","",($E$70+$E$71*$C21+$E$72*100*'Sections rachis &amp; L pennes'!S20/'Sections rachis &amp; L pennes'!$P$40)*'Sections rachis &amp; L pennes'!$L48*$F$70/100)</f>
        <v>1.725252576799708</v>
      </c>
      <c r="F21" s="908" t="str">
        <f>IF('Sections rachis &amp; L pennes'!T20="","",($E$70+$E$71*$C21+$E$72*100*'Sections rachis &amp; L pennes'!T20/'Sections rachis &amp; L pennes'!$P$40)*'Sections rachis &amp; L pennes'!$L48*$F$70/100)</f>
        <v/>
      </c>
      <c r="G21" s="909">
        <f>IF('Sections rachis &amp; L pennes'!U20="","",($E$70+$E$71*$C21+$E$72*100*'Sections rachis &amp; L pennes'!U20/'Sections rachis &amp; L pennes'!$P$40)*'Sections rachis &amp; L pennes'!$L48*$F$70/100)</f>
        <v>1.7165780932619885</v>
      </c>
      <c r="H21" s="907">
        <f>IF('Sections rachis &amp; L pennes'!R20="","",($I$70+$I$71*$C21+$I$72*100*'Sections rachis &amp; L pennes'!R20/'Sections rachis &amp; L pennes'!$P$40)*'Sections rachis &amp; L pennes'!$L48*$J$70/100)</f>
        <v>1.117878013677942</v>
      </c>
      <c r="I21" s="908">
        <f>IF('Sections rachis &amp; L pennes'!S20="","",($I$70+$I$71*$C21+$I$72*100*'Sections rachis &amp; L pennes'!S20/'Sections rachis &amp; L pennes'!$P$40)*'Sections rachis &amp; L pennes'!$L48*$J$70/100)</f>
        <v>1.0908982952222512</v>
      </c>
      <c r="J21" s="908" t="str">
        <f>IF('Sections rachis &amp; L pennes'!T20="","",($I$70+$I$71*$C21+$I$72*100*'Sections rachis &amp; L pennes'!T20/'Sections rachis &amp; L pennes'!$P$40)*'Sections rachis &amp; L pennes'!$L48*$J$70/100)</f>
        <v/>
      </c>
      <c r="K21" s="910">
        <f>IF('Sections rachis &amp; L pennes'!U20="","",($I$70+$I$71*$C21+$I$72*100*'Sections rachis &amp; L pennes'!U20/'Sections rachis &amp; L pennes'!$P$40)*'Sections rachis &amp; L pennes'!$L48*$J$70/100)</f>
        <v>1.0786347868333008</v>
      </c>
      <c r="L21" s="694"/>
      <c r="M21" s="911">
        <f>IF('Sections rachis &amp; L pennes'!V20="","",'Sections rachis &amp; L pennes'!V20)</f>
        <v>40</v>
      </c>
      <c r="N21" s="907">
        <f>IF('Sections rachis &amp; L pennes'!W20="","",($E$70+$E$71*$M21+$E$72*100*'Sections rachis &amp; L pennes'!W20/'Sections rachis &amp; L pennes'!$P$40)*'Sections rachis &amp; L pennes'!$L48*$F$70/100)</f>
        <v>1.7538783724741831</v>
      </c>
      <c r="O21" s="908" t="str">
        <f>IF('Sections rachis &amp; L pennes'!X20="","",($E$70+$E$71*$M21+$E$72*100*'Sections rachis &amp; L pennes'!X20/'Sections rachis &amp; L pennes'!$P$40)*'Sections rachis &amp; L pennes'!$L48*$F$70/100)</f>
        <v/>
      </c>
      <c r="P21" s="908" t="str">
        <f>IF('Sections rachis &amp; L pennes'!Y20="","",($E$70+$E$71*$M21+$E$72*100*'Sections rachis &amp; L pennes'!Y20/'Sections rachis &amp; L pennes'!$P$40)*'Sections rachis &amp; L pennes'!$L48*$F$70/100)</f>
        <v/>
      </c>
      <c r="Q21" s="909">
        <f>IF('Sections rachis &amp; L pennes'!Z20="","",($E$70+$E$71*$M21+$E$72*100*'Sections rachis &amp; L pennes'!Z20/'Sections rachis &amp; L pennes'!$P$40)*'Sections rachis &amp; L pennes'!$L48*$F$70/100)</f>
        <v>1.7426882887105244</v>
      </c>
      <c r="R21" s="907">
        <f>IF('Sections rachis &amp; L pennes'!W20="","",($I$70+$I$71*$M21+$I$72*100*'Sections rachis &amp; L pennes'!W20/'Sections rachis &amp; L pennes'!$P$40)*'Sections rachis &amp; L pennes'!$L48*$J$70/100)</f>
        <v>1.1313678729057874</v>
      </c>
      <c r="S21" s="908" t="str">
        <f>IF('Sections rachis &amp; L pennes'!X20="","",($I$70+$I$71*$M21+$I$72*100*'Sections rachis &amp; L pennes'!X20/'Sections rachis &amp; L pennes'!$P$40)*'Sections rachis &amp; L pennes'!$L48*$J$70/100)</f>
        <v/>
      </c>
      <c r="T21" s="908" t="str">
        <f>IF('Sections rachis &amp; L pennes'!Y20="","",($I$70+$I$71*$M21+$I$72*100*'Sections rachis &amp; L pennes'!Y20/'Sections rachis &amp; L pennes'!$P$40)*'Sections rachis &amp; L pennes'!$L48*$J$70/100)</f>
        <v/>
      </c>
      <c r="U21" s="910">
        <f>IF('Sections rachis &amp; L pennes'!Z20="","",($I$70+$I$71*$M21+$I$72*100*'Sections rachis &amp; L pennes'!Z20/'Sections rachis &amp; L pennes'!$P$40)*'Sections rachis &amp; L pennes'!$L48*$J$70/100)</f>
        <v>1.1155479470840415</v>
      </c>
    </row>
    <row r="22" spans="2:21" s="345" customFormat="1">
      <c r="C22" s="906">
        <f>IF('Sections rachis &amp; L pennes'!Q21="","",'Sections rachis &amp; L pennes'!Q21)</f>
        <v>50</v>
      </c>
      <c r="D22" s="907">
        <f>IF('Sections rachis &amp; L pennes'!R21="","",($E$70+$E$71*$C22+$E$72*100*'Sections rachis &amp; L pennes'!R21/'Sections rachis &amp; L pennes'!$P$40)*'Sections rachis &amp; L pennes'!$L49*$F$70/100)</f>
        <v>2.1193373428430964</v>
      </c>
      <c r="E22" s="908" t="str">
        <f>IF('Sections rachis &amp; L pennes'!S21="","",($E$70+$E$71*$C22+$E$72*100*'Sections rachis &amp; L pennes'!S21/'Sections rachis &amp; L pennes'!$P$40)*'Sections rachis &amp; L pennes'!$L49*$F$70/100)</f>
        <v/>
      </c>
      <c r="F22" s="908" t="str">
        <f>IF('Sections rachis &amp; L pennes'!T21="","",($E$70+$E$71*$C22+$E$72*100*'Sections rachis &amp; L pennes'!T21/'Sections rachis &amp; L pennes'!$P$40)*'Sections rachis &amp; L pennes'!$L49*$F$70/100)</f>
        <v/>
      </c>
      <c r="G22" s="909">
        <f>IF('Sections rachis &amp; L pennes'!U21="","",($E$70+$E$71*$C22+$E$72*100*'Sections rachis &amp; L pennes'!U21/'Sections rachis &amp; L pennes'!$P$40)*'Sections rachis &amp; L pennes'!$L49*$F$70/100)</f>
        <v>2.5128211389123614</v>
      </c>
      <c r="H22" s="907">
        <f>IF('Sections rachis &amp; L pennes'!R21="","",($I$70+$I$71*$C22+$I$72*100*'Sections rachis &amp; L pennes'!R21/'Sections rachis &amp; L pennes'!$P$40)*'Sections rachis &amp; L pennes'!$L49*$J$70/100)</f>
        <v>1.4469311154518045</v>
      </c>
      <c r="I22" s="908" t="str">
        <f>IF('Sections rachis &amp; L pennes'!S21="","",($I$70+$I$71*$C22+$I$72*100*'Sections rachis &amp; L pennes'!S21/'Sections rachis &amp; L pennes'!$P$40)*'Sections rachis &amp; L pennes'!$L49*$J$70/100)</f>
        <v/>
      </c>
      <c r="J22" s="908" t="str">
        <f>IF('Sections rachis &amp; L pennes'!T21="","",($I$70+$I$71*$C22+$I$72*100*'Sections rachis &amp; L pennes'!T21/'Sections rachis &amp; L pennes'!$P$40)*'Sections rachis &amp; L pennes'!$L49*$J$70/100)</f>
        <v/>
      </c>
      <c r="K22" s="910">
        <f>IF('Sections rachis &amp; L pennes'!U21="","",($I$70+$I$71*$C22+$I$72*100*'Sections rachis &amp; L pennes'!U21/'Sections rachis &amp; L pennes'!$P$40)*'Sections rachis &amp; L pennes'!$L49*$J$70/100)</f>
        <v>2.0032168946602815</v>
      </c>
      <c r="L22" s="694"/>
      <c r="M22" s="911">
        <f>IF('Sections rachis &amp; L pennes'!V21="","",'Sections rachis &amp; L pennes'!V21)</f>
        <v>50</v>
      </c>
      <c r="N22" s="907">
        <f>IF('Sections rachis &amp; L pennes'!W21="","",($E$70+$E$71*$M22+$E$72*100*'Sections rachis &amp; L pennes'!W21/'Sections rachis &amp; L pennes'!$P$40)*'Sections rachis &amp; L pennes'!$L49*$F$70/100)</f>
        <v>2.1169717087985918</v>
      </c>
      <c r="O22" s="908" t="str">
        <f>IF('Sections rachis &amp; L pennes'!X21="","",($E$70+$E$71*$M22+$E$72*100*'Sections rachis &amp; L pennes'!X21/'Sections rachis &amp; L pennes'!$P$40)*'Sections rachis &amp; L pennes'!$L49*$F$70/100)</f>
        <v/>
      </c>
      <c r="P22" s="908" t="str">
        <f>IF('Sections rachis &amp; L pennes'!Y21="","",($E$70+$E$71*$M22+$E$72*100*'Sections rachis &amp; L pennes'!Y21/'Sections rachis &amp; L pennes'!$P$40)*'Sections rachis &amp; L pennes'!$L49*$F$70/100)</f>
        <v/>
      </c>
      <c r="Q22" s="909" t="str">
        <f>IF('Sections rachis &amp; L pennes'!Z21="","",($E$70+$E$71*$M22+$E$72*100*'Sections rachis &amp; L pennes'!Z21/'Sections rachis &amp; L pennes'!$P$40)*'Sections rachis &amp; L pennes'!$L49*$F$70/100)</f>
        <v/>
      </c>
      <c r="R22" s="907">
        <f>IF('Sections rachis &amp; L pennes'!W21="","",($I$70+$I$71*$M22+$I$72*100*'Sections rachis &amp; L pennes'!W21/'Sections rachis &amp; L pennes'!$P$40)*'Sections rachis &amp; L pennes'!$L49*$J$70/100)</f>
        <v>1.4435867119695893</v>
      </c>
      <c r="S22" s="908" t="str">
        <f>IF('Sections rachis &amp; L pennes'!X21="","",($I$70+$I$71*$M22+$I$72*100*'Sections rachis &amp; L pennes'!X21/'Sections rachis &amp; L pennes'!$P$40)*'Sections rachis &amp; L pennes'!$L49*$J$70/100)</f>
        <v/>
      </c>
      <c r="T22" s="908" t="str">
        <f>IF('Sections rachis &amp; L pennes'!Y21="","",($I$70+$I$71*$M22+$I$72*100*'Sections rachis &amp; L pennes'!Y21/'Sections rachis &amp; L pennes'!$P$40)*'Sections rachis &amp; L pennes'!$L49*$J$70/100)</f>
        <v/>
      </c>
      <c r="U22" s="910" t="str">
        <f>IF('Sections rachis &amp; L pennes'!Z21="","",($I$70+$I$71*$M22+$I$72*100*'Sections rachis &amp; L pennes'!Z21/'Sections rachis &amp; L pennes'!$P$40)*'Sections rachis &amp; L pennes'!$L49*$J$70/100)</f>
        <v/>
      </c>
    </row>
    <row r="23" spans="2:21" s="345" customFormat="1">
      <c r="C23" s="906">
        <f>IF('Sections rachis &amp; L pennes'!Q22="","",'Sections rachis &amp; L pennes'!Q22)</f>
        <v>60</v>
      </c>
      <c r="D23" s="907">
        <f>IF('Sections rachis &amp; L pennes'!R22="","",($E$70+$E$71*$C23+$E$72*100*'Sections rachis &amp; L pennes'!R22/'Sections rachis &amp; L pennes'!$P$40)*'Sections rachis &amp; L pennes'!$L50*$F$70/100)</f>
        <v>2.393136279067912</v>
      </c>
      <c r="E23" s="908" t="str">
        <f>IF('Sections rachis &amp; L pennes'!S22="","",($E$70+$E$71*$C23+$E$72*100*'Sections rachis &amp; L pennes'!S22/'Sections rachis &amp; L pennes'!$P$40)*'Sections rachis &amp; L pennes'!$L50*$F$70/100)</f>
        <v/>
      </c>
      <c r="F23" s="908" t="str">
        <f>IF('Sections rachis &amp; L pennes'!T22="","",($E$70+$E$71*$C23+$E$72*100*'Sections rachis &amp; L pennes'!T22/'Sections rachis &amp; L pennes'!$P$40)*'Sections rachis &amp; L pennes'!$L50*$F$70/100)</f>
        <v/>
      </c>
      <c r="G23" s="909">
        <f>IF('Sections rachis &amp; L pennes'!U22="","",($E$70+$E$71*$C23+$E$72*100*'Sections rachis &amp; L pennes'!U22/'Sections rachis &amp; L pennes'!$P$40)*'Sections rachis &amp; L pennes'!$L50*$F$70/100)</f>
        <v>2.3880881242162699</v>
      </c>
      <c r="H23" s="907">
        <f>IF('Sections rachis &amp; L pennes'!R22="","",($I$70+$I$71*$C23+$I$72*100*'Sections rachis &amp; L pennes'!R22/'Sections rachis &amp; L pennes'!$P$40)*'Sections rachis &amp; L pennes'!$L50*$J$70/100)</f>
        <v>1.6703249107237721</v>
      </c>
      <c r="I23" s="908" t="str">
        <f>IF('Sections rachis &amp; L pennes'!S22="","",($I$70+$I$71*$C23+$I$72*100*'Sections rachis &amp; L pennes'!S22/'Sections rachis &amp; L pennes'!$P$40)*'Sections rachis &amp; L pennes'!$L50*$J$70/100)</f>
        <v/>
      </c>
      <c r="J23" s="908" t="str">
        <f>IF('Sections rachis &amp; L pennes'!T22="","",($I$70+$I$71*$C23+$I$72*100*'Sections rachis &amp; L pennes'!T22/'Sections rachis &amp; L pennes'!$P$40)*'Sections rachis &amp; L pennes'!$L50*$J$70/100)</f>
        <v/>
      </c>
      <c r="K23" s="910">
        <f>IF('Sections rachis &amp; L pennes'!U22="","",($I$70+$I$71*$C23+$I$72*100*'Sections rachis &amp; L pennes'!U22/'Sections rachis &amp; L pennes'!$P$40)*'Sections rachis &amp; L pennes'!$L50*$J$70/100)</f>
        <v>1.6631881066589953</v>
      </c>
      <c r="L23" s="694"/>
      <c r="M23" s="911">
        <f>IF('Sections rachis &amp; L pennes'!V22="","",'Sections rachis &amp; L pennes'!V22)</f>
        <v>60</v>
      </c>
      <c r="N23" s="907">
        <f>IF('Sections rachis &amp; L pennes'!W22="","",($E$70+$E$71*$M23+$E$72*100*'Sections rachis &amp; L pennes'!W22/'Sections rachis &amp; L pennes'!$P$40)*'Sections rachis &amp; L pennes'!$L50*$F$70/100)</f>
        <v>2.4075595786440336</v>
      </c>
      <c r="O23" s="908">
        <f>IF('Sections rachis &amp; L pennes'!X22="","",($E$70+$E$71*$M23+$E$72*100*'Sections rachis &amp; L pennes'!X22/'Sections rachis &amp; L pennes'!$P$40)*'Sections rachis &amp; L pennes'!$L50*$F$70/100)</f>
        <v>2.3996267638771669</v>
      </c>
      <c r="P23" s="908" t="str">
        <f>IF('Sections rachis &amp; L pennes'!Y22="","",($E$70+$E$71*$M23+$E$72*100*'Sections rachis &amp; L pennes'!Y22/'Sections rachis &amp; L pennes'!$P$40)*'Sections rachis &amp; L pennes'!$L50*$F$70/100)</f>
        <v/>
      </c>
      <c r="Q23" s="909">
        <f>IF('Sections rachis &amp; L pennes'!Z22="","",($E$70+$E$71*$M23+$E$72*100*'Sections rachis &amp; L pennes'!Z22/'Sections rachis &amp; L pennes'!$P$40)*'Sections rachis &amp; L pennes'!$L50*$F$70/100)</f>
        <v>2.3938574440467182</v>
      </c>
      <c r="R23" s="907">
        <f>IF('Sections rachis &amp; L pennes'!W22="","",($I$70+$I$71*$M23+$I$72*100*'Sections rachis &amp; L pennes'!W22/'Sections rachis &amp; L pennes'!$P$40)*'Sections rachis &amp; L pennes'!$L50*$J$70/100)</f>
        <v>1.6907157794802772</v>
      </c>
      <c r="S23" s="908">
        <f>IF('Sections rachis &amp; L pennes'!X22="","",($I$70+$I$71*$M23+$I$72*100*'Sections rachis &amp; L pennes'!X22/'Sections rachis &amp; L pennes'!$P$40)*'Sections rachis &amp; L pennes'!$L50*$J$70/100)</f>
        <v>1.6795008016641992</v>
      </c>
      <c r="T23" s="908" t="str">
        <f>IF('Sections rachis &amp; L pennes'!Y22="","",($I$70+$I$71*$M23+$I$72*100*'Sections rachis &amp; L pennes'!Y22/'Sections rachis &amp; L pennes'!$P$40)*'Sections rachis &amp; L pennes'!$L50*$J$70/100)</f>
        <v/>
      </c>
      <c r="U23" s="910">
        <f>IF('Sections rachis &amp; L pennes'!Z22="","",($I$70+$I$71*$M23+$I$72*100*'Sections rachis &amp; L pennes'!Z22/'Sections rachis &amp; L pennes'!$P$40)*'Sections rachis &amp; L pennes'!$L50*$J$70/100)</f>
        <v>1.6713444541615972</v>
      </c>
    </row>
    <row r="24" spans="2:21" s="345" customFormat="1">
      <c r="C24" s="906">
        <f>IF('Sections rachis &amp; L pennes'!Q23="","",'Sections rachis &amp; L pennes'!Q23)</f>
        <v>70</v>
      </c>
      <c r="D24" s="907">
        <f>IF('Sections rachis &amp; L pennes'!R23="","",($E$70+$E$71*$C24+$E$72*100*'Sections rachis &amp; L pennes'!R23/'Sections rachis &amp; L pennes'!$P$40)*'Sections rachis &amp; L pennes'!$L51*$F$70/100)</f>
        <v>2.561997016660738</v>
      </c>
      <c r="E24" s="908" t="str">
        <f>IF('Sections rachis &amp; L pennes'!S23="","",($E$70+$E$71*$C24+$E$72*100*'Sections rachis &amp; L pennes'!S23/'Sections rachis &amp; L pennes'!$P$40)*'Sections rachis &amp; L pennes'!$L51*$F$70/100)</f>
        <v/>
      </c>
      <c r="F24" s="908" t="str">
        <f>IF('Sections rachis &amp; L pennes'!T23="","",($E$70+$E$71*$C24+$E$72*100*'Sections rachis &amp; L pennes'!T23/'Sections rachis &amp; L pennes'!$P$40)*'Sections rachis &amp; L pennes'!$L51*$F$70/100)</f>
        <v/>
      </c>
      <c r="G24" s="909">
        <f>IF('Sections rachis &amp; L pennes'!U23="","",($E$70+$E$71*$C24+$E$72*100*'Sections rachis &amp; L pennes'!U23/'Sections rachis &amp; L pennes'!$P$40)*'Sections rachis &amp; L pennes'!$L51*$F$70/100)</f>
        <v>2.5600712849493057</v>
      </c>
      <c r="H24" s="907">
        <f>IF('Sections rachis &amp; L pennes'!R23="","",($I$70+$I$71*$C24+$I$72*100*'Sections rachis &amp; L pennes'!R23/'Sections rachis &amp; L pennes'!$P$40)*'Sections rachis &amp; L pennes'!$L51*$J$70/100)</f>
        <v>1.8337683183721831</v>
      </c>
      <c r="I24" s="908" t="str">
        <f>IF('Sections rachis &amp; L pennes'!S23="","",($I$70+$I$71*$C24+$I$72*100*'Sections rachis &amp; L pennes'!S23/'Sections rachis &amp; L pennes'!$P$40)*'Sections rachis &amp; L pennes'!$L51*$J$70/100)</f>
        <v/>
      </c>
      <c r="J24" s="908" t="str">
        <f>IF('Sections rachis &amp; L pennes'!T23="","",($I$70+$I$71*$C24+$I$72*100*'Sections rachis &amp; L pennes'!T23/'Sections rachis &amp; L pennes'!$P$40)*'Sections rachis &amp; L pennes'!$L51*$J$70/100)</f>
        <v/>
      </c>
      <c r="K24" s="910">
        <f>IF('Sections rachis &amp; L pennes'!U23="","",($I$70+$I$71*$C24+$I$72*100*'Sections rachis &amp; L pennes'!U23/'Sections rachis &amp; L pennes'!$P$40)*'Sections rachis &amp; L pennes'!$L51*$J$70/100)</f>
        <v>1.8310458246473027</v>
      </c>
      <c r="L24" s="694"/>
      <c r="M24" s="911">
        <f>IF('Sections rachis &amp; L pennes'!V23="","",'Sections rachis &amp; L pennes'!V23)</f>
        <v>70</v>
      </c>
      <c r="N24" s="907">
        <f>IF('Sections rachis &amp; L pennes'!W23="","",($E$70+$E$71*$M24+$E$72*100*'Sections rachis &amp; L pennes'!W23/'Sections rachis &amp; L pennes'!$P$40)*'Sections rachis &amp; L pennes'!$L51*$F$70/100)</f>
        <v>2.536962504412116</v>
      </c>
      <c r="O24" s="908" t="str">
        <f>IF('Sections rachis &amp; L pennes'!X23="","",($E$70+$E$71*$M24+$E$72*100*'Sections rachis &amp; L pennes'!X23/'Sections rachis &amp; L pennes'!$P$40)*'Sections rachis &amp; L pennes'!$L51*$F$70/100)</f>
        <v/>
      </c>
      <c r="P24" s="908" t="str">
        <f>IF('Sections rachis &amp; L pennes'!Y23="","",($E$70+$E$71*$M24+$E$72*100*'Sections rachis &amp; L pennes'!Y23/'Sections rachis &amp; L pennes'!$P$40)*'Sections rachis &amp; L pennes'!$L51*$F$70/100)</f>
        <v/>
      </c>
      <c r="Q24" s="909">
        <f>IF('Sections rachis &amp; L pennes'!Z23="","",($E$70+$E$71*$M24+$E$72*100*'Sections rachis &amp; L pennes'!Z23/'Sections rachis &amp; L pennes'!$P$40)*'Sections rachis &amp; L pennes'!$L51*$F$70/100)</f>
        <v>2.5228404718616111</v>
      </c>
      <c r="R24" s="907">
        <f>IF('Sections rachis &amp; L pennes'!W23="","",($I$70+$I$71*$M24+$I$72*100*'Sections rachis &amp; L pennes'!W23/'Sections rachis &amp; L pennes'!$P$40)*'Sections rachis &amp; L pennes'!$L51*$J$70/100)</f>
        <v>1.798375899948738</v>
      </c>
      <c r="S24" s="908" t="str">
        <f>IF('Sections rachis &amp; L pennes'!X23="","",($I$70+$I$71*$M24+$I$72*100*'Sections rachis &amp; L pennes'!X23/'Sections rachis &amp; L pennes'!$P$40)*'Sections rachis &amp; L pennes'!$L51*$J$70/100)</f>
        <v/>
      </c>
      <c r="T24" s="908" t="str">
        <f>IF('Sections rachis &amp; L pennes'!Y23="","",($I$70+$I$71*$M24+$I$72*100*'Sections rachis &amp; L pennes'!Y23/'Sections rachis &amp; L pennes'!$P$40)*'Sections rachis &amp; L pennes'!$L51*$J$70/100)</f>
        <v/>
      </c>
      <c r="U24" s="910">
        <f>IF('Sections rachis &amp; L pennes'!Z23="","",($I$70+$I$71*$M24+$I$72*100*'Sections rachis &amp; L pennes'!Z23/'Sections rachis &amp; L pennes'!$P$40)*'Sections rachis &amp; L pennes'!$L51*$J$70/100)</f>
        <v>1.7784109459662816</v>
      </c>
    </row>
    <row r="25" spans="2:21" s="345" customFormat="1">
      <c r="C25" s="906">
        <f>IF('Sections rachis &amp; L pennes'!Q24="","",'Sections rachis &amp; L pennes'!Q24)</f>
        <v>80</v>
      </c>
      <c r="D25" s="907">
        <f>IF('Sections rachis &amp; L pennes'!R24="","",($E$70+$E$71*$C25+$E$72*100*'Sections rachis &amp; L pennes'!R24/'Sections rachis &amp; L pennes'!$P$40)*'Sections rachis &amp; L pennes'!$L52*$F$70/100)</f>
        <v>2.5027060187564518</v>
      </c>
      <c r="E25" s="908" t="str">
        <f>IF('Sections rachis &amp; L pennes'!S24="","",($E$70+$E$71*$C25+$E$72*100*'Sections rachis &amp; L pennes'!S24/'Sections rachis &amp; L pennes'!$P$40)*'Sections rachis &amp; L pennes'!$L52*$F$70/100)</f>
        <v/>
      </c>
      <c r="F25" s="908" t="str">
        <f>IF('Sections rachis &amp; L pennes'!T24="","",($E$70+$E$71*$C25+$E$72*100*'Sections rachis &amp; L pennes'!T24/'Sections rachis &amp; L pennes'!$P$40)*'Sections rachis &amp; L pennes'!$L52*$F$70/100)</f>
        <v/>
      </c>
      <c r="G25" s="909">
        <f>IF('Sections rachis &amp; L pennes'!U24="","",($E$70+$E$71*$C25+$E$72*100*'Sections rachis &amp; L pennes'!U24/'Sections rachis &amp; L pennes'!$P$40)*'Sections rachis &amp; L pennes'!$L52*$F$70/100)</f>
        <v>2.4926079901780018</v>
      </c>
      <c r="H25" s="907">
        <f>IF('Sections rachis &amp; L pennes'!R24="","",($I$70+$I$71*$C25+$I$72*100*'Sections rachis &amp; L pennes'!R24/'Sections rachis &amp; L pennes'!$P$40)*'Sections rachis &amp; L pennes'!$L52*$J$70/100)</f>
        <v>1.8394038302771809</v>
      </c>
      <c r="I25" s="908" t="str">
        <f>IF('Sections rachis &amp; L pennes'!S24="","",($I$70+$I$71*$C25+$I$72*100*'Sections rachis &amp; L pennes'!S24/'Sections rachis &amp; L pennes'!$P$40)*'Sections rachis &amp; L pennes'!$L52*$J$70/100)</f>
        <v/>
      </c>
      <c r="J25" s="908" t="str">
        <f>IF('Sections rachis &amp; L pennes'!T24="","",($I$70+$I$71*$C25+$I$72*100*'Sections rachis &amp; L pennes'!T24/'Sections rachis &amp; L pennes'!$P$40)*'Sections rachis &amp; L pennes'!$L52*$J$70/100)</f>
        <v/>
      </c>
      <c r="K25" s="910">
        <f>IF('Sections rachis &amp; L pennes'!U24="","",($I$70+$I$71*$C25+$I$72*100*'Sections rachis &amp; L pennes'!U24/'Sections rachis &amp; L pennes'!$P$40)*'Sections rachis &amp; L pennes'!$L52*$J$70/100)</f>
        <v>1.8251277920963267</v>
      </c>
      <c r="L25" s="694"/>
      <c r="M25" s="911">
        <f>IF('Sections rachis &amp; L pennes'!V24="","",'Sections rachis &amp; L pennes'!V24)</f>
        <v>80</v>
      </c>
      <c r="N25" s="907">
        <f>IF('Sections rachis &amp; L pennes'!W24="","",($E$70+$E$71*$M25+$E$72*100*'Sections rachis &amp; L pennes'!W24/'Sections rachis &amp; L pennes'!$P$40)*'Sections rachis &amp; L pennes'!$L52*$F$70/100)</f>
        <v>2.4617824292543129</v>
      </c>
      <c r="O25" s="908">
        <f>IF('Sections rachis &amp; L pennes'!X24="","",($E$70+$E$71*$M25+$E$72*100*'Sections rachis &amp; L pennes'!X24/'Sections rachis &amp; L pennes'!$P$40)*'Sections rachis &amp; L pennes'!$L52*$F$70/100)</f>
        <v>2.4686916067027256</v>
      </c>
      <c r="P25" s="908" t="str">
        <f>IF('Sections rachis &amp; L pennes'!Y24="","",($E$70+$E$71*$M25+$E$72*100*'Sections rachis &amp; L pennes'!Y24/'Sections rachis &amp; L pennes'!$P$40)*'Sections rachis &amp; L pennes'!$L52*$F$70/100)</f>
        <v/>
      </c>
      <c r="Q25" s="909">
        <f>IF('Sections rachis &amp; L pennes'!Z24="","",($E$70+$E$71*$M25+$E$72*100*'Sections rachis &amp; L pennes'!Z24/'Sections rachis &amp; L pennes'!$P$40)*'Sections rachis &amp; L pennes'!$L52*$F$70/100)</f>
        <v>2.4729434082094417</v>
      </c>
      <c r="R25" s="907">
        <f>IF('Sections rachis &amp; L pennes'!W24="","",($I$70+$I$71*$M25+$I$72*100*'Sections rachis &amp; L pennes'!W24/'Sections rachis &amp; L pennes'!$P$40)*'Sections rachis &amp; L pennes'!$L52*$J$70/100)</f>
        <v>1.7815483071231915</v>
      </c>
      <c r="S25" s="908">
        <f>IF('Sections rachis &amp; L pennes'!X24="","",($I$70+$I$71*$M25+$I$72*100*'Sections rachis &amp; L pennes'!X24/'Sections rachis &amp; L pennes'!$P$40)*'Sections rachis &amp; L pennes'!$L52*$J$70/100)</f>
        <v>1.7913161227206182</v>
      </c>
      <c r="T25" s="908" t="str">
        <f>IF('Sections rachis &amp; L pennes'!Y24="","",($I$70+$I$71*$M25+$I$72*100*'Sections rachis &amp; L pennes'!Y24/'Sections rachis &amp; L pennes'!$P$40)*'Sections rachis &amp; L pennes'!$L52*$J$70/100)</f>
        <v/>
      </c>
      <c r="U25" s="910">
        <f>IF('Sections rachis &amp; L pennes'!Z24="","",($I$70+$I$71*$M25+$I$72*100*'Sections rachis &amp; L pennes'!Z24/'Sections rachis &amp; L pennes'!$P$40)*'Sections rachis &amp; L pennes'!$L52*$J$70/100)</f>
        <v>1.7973270861651887</v>
      </c>
    </row>
    <row r="26" spans="2:21" s="345" customFormat="1" ht="13.5" thickBot="1">
      <c r="C26" s="912">
        <f>IF('Sections rachis &amp; L pennes'!Q25="","",'Sections rachis &amp; L pennes'!Q25)</f>
        <v>90</v>
      </c>
      <c r="D26" s="913" t="str">
        <f>IF('Sections rachis &amp; L pennes'!R25="","",($E$70+$E$71*$C26+$E$72*100*'Sections rachis &amp; L pennes'!R25/'Sections rachis &amp; L pennes'!$P$40)*'Sections rachis &amp; L pennes'!$L53*$F$70/100)</f>
        <v/>
      </c>
      <c r="E26" s="914">
        <f>IF('Sections rachis &amp; L pennes'!S25="","",($E$70+$E$71*$C26+$E$72*100*'Sections rachis &amp; L pennes'!S25/'Sections rachis &amp; L pennes'!$P$40)*'Sections rachis &amp; L pennes'!$L53*$F$70/100)</f>
        <v>2.0336971660378977</v>
      </c>
      <c r="F26" s="914" t="str">
        <f>IF('Sections rachis &amp; L pennes'!T25="","",($E$70+$E$71*$C26+$E$72*100*'Sections rachis &amp; L pennes'!T25/'Sections rachis &amp; L pennes'!$P$40)*'Sections rachis &amp; L pennes'!$L53*$F$70/100)</f>
        <v/>
      </c>
      <c r="G26" s="915" t="str">
        <f>IF('Sections rachis &amp; L pennes'!U25="","",($E$70+$E$71*$C26+$E$72*100*'Sections rachis &amp; L pennes'!U25/'Sections rachis &amp; L pennes'!$P$40)*'Sections rachis &amp; L pennes'!$L53*$F$70/100)</f>
        <v/>
      </c>
      <c r="H26" s="913" t="str">
        <f>IF('Sections rachis &amp; L pennes'!R25="","",($I$70+$I$71*$C26+$I$72*100*'Sections rachis &amp; L pennes'!R25/'Sections rachis &amp; L pennes'!$P$40)*'Sections rachis &amp; L pennes'!$L53*$J$70/100)</f>
        <v/>
      </c>
      <c r="I26" s="914">
        <f>IF('Sections rachis &amp; L pennes'!S25="","",($I$70+$I$71*$C26+$I$72*100*'Sections rachis &amp; L pennes'!S25/'Sections rachis &amp; L pennes'!$P$40)*'Sections rachis &amp; L pennes'!$L53*$J$70/100)</f>
        <v>1.523926931258522</v>
      </c>
      <c r="J26" s="914" t="str">
        <f>IF('Sections rachis &amp; L pennes'!T25="","",($I$70+$I$71*$C26+$I$72*100*'Sections rachis &amp; L pennes'!T25/'Sections rachis &amp; L pennes'!$P$40)*'Sections rachis &amp; L pennes'!$L53*$J$70/100)</f>
        <v/>
      </c>
      <c r="K26" s="916" t="str">
        <f>IF('Sections rachis &amp; L pennes'!U25="","",($I$70+$I$71*$C26+$I$72*100*'Sections rachis &amp; L pennes'!U25/'Sections rachis &amp; L pennes'!$P$40)*'Sections rachis &amp; L pennes'!$L53*$J$70/100)</f>
        <v/>
      </c>
      <c r="L26" s="694"/>
      <c r="M26" s="917">
        <f>IF('Sections rachis &amp; L pennes'!V25="","",'Sections rachis &amp; L pennes'!V25)</f>
        <v>90</v>
      </c>
      <c r="N26" s="913" t="str">
        <f>IF('Sections rachis &amp; L pennes'!W25="","",($E$70+$E$71*$M26+$E$72*100*'Sections rachis &amp; L pennes'!W25/'Sections rachis &amp; L pennes'!$P$40)*'Sections rachis &amp; L pennes'!$L53*$F$70/100)</f>
        <v/>
      </c>
      <c r="O26" s="914">
        <f>IF('Sections rachis &amp; L pennes'!X25="","",($E$70+$E$71*$M26+$E$72*100*'Sections rachis &amp; L pennes'!X25/'Sections rachis &amp; L pennes'!$P$40)*'Sections rachis &amp; L pennes'!$L53*$F$70/100)</f>
        <v>2.0172140709569906</v>
      </c>
      <c r="P26" s="914" t="str">
        <f>IF('Sections rachis &amp; L pennes'!Y25="","",($E$70+$E$71*$M26+$E$72*100*'Sections rachis &amp; L pennes'!Y25/'Sections rachis &amp; L pennes'!$P$40)*'Sections rachis &amp; L pennes'!$L53*$F$70/100)</f>
        <v/>
      </c>
      <c r="Q26" s="915" t="str">
        <f>IF('Sections rachis &amp; L pennes'!Z25="","",($E$70+$E$71*$M26+$E$72*100*'Sections rachis &amp; L pennes'!Z25/'Sections rachis &amp; L pennes'!$P$40)*'Sections rachis &amp; L pennes'!$L53*$F$70/100)</f>
        <v/>
      </c>
      <c r="R26" s="913" t="str">
        <f>IF('Sections rachis &amp; L pennes'!W25="","",($I$70+$I$71*$M26+$I$72*100*'Sections rachis &amp; L pennes'!W25/'Sections rachis &amp; L pennes'!$P$40)*'Sections rachis &amp; L pennes'!$L53*$J$70/100)</f>
        <v/>
      </c>
      <c r="S26" s="914">
        <f>IF('Sections rachis &amp; L pennes'!X25="","",($I$70+$I$71*$M26+$I$72*100*'Sections rachis &amp; L pennes'!X25/'Sections rachis &amp; L pennes'!$P$40)*'Sections rachis &amp; L pennes'!$L53*$J$70/100)</f>
        <v>1.5006240367494028</v>
      </c>
      <c r="T26" s="914" t="str">
        <f>IF('Sections rachis &amp; L pennes'!Y25="","",($I$70+$I$71*$M26+$I$72*100*'Sections rachis &amp; L pennes'!Y25/'Sections rachis &amp; L pennes'!$P$40)*'Sections rachis &amp; L pennes'!$L53*$J$70/100)</f>
        <v/>
      </c>
      <c r="U26" s="916" t="str">
        <f>IF('Sections rachis &amp; L pennes'!Z25="","",($I$70+$I$71*$M26+$I$72*100*'Sections rachis &amp; L pennes'!Z25/'Sections rachis &amp; L pennes'!$P$40)*'Sections rachis &amp; L pennes'!$L53*$J$70/100)</f>
        <v/>
      </c>
    </row>
    <row r="27" spans="2:21" s="345" customFormat="1" ht="13.5" customHeight="1">
      <c r="B27" s="648" t="s">
        <v>1247</v>
      </c>
      <c r="C27" s="918">
        <f>IF('Sections rachis &amp; L pennes'!Q26="","",'Sections rachis &amp; L pennes'!Q26)</f>
        <v>97.59213759213759</v>
      </c>
      <c r="D27" s="651"/>
      <c r="E27" s="630">
        <v>1.9</v>
      </c>
      <c r="F27" s="630"/>
      <c r="G27" s="652"/>
      <c r="H27" s="919"/>
      <c r="I27" s="630">
        <v>1.4</v>
      </c>
      <c r="J27" s="630"/>
      <c r="K27" s="630"/>
      <c r="L27" s="648" t="s">
        <v>1247</v>
      </c>
      <c r="M27" s="920">
        <f>IF('Sections rachis &amp; L pennes'!V26="","",'Sections rachis &amp; L pennes'!V26)</f>
        <v>97.54299754299754</v>
      </c>
      <c r="N27" s="651"/>
      <c r="O27" s="630">
        <v>1.9</v>
      </c>
      <c r="P27" s="630"/>
      <c r="Q27" s="652"/>
      <c r="R27" s="651"/>
      <c r="S27" s="630">
        <v>1.4</v>
      </c>
      <c r="T27" s="630"/>
      <c r="U27" s="652"/>
    </row>
    <row r="28" spans="2:21" s="345" customFormat="1" ht="13.5" customHeight="1">
      <c r="B28" s="653" t="s">
        <v>1248</v>
      </c>
      <c r="C28" s="921">
        <f>IF('Sections rachis &amp; L pennes'!Q27="","",'Sections rachis &amp; L pennes'!Q27)</f>
        <v>98.599508599508596</v>
      </c>
      <c r="D28" s="397"/>
      <c r="E28" s="632">
        <v>1.5</v>
      </c>
      <c r="F28" s="632"/>
      <c r="G28" s="398"/>
      <c r="H28" s="922"/>
      <c r="I28" s="632">
        <v>1.3</v>
      </c>
      <c r="J28" s="632"/>
      <c r="K28" s="632"/>
      <c r="L28" s="653" t="s">
        <v>1248</v>
      </c>
      <c r="M28" s="923">
        <f>IF('Sections rachis &amp; L pennes'!V27="","",'Sections rachis &amp; L pennes'!V27)</f>
        <v>97.960687960687963</v>
      </c>
      <c r="N28" s="397"/>
      <c r="O28" s="632">
        <v>1.5</v>
      </c>
      <c r="P28" s="632"/>
      <c r="Q28" s="398"/>
      <c r="R28" s="397"/>
      <c r="S28" s="632">
        <v>1.3</v>
      </c>
      <c r="T28" s="632"/>
      <c r="U28" s="398"/>
    </row>
    <row r="29" spans="2:21" s="345" customFormat="1" ht="13.5" customHeight="1">
      <c r="B29" s="653" t="s">
        <v>1249</v>
      </c>
      <c r="C29" s="921">
        <f>IF('Sections rachis &amp; L pennes'!Q28="","",'Sections rachis &amp; L pennes'!Q28)</f>
        <v>99.017199017199019</v>
      </c>
      <c r="D29" s="397"/>
      <c r="E29" s="632">
        <v>1.5</v>
      </c>
      <c r="F29" s="632"/>
      <c r="G29" s="398"/>
      <c r="H29" s="922"/>
      <c r="I29" s="632">
        <v>1.1000000000000001</v>
      </c>
      <c r="J29" s="632"/>
      <c r="K29" s="632"/>
      <c r="L29" s="653" t="s">
        <v>1249</v>
      </c>
      <c r="M29" s="923">
        <f>IF('Sections rachis &amp; L pennes'!V28="","",'Sections rachis &amp; L pennes'!V28)</f>
        <v>99.017199017199019</v>
      </c>
      <c r="N29" s="397"/>
      <c r="O29" s="632">
        <v>1.5</v>
      </c>
      <c r="P29" s="632"/>
      <c r="Q29" s="398"/>
      <c r="R29" s="397"/>
      <c r="S29" s="632">
        <v>1.1000000000000001</v>
      </c>
      <c r="T29" s="632"/>
      <c r="U29" s="398"/>
    </row>
    <row r="30" spans="2:21" s="345" customFormat="1" ht="13.5" customHeight="1">
      <c r="B30" s="653" t="s">
        <v>1251</v>
      </c>
      <c r="C30" s="921">
        <f>IF('Sections rachis &amp; L pennes'!Q29="","",'Sections rachis &amp; L pennes'!Q29)</f>
        <v>99.656019656019652</v>
      </c>
      <c r="D30" s="397"/>
      <c r="E30" s="632">
        <v>1.4</v>
      </c>
      <c r="F30" s="632"/>
      <c r="G30" s="398"/>
      <c r="H30" s="922"/>
      <c r="I30" s="632">
        <v>0.75</v>
      </c>
      <c r="J30" s="632"/>
      <c r="K30" s="632"/>
      <c r="L30" s="653" t="s">
        <v>1251</v>
      </c>
      <c r="M30" s="923">
        <f>IF('Sections rachis &amp; L pennes'!V29="","",'Sections rachis &amp; L pennes'!V29)</f>
        <v>99.631449631449627</v>
      </c>
      <c r="N30" s="397"/>
      <c r="O30" s="632">
        <v>1.4</v>
      </c>
      <c r="P30" s="632"/>
      <c r="Q30" s="398"/>
      <c r="R30" s="397"/>
      <c r="S30" s="632">
        <v>0.75</v>
      </c>
      <c r="T30" s="632"/>
      <c r="U30" s="398"/>
    </row>
    <row r="31" spans="2:21" s="345" customFormat="1" ht="13.5" customHeight="1" thickBot="1">
      <c r="B31" s="799" t="s">
        <v>1252</v>
      </c>
      <c r="C31" s="659">
        <f>IF('Sections rachis &amp; L pennes'!Q30="","",'Sections rachis &amp; L pennes'!Q30)</f>
        <v>99.877149877149876</v>
      </c>
      <c r="D31" s="387"/>
      <c r="E31" s="642">
        <v>1.2</v>
      </c>
      <c r="F31" s="642"/>
      <c r="G31" s="388"/>
      <c r="H31" s="924"/>
      <c r="I31" s="642">
        <v>0.5</v>
      </c>
      <c r="J31" s="642"/>
      <c r="K31" s="642"/>
      <c r="L31" s="799" t="s">
        <v>1252</v>
      </c>
      <c r="M31" s="659">
        <f>IF('Sections rachis &amp; L pennes'!V30="","",'Sections rachis &amp; L pennes'!V30)</f>
        <v>99.975429975429975</v>
      </c>
      <c r="N31" s="387"/>
      <c r="O31" s="642">
        <v>1.2</v>
      </c>
      <c r="P31" s="642"/>
      <c r="Q31" s="388"/>
      <c r="R31" s="387"/>
      <c r="S31" s="642">
        <v>0.5</v>
      </c>
      <c r="T31" s="642"/>
      <c r="U31" s="388"/>
    </row>
    <row r="32" spans="2:21" s="345" customFormat="1" ht="13.5" customHeight="1" thickBot="1">
      <c r="B32" s="660" t="s">
        <v>1254</v>
      </c>
      <c r="C32" s="925">
        <f>IF('Sections rachis &amp; L pennes'!Q31="","",'Sections rachis &amp; L pennes'!Q31)</f>
        <v>100</v>
      </c>
      <c r="D32" s="662"/>
      <c r="E32" s="662">
        <v>0.9</v>
      </c>
      <c r="F32" s="662"/>
      <c r="G32" s="926"/>
      <c r="H32" s="927"/>
      <c r="I32" s="664">
        <v>0.4</v>
      </c>
      <c r="J32" s="664"/>
      <c r="K32" s="928"/>
      <c r="L32" s="660" t="s">
        <v>1254</v>
      </c>
      <c r="M32" s="929" t="str">
        <f>IF('Sections rachis &amp; L pennes'!V31="","",'Sections rachis &amp; L pennes'!V31)</f>
        <v>XXX</v>
      </c>
      <c r="N32" s="663"/>
      <c r="O32" s="662"/>
      <c r="P32" s="664"/>
      <c r="Q32" s="665"/>
      <c r="R32" s="663"/>
      <c r="S32" s="662"/>
      <c r="T32" s="664"/>
      <c r="U32" s="665"/>
    </row>
    <row r="33" spans="1:21" s="345" customFormat="1" ht="13.5" customHeight="1"/>
    <row r="34" spans="1:21" s="345" customFormat="1" ht="13.5" customHeight="1"/>
    <row r="35" spans="1:21" s="345" customFormat="1" ht="13.5" customHeight="1"/>
    <row r="36" spans="1:21" s="345" customFormat="1" ht="13.5" customHeight="1">
      <c r="F36" s="930"/>
    </row>
    <row r="37" spans="1:21" s="345" customFormat="1" ht="13.5" customHeight="1">
      <c r="B37" s="1323" t="s">
        <v>1102</v>
      </c>
      <c r="C37" s="1323"/>
      <c r="D37" s="1323"/>
      <c r="E37" s="1323"/>
      <c r="F37" s="1323"/>
      <c r="G37" s="1322" t="str">
        <f>IF('Stipe=phyllotaxie&amp;croissance'!$E$11&gt;0,'Stipe=phyllotaxie&amp;croissance'!$E$11,"")</f>
        <v>Rochdi</v>
      </c>
      <c r="H37" s="1322"/>
      <c r="I37" s="1323" t="s">
        <v>1103</v>
      </c>
      <c r="J37" s="1323"/>
      <c r="K37" s="1323"/>
      <c r="L37" s="1323"/>
      <c r="M37" s="1512" t="str">
        <f>IF('Stipe=phyllotaxie&amp;croissance'!$E$10&gt;0,'Stipe=phyllotaxie&amp;croissance'!$E$10,"")</f>
        <v>01</v>
      </c>
      <c r="N37" s="1512"/>
    </row>
    <row r="38" spans="1:21" s="345" customFormat="1" ht="13.5" customHeight="1"/>
    <row r="39" spans="1:21" s="345" customFormat="1" ht="13.5" customHeight="1">
      <c r="A39" s="379"/>
      <c r="C39" s="1319" t="s">
        <v>1367</v>
      </c>
      <c r="D39" s="1319"/>
      <c r="E39" s="1319"/>
      <c r="F39" s="1319"/>
      <c r="G39" s="1319"/>
      <c r="H39" s="1319"/>
      <c r="I39" s="1319"/>
      <c r="J39" s="446"/>
      <c r="K39" s="446"/>
      <c r="L39" s="379"/>
    </row>
    <row r="40" spans="1:21" s="345" customFormat="1" ht="13.5" customHeight="1" thickBot="1"/>
    <row r="41" spans="1:21" s="345" customFormat="1" ht="13.5" customHeight="1" thickBot="1">
      <c r="C41" s="1498" t="s">
        <v>1229</v>
      </c>
      <c r="D41" s="1499"/>
      <c r="E41" s="1513"/>
      <c r="F41" s="577">
        <f>IF('Folioles=disposition&amp;groupes'!$P$7&gt;0,'Folioles=disposition&amp;groupes'!$P$7,"")</f>
        <v>83</v>
      </c>
    </row>
    <row r="42" spans="1:21" s="345" customFormat="1" ht="13.5" customHeight="1"/>
    <row r="43" spans="1:21" s="345" customFormat="1" ht="13.5" customHeight="1">
      <c r="B43" s="582"/>
      <c r="C43" s="1514" t="s">
        <v>1289</v>
      </c>
      <c r="D43" s="1514"/>
      <c r="E43" s="1514"/>
    </row>
    <row r="44" spans="1:21" s="345" customFormat="1" ht="13.5" customHeight="1" thickBot="1">
      <c r="B44" s="582"/>
      <c r="C44" s="580"/>
      <c r="D44" s="580"/>
      <c r="E44" s="580"/>
    </row>
    <row r="45" spans="1:21" s="345" customFormat="1" ht="13.5" customHeight="1" thickBot="1">
      <c r="C45" s="1515" t="s">
        <v>1233</v>
      </c>
      <c r="D45" s="1609" t="s">
        <v>1237</v>
      </c>
      <c r="E45" s="1610"/>
      <c r="F45" s="1610"/>
      <c r="G45" s="1610"/>
      <c r="H45" s="1610"/>
      <c r="I45" s="1610"/>
      <c r="J45" s="1610"/>
      <c r="K45" s="1262"/>
      <c r="M45" s="1515" t="s">
        <v>1233</v>
      </c>
      <c r="N45" s="1609" t="s">
        <v>1238</v>
      </c>
      <c r="O45" s="1610"/>
      <c r="P45" s="1610"/>
      <c r="Q45" s="1610"/>
      <c r="R45" s="1610"/>
      <c r="S45" s="1610"/>
      <c r="T45" s="1610"/>
      <c r="U45" s="1262"/>
    </row>
    <row r="46" spans="1:21" s="345" customFormat="1" ht="13.5" customHeight="1" thickBot="1">
      <c r="C46" s="1608"/>
      <c r="D46" s="1611" t="s">
        <v>1290</v>
      </c>
      <c r="E46" s="1521"/>
      <c r="F46" s="1521"/>
      <c r="G46" s="1522"/>
      <c r="H46" s="1520" t="s">
        <v>1291</v>
      </c>
      <c r="I46" s="1521"/>
      <c r="J46" s="1521"/>
      <c r="K46" s="1522"/>
      <c r="M46" s="1608"/>
      <c r="N46" s="1611" t="s">
        <v>1290</v>
      </c>
      <c r="O46" s="1521"/>
      <c r="P46" s="1521"/>
      <c r="Q46" s="1522"/>
      <c r="R46" s="1520" t="s">
        <v>1291</v>
      </c>
      <c r="S46" s="1521"/>
      <c r="T46" s="1521"/>
      <c r="U46" s="1522"/>
    </row>
    <row r="47" spans="1:21" s="345" customFormat="1" ht="13.5" customHeight="1" thickBot="1">
      <c r="C47" s="1608"/>
      <c r="D47" s="584" t="s">
        <v>1239</v>
      </c>
      <c r="E47" s="585" t="s">
        <v>1240</v>
      </c>
      <c r="F47" s="585" t="s">
        <v>1240</v>
      </c>
      <c r="G47" s="586" t="s">
        <v>1241</v>
      </c>
      <c r="H47" s="584" t="s">
        <v>1239</v>
      </c>
      <c r="I47" s="585" t="s">
        <v>1240</v>
      </c>
      <c r="J47" s="585" t="s">
        <v>1240</v>
      </c>
      <c r="K47" s="586" t="s">
        <v>1241</v>
      </c>
      <c r="M47" s="1608"/>
      <c r="N47" s="584" t="s">
        <v>1239</v>
      </c>
      <c r="O47" s="585" t="s">
        <v>1240</v>
      </c>
      <c r="P47" s="585" t="s">
        <v>1240</v>
      </c>
      <c r="Q47" s="586" t="s">
        <v>1241</v>
      </c>
      <c r="R47" s="584" t="s">
        <v>1239</v>
      </c>
      <c r="S47" s="585" t="s">
        <v>1240</v>
      </c>
      <c r="T47" s="585" t="s">
        <v>1240</v>
      </c>
      <c r="U47" s="586" t="s">
        <v>1241</v>
      </c>
    </row>
    <row r="48" spans="1:21" s="345" customFormat="1" ht="13.5" customHeight="1">
      <c r="B48" s="595" t="s">
        <v>1243</v>
      </c>
      <c r="C48" s="890">
        <f>IF('Sections rachis &amp; L pennes'!AC13="","",'Sections rachis &amp; L pennes'!AC13)</f>
        <v>5.3228419347373288</v>
      </c>
      <c r="D48" s="597">
        <v>0.16300000000000001</v>
      </c>
      <c r="E48" s="598"/>
      <c r="F48" s="598"/>
      <c r="G48" s="599"/>
      <c r="H48" s="597">
        <v>0.14399999999999999</v>
      </c>
      <c r="I48" s="598"/>
      <c r="J48" s="598"/>
      <c r="K48" s="599"/>
      <c r="L48" s="931" t="s">
        <v>1243</v>
      </c>
      <c r="M48" s="890">
        <f>IF('Sections rachis &amp; L pennes'!AH13="","",'Sections rachis &amp; L pennes'!AH13)</f>
        <v>5.5542698449432999</v>
      </c>
      <c r="N48" s="597">
        <v>0.17</v>
      </c>
      <c r="O48" s="598"/>
      <c r="P48" s="598"/>
      <c r="Q48" s="599"/>
      <c r="R48" s="597">
        <v>0.13800000000000001</v>
      </c>
      <c r="S48" s="598"/>
      <c r="T48" s="598"/>
      <c r="U48" s="599"/>
    </row>
    <row r="49" spans="2:21" s="345" customFormat="1" ht="13.5" customHeight="1">
      <c r="B49" s="609" t="s">
        <v>1244</v>
      </c>
      <c r="C49" s="894">
        <f>IF('Sections rachis &amp; L pennes'!AC14="","",'Sections rachis &amp; L pennes'!AC14)</f>
        <v>26.429067345521869</v>
      </c>
      <c r="D49" s="611">
        <v>0.38100000000000001</v>
      </c>
      <c r="E49" s="612"/>
      <c r="F49" s="612"/>
      <c r="G49" s="613"/>
      <c r="H49" s="611">
        <v>0.34300000000000003</v>
      </c>
      <c r="I49" s="612"/>
      <c r="J49" s="612"/>
      <c r="K49" s="613"/>
      <c r="L49" s="367" t="s">
        <v>1244</v>
      </c>
      <c r="M49" s="894">
        <f>IF('Sections rachis &amp; L pennes'!AH14="","",'Sections rachis &amp; L pennes'!AH14)</f>
        <v>25.757926405924554</v>
      </c>
      <c r="N49" s="611"/>
      <c r="O49" s="612"/>
      <c r="P49" s="612"/>
      <c r="Q49" s="613">
        <v>0.41799999999999998</v>
      </c>
      <c r="R49" s="611"/>
      <c r="S49" s="612"/>
      <c r="T49" s="612"/>
      <c r="U49" s="613">
        <v>0.34699999999999998</v>
      </c>
    </row>
    <row r="50" spans="2:21" s="345" customFormat="1" ht="13.5" customHeight="1" thickBot="1">
      <c r="B50" s="620" t="s">
        <v>1245</v>
      </c>
      <c r="C50" s="897">
        <f>IF('Sections rachis &amp; L pennes'!AC15="","",'Sections rachis &amp; L pennes'!AC15)</f>
        <v>26.799352001851421</v>
      </c>
      <c r="D50" s="626"/>
      <c r="E50" s="627"/>
      <c r="F50" s="627"/>
      <c r="G50" s="629">
        <v>0.45600000000000002</v>
      </c>
      <c r="H50" s="626"/>
      <c r="I50" s="627"/>
      <c r="J50" s="627"/>
      <c r="K50" s="629">
        <v>0.377</v>
      </c>
      <c r="L50" s="932" t="s">
        <v>1245</v>
      </c>
      <c r="M50" s="897">
        <f>IF('Sections rachis &amp; L pennes'!AH15="","",'Sections rachis &amp; L pennes'!AH15)</f>
        <v>27.794492015737095</v>
      </c>
      <c r="N50" s="626">
        <v>0.52500000000000002</v>
      </c>
      <c r="O50" s="627"/>
      <c r="P50" s="627"/>
      <c r="Q50" s="629"/>
      <c r="R50" s="626">
        <v>0.41</v>
      </c>
      <c r="S50" s="627"/>
      <c r="T50" s="627"/>
      <c r="U50" s="629"/>
    </row>
    <row r="51" spans="2:21" s="345" customFormat="1" ht="13.5" customHeight="1">
      <c r="C51" s="900" t="str">
        <f>IF('Sections rachis &amp; L pennes'!AC16="","",'Sections rachis &amp; L pennes'!AC16)</f>
        <v/>
      </c>
      <c r="D51" s="901"/>
      <c r="E51" s="902"/>
      <c r="F51" s="902"/>
      <c r="G51" s="903"/>
      <c r="H51" s="901"/>
      <c r="I51" s="902"/>
      <c r="J51" s="902"/>
      <c r="K51" s="904"/>
      <c r="L51" s="694"/>
      <c r="M51" s="900" t="str">
        <f>IF('Sections rachis &amp; L pennes'!AH16="","",'Sections rachis &amp; L pennes'!AH16)</f>
        <v/>
      </c>
      <c r="N51" s="901"/>
      <c r="O51" s="902"/>
      <c r="P51" s="902"/>
      <c r="Q51" s="903"/>
      <c r="R51" s="901"/>
      <c r="S51" s="902"/>
      <c r="T51" s="902"/>
      <c r="U51" s="904"/>
    </row>
    <row r="52" spans="2:21" s="345" customFormat="1" ht="13.5" customHeight="1">
      <c r="C52" s="906">
        <f>IF('Sections rachis &amp; L pennes'!AC17="","",'Sections rachis &amp; L pennes'!AC17)</f>
        <v>10</v>
      </c>
      <c r="D52" s="907" t="str">
        <f>IF('Sections rachis &amp; L pennes'!AD17="","",($E$70+$E$71*$C52+$E$72*100*'Sections rachis &amp; L pennes'!AD17/'Sections rachis &amp; L pennes'!$P$40)*'Sections rachis &amp; L pennes'!$L45*$F$71/100)</f>
        <v/>
      </c>
      <c r="E52" s="908">
        <f>IF('Sections rachis &amp; L pennes'!AE17="","",($E$70+$E$71*$C52+$E$72*100*'Sections rachis &amp; L pennes'!AE17/'Sections rachis &amp; L pennes'!$P$40)*'Sections rachis &amp; L pennes'!$L45*$F$71/100)</f>
        <v>1.1294703144439704</v>
      </c>
      <c r="F52" s="908" t="str">
        <f>IF('Sections rachis &amp; L pennes'!AF17="","",($E$70+$E$71*$C52+$E$72*100*'Sections rachis &amp; L pennes'!AF17/'Sections rachis &amp; L pennes'!$P$40)*'Sections rachis &amp; L pennes'!$L45*$F$71/100)</f>
        <v/>
      </c>
      <c r="G52" s="909" t="str">
        <f>IF('Sections rachis &amp; L pennes'!AG17="","",($E$70+$E$71*$C52+$E$72*100*'Sections rachis &amp; L pennes'!AG17/'Sections rachis &amp; L pennes'!$P$40)*'Sections rachis &amp; L pennes'!$L45*$F$71/100)</f>
        <v/>
      </c>
      <c r="H52" s="907" t="str">
        <f>IF('Sections rachis &amp; L pennes'!AD17="","",($I$70+$I$71*$C52+$I$72*100*'Sections rachis &amp; L pennes'!AD17/'Sections rachis &amp; L pennes'!$P$40)*'Sections rachis &amp; L pennes'!$L45*$J$71/100)</f>
        <v/>
      </c>
      <c r="I52" s="908">
        <f>IF('Sections rachis &amp; L pennes'!AE17="","",($I$70+$I$71*$C52+$I$72*100*'Sections rachis &amp; L pennes'!AE17/'Sections rachis &amp; L pennes'!$P$40)*'Sections rachis &amp; L pennes'!$L45*$J$71/100)</f>
        <v>1.0535000065867921</v>
      </c>
      <c r="J52" s="908" t="str">
        <f>IF('Sections rachis &amp; L pennes'!AF17="","",($I$70+$I$71*$C52+$I$72*100*'Sections rachis &amp; L pennes'!AF17/'Sections rachis &amp; L pennes'!$P$40)*'Sections rachis &amp; L pennes'!$L45*$J$71/100)</f>
        <v/>
      </c>
      <c r="K52" s="910" t="str">
        <f>IF('Sections rachis &amp; L pennes'!AG17="","",($I$70+$I$71*$C52+$I$72*100*'Sections rachis &amp; L pennes'!AG17/'Sections rachis &amp; L pennes'!$P$40)*'Sections rachis &amp; L pennes'!$L45*$J$71/100)</f>
        <v/>
      </c>
      <c r="L52" s="694"/>
      <c r="M52" s="906">
        <f>IF('Sections rachis &amp; L pennes'!AH17="","",'Sections rachis &amp; L pennes'!AH17)</f>
        <v>10</v>
      </c>
      <c r="N52" s="907" t="str">
        <f>IF('Sections rachis &amp; L pennes'!AI17="","",($E$70+$E$71*$M52+$E$72*100*'Sections rachis &amp; L pennes'!AI17/'Sections rachis &amp; L pennes'!$P$40)*'Sections rachis &amp; L pennes'!$L45*$F$71/100)</f>
        <v/>
      </c>
      <c r="O52" s="908">
        <f>IF('Sections rachis &amp; L pennes'!AJ17="","",($E$70+$E$71*$M52+$E$72*100*'Sections rachis &amp; L pennes'!AJ17/'Sections rachis &amp; L pennes'!$P$40)*'Sections rachis &amp; L pennes'!$L45*$F$71/100)</f>
        <v>1.1008359961123659</v>
      </c>
      <c r="P52" s="908" t="str">
        <f>IF('Sections rachis &amp; L pennes'!AK17="","",($E$70+$E$71*$M52+$E$72*100*'Sections rachis &amp; L pennes'!AK17/'Sections rachis &amp; L pennes'!$P$40)*'Sections rachis &amp; L pennes'!$L45*$F$71/100)</f>
        <v/>
      </c>
      <c r="Q52" s="909" t="str">
        <f>IF('Sections rachis &amp; L pennes'!AL17="","",($E$70+$E$71*$M52+$E$72*100*'Sections rachis &amp; L pennes'!AL17/'Sections rachis &amp; L pennes'!$P$40)*'Sections rachis &amp; L pennes'!$L45*$F$71/100)</f>
        <v/>
      </c>
      <c r="R52" s="907" t="str">
        <f>IF('Sections rachis &amp; L pennes'!AI17="","",($I$70+$I$71*$M52+$I$72*100*'Sections rachis &amp; L pennes'!AI17/'Sections rachis &amp; L pennes'!$P$40)*'Sections rachis &amp; L pennes'!$L45*$J$71/100)</f>
        <v/>
      </c>
      <c r="S52" s="908">
        <f>IF('Sections rachis &amp; L pennes'!AJ17="","",($I$70+$I$71*$M52+$I$72*100*'Sections rachis &amp; L pennes'!AJ17/'Sections rachis &amp; L pennes'!$P$40)*'Sections rachis &amp; L pennes'!$L45*$J$71/100)</f>
        <v>1.0130183800387038</v>
      </c>
      <c r="T52" s="908" t="str">
        <f>IF('Sections rachis &amp; L pennes'!AK17="","",($I$70+$I$71*$M52+$I$72*100*'Sections rachis &amp; L pennes'!AK17/'Sections rachis &amp; L pennes'!$P$40)*'Sections rachis &amp; L pennes'!$L45*$J$71/100)</f>
        <v/>
      </c>
      <c r="U52" s="910" t="str">
        <f>IF('Sections rachis &amp; L pennes'!AL17="","",($I$70+$I$71*$M52+$I$72*100*'Sections rachis &amp; L pennes'!AL17/'Sections rachis &amp; L pennes'!$P$40)*'Sections rachis &amp; L pennes'!$L45*$J$71/100)</f>
        <v/>
      </c>
    </row>
    <row r="53" spans="2:21" s="345" customFormat="1" ht="13.5" customHeight="1">
      <c r="C53" s="906">
        <f>IF('Sections rachis &amp; L pennes'!AC18="","",'Sections rachis &amp; L pennes'!AC18)</f>
        <v>20</v>
      </c>
      <c r="D53" s="907">
        <f>IF('Sections rachis &amp; L pennes'!AD18="","",($E$70+$E$71*$C53+$E$72*100*'Sections rachis &amp; L pennes'!AD18/'Sections rachis &amp; L pennes'!$P$40)*'Sections rachis &amp; L pennes'!$L46*$F$71/100)</f>
        <v>1.6040215363491734</v>
      </c>
      <c r="E53" s="908" t="str">
        <f>IF('Sections rachis &amp; L pennes'!AE18="","",($E$70+$E$71*$C53+$E$72*100*'Sections rachis &amp; L pennes'!AE18/'Sections rachis &amp; L pennes'!$P$40)*'Sections rachis &amp; L pennes'!$L46*$F$71/100)</f>
        <v/>
      </c>
      <c r="F53" s="908" t="str">
        <f>IF('Sections rachis &amp; L pennes'!AF18="","",($E$70+$E$71*$C53+$E$72*100*'Sections rachis &amp; L pennes'!AF18/'Sections rachis &amp; L pennes'!$P$40)*'Sections rachis &amp; L pennes'!$L46*$F$71/100)</f>
        <v/>
      </c>
      <c r="G53" s="909">
        <f>IF('Sections rachis &amp; L pennes'!AG18="","",($E$70+$E$71*$C53+$E$72*100*'Sections rachis &amp; L pennes'!AG18/'Sections rachis &amp; L pennes'!$P$40)*'Sections rachis &amp; L pennes'!$L46*$F$71/100)</f>
        <v>1.560070005272804</v>
      </c>
      <c r="H53" s="907">
        <f>IF('Sections rachis &amp; L pennes'!AD18="","",($I$70+$I$71*$C53+$I$72*100*'Sections rachis &amp; L pennes'!AD18/'Sections rachis &amp; L pennes'!$P$40)*'Sections rachis &amp; L pennes'!$L46*$J$71/100)</f>
        <v>1.3470960605727991</v>
      </c>
      <c r="I53" s="908" t="str">
        <f>IF('Sections rachis &amp; L pennes'!AE18="","",($I$70+$I$71*$C53+$I$72*100*'Sections rachis &amp; L pennes'!AE18/'Sections rachis &amp; L pennes'!$P$40)*'Sections rachis &amp; L pennes'!$L46*$J$71/100)</f>
        <v/>
      </c>
      <c r="J53" s="908" t="str">
        <f>IF('Sections rachis &amp; L pennes'!AF18="","",($I$70+$I$71*$C53+$I$72*100*'Sections rachis &amp; L pennes'!AF18/'Sections rachis &amp; L pennes'!$P$40)*'Sections rachis &amp; L pennes'!$L46*$J$71/100)</f>
        <v/>
      </c>
      <c r="K53" s="910">
        <f>IF('Sections rachis &amp; L pennes'!AG18="","",($I$70+$I$71*$C53+$I$72*100*'Sections rachis &amp; L pennes'!AG18/'Sections rachis &amp; L pennes'!$P$40)*'Sections rachis &amp; L pennes'!$L46*$J$71/100)</f>
        <v>1.2849597999275966</v>
      </c>
      <c r="L53" s="694"/>
      <c r="M53" s="906">
        <f>IF('Sections rachis &amp; L pennes'!AH18="","",'Sections rachis &amp; L pennes'!AH18)</f>
        <v>20</v>
      </c>
      <c r="N53" s="907">
        <f>IF('Sections rachis &amp; L pennes'!AI18="","",($E$70+$E$71*$M53+$E$72*100*'Sections rachis &amp; L pennes'!AI18/'Sections rachis &amp; L pennes'!$P$40)*'Sections rachis &amp; L pennes'!$L46*$F$71/100)</f>
        <v>1.5864409239186257</v>
      </c>
      <c r="O53" s="908" t="str">
        <f>IF('Sections rachis &amp; L pennes'!AJ18="","",($E$70+$E$71*$M53+$E$72*100*'Sections rachis &amp; L pennes'!AJ18/'Sections rachis &amp; L pennes'!$P$40)*'Sections rachis &amp; L pennes'!$L46*$F$71/100)</f>
        <v/>
      </c>
      <c r="P53" s="908" t="str">
        <f>IF('Sections rachis &amp; L pennes'!AK18="","",($E$70+$E$71*$M53+$E$72*100*'Sections rachis &amp; L pennes'!AK18/'Sections rachis &amp; L pennes'!$P$40)*'Sections rachis &amp; L pennes'!$L46*$F$71/100)</f>
        <v/>
      </c>
      <c r="Q53" s="909">
        <f>IF('Sections rachis &amp; L pennes'!AL18="","",($E$70+$E$71*$M53+$E$72*100*'Sections rachis &amp; L pennes'!AL18/'Sections rachis &amp; L pennes'!$P$40)*'Sections rachis &amp; L pennes'!$L46*$F$71/100)</f>
        <v>1.5374663607192429</v>
      </c>
      <c r="R53" s="907">
        <f>IF('Sections rachis &amp; L pennes'!AI18="","",($I$70+$I$71*$M53+$I$72*100*'Sections rachis &amp; L pennes'!AI18/'Sections rachis &amp; L pennes'!$P$40)*'Sections rachis &amp; L pennes'!$L46*$J$71/100)</f>
        <v>1.3222415563147181</v>
      </c>
      <c r="S53" s="908" t="str">
        <f>IF('Sections rachis &amp; L pennes'!AJ18="","",($I$70+$I$71*$M53+$I$72*100*'Sections rachis &amp; L pennes'!AJ18/'Sections rachis &amp; L pennes'!$P$40)*'Sections rachis &amp; L pennes'!$L46*$J$71/100)</f>
        <v/>
      </c>
      <c r="T53" s="908" t="str">
        <f>IF('Sections rachis &amp; L pennes'!AK18="","",($I$70+$I$71*$M53+$I$72*100*'Sections rachis &amp; L pennes'!AK18/'Sections rachis &amp; L pennes'!$P$40)*'Sections rachis &amp; L pennes'!$L46*$J$71/100)</f>
        <v/>
      </c>
      <c r="U53" s="910">
        <f>IF('Sections rachis &amp; L pennes'!AL18="","",($I$70+$I$71*$M53+$I$72*100*'Sections rachis &amp; L pennes'!AL18/'Sections rachis &amp; L pennes'!$P$40)*'Sections rachis &amp; L pennes'!$L46*$J$71/100)</f>
        <v>1.2530040087386349</v>
      </c>
    </row>
    <row r="54" spans="2:21" s="345" customFormat="1" ht="13.5" customHeight="1">
      <c r="C54" s="906">
        <f>IF('Sections rachis &amp; L pennes'!AC19="","",'Sections rachis &amp; L pennes'!AC19)</f>
        <v>30</v>
      </c>
      <c r="D54" s="907">
        <f>IF('Sections rachis &amp; L pennes'!AD19="","",($E$70+$E$71*$C54+$E$72*100*'Sections rachis &amp; L pennes'!AD19/'Sections rachis &amp; L pennes'!$P$40)*'Sections rachis &amp; L pennes'!$L47*$F$71/100)</f>
        <v>1.5056200372407287</v>
      </c>
      <c r="E54" s="908" t="str">
        <f>IF('Sections rachis &amp; L pennes'!AE19="","",($E$70+$E$71*$C54+$E$72*100*'Sections rachis &amp; L pennes'!AE19/'Sections rachis &amp; L pennes'!$P$40)*'Sections rachis &amp; L pennes'!$L47*$F$71/100)</f>
        <v/>
      </c>
      <c r="F54" s="908" t="str">
        <f>IF('Sections rachis &amp; L pennes'!AF19="","",($E$70+$E$71*$C54+$E$72*100*'Sections rachis &amp; L pennes'!AF19/'Sections rachis &amp; L pennes'!$P$40)*'Sections rachis &amp; L pennes'!$L47*$F$71/100)</f>
        <v/>
      </c>
      <c r="G54" s="909">
        <f>IF('Sections rachis &amp; L pennes'!AG19="","",($E$70+$E$71*$C54+$E$72*100*'Sections rachis &amp; L pennes'!AG19/'Sections rachis &amp; L pennes'!$P$40)*'Sections rachis &amp; L pennes'!$L47*$F$71/100)</f>
        <v>1.3914090721758217</v>
      </c>
      <c r="H54" s="907">
        <f>IF('Sections rachis &amp; L pennes'!AD19="","",($I$70+$I$71*$C54+$I$72*100*'Sections rachis &amp; L pennes'!AD19/'Sections rachis &amp; L pennes'!$P$40)*'Sections rachis &amp; L pennes'!$L47*$J$71/100)</f>
        <v>0.94114984830146087</v>
      </c>
      <c r="I54" s="908" t="str">
        <f>IF('Sections rachis &amp; L pennes'!AE19="","",($I$70+$I$71*$C54+$I$72*100*'Sections rachis &amp; L pennes'!AE19/'Sections rachis &amp; L pennes'!$P$40)*'Sections rachis &amp; L pennes'!$L47*$J$71/100)</f>
        <v/>
      </c>
      <c r="J54" s="908" t="str">
        <f>IF('Sections rachis &amp; L pennes'!AF19="","",($I$70+$I$71*$C54+$I$72*100*'Sections rachis &amp; L pennes'!AF19/'Sections rachis &amp; L pennes'!$P$40)*'Sections rachis &amp; L pennes'!$L47*$J$71/100)</f>
        <v/>
      </c>
      <c r="K54" s="910">
        <f>IF('Sections rachis &amp; L pennes'!AG19="","",($I$70+$I$71*$C54+$I$72*100*'Sections rachis &amp; L pennes'!AG19/'Sections rachis &amp; L pennes'!$P$40)*'Sections rachis &amp; L pennes'!$L47*$J$71/100)</f>
        <v>0.77968465880710025</v>
      </c>
      <c r="L54" s="694"/>
      <c r="M54" s="906">
        <f>IF('Sections rachis &amp; L pennes'!AH19="","",'Sections rachis &amp; L pennes'!AH19)</f>
        <v>30</v>
      </c>
      <c r="N54" s="907">
        <f>IF('Sections rachis &amp; L pennes'!AI19="","",($E$70+$E$71*$M54+$E$72*100*'Sections rachis &amp; L pennes'!AI19/'Sections rachis &amp; L pennes'!$P$40)*'Sections rachis &amp; L pennes'!$L47*$F$71/100)</f>
        <v>1.508734881742499</v>
      </c>
      <c r="O54" s="908" t="str">
        <f>IF('Sections rachis &amp; L pennes'!AJ19="","",($E$70+$E$71*$M54+$E$72*100*'Sections rachis &amp; L pennes'!AJ19/'Sections rachis &amp; L pennes'!$P$40)*'Sections rachis &amp; L pennes'!$L47*$F$71/100)</f>
        <v/>
      </c>
      <c r="P54" s="908" t="str">
        <f>IF('Sections rachis &amp; L pennes'!AK19="","",($E$70+$E$71*$M54+$E$72*100*'Sections rachis &amp; L pennes'!AK19/'Sections rachis &amp; L pennes'!$P$40)*'Sections rachis &amp; L pennes'!$L47*$F$71/100)</f>
        <v/>
      </c>
      <c r="Q54" s="909">
        <f>IF('Sections rachis &amp; L pennes'!AL19="","",($E$70+$E$71*$M54+$E$72*100*'Sections rachis &amp; L pennes'!AL19/'Sections rachis &amp; L pennes'!$P$40)*'Sections rachis &amp; L pennes'!$L47*$F$71/100)</f>
        <v>1.3882942276740511</v>
      </c>
      <c r="R54" s="907">
        <f>IF('Sections rachis &amp; L pennes'!AI19="","",($I$70+$I$71*$M54+$I$72*100*'Sections rachis &amp; L pennes'!AI19/'Sections rachis &amp; L pennes'!$P$40)*'Sections rachis &amp; L pennes'!$L47*$J$71/100)</f>
        <v>0.9455534443785798</v>
      </c>
      <c r="S54" s="908" t="str">
        <f>IF('Sections rachis &amp; L pennes'!AJ19="","",($I$70+$I$71*$M54+$I$72*100*'Sections rachis &amp; L pennes'!AJ19/'Sections rachis &amp; L pennes'!$P$40)*'Sections rachis &amp; L pennes'!$L47*$J$71/100)</f>
        <v/>
      </c>
      <c r="T54" s="908" t="str">
        <f>IF('Sections rachis &amp; L pennes'!AK19="","",($I$70+$I$71*$M54+$I$72*100*'Sections rachis &amp; L pennes'!AK19/'Sections rachis &amp; L pennes'!$P$40)*'Sections rachis &amp; L pennes'!$L47*$J$71/100)</f>
        <v/>
      </c>
      <c r="U54" s="910">
        <f>IF('Sections rachis &amp; L pennes'!AL19="","",($I$70+$I$71*$M54+$I$72*100*'Sections rachis &amp; L pennes'!AL19/'Sections rachis &amp; L pennes'!$P$40)*'Sections rachis &amp; L pennes'!$L47*$J$71/100)</f>
        <v>0.77528106272998143</v>
      </c>
    </row>
    <row r="55" spans="2:21" s="345" customFormat="1" ht="13.5" customHeight="1">
      <c r="C55" s="906">
        <f>IF('Sections rachis &amp; L pennes'!AC20="","",'Sections rachis &amp; L pennes'!AC20)</f>
        <v>40</v>
      </c>
      <c r="D55" s="907">
        <f>IF('Sections rachis &amp; L pennes'!AD20="","",($E$70+$E$71*$C55+$E$72*100*'Sections rachis &amp; L pennes'!AD20/'Sections rachis &amp; L pennes'!$P$40)*'Sections rachis &amp; L pennes'!$L48*$F$71/100)</f>
        <v>1.755915798656795</v>
      </c>
      <c r="E55" s="908" t="str">
        <f>IF('Sections rachis &amp; L pennes'!AE20="","",($E$70+$E$71*$C55+$E$72*100*'Sections rachis &amp; L pennes'!AE20/'Sections rachis &amp; L pennes'!$P$40)*'Sections rachis &amp; L pennes'!$L48*$F$71/100)</f>
        <v/>
      </c>
      <c r="F55" s="908" t="str">
        <f>IF('Sections rachis &amp; L pennes'!AF20="","",($E$70+$E$71*$C55+$E$72*100*'Sections rachis &amp; L pennes'!AF20/'Sections rachis &amp; L pennes'!$P$40)*'Sections rachis &amp; L pennes'!$L48*$F$71/100)</f>
        <v/>
      </c>
      <c r="G55" s="909">
        <f>IF('Sections rachis &amp; L pennes'!AG20="","",($E$70+$E$71*$C55+$E$72*100*'Sections rachis &amp; L pennes'!AG20/'Sections rachis &amp; L pennes'!$P$40)*'Sections rachis &amp; L pennes'!$L48*$F$71/100)</f>
        <v>1.7258125425604114</v>
      </c>
      <c r="H55" s="907">
        <f>IF('Sections rachis &amp; L pennes'!AD20="","",($I$70+$I$71*$C55+$I$72*100*'Sections rachis &amp; L pennes'!AD20/'Sections rachis &amp; L pennes'!$P$40)*'Sections rachis &amp; L pennes'!$L48*$J$71/100)</f>
        <v>1.0646653559346699</v>
      </c>
      <c r="I55" s="908" t="str">
        <f>IF('Sections rachis &amp; L pennes'!AE20="","",($I$70+$I$71*$C55+$I$72*100*'Sections rachis &amp; L pennes'!AE20/'Sections rachis &amp; L pennes'!$P$40)*'Sections rachis &amp; L pennes'!$L48*$J$71/100)</f>
        <v/>
      </c>
      <c r="J55" s="908" t="str">
        <f>IF('Sections rachis &amp; L pennes'!AF20="","",($I$70+$I$71*$C55+$I$72*100*'Sections rachis &amp; L pennes'!AF20/'Sections rachis &amp; L pennes'!$P$40)*'Sections rachis &amp; L pennes'!$L48*$J$71/100)</f>
        <v/>
      </c>
      <c r="K55" s="910">
        <f>IF('Sections rachis &amp; L pennes'!AG20="","",($I$70+$I$71*$C55+$I$72*100*'Sections rachis &amp; L pennes'!AG20/'Sections rachis &amp; L pennes'!$P$40)*'Sections rachis &amp; L pennes'!$L48*$J$71/100)</f>
        <v>1.0221070258545639</v>
      </c>
      <c r="L55" s="694"/>
      <c r="M55" s="906">
        <f>IF('Sections rachis &amp; L pennes'!AH20="","",'Sections rachis &amp; L pennes'!AH20)</f>
        <v>40</v>
      </c>
      <c r="N55" s="907">
        <f>IF('Sections rachis &amp; L pennes'!AI20="","",($E$70+$E$71*$M55+$E$72*100*'Sections rachis &amp; L pennes'!AI20/'Sections rachis &amp; L pennes'!$P$40)*'Sections rachis &amp; L pennes'!$L48*$F$71/100)</f>
        <v>1.6929726268189027</v>
      </c>
      <c r="O55" s="908" t="str">
        <f>IF('Sections rachis &amp; L pennes'!AJ20="","",($E$70+$E$71*$M55+$E$72*100*'Sections rachis &amp; L pennes'!AJ20/'Sections rachis &amp; L pennes'!$P$40)*'Sections rachis &amp; L pennes'!$L48*$F$71/100)</f>
        <v/>
      </c>
      <c r="P55" s="908" t="str">
        <f>IF('Sections rachis &amp; L pennes'!AK20="","",($E$70+$E$71*$M55+$E$72*100*'Sections rachis &amp; L pennes'!AK20/'Sections rachis &amp; L pennes'!$P$40)*'Sections rachis &amp; L pennes'!$L48*$F$71/100)</f>
        <v/>
      </c>
      <c r="Q55" s="909">
        <f>IF('Sections rachis &amp; L pennes'!AL20="","",($E$70+$E$71*$M55+$E$72*100*'Sections rachis &amp; L pennes'!AL20/'Sections rachis &amp; L pennes'!$P$40)*'Sections rachis &amp; L pennes'!$L48*$F$71/100)</f>
        <v>1.7477058197214177</v>
      </c>
      <c r="R55" s="907">
        <f>IF('Sections rachis &amp; L pennes'!AI20="","",($I$70+$I$71*$M55+$I$72*100*'Sections rachis &amp; L pennes'!AI20/'Sections rachis &amp; L pennes'!$P$40)*'Sections rachis &amp; L pennes'!$L48*$J$71/100)</f>
        <v>0.9756797566762665</v>
      </c>
      <c r="S55" s="908" t="str">
        <f>IF('Sections rachis &amp; L pennes'!AJ20="","",($I$70+$I$71*$M55+$I$72*100*'Sections rachis &amp; L pennes'!AJ20/'Sections rachis &amp; L pennes'!$P$40)*'Sections rachis &amp; L pennes'!$L48*$J$71/100)</f>
        <v/>
      </c>
      <c r="T55" s="908" t="str">
        <f>IF('Sections rachis &amp; L pennes'!AK20="","",($I$70+$I$71*$M55+$I$72*100*'Sections rachis &amp; L pennes'!AK20/'Sections rachis &amp; L pennes'!$P$40)*'Sections rachis &amp; L pennes'!$L48*$J$71/100)</f>
        <v/>
      </c>
      <c r="U55" s="910">
        <f>IF('Sections rachis &amp; L pennes'!AL20="","",($I$70+$I$71*$M55+$I$72*100*'Sections rachis &amp; L pennes'!AL20/'Sections rachis &amp; L pennes'!$P$40)*'Sections rachis &amp; L pennes'!$L48*$J$71/100)</f>
        <v>1.0530585386400957</v>
      </c>
    </row>
    <row r="56" spans="2:21" s="345" customFormat="1" ht="13.5" customHeight="1">
      <c r="C56" s="906">
        <f>IF('Sections rachis &amp; L pennes'!AC21="","",'Sections rachis &amp; L pennes'!AC21)</f>
        <v>50</v>
      </c>
      <c r="D56" s="907">
        <f>IF('Sections rachis &amp; L pennes'!AD21="","",($E$70+$E$71*$C56+$E$72*100*'Sections rachis &amp; L pennes'!AD21/'Sections rachis &amp; L pennes'!$P$40)*'Sections rachis &amp; L pennes'!$L49*$F$71/100)</f>
        <v>2.21296686454719</v>
      </c>
      <c r="E56" s="908">
        <f>IF('Sections rachis &amp; L pennes'!AE21="","",($E$70+$E$71*$C56+$E$72*100*'Sections rachis &amp; L pennes'!AE21/'Sections rachis &amp; L pennes'!$P$40)*'Sections rachis &amp; L pennes'!$L49*$F$71/100)</f>
        <v>2.2071621582143304</v>
      </c>
      <c r="F56" s="908" t="str">
        <f>IF('Sections rachis &amp; L pennes'!AF21="","",($E$70+$E$71*$C56+$E$72*100*'Sections rachis &amp; L pennes'!AF21/'Sections rachis &amp; L pennes'!$P$40)*'Sections rachis &amp; L pennes'!$L49*$F$71/100)</f>
        <v/>
      </c>
      <c r="G56" s="909">
        <f>IF('Sections rachis &amp; L pennes'!AG21="","",($E$70+$E$71*$C56+$E$72*100*'Sections rachis &amp; L pennes'!AG21/'Sections rachis &amp; L pennes'!$P$40)*'Sections rachis &amp; L pennes'!$L49*$F$71/100)</f>
        <v>2.1988697205959595</v>
      </c>
      <c r="H56" s="907">
        <f>IF('Sections rachis &amp; L pennes'!AD21="","",($I$70+$I$71*$C56+$I$72*100*'Sections rachis &amp; L pennes'!AD21/'Sections rachis &amp; L pennes'!$P$40)*'Sections rachis &amp; L pennes'!$L49*$J$71/100)</f>
        <v>1.4993369846699174</v>
      </c>
      <c r="I56" s="908">
        <f>IF('Sections rachis &amp; L pennes'!AE21="","",($I$70+$I$71*$C56+$I$72*100*'Sections rachis &amp; L pennes'!AE21/'Sections rachis &amp; L pennes'!$P$40)*'Sections rachis &amp; L pennes'!$L49*$J$71/100)</f>
        <v>1.4911306096737718</v>
      </c>
      <c r="J56" s="908" t="str">
        <f>IF('Sections rachis &amp; L pennes'!AF21="","",($I$70+$I$71*$C56+$I$72*100*'Sections rachis &amp; L pennes'!AF21/'Sections rachis &amp; L pennes'!$P$40)*'Sections rachis &amp; L pennes'!$L49*$J$71/100)</f>
        <v/>
      </c>
      <c r="K56" s="910">
        <f>IF('Sections rachis &amp; L pennes'!AG21="","",($I$70+$I$71*$C56+$I$72*100*'Sections rachis &amp; L pennes'!AG21/'Sections rachis &amp; L pennes'!$P$40)*'Sections rachis &amp; L pennes'!$L49*$J$71/100)</f>
        <v>1.4794072168221357</v>
      </c>
      <c r="L56" s="694"/>
      <c r="M56" s="906">
        <f>IF('Sections rachis &amp; L pennes'!AH21="","",'Sections rachis &amp; L pennes'!AH21)</f>
        <v>50</v>
      </c>
      <c r="N56" s="907">
        <f>IF('Sections rachis &amp; L pennes'!AI21="","",($E$70+$E$71*$M56+$E$72*100*'Sections rachis &amp; L pennes'!AI21/'Sections rachis &amp; L pennes'!$P$40)*'Sections rachis &amp; L pennes'!$L49*$F$71/100)</f>
        <v>2.1010189566991819</v>
      </c>
      <c r="O56" s="908" t="str">
        <f>IF('Sections rachis &amp; L pennes'!AJ21="","",($E$70+$E$71*$M56+$E$72*100*'Sections rachis &amp; L pennes'!AJ21/'Sections rachis &amp; L pennes'!$P$40)*'Sections rachis &amp; L pennes'!$L49*$F$71/100)</f>
        <v/>
      </c>
      <c r="P56" s="908" t="str">
        <f>IF('Sections rachis &amp; L pennes'!AK21="","",($E$70+$E$71*$M56+$E$72*100*'Sections rachis &amp; L pennes'!AK21/'Sections rachis &amp; L pennes'!$P$40)*'Sections rachis &amp; L pennes'!$L49*$F$71/100)</f>
        <v/>
      </c>
      <c r="Q56" s="909">
        <f>IF('Sections rachis &amp; L pennes'!AL21="","",($E$70+$E$71*$M56+$E$72*100*'Sections rachis &amp; L pennes'!AL21/'Sections rachis &amp; L pennes'!$P$40)*'Sections rachis &amp; L pennes'!$L49*$F$71/100)</f>
        <v>2.0836048377006033</v>
      </c>
      <c r="R56" s="907">
        <f>IF('Sections rachis &amp; L pennes'!AI21="","",($I$70+$I$71*$M56+$I$72*100*'Sections rachis &amp; L pennes'!AI21/'Sections rachis &amp; L pennes'!$P$40)*'Sections rachis &amp; L pennes'!$L49*$J$71/100)</f>
        <v>1.341071181172826</v>
      </c>
      <c r="S56" s="908" t="str">
        <f>IF('Sections rachis &amp; L pennes'!AJ21="","",($I$70+$I$71*$M56+$I$72*100*'Sections rachis &amp; L pennes'!AJ21/'Sections rachis &amp; L pennes'!$P$40)*'Sections rachis &amp; L pennes'!$L49*$J$71/100)</f>
        <v/>
      </c>
      <c r="T56" s="908" t="str">
        <f>IF('Sections rachis &amp; L pennes'!AK21="","",($I$70+$I$71*$M56+$I$72*100*'Sections rachis &amp; L pennes'!AK21/'Sections rachis &amp; L pennes'!$P$40)*'Sections rachis &amp; L pennes'!$L49*$J$71/100)</f>
        <v/>
      </c>
      <c r="U56" s="910">
        <f>IF('Sections rachis &amp; L pennes'!AL21="","",($I$70+$I$71*$M56+$I$72*100*'Sections rachis &amp; L pennes'!AL21/'Sections rachis &amp; L pennes'!$P$40)*'Sections rachis &amp; L pennes'!$L49*$J$71/100)</f>
        <v>1.3164520561843895</v>
      </c>
    </row>
    <row r="57" spans="2:21" s="345" customFormat="1" ht="13.5" customHeight="1">
      <c r="C57" s="906">
        <f>IF('Sections rachis &amp; L pennes'!AC22="","",'Sections rachis &amp; L pennes'!AC22)</f>
        <v>60</v>
      </c>
      <c r="D57" s="907">
        <f>IF('Sections rachis &amp; L pennes'!AD22="","",($E$70+$E$71*$C57+$E$72*100*'Sections rachis &amp; L pennes'!AD22/'Sections rachis &amp; L pennes'!$P$40)*'Sections rachis &amp; L pennes'!$L50*$F$71/100)</f>
        <v>2.5113442854661421</v>
      </c>
      <c r="E57" s="908" t="str">
        <f>IF('Sections rachis &amp; L pennes'!AE22="","",($E$70+$E$71*$C57+$E$72*100*'Sections rachis &amp; L pennes'!AE22/'Sections rachis &amp; L pennes'!$P$40)*'Sections rachis &amp; L pennes'!$L50*$F$71/100)</f>
        <v/>
      </c>
      <c r="F57" s="908" t="str">
        <f>IF('Sections rachis &amp; L pennes'!AF22="","",($E$70+$E$71*$C57+$E$72*100*'Sections rachis &amp; L pennes'!AF22/'Sections rachis &amp; L pennes'!$P$40)*'Sections rachis &amp; L pennes'!$L50*$F$71/100)</f>
        <v/>
      </c>
      <c r="G57" s="909">
        <f>IF('Sections rachis &amp; L pennes'!AG22="","",($E$70+$E$71*$C57+$E$72*100*'Sections rachis &amp; L pennes'!AG22/'Sections rachis &amp; L pennes'!$P$40)*'Sections rachis &amp; L pennes'!$L50*$F$71/100)</f>
        <v>2.4931430119365334</v>
      </c>
      <c r="H57" s="907">
        <f>IF('Sections rachis &amp; L pennes'!AD22="","",($I$70+$I$71*$C57+$I$72*100*'Sections rachis &amp; L pennes'!AD22/'Sections rachis &amp; L pennes'!$P$40)*'Sections rachis &amp; L pennes'!$L50*$J$71/100)</f>
        <v>1.7490300734542978</v>
      </c>
      <c r="I57" s="908" t="str">
        <f>IF('Sections rachis &amp; L pennes'!AE22="","",($I$70+$I$71*$C57+$I$72*100*'Sections rachis &amp; L pennes'!AE22/'Sections rachis &amp; L pennes'!$P$40)*'Sections rachis &amp; L pennes'!$L50*$J$71/100)</f>
        <v/>
      </c>
      <c r="J57" s="908" t="str">
        <f>IF('Sections rachis &amp; L pennes'!AF22="","",($I$70+$I$71*$C57+$I$72*100*'Sections rachis &amp; L pennes'!AF22/'Sections rachis &amp; L pennes'!$P$40)*'Sections rachis &amp; L pennes'!$L50*$J$71/100)</f>
        <v/>
      </c>
      <c r="K57" s="910">
        <f>IF('Sections rachis &amp; L pennes'!AG22="","",($I$70+$I$71*$C57+$I$72*100*'Sections rachis &amp; L pennes'!AG22/'Sections rachis &amp; L pennes'!$P$40)*'Sections rachis &amp; L pennes'!$L50*$J$71/100)</f>
        <v>1.7232981126235083</v>
      </c>
      <c r="L57" s="694"/>
      <c r="M57" s="906">
        <f>IF('Sections rachis &amp; L pennes'!AH22="","",'Sections rachis &amp; L pennes'!AH22)</f>
        <v>60</v>
      </c>
      <c r="N57" s="907">
        <f>IF('Sections rachis &amp; L pennes'!AI22="","",($E$70+$E$71*$M57+$E$72*100*'Sections rachis &amp; L pennes'!AI22/'Sections rachis &amp; L pennes'!$P$40)*'Sections rachis &amp; L pennes'!$L50*$F$71/100)</f>
        <v>2.4483982145095795</v>
      </c>
      <c r="O57" s="908">
        <f>IF('Sections rachis &amp; L pennes'!AJ22="","",($E$70+$E$71*$M57+$E$72*100*'Sections rachis &amp; L pennes'!AJ22/'Sections rachis &amp; L pennes'!$P$40)*'Sections rachis &amp; L pennes'!$L50*$F$71/100)</f>
        <v>2.4696330336274559</v>
      </c>
      <c r="P57" s="908" t="str">
        <f>IF('Sections rachis &amp; L pennes'!AK22="","",($E$70+$E$71*$M57+$E$72*100*'Sections rachis &amp; L pennes'!AK22/'Sections rachis &amp; L pennes'!$P$40)*'Sections rachis &amp; L pennes'!$L50*$F$71/100)</f>
        <v/>
      </c>
      <c r="Q57" s="909">
        <f>IF('Sections rachis &amp; L pennes'!AL22="","",($E$70+$E$71*$M57+$E$72*100*'Sections rachis &amp; L pennes'!AL22/'Sections rachis &amp; L pennes'!$P$40)*'Sections rachis &amp; L pennes'!$L50*$F$71/100)</f>
        <v>2.4476398281125125</v>
      </c>
      <c r="R57" s="907">
        <f>IF('Sections rachis &amp; L pennes'!AI22="","",($I$70+$I$71*$M57+$I$72*100*'Sections rachis &amp; L pennes'!AI22/'Sections rachis &amp; L pennes'!$P$40)*'Sections rachis &amp; L pennes'!$L50*$J$71/100)</f>
        <v>1.6600403755811501</v>
      </c>
      <c r="S57" s="908">
        <f>IF('Sections rachis &amp; L pennes'!AJ22="","",($I$70+$I$71*$M57+$I$72*100*'Sections rachis &amp; L pennes'!AJ22/'Sections rachis &amp; L pennes'!$P$40)*'Sections rachis &amp; L pennes'!$L50*$J$71/100)</f>
        <v>1.6900609965504052</v>
      </c>
      <c r="T57" s="908" t="str">
        <f>IF('Sections rachis &amp; L pennes'!AK22="","",($I$70+$I$71*$M57+$I$72*100*'Sections rachis &amp; L pennes'!AK22/'Sections rachis &amp; L pennes'!$P$40)*'Sections rachis &amp; L pennes'!$L50*$J$71/100)</f>
        <v/>
      </c>
      <c r="U57" s="910">
        <f>IF('Sections rachis &amp; L pennes'!AL22="","",($I$70+$I$71*$M57+$I$72*100*'Sections rachis &amp; L pennes'!AL22/'Sections rachis &amp; L pennes'!$P$40)*'Sections rachis &amp; L pennes'!$L50*$J$71/100)</f>
        <v>1.658968210546534</v>
      </c>
    </row>
    <row r="58" spans="2:21" s="345" customFormat="1" ht="13.5" customHeight="1">
      <c r="C58" s="906">
        <f>IF('Sections rachis &amp; L pennes'!AC23="","",'Sections rachis &amp; L pennes'!AC23)</f>
        <v>70</v>
      </c>
      <c r="D58" s="907">
        <f>IF('Sections rachis &amp; L pennes'!AD23="","",($E$70+$E$71*$C58+$E$72*100*'Sections rachis &amp; L pennes'!AD23/'Sections rachis &amp; L pennes'!$P$40)*'Sections rachis &amp; L pennes'!$L51*$F$71/100)</f>
        <v>2.6550767173058456</v>
      </c>
      <c r="E58" s="908" t="str">
        <f>IF('Sections rachis &amp; L pennes'!AE23="","",($E$70+$E$71*$C58+$E$72*100*'Sections rachis &amp; L pennes'!AE23/'Sections rachis &amp; L pennes'!$P$40)*'Sections rachis &amp; L pennes'!$L51*$F$71/100)</f>
        <v/>
      </c>
      <c r="F58" s="908" t="str">
        <f>IF('Sections rachis &amp; L pennes'!AF23="","",($E$70+$E$71*$C58+$E$72*100*'Sections rachis &amp; L pennes'!AF23/'Sections rachis &amp; L pennes'!$P$40)*'Sections rachis &amp; L pennes'!$L51*$F$71/100)</f>
        <v/>
      </c>
      <c r="G58" s="909">
        <f>IF('Sections rachis &amp; L pennes'!AG23="","",($E$70+$E$71*$C58+$E$72*100*'Sections rachis &amp; L pennes'!AG23/'Sections rachis &amp; L pennes'!$P$40)*'Sections rachis &amp; L pennes'!$L51*$F$71/100)</f>
        <v>2.6490013443581653</v>
      </c>
      <c r="H58" s="907">
        <f>IF('Sections rachis &amp; L pennes'!AD23="","",($I$70+$I$71*$C58+$I$72*100*'Sections rachis &amp; L pennes'!AD23/'Sections rachis &amp; L pennes'!$P$40)*'Sections rachis &amp; L pennes'!$L51*$J$71/100)</f>
        <v>1.8730629075461898</v>
      </c>
      <c r="I58" s="908" t="str">
        <f>IF('Sections rachis &amp; L pennes'!AE23="","",($I$70+$I$71*$C58+$I$72*100*'Sections rachis &amp; L pennes'!AE23/'Sections rachis &amp; L pennes'!$P$40)*'Sections rachis &amp; L pennes'!$L51*$J$71/100)</f>
        <v/>
      </c>
      <c r="J58" s="908" t="str">
        <f>IF('Sections rachis &amp; L pennes'!AF23="","",($I$70+$I$71*$C58+$I$72*100*'Sections rachis &amp; L pennes'!AF23/'Sections rachis &amp; L pennes'!$P$40)*'Sections rachis &amp; L pennes'!$L51*$J$71/100)</f>
        <v/>
      </c>
      <c r="K58" s="910">
        <f>IF('Sections rachis &amp; L pennes'!AG23="","",($I$70+$I$71*$C58+$I$72*100*'Sections rachis &amp; L pennes'!AG23/'Sections rachis &amp; L pennes'!$P$40)*'Sections rachis &amp; L pennes'!$L51*$J$71/100)</f>
        <v>1.8644738789560831</v>
      </c>
      <c r="L58" s="694"/>
      <c r="M58" s="906">
        <f>IF('Sections rachis &amp; L pennes'!AH23="","",'Sections rachis &amp; L pennes'!AH23)</f>
        <v>70</v>
      </c>
      <c r="N58" s="907">
        <f>IF('Sections rachis &amp; L pennes'!AI23="","",($E$70+$E$71*$M58+$E$72*100*'Sections rachis &amp; L pennes'!AI23/'Sections rachis &amp; L pennes'!$P$40)*'Sections rachis &amp; L pennes'!$L51*$F$71/100)</f>
        <v>2.6436010128491154</v>
      </c>
      <c r="O58" s="908">
        <f>IF('Sections rachis &amp; L pennes'!AJ23="","",($E$70+$E$71*$M58+$E$72*100*'Sections rachis &amp; L pennes'!AJ23/'Sections rachis &amp; L pennes'!$P$40)*'Sections rachis &amp; L pennes'!$L51*$F$71/100)</f>
        <v>2.6415758885332217</v>
      </c>
      <c r="P58" s="908" t="str">
        <f>IF('Sections rachis &amp; L pennes'!AK23="","",($E$70+$E$71*$M58+$E$72*100*'Sections rachis &amp; L pennes'!AK23/'Sections rachis &amp; L pennes'!$P$40)*'Sections rachis &amp; L pennes'!$L51*$F$71/100)</f>
        <v/>
      </c>
      <c r="Q58" s="909">
        <f>IF('Sections rachis &amp; L pennes'!AL23="","",($E$70+$E$71*$M58+$E$72*100*'Sections rachis &amp; L pennes'!AL23/'Sections rachis &amp; L pennes'!$P$40)*'Sections rachis &amp; L pennes'!$L51*$F$71/100)</f>
        <v>2.6321253083923857</v>
      </c>
      <c r="R58" s="907">
        <f>IF('Sections rachis &amp; L pennes'!AI23="","",($I$70+$I$71*$M58+$I$72*100*'Sections rachis &amp; L pennes'!AI23/'Sections rachis &amp; L pennes'!$P$40)*'Sections rachis &amp; L pennes'!$L51*$J$71/100)</f>
        <v>1.8568391868759884</v>
      </c>
      <c r="S58" s="908">
        <f>IF('Sections rachis &amp; L pennes'!AJ23="","",($I$70+$I$71*$M58+$I$72*100*'Sections rachis &amp; L pennes'!AJ23/'Sections rachis &amp; L pennes'!$P$40)*'Sections rachis &amp; L pennes'!$L51*$J$71/100)</f>
        <v>1.8539761773459531</v>
      </c>
      <c r="T58" s="908" t="str">
        <f>IF('Sections rachis &amp; L pennes'!AK23="","",($I$70+$I$71*$M58+$I$72*100*'Sections rachis &amp; L pennes'!AK23/'Sections rachis &amp; L pennes'!$P$40)*'Sections rachis &amp; L pennes'!$L51*$J$71/100)</f>
        <v/>
      </c>
      <c r="U58" s="910">
        <f>IF('Sections rachis &amp; L pennes'!AL23="","",($I$70+$I$71*$M58+$I$72*100*'Sections rachis &amp; L pennes'!AL23/'Sections rachis &amp; L pennes'!$P$40)*'Sections rachis &amp; L pennes'!$L51*$J$71/100)</f>
        <v>1.840615466205787</v>
      </c>
    </row>
    <row r="59" spans="2:21" s="345" customFormat="1" ht="13.5" customHeight="1">
      <c r="C59" s="906">
        <f>IF('Sections rachis &amp; L pennes'!AC24="","",'Sections rachis &amp; L pennes'!AC24)</f>
        <v>80</v>
      </c>
      <c r="D59" s="907">
        <f>IF('Sections rachis &amp; L pennes'!AD24="","",($E$70+$E$71*$C59+$E$72*100*'Sections rachis &amp; L pennes'!AD24/'Sections rachis &amp; L pennes'!$P$40)*'Sections rachis &amp; L pennes'!$L52*$F$71/100)</f>
        <v>2.5910777922016148</v>
      </c>
      <c r="E59" s="908">
        <f>IF('Sections rachis &amp; L pennes'!AE24="","",($E$70+$E$71*$C59+$E$72*100*'Sections rachis &amp; L pennes'!AE24/'Sections rachis &amp; L pennes'!$P$40)*'Sections rachis &amp; L pennes'!$L52*$F$71/100)</f>
        <v>2.5916366983674175</v>
      </c>
      <c r="F59" s="908" t="str">
        <f>IF('Sections rachis &amp; L pennes'!AF24="","",($E$70+$E$71*$C59+$E$72*100*'Sections rachis &amp; L pennes'!AF24/'Sections rachis &amp; L pennes'!$P$40)*'Sections rachis &amp; L pennes'!$L52*$F$71/100)</f>
        <v/>
      </c>
      <c r="G59" s="909">
        <f>IF('Sections rachis &amp; L pennes'!AG24="","",($E$70+$E$71*$C59+$E$72*100*'Sections rachis &amp; L pennes'!AG24/'Sections rachis &amp; L pennes'!$P$40)*'Sections rachis &amp; L pennes'!$L52*$F$71/100)</f>
        <v>2.593872323030626</v>
      </c>
      <c r="H59" s="907">
        <f>IF('Sections rachis &amp; L pennes'!AD24="","",($I$70+$I$71*$C59+$I$72*100*'Sections rachis &amp; L pennes'!AD24/'Sections rachis &amp; L pennes'!$P$40)*'Sections rachis &amp; L pennes'!$L52*$J$71/100)</f>
        <v>1.8766597908504046</v>
      </c>
      <c r="I59" s="908">
        <f>IF('Sections rachis &amp; L pennes'!AE24="","",($I$70+$I$71*$C59+$I$72*100*'Sections rachis &amp; L pennes'!AE24/'Sections rachis &amp; L pennes'!$P$40)*'Sections rachis &amp; L pennes'!$L52*$J$71/100)</f>
        <v>1.8774499416902954</v>
      </c>
      <c r="J59" s="908" t="str">
        <f>IF('Sections rachis &amp; L pennes'!AF24="","",($I$70+$I$71*$C59+$I$72*100*'Sections rachis &amp; L pennes'!AF24/'Sections rachis &amp; L pennes'!$P$40)*'Sections rachis &amp; L pennes'!$L52*$J$71/100)</f>
        <v/>
      </c>
      <c r="K59" s="910">
        <f>IF('Sections rachis &amp; L pennes'!AG24="","",($I$70+$I$71*$C59+$I$72*100*'Sections rachis &amp; L pennes'!AG24/'Sections rachis &amp; L pennes'!$P$40)*'Sections rachis &amp; L pennes'!$L52*$J$71/100)</f>
        <v>1.8806105450498598</v>
      </c>
      <c r="L59" s="694"/>
      <c r="M59" s="906">
        <f>IF('Sections rachis &amp; L pennes'!AH24="","",'Sections rachis &amp; L pennes'!AH24)</f>
        <v>80</v>
      </c>
      <c r="N59" s="907">
        <f>IF('Sections rachis &amp; L pennes'!AI24="","",($E$70+$E$71*$M59+$E$72*100*'Sections rachis &amp; L pennes'!AI24/'Sections rachis &amp; L pennes'!$P$40)*'Sections rachis &amp; L pennes'!$L52*$F$71/100)</f>
        <v>2.5731927948959465</v>
      </c>
      <c r="O59" s="908">
        <f>IF('Sections rachis &amp; L pennes'!AJ24="","",($E$70+$E$71*$M59+$E$72*100*'Sections rachis &amp; L pennes'!AJ24/'Sections rachis &amp; L pennes'!$P$40)*'Sections rachis &amp; L pennes'!$L52*$F$71/100)</f>
        <v>2.5692804517353314</v>
      </c>
      <c r="P59" s="908" t="str">
        <f>IF('Sections rachis &amp; L pennes'!AK24="","",($E$70+$E$71*$M59+$E$72*100*'Sections rachis &amp; L pennes'!AK24/'Sections rachis &amp; L pennes'!$P$40)*'Sections rachis &amp; L pennes'!$L52*$F$71/100)</f>
        <v/>
      </c>
      <c r="Q59" s="909">
        <f>IF('Sections rachis &amp; L pennes'!AL24="","",($E$70+$E$71*$M59+$E$72*100*'Sections rachis &amp; L pennes'!AL24/'Sections rachis &amp; L pennes'!$P$40)*'Sections rachis &amp; L pennes'!$L52*$F$71/100)</f>
        <v>2.5871654490409997</v>
      </c>
      <c r="R59" s="907">
        <f>IF('Sections rachis &amp; L pennes'!AI24="","",($I$70+$I$71*$M59+$I$72*100*'Sections rachis &amp; L pennes'!AI24/'Sections rachis &amp; L pennes'!$P$40)*'Sections rachis &amp; L pennes'!$L52*$J$71/100)</f>
        <v>1.8513749639738888</v>
      </c>
      <c r="S59" s="908">
        <f>IF('Sections rachis &amp; L pennes'!AJ24="","",($I$70+$I$71*$M59+$I$72*100*'Sections rachis &amp; L pennes'!AJ24/'Sections rachis &amp; L pennes'!$P$40)*'Sections rachis &amp; L pennes'!$L52*$J$71/100)</f>
        <v>1.8458439080946514</v>
      </c>
      <c r="T59" s="908" t="str">
        <f>IF('Sections rachis &amp; L pennes'!AK24="","",($I$70+$I$71*$M59+$I$72*100*'Sections rachis &amp; L pennes'!AK24/'Sections rachis &amp; L pennes'!$P$40)*'Sections rachis &amp; L pennes'!$L52*$J$71/100)</f>
        <v/>
      </c>
      <c r="U59" s="910">
        <f>IF('Sections rachis &amp; L pennes'!AL24="","",($I$70+$I$71*$M59+$I$72*100*'Sections rachis &amp; L pennes'!AL24/'Sections rachis &amp; L pennes'!$P$40)*'Sections rachis &amp; L pennes'!$L52*$J$71/100)</f>
        <v>1.8711287349711665</v>
      </c>
    </row>
    <row r="60" spans="2:21" s="345" customFormat="1" ht="13.5" customHeight="1" thickBot="1">
      <c r="C60" s="912">
        <f>IF('Sections rachis &amp; L pennes'!AC25="","",'Sections rachis &amp; L pennes'!AC25)</f>
        <v>90</v>
      </c>
      <c r="D60" s="913">
        <f>IF('Sections rachis &amp; L pennes'!AD25="","",($E$70+$E$71*$C60+$E$72*100*'Sections rachis &amp; L pennes'!AD25/'Sections rachis &amp; L pennes'!$P$40)*'Sections rachis &amp; L pennes'!$L53*$F$71/100)</f>
        <v>2.103206608502477</v>
      </c>
      <c r="E60" s="914" t="str">
        <f>IF('Sections rachis &amp; L pennes'!AE25="","",($E$70+$E$71*$C60+$E$72*100*'Sections rachis &amp; L pennes'!AE25/'Sections rachis &amp; L pennes'!$P$40)*'Sections rachis &amp; L pennes'!$L53*$F$71/100)</f>
        <v/>
      </c>
      <c r="F60" s="914" t="str">
        <f>IF('Sections rachis &amp; L pennes'!AF25="","",($E$70+$E$71*$C60+$E$72*100*'Sections rachis &amp; L pennes'!AF25/'Sections rachis &amp; L pennes'!$P$40)*'Sections rachis &amp; L pennes'!$L53*$F$71/100)</f>
        <v/>
      </c>
      <c r="G60" s="915" t="str">
        <f>IF('Sections rachis &amp; L pennes'!AG25="","",($E$70+$E$71*$C60+$E$72*100*'Sections rachis &amp; L pennes'!AG25/'Sections rachis &amp; L pennes'!$P$40)*'Sections rachis &amp; L pennes'!$L53*$F$71/100)</f>
        <v/>
      </c>
      <c r="H60" s="913">
        <f>IF('Sections rachis &amp; L pennes'!AD25="","",($I$70+$I$71*$C60+$I$72*100*'Sections rachis &amp; L pennes'!AD25/'Sections rachis &amp; L pennes'!$P$40)*'Sections rachis &amp; L pennes'!$L53*$J$71/100)</f>
        <v>1.5524560833632461</v>
      </c>
      <c r="I60" s="914" t="str">
        <f>IF('Sections rachis &amp; L pennes'!AE25="","",($I$70+$I$71*$C60+$I$72*100*'Sections rachis &amp; L pennes'!AE25/'Sections rachis &amp; L pennes'!$P$40)*'Sections rachis &amp; L pennes'!$L53*$J$71/100)</f>
        <v/>
      </c>
      <c r="J60" s="914" t="str">
        <f>IF('Sections rachis &amp; L pennes'!AF25="","",($I$70+$I$71*$C60+$I$72*100*'Sections rachis &amp; L pennes'!AF25/'Sections rachis &amp; L pennes'!$P$40)*'Sections rachis &amp; L pennes'!$L53*$J$71/100)</f>
        <v/>
      </c>
      <c r="K60" s="916" t="str">
        <f>IF('Sections rachis &amp; L pennes'!AG25="","",($I$70+$I$71*$C60+$I$72*100*'Sections rachis &amp; L pennes'!AG25/'Sections rachis &amp; L pennes'!$P$40)*'Sections rachis &amp; L pennes'!$L53*$J$71/100)</f>
        <v/>
      </c>
      <c r="L60" s="694"/>
      <c r="M60" s="912">
        <f>IF('Sections rachis &amp; L pennes'!AH25="","",'Sections rachis &amp; L pennes'!AH25)</f>
        <v>90</v>
      </c>
      <c r="N60" s="913">
        <f>IF('Sections rachis &amp; L pennes'!AI25="","",($E$70+$E$71*$M60+$E$72*100*'Sections rachis &amp; L pennes'!AI25/'Sections rachis &amp; L pennes'!$P$40)*'Sections rachis &amp; L pennes'!$L53*$F$71/100)</f>
        <v>2.089812281092156</v>
      </c>
      <c r="O60" s="914" t="str">
        <f>IF('Sections rachis &amp; L pennes'!AJ25="","",($E$70+$E$71*$M60+$E$72*100*'Sections rachis &amp; L pennes'!AJ25/'Sections rachis &amp; L pennes'!$P$40)*'Sections rachis &amp; L pennes'!$L53*$F$71/100)</f>
        <v/>
      </c>
      <c r="P60" s="914" t="str">
        <f>IF('Sections rachis &amp; L pennes'!AK25="","",($E$70+$E$71*$M60+$E$72*100*'Sections rachis &amp; L pennes'!AK25/'Sections rachis &amp; L pennes'!$P$40)*'Sections rachis &amp; L pennes'!$L53*$F$71/100)</f>
        <v/>
      </c>
      <c r="Q60" s="915">
        <f>IF('Sections rachis &amp; L pennes'!AL25="","",($E$70+$E$71*$M60+$E$72*100*'Sections rachis &amp; L pennes'!AL25/'Sections rachis &amp; L pennes'!$P$40)*'Sections rachis &amp; L pennes'!$L53*$F$71/100)</f>
        <v>2.0862667238364834</v>
      </c>
      <c r="R60" s="913">
        <f>IF('Sections rachis &amp; L pennes'!AI25="","",($I$70+$I$71*$M60+$I$72*100*'Sections rachis &amp; L pennes'!AI25/'Sections rachis &amp; L pennes'!$P$40)*'Sections rachis &amp; L pennes'!$L53*$J$71/100)</f>
        <v>1.5335199189395601</v>
      </c>
      <c r="S60" s="914" t="str">
        <f>IF('Sections rachis &amp; L pennes'!AJ25="","",($I$70+$I$71*$M60+$I$72*100*'Sections rachis &amp; L pennes'!AJ25/'Sections rachis &amp; L pennes'!$P$40)*'Sections rachis &amp; L pennes'!$L53*$J$71/100)</f>
        <v/>
      </c>
      <c r="T60" s="914" t="str">
        <f>IF('Sections rachis &amp; L pennes'!AK25="","",($I$70+$I$71*$M60+$I$72*100*'Sections rachis &amp; L pennes'!AK25/'Sections rachis &amp; L pennes'!$P$40)*'Sections rachis &amp; L pennes'!$L53*$J$71/100)</f>
        <v/>
      </c>
      <c r="U60" s="916">
        <f>IF('Sections rachis &amp; L pennes'!AL25="","",($I$70+$I$71*$M60+$I$72*100*'Sections rachis &amp; L pennes'!AL25/'Sections rachis &amp; L pennes'!$P$40)*'Sections rachis &amp; L pennes'!$L53*$J$71/100)</f>
        <v>1.5285074048274081</v>
      </c>
    </row>
    <row r="61" spans="2:21" s="345" customFormat="1">
      <c r="B61" s="648" t="s">
        <v>1247</v>
      </c>
      <c r="C61" s="933">
        <f>IF('Sections rachis &amp; L pennes'!AC26="","",'Sections rachis &amp; L pennes'!AC26)</f>
        <v>98.032862763249241</v>
      </c>
      <c r="D61" s="934"/>
      <c r="E61" s="935">
        <v>1.9</v>
      </c>
      <c r="F61" s="935"/>
      <c r="G61" s="936"/>
      <c r="H61" s="919"/>
      <c r="I61" s="630">
        <v>1.3</v>
      </c>
      <c r="J61" s="630"/>
      <c r="K61" s="652"/>
      <c r="L61" s="648" t="s">
        <v>1247</v>
      </c>
      <c r="M61" s="933">
        <f>IF('Sections rachis &amp; L pennes'!AH26="","",'Sections rachis &amp; L pennes'!AH26)</f>
        <v>97.778292062022672</v>
      </c>
      <c r="N61" s="651"/>
      <c r="O61" s="630">
        <v>1.5</v>
      </c>
      <c r="P61" s="630"/>
      <c r="Q61" s="652"/>
      <c r="R61" s="651"/>
      <c r="S61" s="630">
        <v>1.3</v>
      </c>
      <c r="T61" s="630"/>
      <c r="U61" s="652"/>
    </row>
    <row r="62" spans="2:21" s="345" customFormat="1">
      <c r="B62" s="653" t="s">
        <v>1248</v>
      </c>
      <c r="C62" s="937">
        <f>IF('Sections rachis &amp; L pennes'!AC27="","",'Sections rachis &amp; L pennes'!AC27)</f>
        <v>98.704003702846563</v>
      </c>
      <c r="D62" s="938"/>
      <c r="E62" s="939">
        <v>1.5</v>
      </c>
      <c r="F62" s="939"/>
      <c r="G62" s="940"/>
      <c r="H62" s="922"/>
      <c r="I62" s="632">
        <v>1.1000000000000001</v>
      </c>
      <c r="J62" s="632"/>
      <c r="K62" s="398"/>
      <c r="L62" s="653" t="s">
        <v>1248</v>
      </c>
      <c r="M62" s="937">
        <f>IF('Sections rachis &amp; L pennes'!AH27="","",'Sections rachis &amp; L pennes'!AH27)</f>
        <v>98.634575329784766</v>
      </c>
      <c r="N62" s="397"/>
      <c r="O62" s="632">
        <v>1.5</v>
      </c>
      <c r="P62" s="632"/>
      <c r="Q62" s="398"/>
      <c r="R62" s="397"/>
      <c r="S62" s="632">
        <v>1.1000000000000001</v>
      </c>
      <c r="T62" s="632"/>
      <c r="U62" s="398"/>
    </row>
    <row r="63" spans="2:21" s="345" customFormat="1">
      <c r="B63" s="653" t="s">
        <v>1249</v>
      </c>
      <c r="C63" s="937">
        <f>IF('Sections rachis &amp; L pennes'!AC28="","",'Sections rachis &amp; L pennes'!AC28)</f>
        <v>99.352001851423282</v>
      </c>
      <c r="D63" s="938"/>
      <c r="E63" s="939">
        <v>1.5</v>
      </c>
      <c r="F63" s="939"/>
      <c r="G63" s="940"/>
      <c r="H63" s="922"/>
      <c r="I63" s="632">
        <v>0.75</v>
      </c>
      <c r="J63" s="632"/>
      <c r="K63" s="398"/>
      <c r="L63" s="653" t="s">
        <v>1249</v>
      </c>
      <c r="M63" s="937">
        <f>IF('Sections rachis &amp; L pennes'!AH28="","",'Sections rachis &amp; L pennes'!AH28)</f>
        <v>99.074288359176109</v>
      </c>
      <c r="N63" s="397"/>
      <c r="O63" s="632">
        <v>1.4</v>
      </c>
      <c r="P63" s="632"/>
      <c r="Q63" s="398"/>
      <c r="R63" s="397"/>
      <c r="S63" s="632">
        <v>0.75</v>
      </c>
      <c r="T63" s="632"/>
      <c r="U63" s="398"/>
    </row>
    <row r="64" spans="2:21" s="345" customFormat="1">
      <c r="B64" s="653" t="s">
        <v>1251</v>
      </c>
      <c r="C64" s="937">
        <f>IF('Sections rachis &amp; L pennes'!AC29="","",'Sections rachis &amp; L pennes'!AC29)</f>
        <v>99.745429298773431</v>
      </c>
      <c r="D64" s="938"/>
      <c r="E64" s="939">
        <v>1.2</v>
      </c>
      <c r="F64" s="939"/>
      <c r="G64" s="940"/>
      <c r="H64" s="922"/>
      <c r="I64" s="632">
        <v>0.5</v>
      </c>
      <c r="J64" s="632"/>
      <c r="K64" s="398"/>
      <c r="L64" s="653" t="s">
        <v>1251</v>
      </c>
      <c r="M64" s="937">
        <f>IF('Sections rachis &amp; L pennes'!AH29="","",'Sections rachis &amp; L pennes'!AH29)</f>
        <v>99.629715343670441</v>
      </c>
      <c r="N64" s="397"/>
      <c r="O64" s="632">
        <v>1.2</v>
      </c>
      <c r="P64" s="632"/>
      <c r="Q64" s="398"/>
      <c r="R64" s="397"/>
      <c r="S64" s="632">
        <v>0.6</v>
      </c>
      <c r="T64" s="632"/>
      <c r="U64" s="398"/>
    </row>
    <row r="65" spans="1:21" s="345" customFormat="1" ht="14.25" customHeight="1" thickBot="1">
      <c r="B65" s="799" t="s">
        <v>1252</v>
      </c>
      <c r="C65" s="941">
        <f>IF('Sections rachis &amp; L pennes'!AC30="","",'Sections rachis &amp; L pennes'!AC30)</f>
        <v>99.976857208979396</v>
      </c>
      <c r="D65" s="942"/>
      <c r="E65" s="943">
        <v>1</v>
      </c>
      <c r="F65" s="943"/>
      <c r="G65" s="944"/>
      <c r="H65" s="924"/>
      <c r="I65" s="642">
        <v>0.6</v>
      </c>
      <c r="J65" s="642"/>
      <c r="K65" s="388"/>
      <c r="L65" s="799" t="s">
        <v>1252</v>
      </c>
      <c r="M65" s="941">
        <f>IF('Sections rachis &amp; L pennes'!AH30="","",'Sections rachis &amp; L pennes'!AH30)</f>
        <v>99.976857208979396</v>
      </c>
      <c r="N65" s="387"/>
      <c r="O65" s="642">
        <v>1</v>
      </c>
      <c r="P65" s="642"/>
      <c r="Q65" s="388"/>
      <c r="R65" s="387"/>
      <c r="S65" s="642">
        <v>0.7</v>
      </c>
      <c r="T65" s="642"/>
      <c r="U65" s="388"/>
    </row>
    <row r="66" spans="1:21" s="345" customFormat="1" ht="13.5" thickBot="1">
      <c r="B66" s="660" t="s">
        <v>1254</v>
      </c>
      <c r="C66" s="925">
        <f>IF('Sections rachis &amp; L pennes'!AC31="","",'Sections rachis &amp; L pennes'!AC31)</f>
        <v>100</v>
      </c>
      <c r="D66" s="945"/>
      <c r="E66" s="946">
        <v>0.5</v>
      </c>
      <c r="F66" s="946"/>
      <c r="G66" s="947"/>
      <c r="H66" s="948"/>
      <c r="I66" s="662">
        <v>0.6</v>
      </c>
      <c r="J66" s="664"/>
      <c r="K66" s="662"/>
      <c r="L66" s="660" t="s">
        <v>1254</v>
      </c>
      <c r="M66" s="925" t="str">
        <f>IF('Sections rachis &amp; L pennes'!AH31="","",'Sections rachis &amp; L pennes'!AH31)</f>
        <v>XXX</v>
      </c>
      <c r="N66" s="663"/>
      <c r="O66" s="662"/>
      <c r="P66" s="664"/>
      <c r="Q66" s="665"/>
      <c r="R66" s="663"/>
      <c r="S66" s="662"/>
      <c r="T66" s="664"/>
      <c r="U66" s="665"/>
    </row>
    <row r="67" spans="1:21" s="345" customFormat="1" ht="15.75" customHeight="1"/>
    <row r="68" spans="1:21" s="345" customFormat="1" ht="13.5" customHeight="1" thickBot="1">
      <c r="E68" s="932"/>
      <c r="F68" s="932"/>
      <c r="I68" s="932"/>
    </row>
    <row r="69" spans="1:21" s="345" customFormat="1">
      <c r="A69" s="345" t="s">
        <v>1292</v>
      </c>
      <c r="B69" s="643">
        <f>IF(MAX(D14:K32,N14:U32,D48:K66,N48:U66)=0,"",MAX(D14:K32,N14:U32,D48:K66,N48:U66))</f>
        <v>2.6550767173058456</v>
      </c>
      <c r="D69" s="949" t="s">
        <v>1271</v>
      </c>
      <c r="E69" s="950" t="s">
        <v>1272</v>
      </c>
      <c r="F69" s="951" t="s">
        <v>1293</v>
      </c>
      <c r="G69" s="952"/>
      <c r="H69" s="949" t="s">
        <v>1271</v>
      </c>
      <c r="I69" s="950" t="s">
        <v>1272</v>
      </c>
      <c r="J69" s="951" t="s">
        <v>1293</v>
      </c>
    </row>
    <row r="70" spans="1:21" s="345" customFormat="1" ht="12.75" customHeight="1">
      <c r="A70" s="345" t="s">
        <v>1364</v>
      </c>
      <c r="B70" s="953">
        <f>IF('Hauteurs pennes (MAX)'!$F$35="","",IF($B$69="","",$B$69/'Largeurs pennes'!$B$69))</f>
        <v>1.5428446636893076</v>
      </c>
      <c r="D70" s="954" t="s">
        <v>1275</v>
      </c>
      <c r="E70" s="955">
        <v>4.3975110851317396</v>
      </c>
      <c r="F70" s="955">
        <f>IF('Sections rachis &amp; L pennes'!F24="",'Sections rachis &amp; L pennes'!L36,'Sections rachis &amp; L pennes'!F24)</f>
        <v>3.1</v>
      </c>
      <c r="G70" s="956"/>
      <c r="H70" s="954" t="s">
        <v>1275</v>
      </c>
      <c r="I70" s="955">
        <v>10.387777490758999</v>
      </c>
      <c r="J70" s="955">
        <f>IF('Sections rachis &amp; L pennes'!F24="",'Sections rachis &amp; L pennes'!L36,'Sections rachis &amp; L pennes'!F24)</f>
        <v>3.1</v>
      </c>
    </row>
    <row r="71" spans="1:21" s="345" customFormat="1" ht="13.5" customHeight="1">
      <c r="D71" s="957" t="s">
        <v>1276</v>
      </c>
      <c r="E71" s="955">
        <v>2.9611149248672999</v>
      </c>
      <c r="F71" s="955">
        <f>IF('Sections rachis &amp; L pennes'!M24="",'Sections rachis &amp; L pennes'!L36,'Sections rachis &amp; L pennes'!M24)</f>
        <v>3.26</v>
      </c>
      <c r="G71" s="952"/>
      <c r="H71" s="957" t="s">
        <v>1276</v>
      </c>
      <c r="I71" s="955">
        <v>2.2404869069003599</v>
      </c>
      <c r="J71" s="955">
        <f>IF('Sections rachis &amp; L pennes'!M24="",'Sections rachis &amp; L pennes'!L36,'Sections rachis &amp; L pennes'!M24)</f>
        <v>3.26</v>
      </c>
    </row>
    <row r="72" spans="1:21" s="345" customFormat="1" ht="13.5" customHeight="1">
      <c r="D72" s="958" t="s">
        <v>1278</v>
      </c>
      <c r="E72" s="959">
        <v>-0.34882677957770702</v>
      </c>
      <c r="F72" s="959"/>
      <c r="H72" s="958" t="s">
        <v>1278</v>
      </c>
      <c r="I72" s="959">
        <v>-0.49315214203130803</v>
      </c>
      <c r="J72" s="959"/>
    </row>
    <row r="73" spans="1:21" s="345" customFormat="1"/>
    <row r="74" spans="1:21" s="345" customFormat="1"/>
    <row r="75" spans="1:21" s="345" customFormat="1">
      <c r="E75" s="762"/>
    </row>
    <row r="76" spans="1:21" s="345" customFormat="1">
      <c r="D76" s="960"/>
    </row>
    <row r="77" spans="1:21" s="345" customFormat="1">
      <c r="D77" s="960"/>
    </row>
    <row r="78" spans="1:21" s="345" customFormat="1"/>
    <row r="79" spans="1:21" s="345" customFormat="1" ht="15.75" customHeight="1"/>
    <row r="80" spans="1:21" s="345" customFormat="1"/>
    <row r="81" s="345" customFormat="1"/>
    <row r="82" s="345" customFormat="1"/>
    <row r="83" s="345" customFormat="1"/>
    <row r="84" s="345" customFormat="1"/>
    <row r="85" s="345" customFormat="1"/>
    <row r="86" s="345" customFormat="1"/>
    <row r="87" s="345" customFormat="1"/>
    <row r="88" s="345" customFormat="1"/>
    <row r="89" s="345" customFormat="1"/>
    <row r="90" s="345" customFormat="1"/>
    <row r="91" s="345" customFormat="1"/>
    <row r="92" s="345" customFormat="1"/>
    <row r="93" s="345" customFormat="1"/>
    <row r="94" s="345" customFormat="1"/>
    <row r="95" s="345" customFormat="1"/>
    <row r="96" s="345" customFormat="1"/>
    <row r="97" spans="4:5" s="345" customFormat="1"/>
    <row r="98" spans="4:5" s="345" customFormat="1"/>
    <row r="99" spans="4:5" s="345" customFormat="1"/>
    <row r="100" spans="4:5" s="345" customFormat="1"/>
    <row r="101" spans="4:5" s="345" customFormat="1"/>
    <row r="102" spans="4:5" s="345" customFormat="1"/>
    <row r="103" spans="4:5" s="345" customFormat="1"/>
    <row r="104" spans="4:5" s="345" customFormat="1"/>
    <row r="105" spans="4:5" s="345" customFormat="1"/>
    <row r="106" spans="4:5" s="345" customFormat="1"/>
    <row r="107" spans="4:5">
      <c r="D107" s="345"/>
      <c r="E107" s="345"/>
    </row>
  </sheetData>
  <sheetProtection sheet="1" objects="1" scenarios="1" selectLockedCells="1"/>
  <mergeCells count="32">
    <mergeCell ref="M37:N37"/>
    <mergeCell ref="C41:E41"/>
    <mergeCell ref="C45:C47"/>
    <mergeCell ref="D45:K45"/>
    <mergeCell ref="M45:M47"/>
    <mergeCell ref="N45:U45"/>
    <mergeCell ref="D46:G46"/>
    <mergeCell ref="H46:K46"/>
    <mergeCell ref="N46:Q46"/>
    <mergeCell ref="R46:U46"/>
    <mergeCell ref="C43:E43"/>
    <mergeCell ref="C11:C13"/>
    <mergeCell ref="D11:K11"/>
    <mergeCell ref="B37:F37"/>
    <mergeCell ref="G37:H37"/>
    <mergeCell ref="I37:L37"/>
    <mergeCell ref="C5:I5"/>
    <mergeCell ref="C39:I39"/>
    <mergeCell ref="M3:N3"/>
    <mergeCell ref="C1:D1"/>
    <mergeCell ref="J1:K1"/>
    <mergeCell ref="B3:F3"/>
    <mergeCell ref="G3:H3"/>
    <mergeCell ref="I3:L3"/>
    <mergeCell ref="M11:M13"/>
    <mergeCell ref="N11:U11"/>
    <mergeCell ref="D12:G12"/>
    <mergeCell ref="H12:K12"/>
    <mergeCell ref="N12:Q12"/>
    <mergeCell ref="R12:U12"/>
    <mergeCell ref="C7:E7"/>
    <mergeCell ref="C9:E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T13" sqref="T13:T31"/>
    </sheetView>
  </sheetViews>
  <sheetFormatPr baseColWidth="10" defaultRowHeight="12.75"/>
  <sheetData>
    <row r="1" spans="1:26" s="345" customFormat="1" ht="18">
      <c r="B1" s="345">
        <v>1E-3</v>
      </c>
      <c r="D1" s="1228" t="s">
        <v>1101</v>
      </c>
      <c r="E1" s="1228"/>
      <c r="L1" s="1249" t="s">
        <v>1294</v>
      </c>
      <c r="M1" s="1249"/>
      <c r="N1" s="574"/>
      <c r="O1" s="574"/>
    </row>
    <row r="2" spans="1:26" s="345" customFormat="1" ht="18">
      <c r="D2" s="346"/>
      <c r="E2" s="346"/>
    </row>
    <row r="3" spans="1:26" s="345" customFormat="1" ht="15.75">
      <c r="D3" s="1323" t="s">
        <v>1102</v>
      </c>
      <c r="E3" s="1323"/>
      <c r="F3" s="1323"/>
      <c r="G3" s="1323"/>
      <c r="H3" s="1323"/>
      <c r="I3" s="375"/>
      <c r="J3" s="1322" t="str">
        <f>IF('Stipe=phyllotaxie&amp;croissance'!$E$11&gt;0,'Stipe=phyllotaxie&amp;croissance'!$E$11,"")</f>
        <v>Rochdi</v>
      </c>
      <c r="K3" s="1322"/>
      <c r="Q3" s="1323" t="s">
        <v>1103</v>
      </c>
      <c r="R3" s="1323"/>
      <c r="S3" s="1323"/>
      <c r="T3" s="1323"/>
      <c r="U3" s="1512" t="str">
        <f>IF('Stipe=phyllotaxie&amp;croissance'!$E$10&gt;0,'Stipe=phyllotaxie&amp;croissance'!$E$10,"")</f>
        <v>01</v>
      </c>
      <c r="V3" s="1512"/>
      <c r="W3" s="773"/>
    </row>
    <row r="4" spans="1:26" s="345" customFormat="1" ht="18">
      <c r="D4" s="346"/>
      <c r="E4" s="346"/>
    </row>
    <row r="5" spans="1:26" s="345" customFormat="1" ht="18">
      <c r="D5" s="446" t="s">
        <v>1228</v>
      </c>
      <c r="E5" s="446"/>
      <c r="F5" s="446"/>
      <c r="G5" s="446"/>
      <c r="H5" s="446"/>
      <c r="I5" s="446"/>
      <c r="J5" s="446"/>
      <c r="K5" s="446"/>
      <c r="L5" s="446"/>
      <c r="M5" s="446"/>
      <c r="N5" s="379"/>
      <c r="O5" s="379"/>
    </row>
    <row r="6" spans="1:26" s="345" customFormat="1" ht="13.5" thickBot="1"/>
    <row r="7" spans="1:26" s="345" customFormat="1" ht="15.75" thickBot="1">
      <c r="D7" s="1496" t="s">
        <v>1229</v>
      </c>
      <c r="E7" s="1497"/>
      <c r="F7" s="1497"/>
      <c r="G7" s="577">
        <f>IF('Folioles=disposition&amp;groupes'!$D$7&gt;0,'Folioles=disposition&amp;groupes'!$D$7,"")</f>
        <v>57</v>
      </c>
      <c r="R7" s="1498" t="s">
        <v>1229</v>
      </c>
      <c r="S7" s="1499"/>
      <c r="T7" s="1513"/>
      <c r="U7" s="577">
        <f>IF('Folioles=disposition&amp;groupes'!$P$7&gt;0,'Folioles=disposition&amp;groupes'!$P$7,"")</f>
        <v>83</v>
      </c>
    </row>
    <row r="8" spans="1:26" s="345" customFormat="1"/>
    <row r="9" spans="1:26" s="345" customFormat="1" ht="15">
      <c r="C9" s="582"/>
      <c r="D9" s="1514" t="s">
        <v>1297</v>
      </c>
      <c r="E9" s="1514"/>
      <c r="F9" s="1514"/>
      <c r="Q9" s="582"/>
      <c r="R9" s="1514" t="s">
        <v>1297</v>
      </c>
      <c r="S9" s="1514"/>
      <c r="T9" s="1514"/>
    </row>
    <row r="10" spans="1:26" s="345" customFormat="1" ht="13.5" thickBot="1"/>
    <row r="11" spans="1:26" s="345" customFormat="1" ht="15.75" thickBot="1">
      <c r="C11" s="1520" t="s">
        <v>1233</v>
      </c>
      <c r="D11" s="1520" t="s">
        <v>1237</v>
      </c>
      <c r="E11" s="1521"/>
      <c r="F11" s="1521"/>
      <c r="G11" s="1522"/>
      <c r="H11" s="1520" t="s">
        <v>1233</v>
      </c>
      <c r="I11" s="1520" t="s">
        <v>1238</v>
      </c>
      <c r="J11" s="1521"/>
      <c r="K11" s="1521"/>
      <c r="L11" s="1522"/>
      <c r="M11" s="583"/>
      <c r="O11" s="1520" t="s">
        <v>1233</v>
      </c>
      <c r="P11" s="1520" t="s">
        <v>1237</v>
      </c>
      <c r="Q11" s="1521"/>
      <c r="R11" s="1521"/>
      <c r="S11" s="1522"/>
      <c r="T11" s="1520" t="s">
        <v>1233</v>
      </c>
      <c r="U11" s="1520" t="s">
        <v>1238</v>
      </c>
      <c r="V11" s="1521"/>
      <c r="W11" s="1521"/>
      <c r="X11" s="1522"/>
    </row>
    <row r="12" spans="1:26" s="345" customFormat="1" ht="13.5" thickBot="1">
      <c r="C12" s="1523"/>
      <c r="D12" s="584" t="s">
        <v>1239</v>
      </c>
      <c r="E12" s="585" t="s">
        <v>1240</v>
      </c>
      <c r="F12" s="585" t="s">
        <v>1240</v>
      </c>
      <c r="G12" s="586" t="s">
        <v>1241</v>
      </c>
      <c r="H12" s="1523"/>
      <c r="I12" s="588" t="s">
        <v>1239</v>
      </c>
      <c r="J12" s="589" t="s">
        <v>1240</v>
      </c>
      <c r="K12" s="589" t="s">
        <v>1240</v>
      </c>
      <c r="L12" s="590" t="s">
        <v>1241</v>
      </c>
      <c r="M12" s="587"/>
      <c r="O12" s="1523"/>
      <c r="P12" s="584" t="s">
        <v>1239</v>
      </c>
      <c r="Q12" s="585" t="s">
        <v>1240</v>
      </c>
      <c r="R12" s="585" t="s">
        <v>1240</v>
      </c>
      <c r="S12" s="586" t="s">
        <v>1241</v>
      </c>
      <c r="T12" s="1523"/>
      <c r="U12" s="584" t="s">
        <v>1239</v>
      </c>
      <c r="V12" s="585" t="s">
        <v>1240</v>
      </c>
      <c r="W12" s="585" t="s">
        <v>1240</v>
      </c>
      <c r="X12" s="586" t="s">
        <v>1241</v>
      </c>
    </row>
    <row r="13" spans="1:26" s="345" customFormat="1">
      <c r="A13" s="345" t="s">
        <v>1294</v>
      </c>
      <c r="B13" s="595" t="s">
        <v>1243</v>
      </c>
      <c r="C13" s="775">
        <f>IF('Sections rachis &amp; L pennes'!Q13="","",'Sections rachis &amp; L pennes'!Q13)</f>
        <v>5.15970515970516</v>
      </c>
      <c r="D13" s="776" t="str">
        <f>IF('Ouvertures pennes'!D14="","",'Ouvertures pennes'!D14)</f>
        <v/>
      </c>
      <c r="E13" s="777" t="str">
        <f>IF('Ouvertures pennes'!E14="","",'Ouvertures pennes'!E14)</f>
        <v/>
      </c>
      <c r="F13" s="777" t="str">
        <f>IF('Ouvertures pennes'!F14="","",'Ouvertures pennes'!F14)</f>
        <v/>
      </c>
      <c r="G13" s="780">
        <f>IF('Ouvertures pennes'!G14="","",'Ouvertures pennes'!G14)</f>
        <v>0.13800000000000001</v>
      </c>
      <c r="H13" s="775">
        <f>IF('Sections rachis &amp; L pennes'!V13="","",'Sections rachis &amp; L pennes'!V13)</f>
        <v>5.4054054054054053</v>
      </c>
      <c r="I13" s="776" t="str">
        <f>IF('Ouvertures pennes'!N14="","",'Ouvertures pennes'!N14)</f>
        <v/>
      </c>
      <c r="J13" s="777" t="str">
        <f>IF('Ouvertures pennes'!O14="","",'Ouvertures pennes'!O14)</f>
        <v/>
      </c>
      <c r="K13" s="777" t="str">
        <f>IF('Ouvertures pennes'!P14="","",'Ouvertures pennes'!P14)</f>
        <v/>
      </c>
      <c r="L13" s="780">
        <f>IF('Ouvertures pennes'!Q14="","",'Ouvertures pennes'!Q14)</f>
        <v>0.157</v>
      </c>
      <c r="M13" s="781" t="s">
        <v>1294</v>
      </c>
      <c r="N13" s="595" t="s">
        <v>1243</v>
      </c>
      <c r="O13" s="775">
        <f>IF('Sections rachis &amp; L pennes'!AC13="","",'Sections rachis &amp; L pennes'!AC13)</f>
        <v>5.3228419347373288</v>
      </c>
      <c r="P13" s="776">
        <f>IF('Ouvertures pennes'!D48="","",'Ouvertures pennes'!D48)</f>
        <v>0.16300000000000001</v>
      </c>
      <c r="Q13" s="777" t="str">
        <f>IF('Ouvertures pennes'!E48="","",'Ouvertures pennes'!E48)</f>
        <v/>
      </c>
      <c r="R13" s="777" t="str">
        <f>IF('Ouvertures pennes'!F48="","",'Ouvertures pennes'!F48)</f>
        <v/>
      </c>
      <c r="S13" s="780" t="str">
        <f>IF('Ouvertures pennes'!G48="","",'Ouvertures pennes'!G48)</f>
        <v/>
      </c>
      <c r="T13" s="775">
        <f>IF('Sections rachis &amp; L pennes'!AH13="","",'Sections rachis &amp; L pennes'!AH13)</f>
        <v>5.5542698449432999</v>
      </c>
      <c r="U13" s="776">
        <f>IF('Ouvertures pennes'!N48="","",'Ouvertures pennes'!N48)</f>
        <v>0.17</v>
      </c>
      <c r="V13" s="777" t="str">
        <f>IF('Ouvertures pennes'!O48="","",'Ouvertures pennes'!O48)</f>
        <v/>
      </c>
      <c r="W13" s="777" t="str">
        <f>IF('Ouvertures pennes'!P48="","",'Ouvertures pennes'!P48)</f>
        <v/>
      </c>
      <c r="X13" s="780" t="str">
        <f>IF('Ouvertures pennes'!Q48="","",'Ouvertures pennes'!Q48)</f>
        <v/>
      </c>
      <c r="Y13" s="781" t="s">
        <v>1294</v>
      </c>
    </row>
    <row r="14" spans="1:26" s="345" customFormat="1">
      <c r="A14" s="345" t="s">
        <v>1294</v>
      </c>
      <c r="B14" s="609" t="s">
        <v>1244</v>
      </c>
      <c r="C14" s="782">
        <f>IF('Sections rachis &amp; L pennes'!Q14="","",'Sections rachis &amp; L pennes'!Q14)</f>
        <v>27.346437346437348</v>
      </c>
      <c r="D14" s="783" t="str">
        <f>IF('Ouvertures pennes'!D15="","",'Ouvertures pennes'!D15)</f>
        <v/>
      </c>
      <c r="E14" s="784" t="str">
        <f>IF('Ouvertures pennes'!E15="","",'Ouvertures pennes'!E15)</f>
        <v/>
      </c>
      <c r="F14" s="784" t="str">
        <f>IF('Ouvertures pennes'!F15="","",'Ouvertures pennes'!F15)</f>
        <v/>
      </c>
      <c r="G14" s="787">
        <f>IF('Ouvertures pennes'!G15="","",'Ouvertures pennes'!G15)</f>
        <v>0.315</v>
      </c>
      <c r="H14" s="782">
        <f>IF('Sections rachis &amp; L pennes'!V14="","",'Sections rachis &amp; L pennes'!V14)</f>
        <v>28.157248157248159</v>
      </c>
      <c r="I14" s="783">
        <f>IF('Ouvertures pennes'!N15="","",'Ouvertures pennes'!N15)</f>
        <v>0.32</v>
      </c>
      <c r="J14" s="784" t="str">
        <f>IF('Ouvertures pennes'!O15="","",'Ouvertures pennes'!O15)</f>
        <v/>
      </c>
      <c r="K14" s="784" t="str">
        <f>IF('Ouvertures pennes'!P15="","",'Ouvertures pennes'!P15)</f>
        <v/>
      </c>
      <c r="L14" s="787" t="str">
        <f>IF('Ouvertures pennes'!Q15="","",'Ouvertures pennes'!Q15)</f>
        <v/>
      </c>
      <c r="M14" s="781" t="s">
        <v>1294</v>
      </c>
      <c r="N14" s="609" t="s">
        <v>1244</v>
      </c>
      <c r="O14" s="782">
        <f>IF('Sections rachis &amp; L pennes'!AC14="","",'Sections rachis &amp; L pennes'!AC14)</f>
        <v>26.429067345521869</v>
      </c>
      <c r="P14" s="783">
        <f>IF('Ouvertures pennes'!D49="","",'Ouvertures pennes'!D49)</f>
        <v>0.38100000000000001</v>
      </c>
      <c r="Q14" s="784" t="str">
        <f>IF('Ouvertures pennes'!E49="","",'Ouvertures pennes'!E49)</f>
        <v/>
      </c>
      <c r="R14" s="784" t="str">
        <f>IF('Ouvertures pennes'!F49="","",'Ouvertures pennes'!F49)</f>
        <v/>
      </c>
      <c r="S14" s="787" t="str">
        <f>IF('Ouvertures pennes'!G49="","",'Ouvertures pennes'!G49)</f>
        <v/>
      </c>
      <c r="T14" s="782">
        <f>IF('Sections rachis &amp; L pennes'!AH14="","",'Sections rachis &amp; L pennes'!AH14)</f>
        <v>25.757926405924554</v>
      </c>
      <c r="U14" s="783" t="str">
        <f>IF('Ouvertures pennes'!N49="","",'Ouvertures pennes'!N49)</f>
        <v/>
      </c>
      <c r="V14" s="784" t="str">
        <f>IF('Ouvertures pennes'!O49="","",'Ouvertures pennes'!O49)</f>
        <v/>
      </c>
      <c r="W14" s="784" t="str">
        <f>IF('Ouvertures pennes'!P49="","",'Ouvertures pennes'!P49)</f>
        <v/>
      </c>
      <c r="X14" s="787">
        <f>IF('Ouvertures pennes'!Q49="","",'Ouvertures pennes'!Q49)</f>
        <v>0.41799999999999998</v>
      </c>
      <c r="Y14" s="781" t="s">
        <v>1294</v>
      </c>
    </row>
    <row r="15" spans="1:26" s="345" customFormat="1" ht="13.5" thickBot="1">
      <c r="A15" s="345" t="s">
        <v>1294</v>
      </c>
      <c r="B15" s="620" t="s">
        <v>1245</v>
      </c>
      <c r="C15" s="788">
        <f>IF('Sections rachis &amp; L pennes'!Q15="","",'Sections rachis &amp; L pennes'!Q15)</f>
        <v>30.466830466830466</v>
      </c>
      <c r="D15" s="789">
        <f>IF('Ouvertures pennes'!D16="","",'Ouvertures pennes'!D16)</f>
        <v>0.35699999999999998</v>
      </c>
      <c r="E15" s="790" t="str">
        <f>IF('Ouvertures pennes'!E16="","",'Ouvertures pennes'!E16)</f>
        <v/>
      </c>
      <c r="F15" s="790" t="str">
        <f>IF('Ouvertures pennes'!F16="","",'Ouvertures pennes'!F16)</f>
        <v/>
      </c>
      <c r="G15" s="793" t="str">
        <f>IF('Ouvertures pennes'!G16="","",'Ouvertures pennes'!G16)</f>
        <v/>
      </c>
      <c r="H15" s="788">
        <f>IF('Sections rachis &amp; L pennes'!V15="","",'Sections rachis &amp; L pennes'!V15)</f>
        <v>28.55036855036855</v>
      </c>
      <c r="I15" s="789" t="str">
        <f>IF('Ouvertures pennes'!N16="","",'Ouvertures pennes'!N16)</f>
        <v/>
      </c>
      <c r="J15" s="790" t="str">
        <f>IF('Ouvertures pennes'!O16="","",'Ouvertures pennes'!O16)</f>
        <v/>
      </c>
      <c r="K15" s="790" t="str">
        <f>IF('Ouvertures pennes'!P16="","",'Ouvertures pennes'!P16)</f>
        <v/>
      </c>
      <c r="L15" s="793">
        <f>IF('Ouvertures pennes'!Q16="","",'Ouvertures pennes'!Q16)</f>
        <v>0.27</v>
      </c>
      <c r="M15" s="781" t="s">
        <v>1294</v>
      </c>
      <c r="N15" s="620" t="s">
        <v>1245</v>
      </c>
      <c r="O15" s="782">
        <f>IF('Sections rachis &amp; L pennes'!AC15="","",'Sections rachis &amp; L pennes'!AC15)</f>
        <v>26.799352001851421</v>
      </c>
      <c r="P15" s="789" t="str">
        <f>IF('Ouvertures pennes'!D50="","",'Ouvertures pennes'!D50)</f>
        <v/>
      </c>
      <c r="Q15" s="790" t="str">
        <f>IF('Ouvertures pennes'!E50="","",'Ouvertures pennes'!E50)</f>
        <v/>
      </c>
      <c r="R15" s="790" t="str">
        <f>IF('Ouvertures pennes'!F50="","",'Ouvertures pennes'!F50)</f>
        <v/>
      </c>
      <c r="S15" s="793">
        <f>IF('Ouvertures pennes'!G50="","",'Ouvertures pennes'!G50)</f>
        <v>0.45600000000000002</v>
      </c>
      <c r="T15" s="782">
        <f>IF('Sections rachis &amp; L pennes'!AH15="","",'Sections rachis &amp; L pennes'!AH15)</f>
        <v>27.794492015737095</v>
      </c>
      <c r="U15" s="789">
        <f>IF('Ouvertures pennes'!N50="","",'Ouvertures pennes'!N50)</f>
        <v>0.52500000000000002</v>
      </c>
      <c r="V15" s="790" t="str">
        <f>IF('Ouvertures pennes'!O50="","",'Ouvertures pennes'!O50)</f>
        <v/>
      </c>
      <c r="W15" s="790" t="str">
        <f>IF('Ouvertures pennes'!P50="","",'Ouvertures pennes'!P50)</f>
        <v/>
      </c>
      <c r="X15" s="793" t="str">
        <f>IF('Ouvertures pennes'!Q50="","",'Ouvertures pennes'!Q50)</f>
        <v/>
      </c>
      <c r="Y15" s="781" t="s">
        <v>1294</v>
      </c>
      <c r="Z15" s="656" t="s">
        <v>1294</v>
      </c>
    </row>
    <row r="16" spans="1:26" s="345" customFormat="1">
      <c r="A16" s="345" t="s">
        <v>1294</v>
      </c>
      <c r="C16" s="775" t="str">
        <f>IF('Sections rachis &amp; L pennes'!Q16="","",'Sections rachis &amp; L pennes'!Q16)</f>
        <v/>
      </c>
      <c r="D16" s="776" t="str">
        <f>IF('Ouvertures pennes'!D17="","",'Ouvertures pennes'!D17)</f>
        <v/>
      </c>
      <c r="E16" s="777" t="str">
        <f>IF('Ouvertures pennes'!E17="","",'Ouvertures pennes'!E17)</f>
        <v/>
      </c>
      <c r="F16" s="777" t="str">
        <f>IF('Ouvertures pennes'!F17="","",'Ouvertures pennes'!F17)</f>
        <v/>
      </c>
      <c r="G16" s="780" t="str">
        <f>IF('Ouvertures pennes'!G17="","",'Ouvertures pennes'!G17)</f>
        <v/>
      </c>
      <c r="H16" s="775" t="s">
        <v>1294</v>
      </c>
      <c r="I16" s="776" t="str">
        <f>IF('Ouvertures pennes'!N17="","",'Ouvertures pennes'!N17)</f>
        <v/>
      </c>
      <c r="J16" s="777" t="str">
        <f>IF('Ouvertures pennes'!O17="","",'Ouvertures pennes'!O17)</f>
        <v/>
      </c>
      <c r="K16" s="777" t="str">
        <f>IF('Ouvertures pennes'!P17="","",'Ouvertures pennes'!P17)</f>
        <v/>
      </c>
      <c r="L16" s="780" t="str">
        <f>IF('Ouvertures pennes'!Q17="","",'Ouvertures pennes'!Q17)</f>
        <v/>
      </c>
      <c r="M16" s="781" t="s">
        <v>1294</v>
      </c>
      <c r="O16" s="782" t="str">
        <f>IF('Sections rachis &amp; L pennes'!AC16="","",'Sections rachis &amp; L pennes'!AC16)</f>
        <v/>
      </c>
      <c r="P16" s="776" t="str">
        <f>IF('Ouvertures pennes'!D51="","",'Ouvertures pennes'!D51)</f>
        <v/>
      </c>
      <c r="Q16" s="777" t="str">
        <f>IF('Ouvertures pennes'!E51="","",'Ouvertures pennes'!E51)</f>
        <v/>
      </c>
      <c r="R16" s="777" t="str">
        <f>IF('Ouvertures pennes'!F51="","",'Ouvertures pennes'!F51)</f>
        <v/>
      </c>
      <c r="S16" s="780" t="str">
        <f>IF('Ouvertures pennes'!G51="","",'Ouvertures pennes'!G51)</f>
        <v/>
      </c>
      <c r="T16" s="782" t="str">
        <f>IF('Sections rachis &amp; L pennes'!AH16="","",'Sections rachis &amp; L pennes'!AH16)</f>
        <v/>
      </c>
      <c r="U16" s="776" t="str">
        <f>IF('Ouvertures pennes'!N51="","",'Ouvertures pennes'!N51)</f>
        <v/>
      </c>
      <c r="V16" s="777" t="str">
        <f>IF('Ouvertures pennes'!O51="","",'Ouvertures pennes'!O51)</f>
        <v/>
      </c>
      <c r="W16" s="777" t="str">
        <f>IF('Ouvertures pennes'!P51="","",'Ouvertures pennes'!P51)</f>
        <v/>
      </c>
      <c r="X16" s="780" t="str">
        <f>IF('Ouvertures pennes'!Q51="","",'Ouvertures pennes'!Q51)</f>
        <v/>
      </c>
      <c r="Y16" s="781" t="s">
        <v>1294</v>
      </c>
    </row>
    <row r="17" spans="1:25" s="345" customFormat="1">
      <c r="A17" s="345">
        <v>10</v>
      </c>
      <c r="C17" s="782">
        <f>IF('Sections rachis &amp; L pennes'!Q17="","",'Sections rachis &amp; L pennes'!Q17)</f>
        <v>10</v>
      </c>
      <c r="D17" s="783">
        <f>IF('Ouvertures pennes'!D18="","",'Ouvertures pennes'!D18)</f>
        <v>1.0612225636335881</v>
      </c>
      <c r="E17" s="784" t="str">
        <f>IF('Ouvertures pennes'!E18="","",'Ouvertures pennes'!E18)</f>
        <v/>
      </c>
      <c r="F17" s="784" t="str">
        <f>IF('Ouvertures pennes'!F18="","",'Ouvertures pennes'!F18)</f>
        <v/>
      </c>
      <c r="G17" s="787" t="str">
        <f>IF('Ouvertures pennes'!G18="","",'Ouvertures pennes'!G18)</f>
        <v/>
      </c>
      <c r="H17" s="782">
        <f>IF('Sections rachis &amp; L pennes'!V17="","",'Sections rachis &amp; L pennes'!V17)</f>
        <v>10</v>
      </c>
      <c r="I17" s="783">
        <f>IF('Ouvertures pennes'!N18="","",'Ouvertures pennes'!N18)</f>
        <v>1.0836464072927656</v>
      </c>
      <c r="J17" s="784" t="str">
        <f>IF('Ouvertures pennes'!O18="","",'Ouvertures pennes'!O18)</f>
        <v/>
      </c>
      <c r="K17" s="784" t="str">
        <f>IF('Ouvertures pennes'!P18="","",'Ouvertures pennes'!P18)</f>
        <v/>
      </c>
      <c r="L17" s="787">
        <f>IF('Ouvertures pennes'!Q18="","",'Ouvertures pennes'!Q18)</f>
        <v>1.0436038293299486</v>
      </c>
      <c r="M17" s="781" t="s">
        <v>1294</v>
      </c>
      <c r="O17" s="782">
        <f>IF('Sections rachis &amp; L pennes'!AC17="","",'Sections rachis &amp; L pennes'!AC17)</f>
        <v>10</v>
      </c>
      <c r="P17" s="783" t="str">
        <f>IF('Ouvertures pennes'!D52="","",'Ouvertures pennes'!D52)</f>
        <v/>
      </c>
      <c r="Q17" s="784">
        <f>IF('Ouvertures pennes'!E52="","",'Ouvertures pennes'!E52)</f>
        <v>1.1294703144439704</v>
      </c>
      <c r="R17" s="784" t="str">
        <f>IF('Ouvertures pennes'!F52="","",'Ouvertures pennes'!F52)</f>
        <v/>
      </c>
      <c r="S17" s="787" t="str">
        <f>IF('Ouvertures pennes'!G52="","",'Ouvertures pennes'!G52)</f>
        <v/>
      </c>
      <c r="T17" s="782">
        <f>IF('Sections rachis &amp; L pennes'!AH17="","",'Sections rachis &amp; L pennes'!AH17)</f>
        <v>10</v>
      </c>
      <c r="U17" s="783" t="str">
        <f>IF('Ouvertures pennes'!N52="","",'Ouvertures pennes'!N52)</f>
        <v/>
      </c>
      <c r="V17" s="784">
        <f>IF('Ouvertures pennes'!O52="","",'Ouvertures pennes'!O52)</f>
        <v>1.1008359961123659</v>
      </c>
      <c r="W17" s="784" t="str">
        <f>IF('Ouvertures pennes'!P52="","",'Ouvertures pennes'!P52)</f>
        <v/>
      </c>
      <c r="X17" s="787" t="str">
        <f>IF('Ouvertures pennes'!Q52="","",'Ouvertures pennes'!Q52)</f>
        <v/>
      </c>
      <c r="Y17" s="781" t="s">
        <v>1294</v>
      </c>
    </row>
    <row r="18" spans="1:25" s="345" customFormat="1">
      <c r="A18" s="345">
        <v>20</v>
      </c>
      <c r="C18" s="782">
        <f>IF('Sections rachis &amp; L pennes'!Q18="","",'Sections rachis &amp; L pennes'!Q18)</f>
        <v>20</v>
      </c>
      <c r="D18" s="783">
        <f>IF('Ouvertures pennes'!D19="","",'Ouvertures pennes'!D19)</f>
        <v>1.5014140382747627</v>
      </c>
      <c r="E18" s="784" t="str">
        <f>IF('Ouvertures pennes'!E19="","",'Ouvertures pennes'!E19)</f>
        <v/>
      </c>
      <c r="F18" s="784" t="str">
        <f>IF('Ouvertures pennes'!F19="","",'Ouvertures pennes'!F19)</f>
        <v/>
      </c>
      <c r="G18" s="787" t="str">
        <f>IF('Ouvertures pennes'!G19="","",'Ouvertures pennes'!G19)</f>
        <v/>
      </c>
      <c r="H18" s="782">
        <f>IF('Sections rachis &amp; L pennes'!V18="","",'Sections rachis &amp; L pennes'!V18)</f>
        <v>20</v>
      </c>
      <c r="I18" s="783">
        <f>IF('Ouvertures pennes'!N19="","",'Ouvertures pennes'!N19)</f>
        <v>1.4978316610704665</v>
      </c>
      <c r="J18" s="784" t="str">
        <f>IF('Ouvertures pennes'!O19="","",'Ouvertures pennes'!O19)</f>
        <v/>
      </c>
      <c r="K18" s="784" t="str">
        <f>IF('Ouvertures pennes'!P19="","",'Ouvertures pennes'!P19)</f>
        <v/>
      </c>
      <c r="L18" s="787" t="str">
        <f>IF('Ouvertures pennes'!Q19="","",'Ouvertures pennes'!Q19)</f>
        <v/>
      </c>
      <c r="M18" s="781" t="s">
        <v>1294</v>
      </c>
      <c r="O18" s="782">
        <f>IF('Sections rachis &amp; L pennes'!AC18="","",'Sections rachis &amp; L pennes'!AC18)</f>
        <v>20</v>
      </c>
      <c r="P18" s="783">
        <f>IF('Ouvertures pennes'!D53="","",'Ouvertures pennes'!D53)</f>
        <v>1.6040215363491734</v>
      </c>
      <c r="Q18" s="784" t="str">
        <f>IF('Ouvertures pennes'!E53="","",'Ouvertures pennes'!E53)</f>
        <v/>
      </c>
      <c r="R18" s="784" t="str">
        <f>IF('Ouvertures pennes'!F53="","",'Ouvertures pennes'!F53)</f>
        <v/>
      </c>
      <c r="S18" s="787">
        <f>IF('Ouvertures pennes'!G53="","",'Ouvertures pennes'!G53)</f>
        <v>1.560070005272804</v>
      </c>
      <c r="T18" s="782">
        <f>IF('Sections rachis &amp; L pennes'!AH18="","",'Sections rachis &amp; L pennes'!AH18)</f>
        <v>20</v>
      </c>
      <c r="U18" s="783">
        <f>IF('Ouvertures pennes'!N53="","",'Ouvertures pennes'!N53)</f>
        <v>1.5864409239186257</v>
      </c>
      <c r="V18" s="784" t="str">
        <f>IF('Ouvertures pennes'!O53="","",'Ouvertures pennes'!O53)</f>
        <v/>
      </c>
      <c r="W18" s="784" t="str">
        <f>IF('Ouvertures pennes'!P53="","",'Ouvertures pennes'!P53)</f>
        <v/>
      </c>
      <c r="X18" s="787">
        <f>IF('Ouvertures pennes'!Q53="","",'Ouvertures pennes'!Q53)</f>
        <v>1.5374663607192429</v>
      </c>
      <c r="Y18" s="781" t="s">
        <v>1294</v>
      </c>
    </row>
    <row r="19" spans="1:25" s="345" customFormat="1">
      <c r="A19" s="345">
        <v>30</v>
      </c>
      <c r="C19" s="782">
        <f>IF('Sections rachis &amp; L pennes'!Q19="","",'Sections rachis &amp; L pennes'!Q19)</f>
        <v>30</v>
      </c>
      <c r="D19" s="783">
        <f>IF('Ouvertures pennes'!D20="","",'Ouvertures pennes'!D20)</f>
        <v>1.3142331502695042</v>
      </c>
      <c r="E19" s="784" t="str">
        <f>IF('Ouvertures pennes'!E20="","",'Ouvertures pennes'!E20)</f>
        <v/>
      </c>
      <c r="F19" s="784" t="str">
        <f>IF('Ouvertures pennes'!F20="","",'Ouvertures pennes'!F20)</f>
        <v/>
      </c>
      <c r="G19" s="787">
        <f>IF('Ouvertures pennes'!G20="","",'Ouvertures pennes'!G20)</f>
        <v>1.2707909426988031</v>
      </c>
      <c r="H19" s="782">
        <f>IF('Sections rachis &amp; L pennes'!V19="","",'Sections rachis &amp; L pennes'!V19)</f>
        <v>30</v>
      </c>
      <c r="I19" s="783">
        <f>IF('Ouvertures pennes'!N20="","",'Ouvertures pennes'!N20)</f>
        <v>1.3408908685515255</v>
      </c>
      <c r="J19" s="784" t="str">
        <f>IF('Ouvertures pennes'!O20="","",'Ouvertures pennes'!O20)</f>
        <v/>
      </c>
      <c r="K19" s="784" t="str">
        <f>IF('Ouvertures pennes'!P20="","",'Ouvertures pennes'!P20)</f>
        <v/>
      </c>
      <c r="L19" s="787">
        <f>IF('Ouvertures pennes'!Q20="","",'Ouvertures pennes'!Q20)</f>
        <v>1.3073218899741657</v>
      </c>
      <c r="M19" s="781" t="s">
        <v>1294</v>
      </c>
      <c r="O19" s="782">
        <f>IF('Sections rachis &amp; L pennes'!AC19="","",'Sections rachis &amp; L pennes'!AC19)</f>
        <v>30</v>
      </c>
      <c r="P19" s="783">
        <f>IF('Ouvertures pennes'!D54="","",'Ouvertures pennes'!D54)</f>
        <v>1.5056200372407287</v>
      </c>
      <c r="Q19" s="784" t="str">
        <f>IF('Ouvertures pennes'!E54="","",'Ouvertures pennes'!E54)</f>
        <v/>
      </c>
      <c r="R19" s="784" t="str">
        <f>IF('Ouvertures pennes'!F54="","",'Ouvertures pennes'!F54)</f>
        <v/>
      </c>
      <c r="S19" s="787">
        <f>IF('Ouvertures pennes'!G54="","",'Ouvertures pennes'!G54)</f>
        <v>1.3914090721758217</v>
      </c>
      <c r="T19" s="782">
        <f>IF('Sections rachis &amp; L pennes'!AH19="","",'Sections rachis &amp; L pennes'!AH19)</f>
        <v>30</v>
      </c>
      <c r="U19" s="783">
        <f>IF('Ouvertures pennes'!N54="","",'Ouvertures pennes'!N54)</f>
        <v>1.508734881742499</v>
      </c>
      <c r="V19" s="784" t="str">
        <f>IF('Ouvertures pennes'!O54="","",'Ouvertures pennes'!O54)</f>
        <v/>
      </c>
      <c r="W19" s="784" t="str">
        <f>IF('Ouvertures pennes'!P54="","",'Ouvertures pennes'!P54)</f>
        <v/>
      </c>
      <c r="X19" s="787">
        <f>IF('Ouvertures pennes'!Q54="","",'Ouvertures pennes'!Q54)</f>
        <v>1.3882942276740511</v>
      </c>
      <c r="Y19" s="781" t="s">
        <v>1294</v>
      </c>
    </row>
    <row r="20" spans="1:25" s="345" customFormat="1">
      <c r="A20" s="345">
        <v>40</v>
      </c>
      <c r="C20" s="782">
        <f>IF('Sections rachis &amp; L pennes'!Q20="","",'Sections rachis &amp; L pennes'!Q20)</f>
        <v>40</v>
      </c>
      <c r="D20" s="783">
        <f>IF('Ouvertures pennes'!D21="","",'Ouvertures pennes'!D21)</f>
        <v>1.7443364405826915</v>
      </c>
      <c r="E20" s="784">
        <f>IF('Ouvertures pennes'!E21="","",'Ouvertures pennes'!E21)</f>
        <v>1.725252576799708</v>
      </c>
      <c r="F20" s="784" t="str">
        <f>IF('Ouvertures pennes'!F21="","",'Ouvertures pennes'!F21)</f>
        <v/>
      </c>
      <c r="G20" s="787">
        <f>IF('Ouvertures pennes'!G21="","",'Ouvertures pennes'!G21)</f>
        <v>1.7165780932619885</v>
      </c>
      <c r="H20" s="782">
        <f>IF('Sections rachis &amp; L pennes'!V20="","",'Sections rachis &amp; L pennes'!V20)</f>
        <v>40</v>
      </c>
      <c r="I20" s="783">
        <f>IF('Ouvertures pennes'!N21="","",'Ouvertures pennes'!N21)</f>
        <v>1.7538783724741831</v>
      </c>
      <c r="J20" s="784" t="str">
        <f>IF('Ouvertures pennes'!O21="","",'Ouvertures pennes'!O21)</f>
        <v/>
      </c>
      <c r="K20" s="784" t="str">
        <f>IF('Ouvertures pennes'!P21="","",'Ouvertures pennes'!P21)</f>
        <v/>
      </c>
      <c r="L20" s="787">
        <f>IF('Ouvertures pennes'!Q21="","",'Ouvertures pennes'!Q21)</f>
        <v>1.7426882887105244</v>
      </c>
      <c r="M20" s="781" t="s">
        <v>1294</v>
      </c>
      <c r="O20" s="782">
        <f>IF('Sections rachis &amp; L pennes'!AC20="","",'Sections rachis &amp; L pennes'!AC20)</f>
        <v>40</v>
      </c>
      <c r="P20" s="783">
        <f>IF('Ouvertures pennes'!D55="","",'Ouvertures pennes'!D55)</f>
        <v>1.755915798656795</v>
      </c>
      <c r="Q20" s="784" t="str">
        <f>IF('Ouvertures pennes'!E55="","",'Ouvertures pennes'!E55)</f>
        <v/>
      </c>
      <c r="R20" s="784" t="str">
        <f>IF('Ouvertures pennes'!F55="","",'Ouvertures pennes'!F55)</f>
        <v/>
      </c>
      <c r="S20" s="787">
        <f>IF('Ouvertures pennes'!G55="","",'Ouvertures pennes'!G55)</f>
        <v>1.7258125425604114</v>
      </c>
      <c r="T20" s="782">
        <f>IF('Sections rachis &amp; L pennes'!AH20="","",'Sections rachis &amp; L pennes'!AH20)</f>
        <v>40</v>
      </c>
      <c r="U20" s="783">
        <f>IF('Ouvertures pennes'!N55="","",'Ouvertures pennes'!N55)</f>
        <v>1.6929726268189027</v>
      </c>
      <c r="V20" s="784" t="str">
        <f>IF('Ouvertures pennes'!O55="","",'Ouvertures pennes'!O55)</f>
        <v/>
      </c>
      <c r="W20" s="784" t="str">
        <f>IF('Ouvertures pennes'!P55="","",'Ouvertures pennes'!P55)</f>
        <v/>
      </c>
      <c r="X20" s="787">
        <f>IF('Ouvertures pennes'!Q55="","",'Ouvertures pennes'!Q55)</f>
        <v>1.7477058197214177</v>
      </c>
      <c r="Y20" s="781" t="s">
        <v>1294</v>
      </c>
    </row>
    <row r="21" spans="1:25" s="345" customFormat="1">
      <c r="A21" s="345">
        <v>50</v>
      </c>
      <c r="C21" s="782">
        <f>IF('Sections rachis &amp; L pennes'!Q21="","",'Sections rachis &amp; L pennes'!Q21)</f>
        <v>50</v>
      </c>
      <c r="D21" s="783">
        <f>IF('Ouvertures pennes'!D22="","",'Ouvertures pennes'!D22)</f>
        <v>2.1193373428430964</v>
      </c>
      <c r="E21" s="784" t="str">
        <f>IF('Ouvertures pennes'!E22="","",'Ouvertures pennes'!E22)</f>
        <v/>
      </c>
      <c r="F21" s="784" t="str">
        <f>IF('Ouvertures pennes'!F22="","",'Ouvertures pennes'!F22)</f>
        <v/>
      </c>
      <c r="G21" s="787">
        <f>IF('Ouvertures pennes'!G22="","",'Ouvertures pennes'!G22)</f>
        <v>2.5128211389123614</v>
      </c>
      <c r="H21" s="782">
        <f>IF('Sections rachis &amp; L pennes'!V21="","",'Sections rachis &amp; L pennes'!V21)</f>
        <v>50</v>
      </c>
      <c r="I21" s="783">
        <f>IF('Ouvertures pennes'!N22="","",'Ouvertures pennes'!N22)</f>
        <v>2.1169717087985918</v>
      </c>
      <c r="J21" s="784" t="str">
        <f>IF('Ouvertures pennes'!O22="","",'Ouvertures pennes'!O22)</f>
        <v/>
      </c>
      <c r="K21" s="784" t="str">
        <f>IF('Ouvertures pennes'!P22="","",'Ouvertures pennes'!P22)</f>
        <v/>
      </c>
      <c r="L21" s="787" t="str">
        <f>IF('Ouvertures pennes'!Q22="","",'Ouvertures pennes'!Q22)</f>
        <v/>
      </c>
      <c r="M21" s="781" t="s">
        <v>1294</v>
      </c>
      <c r="O21" s="782">
        <f>IF('Sections rachis &amp; L pennes'!AC21="","",'Sections rachis &amp; L pennes'!AC21)</f>
        <v>50</v>
      </c>
      <c r="P21" s="783">
        <f>IF('Ouvertures pennes'!D56="","",'Ouvertures pennes'!D56)</f>
        <v>2.21296686454719</v>
      </c>
      <c r="Q21" s="784">
        <f>IF('Ouvertures pennes'!E56="","",'Ouvertures pennes'!E56)</f>
        <v>2.2071621582143304</v>
      </c>
      <c r="R21" s="784" t="str">
        <f>IF('Ouvertures pennes'!F56="","",'Ouvertures pennes'!F56)</f>
        <v/>
      </c>
      <c r="S21" s="787">
        <f>IF('Ouvertures pennes'!G56="","",'Ouvertures pennes'!G56)</f>
        <v>2.1988697205959595</v>
      </c>
      <c r="T21" s="782">
        <f>IF('Sections rachis &amp; L pennes'!AH21="","",'Sections rachis &amp; L pennes'!AH21)</f>
        <v>50</v>
      </c>
      <c r="U21" s="783">
        <f>IF('Ouvertures pennes'!N56="","",'Ouvertures pennes'!N56)</f>
        <v>2.1010189566991819</v>
      </c>
      <c r="V21" s="784" t="str">
        <f>IF('Ouvertures pennes'!O56="","",'Ouvertures pennes'!O56)</f>
        <v/>
      </c>
      <c r="W21" s="784" t="str">
        <f>IF('Ouvertures pennes'!P56="","",'Ouvertures pennes'!P56)</f>
        <v/>
      </c>
      <c r="X21" s="787">
        <f>IF('Ouvertures pennes'!Q56="","",'Ouvertures pennes'!Q56)</f>
        <v>2.0836048377006033</v>
      </c>
      <c r="Y21" s="781" t="s">
        <v>1294</v>
      </c>
    </row>
    <row r="22" spans="1:25" s="345" customFormat="1">
      <c r="A22" s="345">
        <v>60</v>
      </c>
      <c r="C22" s="782">
        <f>IF('Sections rachis &amp; L pennes'!Q22="","",'Sections rachis &amp; L pennes'!Q22)</f>
        <v>60</v>
      </c>
      <c r="D22" s="783">
        <f>IF('Ouvertures pennes'!D23="","",'Ouvertures pennes'!D23)</f>
        <v>2.393136279067912</v>
      </c>
      <c r="E22" s="784" t="str">
        <f>IF('Ouvertures pennes'!E23="","",'Ouvertures pennes'!E23)</f>
        <v/>
      </c>
      <c r="F22" s="784" t="str">
        <f>IF('Ouvertures pennes'!F23="","",'Ouvertures pennes'!F23)</f>
        <v/>
      </c>
      <c r="G22" s="787">
        <f>IF('Ouvertures pennes'!G23="","",'Ouvertures pennes'!G23)</f>
        <v>2.3880881242162699</v>
      </c>
      <c r="H22" s="782">
        <f>IF('Sections rachis &amp; L pennes'!V22="","",'Sections rachis &amp; L pennes'!V22)</f>
        <v>60</v>
      </c>
      <c r="I22" s="783">
        <f>IF('Ouvertures pennes'!N23="","",'Ouvertures pennes'!N23)</f>
        <v>2.4075595786440336</v>
      </c>
      <c r="J22" s="784">
        <f>IF('Ouvertures pennes'!O23="","",'Ouvertures pennes'!O23)</f>
        <v>2.3996267638771669</v>
      </c>
      <c r="K22" s="784" t="str">
        <f>IF('Ouvertures pennes'!P23="","",'Ouvertures pennes'!P23)</f>
        <v/>
      </c>
      <c r="L22" s="787">
        <f>IF('Ouvertures pennes'!Q23="","",'Ouvertures pennes'!Q23)</f>
        <v>2.3938574440467182</v>
      </c>
      <c r="M22" s="781" t="s">
        <v>1294</v>
      </c>
      <c r="O22" s="782">
        <f>IF('Sections rachis &amp; L pennes'!AC22="","",'Sections rachis &amp; L pennes'!AC22)</f>
        <v>60</v>
      </c>
      <c r="P22" s="783">
        <f>IF('Ouvertures pennes'!D57="","",'Ouvertures pennes'!D57)</f>
        <v>2.5113442854661421</v>
      </c>
      <c r="Q22" s="784" t="str">
        <f>IF('Ouvertures pennes'!E57="","",'Ouvertures pennes'!E57)</f>
        <v/>
      </c>
      <c r="R22" s="784" t="str">
        <f>IF('Ouvertures pennes'!F57="","",'Ouvertures pennes'!F57)</f>
        <v/>
      </c>
      <c r="S22" s="787">
        <f>IF('Ouvertures pennes'!G57="","",'Ouvertures pennes'!G57)</f>
        <v>2.4931430119365334</v>
      </c>
      <c r="T22" s="782">
        <f>IF('Sections rachis &amp; L pennes'!AH22="","",'Sections rachis &amp; L pennes'!AH22)</f>
        <v>60</v>
      </c>
      <c r="U22" s="783">
        <f>IF('Ouvertures pennes'!N57="","",'Ouvertures pennes'!N57)</f>
        <v>2.4483982145095795</v>
      </c>
      <c r="V22" s="784">
        <f>IF('Ouvertures pennes'!O57="","",'Ouvertures pennes'!O57)</f>
        <v>2.4696330336274559</v>
      </c>
      <c r="W22" s="784" t="str">
        <f>IF('Ouvertures pennes'!P57="","",'Ouvertures pennes'!P57)</f>
        <v/>
      </c>
      <c r="X22" s="787">
        <f>IF('Ouvertures pennes'!Q57="","",'Ouvertures pennes'!Q57)</f>
        <v>2.4476398281125125</v>
      </c>
      <c r="Y22" s="781" t="s">
        <v>1294</v>
      </c>
    </row>
    <row r="23" spans="1:25" s="345" customFormat="1">
      <c r="A23" s="345">
        <v>70</v>
      </c>
      <c r="C23" s="782">
        <f>IF('Sections rachis &amp; L pennes'!Q23="","",'Sections rachis &amp; L pennes'!Q23)</f>
        <v>70</v>
      </c>
      <c r="D23" s="783">
        <f>IF('Ouvertures pennes'!D24="","",'Ouvertures pennes'!D24)</f>
        <v>2.561997016660738</v>
      </c>
      <c r="E23" s="784" t="str">
        <f>IF('Ouvertures pennes'!E24="","",'Ouvertures pennes'!E24)</f>
        <v/>
      </c>
      <c r="F23" s="784" t="str">
        <f>IF('Ouvertures pennes'!F24="","",'Ouvertures pennes'!F24)</f>
        <v/>
      </c>
      <c r="G23" s="787">
        <f>IF('Ouvertures pennes'!G24="","",'Ouvertures pennes'!G24)</f>
        <v>2.5600712849493057</v>
      </c>
      <c r="H23" s="782">
        <f>IF('Sections rachis &amp; L pennes'!V23="","",'Sections rachis &amp; L pennes'!V23)</f>
        <v>70</v>
      </c>
      <c r="I23" s="783">
        <f>IF('Ouvertures pennes'!N24="","",'Ouvertures pennes'!N24)</f>
        <v>2.536962504412116</v>
      </c>
      <c r="J23" s="784" t="str">
        <f>IF('Ouvertures pennes'!O24="","",'Ouvertures pennes'!O24)</f>
        <v/>
      </c>
      <c r="K23" s="784" t="str">
        <f>IF('Ouvertures pennes'!P24="","",'Ouvertures pennes'!P24)</f>
        <v/>
      </c>
      <c r="L23" s="787">
        <f>IF('Ouvertures pennes'!Q24="","",'Ouvertures pennes'!Q24)</f>
        <v>2.5228404718616111</v>
      </c>
      <c r="M23" s="781" t="s">
        <v>1294</v>
      </c>
      <c r="O23" s="782">
        <f>IF('Sections rachis &amp; L pennes'!AC23="","",'Sections rachis &amp; L pennes'!AC23)</f>
        <v>70</v>
      </c>
      <c r="P23" s="783">
        <f>IF('Ouvertures pennes'!D58="","",'Ouvertures pennes'!D58)</f>
        <v>2.6550767173058456</v>
      </c>
      <c r="Q23" s="784" t="str">
        <f>IF('Ouvertures pennes'!E58="","",'Ouvertures pennes'!E58)</f>
        <v/>
      </c>
      <c r="R23" s="784" t="str">
        <f>IF('Ouvertures pennes'!F58="","",'Ouvertures pennes'!F58)</f>
        <v/>
      </c>
      <c r="S23" s="787">
        <f>IF('Ouvertures pennes'!G58="","",'Ouvertures pennes'!G58)</f>
        <v>2.6490013443581653</v>
      </c>
      <c r="T23" s="782">
        <f>IF('Sections rachis &amp; L pennes'!AH23="","",'Sections rachis &amp; L pennes'!AH23)</f>
        <v>70</v>
      </c>
      <c r="U23" s="783">
        <f>IF('Ouvertures pennes'!N58="","",'Ouvertures pennes'!N58)</f>
        <v>2.6436010128491154</v>
      </c>
      <c r="V23" s="784">
        <f>IF('Ouvertures pennes'!O58="","",'Ouvertures pennes'!O58)</f>
        <v>2.6415758885332217</v>
      </c>
      <c r="W23" s="784" t="str">
        <f>IF('Ouvertures pennes'!P58="","",'Ouvertures pennes'!P58)</f>
        <v/>
      </c>
      <c r="X23" s="787">
        <f>IF('Ouvertures pennes'!Q58="","",'Ouvertures pennes'!Q58)</f>
        <v>2.6321253083923857</v>
      </c>
      <c r="Y23" s="781" t="s">
        <v>1294</v>
      </c>
    </row>
    <row r="24" spans="1:25" s="345" customFormat="1">
      <c r="A24" s="345">
        <v>80</v>
      </c>
      <c r="C24" s="782">
        <f>IF('Sections rachis &amp; L pennes'!Q24="","",'Sections rachis &amp; L pennes'!Q24)</f>
        <v>80</v>
      </c>
      <c r="D24" s="783">
        <f>IF('Ouvertures pennes'!D25="","",'Ouvertures pennes'!D25)</f>
        <v>2.5027060187564518</v>
      </c>
      <c r="E24" s="784" t="str">
        <f>IF('Ouvertures pennes'!E25="","",'Ouvertures pennes'!E25)</f>
        <v/>
      </c>
      <c r="F24" s="784" t="str">
        <f>IF('Ouvertures pennes'!F25="","",'Ouvertures pennes'!F25)</f>
        <v/>
      </c>
      <c r="G24" s="787">
        <f>IF('Ouvertures pennes'!G25="","",'Ouvertures pennes'!G25)</f>
        <v>2.4926079901780018</v>
      </c>
      <c r="H24" s="782">
        <f>IF('Sections rachis &amp; L pennes'!V24="","",'Sections rachis &amp; L pennes'!V24)</f>
        <v>80</v>
      </c>
      <c r="I24" s="783">
        <f>IF('Ouvertures pennes'!N25="","",'Ouvertures pennes'!N25)</f>
        <v>2.4617824292543129</v>
      </c>
      <c r="J24" s="784">
        <f>IF('Ouvertures pennes'!O25="","",'Ouvertures pennes'!O25)</f>
        <v>2.4686916067027256</v>
      </c>
      <c r="K24" s="784" t="str">
        <f>IF('Ouvertures pennes'!P25="","",'Ouvertures pennes'!P25)</f>
        <v/>
      </c>
      <c r="L24" s="787">
        <f>IF('Ouvertures pennes'!Q25="","",'Ouvertures pennes'!Q25)</f>
        <v>2.4729434082094417</v>
      </c>
      <c r="M24" s="781" t="s">
        <v>1294</v>
      </c>
      <c r="O24" s="782">
        <f>IF('Sections rachis &amp; L pennes'!AC24="","",'Sections rachis &amp; L pennes'!AC24)</f>
        <v>80</v>
      </c>
      <c r="P24" s="783">
        <f>IF('Ouvertures pennes'!D59="","",'Ouvertures pennes'!D59)</f>
        <v>2.5910777922016148</v>
      </c>
      <c r="Q24" s="784">
        <f>IF('Ouvertures pennes'!E59="","",'Ouvertures pennes'!E59)</f>
        <v>2.5916366983674175</v>
      </c>
      <c r="R24" s="784" t="str">
        <f>IF('Ouvertures pennes'!F59="","",'Ouvertures pennes'!F59)</f>
        <v/>
      </c>
      <c r="S24" s="787">
        <f>IF('Ouvertures pennes'!G59="","",'Ouvertures pennes'!G59)</f>
        <v>2.593872323030626</v>
      </c>
      <c r="T24" s="782">
        <f>IF('Sections rachis &amp; L pennes'!AH24="","",'Sections rachis &amp; L pennes'!AH24)</f>
        <v>80</v>
      </c>
      <c r="U24" s="783">
        <f>IF('Ouvertures pennes'!N59="","",'Ouvertures pennes'!N59)</f>
        <v>2.5731927948959465</v>
      </c>
      <c r="V24" s="784">
        <f>IF('Ouvertures pennes'!O59="","",'Ouvertures pennes'!O59)</f>
        <v>2.5692804517353314</v>
      </c>
      <c r="W24" s="784" t="str">
        <f>IF('Ouvertures pennes'!P59="","",'Ouvertures pennes'!P59)</f>
        <v/>
      </c>
      <c r="X24" s="787">
        <f>IF('Ouvertures pennes'!Q59="","",'Ouvertures pennes'!Q59)</f>
        <v>2.5871654490409997</v>
      </c>
      <c r="Y24" s="781" t="s">
        <v>1294</v>
      </c>
    </row>
    <row r="25" spans="1:25" s="345" customFormat="1" ht="13.5" thickBot="1">
      <c r="A25" s="345">
        <v>90</v>
      </c>
      <c r="C25" s="794">
        <f>IF('Sections rachis &amp; L pennes'!Q25="","",'Sections rachis &amp; L pennes'!Q25)</f>
        <v>90</v>
      </c>
      <c r="D25" s="783" t="str">
        <f>IF('Ouvertures pennes'!D26="","",'Ouvertures pennes'!D26)</f>
        <v/>
      </c>
      <c r="E25" s="784">
        <f>IF('Ouvertures pennes'!E26="","",'Ouvertures pennes'!E26)</f>
        <v>2.0336971660378977</v>
      </c>
      <c r="F25" s="784" t="str">
        <f>IF('Ouvertures pennes'!F26="","",'Ouvertures pennes'!F26)</f>
        <v/>
      </c>
      <c r="G25" s="787" t="str">
        <f>IF('Ouvertures pennes'!G26="","",'Ouvertures pennes'!G26)</f>
        <v/>
      </c>
      <c r="H25" s="794">
        <f>IF('Sections rachis &amp; L pennes'!V25="","",'Sections rachis &amp; L pennes'!V25)</f>
        <v>90</v>
      </c>
      <c r="I25" s="783" t="str">
        <f>IF('Ouvertures pennes'!N26="","",'Ouvertures pennes'!N26)</f>
        <v/>
      </c>
      <c r="J25" s="784">
        <f>IF('Ouvertures pennes'!O26="","",'Ouvertures pennes'!O26)</f>
        <v>2.0172140709569906</v>
      </c>
      <c r="K25" s="784" t="str">
        <f>IF('Ouvertures pennes'!P26="","",'Ouvertures pennes'!P26)</f>
        <v/>
      </c>
      <c r="L25" s="787" t="str">
        <f>IF('Ouvertures pennes'!Q26="","",'Ouvertures pennes'!Q26)</f>
        <v/>
      </c>
      <c r="M25" s="781" t="s">
        <v>1294</v>
      </c>
      <c r="O25" s="794">
        <f>IF('Sections rachis &amp; L pennes'!AC25="","",'Sections rachis &amp; L pennes'!AC25)</f>
        <v>90</v>
      </c>
      <c r="P25" s="783">
        <f>IF('Ouvertures pennes'!D60="","",'Ouvertures pennes'!D60)</f>
        <v>2.103206608502477</v>
      </c>
      <c r="Q25" s="784" t="str">
        <f>IF('Ouvertures pennes'!E60="","",'Ouvertures pennes'!E60)</f>
        <v/>
      </c>
      <c r="R25" s="784" t="str">
        <f>IF('Ouvertures pennes'!F60="","",'Ouvertures pennes'!F60)</f>
        <v/>
      </c>
      <c r="S25" s="787" t="str">
        <f>IF('Ouvertures pennes'!G60="","",'Ouvertures pennes'!G60)</f>
        <v/>
      </c>
      <c r="T25" s="788">
        <f>IF('Sections rachis &amp; L pennes'!AH25="","",'Sections rachis &amp; L pennes'!AH25)</f>
        <v>90</v>
      </c>
      <c r="U25" s="783">
        <f>IF('Ouvertures pennes'!N60="","",'Ouvertures pennes'!N60)</f>
        <v>2.089812281092156</v>
      </c>
      <c r="V25" s="784" t="str">
        <f>IF('Ouvertures pennes'!O60="","",'Ouvertures pennes'!O60)</f>
        <v/>
      </c>
      <c r="W25" s="784" t="str">
        <f>IF('Ouvertures pennes'!P60="","",'Ouvertures pennes'!P60)</f>
        <v/>
      </c>
      <c r="X25" s="787">
        <f>IF('Ouvertures pennes'!Q60="","",'Ouvertures pennes'!Q60)</f>
        <v>2.0862667238364834</v>
      </c>
      <c r="Y25" s="781" t="s">
        <v>1294</v>
      </c>
    </row>
    <row r="26" spans="1:25" s="345" customFormat="1">
      <c r="A26" s="345" t="s">
        <v>1294</v>
      </c>
      <c r="B26" s="648" t="s">
        <v>1247</v>
      </c>
      <c r="C26" s="795">
        <f>IF('Sections rachis &amp; L pennes'!Q26="","",'Sections rachis &amp; L pennes'!Q26)</f>
        <v>97.59213759213759</v>
      </c>
      <c r="D26" s="776" t="str">
        <f>IF('Ouvertures pennes'!D27="","",'Ouvertures pennes'!D27)</f>
        <v/>
      </c>
      <c r="E26" s="777">
        <f>IF('Ouvertures pennes'!E27="","",'Ouvertures pennes'!E27)</f>
        <v>1.9</v>
      </c>
      <c r="F26" s="777" t="str">
        <f>IF('Ouvertures pennes'!F27="","",'Ouvertures pennes'!F27)</f>
        <v/>
      </c>
      <c r="G26" s="780" t="str">
        <f>IF('Ouvertures pennes'!G27="","",'Ouvertures pennes'!G27)</f>
        <v/>
      </c>
      <c r="H26" s="795">
        <f>IF('Sections rachis &amp; L pennes'!V26="","",'Sections rachis &amp; L pennes'!V26)</f>
        <v>97.54299754299754</v>
      </c>
      <c r="I26" s="776" t="str">
        <f>IF('Ouvertures pennes'!N27="","",'Ouvertures pennes'!N27)</f>
        <v/>
      </c>
      <c r="J26" s="777">
        <f>IF('Ouvertures pennes'!O27="","",'Ouvertures pennes'!O27)</f>
        <v>1.9</v>
      </c>
      <c r="K26" s="777" t="str">
        <f>IF('Ouvertures pennes'!P27="","",'Ouvertures pennes'!P27)</f>
        <v/>
      </c>
      <c r="L26" s="780" t="str">
        <f>IF('Ouvertures pennes'!Q27="","",'Ouvertures pennes'!Q27)</f>
        <v/>
      </c>
      <c r="M26" s="781" t="s">
        <v>1294</v>
      </c>
      <c r="N26" s="648" t="s">
        <v>1247</v>
      </c>
      <c r="O26" s="795">
        <f>IF('Sections rachis &amp; L pennes'!AC26="","",'Sections rachis &amp; L pennes'!AC26)</f>
        <v>98.032862763249241</v>
      </c>
      <c r="P26" s="776" t="str">
        <f>IF('Ouvertures pennes'!D61="","",'Ouvertures pennes'!D61)</f>
        <v/>
      </c>
      <c r="Q26" s="777">
        <f>IF('Ouvertures pennes'!E61="","",'Ouvertures pennes'!E61)</f>
        <v>1.9</v>
      </c>
      <c r="R26" s="777" t="str">
        <f>IF('Ouvertures pennes'!F61="","",'Ouvertures pennes'!F61)</f>
        <v/>
      </c>
      <c r="S26" s="780" t="str">
        <f>IF('Ouvertures pennes'!G61="","",'Ouvertures pennes'!G61)</f>
        <v/>
      </c>
      <c r="T26" s="796">
        <f>IF('Sections rachis &amp; L pennes'!AH26="","",'Sections rachis &amp; L pennes'!AH26)</f>
        <v>97.778292062022672</v>
      </c>
      <c r="U26" s="776" t="str">
        <f>IF('Ouvertures pennes'!N61="","",'Ouvertures pennes'!N61)</f>
        <v/>
      </c>
      <c r="V26" s="777">
        <f>IF('Ouvertures pennes'!O61="","",'Ouvertures pennes'!O61)</f>
        <v>1.5</v>
      </c>
      <c r="W26" s="777" t="str">
        <f>IF('Ouvertures pennes'!P61="","",'Ouvertures pennes'!P61)</f>
        <v/>
      </c>
      <c r="X26" s="780" t="str">
        <f>IF('Ouvertures pennes'!Q61="","",'Ouvertures pennes'!Q61)</f>
        <v/>
      </c>
      <c r="Y26" s="781" t="s">
        <v>1294</v>
      </c>
    </row>
    <row r="27" spans="1:25" s="345" customFormat="1">
      <c r="A27" s="345" t="s">
        <v>1294</v>
      </c>
      <c r="B27" s="653" t="s">
        <v>1248</v>
      </c>
      <c r="C27" s="797">
        <f>IF('Sections rachis &amp; L pennes'!Q27="","",'Sections rachis &amp; L pennes'!Q27)</f>
        <v>98.599508599508596</v>
      </c>
      <c r="D27" s="783" t="str">
        <f>IF('Ouvertures pennes'!D28="","",'Ouvertures pennes'!D28)</f>
        <v/>
      </c>
      <c r="E27" s="784">
        <f>IF('Ouvertures pennes'!E28="","",'Ouvertures pennes'!E28)</f>
        <v>1.5</v>
      </c>
      <c r="F27" s="784" t="str">
        <f>IF('Ouvertures pennes'!F28="","",'Ouvertures pennes'!F28)</f>
        <v/>
      </c>
      <c r="G27" s="787" t="str">
        <f>IF('Ouvertures pennes'!G28="","",'Ouvertures pennes'!G28)</f>
        <v/>
      </c>
      <c r="H27" s="797">
        <f>IF('Sections rachis &amp; L pennes'!V27="","",'Sections rachis &amp; L pennes'!V27)</f>
        <v>97.960687960687963</v>
      </c>
      <c r="I27" s="783" t="str">
        <f>IF('Ouvertures pennes'!N28="","",'Ouvertures pennes'!N28)</f>
        <v/>
      </c>
      <c r="J27" s="784">
        <f>IF('Ouvertures pennes'!O28="","",'Ouvertures pennes'!O28)</f>
        <v>1.5</v>
      </c>
      <c r="K27" s="784" t="str">
        <f>IF('Ouvertures pennes'!P28="","",'Ouvertures pennes'!P28)</f>
        <v/>
      </c>
      <c r="L27" s="787" t="str">
        <f>IF('Ouvertures pennes'!Q28="","",'Ouvertures pennes'!Q28)</f>
        <v/>
      </c>
      <c r="M27" s="781" t="s">
        <v>1294</v>
      </c>
      <c r="N27" s="653" t="s">
        <v>1248</v>
      </c>
      <c r="O27" s="797">
        <f>IF('Sections rachis &amp; L pennes'!AC27="","",'Sections rachis &amp; L pennes'!AC27)</f>
        <v>98.704003702846563</v>
      </c>
      <c r="P27" s="783" t="str">
        <f>IF('Ouvertures pennes'!D62="","",'Ouvertures pennes'!D62)</f>
        <v/>
      </c>
      <c r="Q27" s="784">
        <f>IF('Ouvertures pennes'!E62="","",'Ouvertures pennes'!E62)</f>
        <v>1.5</v>
      </c>
      <c r="R27" s="784" t="str">
        <f>IF('Ouvertures pennes'!F62="","",'Ouvertures pennes'!F62)</f>
        <v/>
      </c>
      <c r="S27" s="787" t="str">
        <f>IF('Ouvertures pennes'!G62="","",'Ouvertures pennes'!G62)</f>
        <v/>
      </c>
      <c r="T27" s="797">
        <f>IF('Sections rachis &amp; L pennes'!AH27="","",'Sections rachis &amp; L pennes'!AH27)</f>
        <v>98.634575329784766</v>
      </c>
      <c r="U27" s="783" t="str">
        <f>IF('Ouvertures pennes'!N62="","",'Ouvertures pennes'!N62)</f>
        <v/>
      </c>
      <c r="V27" s="784">
        <f>IF('Ouvertures pennes'!O62="","",'Ouvertures pennes'!O62)</f>
        <v>1.5</v>
      </c>
      <c r="W27" s="784" t="str">
        <f>IF('Ouvertures pennes'!P62="","",'Ouvertures pennes'!P62)</f>
        <v/>
      </c>
      <c r="X27" s="787" t="str">
        <f>IF('Ouvertures pennes'!Q62="","",'Ouvertures pennes'!Q62)</f>
        <v/>
      </c>
      <c r="Y27" s="781" t="s">
        <v>1294</v>
      </c>
    </row>
    <row r="28" spans="1:25" s="345" customFormat="1">
      <c r="A28" s="345" t="s">
        <v>1294</v>
      </c>
      <c r="B28" s="653" t="s">
        <v>1249</v>
      </c>
      <c r="C28" s="797">
        <f>IF('Sections rachis &amp; L pennes'!Q28="","",'Sections rachis &amp; L pennes'!Q28)</f>
        <v>99.017199017199019</v>
      </c>
      <c r="D28" s="783" t="str">
        <f>IF('Ouvertures pennes'!D29="","",'Ouvertures pennes'!D29)</f>
        <v/>
      </c>
      <c r="E28" s="784">
        <f>IF('Ouvertures pennes'!E29="","",'Ouvertures pennes'!E29)</f>
        <v>1.5</v>
      </c>
      <c r="F28" s="784" t="str">
        <f>IF('Ouvertures pennes'!F29="","",'Ouvertures pennes'!F29)</f>
        <v/>
      </c>
      <c r="G28" s="787" t="str">
        <f>IF('Ouvertures pennes'!G29="","",'Ouvertures pennes'!G29)</f>
        <v/>
      </c>
      <c r="H28" s="797">
        <f>IF('Sections rachis &amp; L pennes'!V28="","",'Sections rachis &amp; L pennes'!V28)</f>
        <v>99.017199017199019</v>
      </c>
      <c r="I28" s="783" t="str">
        <f>IF('Ouvertures pennes'!N29="","",'Ouvertures pennes'!N29)</f>
        <v/>
      </c>
      <c r="J28" s="784">
        <f>IF('Ouvertures pennes'!O29="","",'Ouvertures pennes'!O29)</f>
        <v>1.5</v>
      </c>
      <c r="K28" s="784" t="str">
        <f>IF('Ouvertures pennes'!P29="","",'Ouvertures pennes'!P29)</f>
        <v/>
      </c>
      <c r="L28" s="787" t="str">
        <f>IF('Ouvertures pennes'!Q29="","",'Ouvertures pennes'!Q29)</f>
        <v/>
      </c>
      <c r="M28" s="781" t="s">
        <v>1294</v>
      </c>
      <c r="N28" s="653" t="s">
        <v>1249</v>
      </c>
      <c r="O28" s="797">
        <f>IF('Sections rachis &amp; L pennes'!AC28="","",'Sections rachis &amp; L pennes'!AC28)</f>
        <v>99.352001851423282</v>
      </c>
      <c r="P28" s="783" t="str">
        <f>IF('Ouvertures pennes'!D63="","",'Ouvertures pennes'!D63)</f>
        <v/>
      </c>
      <c r="Q28" s="784">
        <f>IF('Ouvertures pennes'!E63="","",'Ouvertures pennes'!E63)</f>
        <v>1.5</v>
      </c>
      <c r="R28" s="784" t="str">
        <f>IF('Ouvertures pennes'!F63="","",'Ouvertures pennes'!F63)</f>
        <v/>
      </c>
      <c r="S28" s="787" t="str">
        <f>IF('Ouvertures pennes'!G63="","",'Ouvertures pennes'!G63)</f>
        <v/>
      </c>
      <c r="T28" s="797">
        <f>IF('Sections rachis &amp; L pennes'!AH28="","",'Sections rachis &amp; L pennes'!AH28)</f>
        <v>99.074288359176109</v>
      </c>
      <c r="U28" s="783" t="str">
        <f>IF('Ouvertures pennes'!N63="","",'Ouvertures pennes'!N63)</f>
        <v/>
      </c>
      <c r="V28" s="784">
        <f>IF('Ouvertures pennes'!O63="","",'Ouvertures pennes'!O63)</f>
        <v>1.4</v>
      </c>
      <c r="W28" s="784" t="str">
        <f>IF('Ouvertures pennes'!P63="","",'Ouvertures pennes'!P63)</f>
        <v/>
      </c>
      <c r="X28" s="787" t="str">
        <f>IF('Ouvertures pennes'!Q63="","",'Ouvertures pennes'!Q63)</f>
        <v/>
      </c>
      <c r="Y28" s="781" t="s">
        <v>1294</v>
      </c>
    </row>
    <row r="29" spans="1:25" s="345" customFormat="1">
      <c r="A29" s="345" t="s">
        <v>1294</v>
      </c>
      <c r="B29" s="653" t="s">
        <v>1251</v>
      </c>
      <c r="C29" s="797">
        <f>IF('Sections rachis &amp; L pennes'!Q29="","",'Sections rachis &amp; L pennes'!Q29)</f>
        <v>99.656019656019652</v>
      </c>
      <c r="D29" s="783" t="str">
        <f>IF('Ouvertures pennes'!D30="","",'Ouvertures pennes'!D30)</f>
        <v/>
      </c>
      <c r="E29" s="784">
        <f>IF('Ouvertures pennes'!E30="","",'Ouvertures pennes'!E30)</f>
        <v>1.4</v>
      </c>
      <c r="F29" s="784" t="str">
        <f>IF('Ouvertures pennes'!F30="","",'Ouvertures pennes'!F30)</f>
        <v/>
      </c>
      <c r="G29" s="787" t="str">
        <f>IF('Ouvertures pennes'!G30="","",'Ouvertures pennes'!G30)</f>
        <v/>
      </c>
      <c r="H29" s="797">
        <f>IF('Sections rachis &amp; L pennes'!V29="","",'Sections rachis &amp; L pennes'!V29)</f>
        <v>99.631449631449627</v>
      </c>
      <c r="I29" s="783" t="str">
        <f>IF('Ouvertures pennes'!N30="","",'Ouvertures pennes'!N30)</f>
        <v/>
      </c>
      <c r="J29" s="784">
        <f>IF('Ouvertures pennes'!O30="","",'Ouvertures pennes'!O30)</f>
        <v>1.4</v>
      </c>
      <c r="K29" s="784" t="str">
        <f>IF('Ouvertures pennes'!P30="","",'Ouvertures pennes'!P30)</f>
        <v/>
      </c>
      <c r="L29" s="787" t="str">
        <f>IF('Ouvertures pennes'!Q30="","",'Ouvertures pennes'!Q30)</f>
        <v/>
      </c>
      <c r="M29" s="781" t="s">
        <v>1294</v>
      </c>
      <c r="N29" s="653" t="s">
        <v>1251</v>
      </c>
      <c r="O29" s="797">
        <f>IF('Sections rachis &amp; L pennes'!AC29="","",'Sections rachis &amp; L pennes'!AC29)</f>
        <v>99.745429298773431</v>
      </c>
      <c r="P29" s="783" t="str">
        <f>IF('Ouvertures pennes'!D64="","",'Ouvertures pennes'!D64)</f>
        <v/>
      </c>
      <c r="Q29" s="784">
        <f>IF('Ouvertures pennes'!E64="","",'Ouvertures pennes'!E64)</f>
        <v>1.2</v>
      </c>
      <c r="R29" s="784" t="str">
        <f>IF('Ouvertures pennes'!F64="","",'Ouvertures pennes'!F64)</f>
        <v/>
      </c>
      <c r="S29" s="787" t="str">
        <f>IF('Ouvertures pennes'!G64="","",'Ouvertures pennes'!G64)</f>
        <v/>
      </c>
      <c r="T29" s="797">
        <f>IF('Sections rachis &amp; L pennes'!AH29="","",'Sections rachis &amp; L pennes'!AH29)</f>
        <v>99.629715343670441</v>
      </c>
      <c r="U29" s="783" t="str">
        <f>IF('Ouvertures pennes'!N64="","",'Ouvertures pennes'!N64)</f>
        <v/>
      </c>
      <c r="V29" s="784">
        <f>IF('Ouvertures pennes'!O64="","",'Ouvertures pennes'!O64)</f>
        <v>1.2</v>
      </c>
      <c r="W29" s="784" t="str">
        <f>IF('Ouvertures pennes'!P64="","",'Ouvertures pennes'!P64)</f>
        <v/>
      </c>
      <c r="X29" s="787" t="str">
        <f>IF('Ouvertures pennes'!Q64="","",'Ouvertures pennes'!Q64)</f>
        <v/>
      </c>
      <c r="Y29" s="781" t="s">
        <v>1294</v>
      </c>
    </row>
    <row r="30" spans="1:25" s="345" customFormat="1" ht="13.5" thickBot="1">
      <c r="A30" s="345" t="s">
        <v>1294</v>
      </c>
      <c r="B30" s="657" t="s">
        <v>1252</v>
      </c>
      <c r="C30" s="798">
        <f>IF('Sections rachis &amp; L pennes'!Q30="","",'Sections rachis &amp; L pennes'!Q30)</f>
        <v>99.877149877149876</v>
      </c>
      <c r="D30" s="789" t="str">
        <f>IF('Ouvertures pennes'!D31="","",'Ouvertures pennes'!D31)</f>
        <v/>
      </c>
      <c r="E30" s="790">
        <f>IF('Ouvertures pennes'!E31="","",'Ouvertures pennes'!E31)</f>
        <v>1.2</v>
      </c>
      <c r="F30" s="790" t="str">
        <f>IF('Ouvertures pennes'!F31="","",'Ouvertures pennes'!F31)</f>
        <v/>
      </c>
      <c r="G30" s="793" t="str">
        <f>IF('Ouvertures pennes'!G31="","",'Ouvertures pennes'!G31)</f>
        <v/>
      </c>
      <c r="H30" s="798">
        <f>IF('Sections rachis &amp; L pennes'!V30="","",'Sections rachis &amp; L pennes'!V30)</f>
        <v>99.975429975429975</v>
      </c>
      <c r="I30" s="789" t="str">
        <f>IF('Ouvertures pennes'!N31="","",'Ouvertures pennes'!N31)</f>
        <v/>
      </c>
      <c r="J30" s="790">
        <f>IF('Ouvertures pennes'!O31="","",'Ouvertures pennes'!O31)</f>
        <v>1.2</v>
      </c>
      <c r="K30" s="790" t="str">
        <f>IF('Ouvertures pennes'!P31="","",'Ouvertures pennes'!P31)</f>
        <v/>
      </c>
      <c r="L30" s="793" t="str">
        <f>IF('Ouvertures pennes'!Q31="","",'Ouvertures pennes'!Q31)</f>
        <v/>
      </c>
      <c r="M30" s="781" t="s">
        <v>1294</v>
      </c>
      <c r="N30" s="799" t="s">
        <v>1252</v>
      </c>
      <c r="O30" s="798">
        <f>IF('Sections rachis &amp; L pennes'!AC30="","",'Sections rachis &amp; L pennes'!AC30)</f>
        <v>99.976857208979396</v>
      </c>
      <c r="P30" s="789" t="str">
        <f>IF('Ouvertures pennes'!D65="","",'Ouvertures pennes'!D65)</f>
        <v/>
      </c>
      <c r="Q30" s="790">
        <f>IF('Ouvertures pennes'!E65="","",'Ouvertures pennes'!E65)</f>
        <v>1</v>
      </c>
      <c r="R30" s="790" t="str">
        <f>IF('Ouvertures pennes'!F65="","",'Ouvertures pennes'!F65)</f>
        <v/>
      </c>
      <c r="S30" s="793" t="str">
        <f>IF('Ouvertures pennes'!G65="","",'Ouvertures pennes'!G65)</f>
        <v/>
      </c>
      <c r="T30" s="798">
        <f>IF('Sections rachis &amp; L pennes'!AH30="","",'Sections rachis &amp; L pennes'!AH30)</f>
        <v>99.976857208979396</v>
      </c>
      <c r="U30" s="789" t="str">
        <f>IF('Ouvertures pennes'!N65="","",'Ouvertures pennes'!N65)</f>
        <v/>
      </c>
      <c r="V30" s="790">
        <f>IF('Ouvertures pennes'!O65="","",'Ouvertures pennes'!O65)</f>
        <v>1</v>
      </c>
      <c r="W30" s="790" t="str">
        <f>IF('Ouvertures pennes'!P65="","",'Ouvertures pennes'!P65)</f>
        <v/>
      </c>
      <c r="X30" s="793" t="str">
        <f>IF('Ouvertures pennes'!Q65="","",'Ouvertures pennes'!Q65)</f>
        <v/>
      </c>
      <c r="Y30" s="781" t="s">
        <v>1294</v>
      </c>
    </row>
    <row r="31" spans="1:25" s="345" customFormat="1" ht="13.5" thickBot="1">
      <c r="A31" s="345" t="e">
        <v>#DIV/0!</v>
      </c>
      <c r="B31" s="660" t="s">
        <v>1254</v>
      </c>
      <c r="C31" s="800">
        <f>IF('Sections rachis &amp; L pennes'!Q31="","",'Sections rachis &amp; L pennes'!Q31)</f>
        <v>100</v>
      </c>
      <c r="D31" s="801" t="str">
        <f>IF('Ouvertures pennes'!D32="","",'Ouvertures pennes'!D32)</f>
        <v/>
      </c>
      <c r="E31" s="802">
        <f>IF('Ouvertures pennes'!E32="","",'Ouvertures pennes'!E32)</f>
        <v>0.9</v>
      </c>
      <c r="F31" s="802" t="str">
        <f>IF('Ouvertures pennes'!F32="","",'Ouvertures pennes'!F32)</f>
        <v/>
      </c>
      <c r="G31" s="803" t="str">
        <f>IF('Ouvertures pennes'!G32="","",'Ouvertures pennes'!G32)</f>
        <v/>
      </c>
      <c r="H31" s="800" t="str">
        <f>IF('Sections rachis &amp; L pennes'!V31="","",'Sections rachis &amp; L pennes'!V31)</f>
        <v>XXX</v>
      </c>
      <c r="I31" s="801" t="str">
        <f>IF('Ouvertures pennes'!N32="","",'Ouvertures pennes'!N32)</f>
        <v/>
      </c>
      <c r="J31" s="802" t="str">
        <f>IF('Ouvertures pennes'!O32="","",'Ouvertures pennes'!O32)</f>
        <v/>
      </c>
      <c r="K31" s="802" t="str">
        <f>IF('Ouvertures pennes'!P32="","",'Ouvertures pennes'!P32)</f>
        <v/>
      </c>
      <c r="L31" s="803" t="str">
        <f>IF('Ouvertures pennes'!Q32="","",'Ouvertures pennes'!Q32)</f>
        <v/>
      </c>
      <c r="M31" s="781" t="s">
        <v>1294</v>
      </c>
      <c r="N31" s="660" t="s">
        <v>1254</v>
      </c>
      <c r="O31" s="961">
        <f>IF('Sections rachis &amp; L pennes'!AC31="","",'Sections rachis &amp; L pennes'!AC31)</f>
        <v>100</v>
      </c>
      <c r="P31" s="801" t="str">
        <f>IF('Ouvertures pennes'!D66="","",'Ouvertures pennes'!D66)</f>
        <v/>
      </c>
      <c r="Q31" s="802">
        <f>IF('Ouvertures pennes'!E66="","",'Ouvertures pennes'!E66)</f>
        <v>0.5</v>
      </c>
      <c r="R31" s="802" t="str">
        <f>IF('Ouvertures pennes'!F66="","",'Ouvertures pennes'!F66)</f>
        <v/>
      </c>
      <c r="S31" s="803" t="str">
        <f>IF('Ouvertures pennes'!G66="","",'Ouvertures pennes'!G66)</f>
        <v/>
      </c>
      <c r="T31" s="961" t="str">
        <f>IF('Sections rachis &amp; L pennes'!AH31="","",'Sections rachis &amp; L pennes'!AH31)</f>
        <v>XXX</v>
      </c>
      <c r="U31" s="801" t="str">
        <f>IF('Ouvertures pennes'!N66="","",'Ouvertures pennes'!N66)</f>
        <v/>
      </c>
      <c r="V31" s="802" t="str">
        <f>IF('Ouvertures pennes'!O66="","",'Ouvertures pennes'!O66)</f>
        <v/>
      </c>
      <c r="W31" s="802" t="str">
        <f>IF('Ouvertures pennes'!P66="","",'Ouvertures pennes'!P66)</f>
        <v/>
      </c>
      <c r="X31" s="803" t="str">
        <f>IF('Ouvertures pennes'!Q66="","",'Ouvertures pennes'!Q66)</f>
        <v/>
      </c>
      <c r="Y31" s="781" t="s">
        <v>1294</v>
      </c>
    </row>
    <row r="32" spans="1:25" s="345" customFormat="1">
      <c r="D32" s="805"/>
      <c r="E32" s="806"/>
      <c r="F32" s="807"/>
      <c r="G32" s="807"/>
      <c r="H32" s="807"/>
      <c r="I32" s="807"/>
      <c r="J32" s="807"/>
      <c r="K32" s="807"/>
      <c r="L32" s="807"/>
      <c r="M32" s="807"/>
      <c r="N32" s="807"/>
      <c r="O32" s="807"/>
      <c r="P32" s="807"/>
      <c r="Q32" s="807"/>
      <c r="R32" s="807"/>
      <c r="S32" s="808"/>
      <c r="T32" s="808"/>
      <c r="Y32" s="807"/>
    </row>
    <row r="33" spans="1:30" s="345" customFormat="1">
      <c r="B33" s="809"/>
      <c r="C33" s="809"/>
      <c r="D33" s="810"/>
      <c r="E33" s="811"/>
      <c r="F33" s="812"/>
      <c r="G33" s="476"/>
      <c r="H33" s="476"/>
      <c r="I33" s="476"/>
      <c r="J33" s="962"/>
      <c r="K33" s="476"/>
      <c r="L33" s="476"/>
      <c r="M33" s="806" t="s">
        <v>1294</v>
      </c>
      <c r="N33" s="476"/>
      <c r="O33" s="476"/>
      <c r="P33" s="476"/>
      <c r="Q33" s="476"/>
      <c r="R33" s="817"/>
      <c r="S33" s="476"/>
      <c r="T33" s="476"/>
      <c r="U33" s="476"/>
      <c r="V33" s="476"/>
      <c r="W33" s="476"/>
      <c r="X33" s="476"/>
      <c r="Y33" s="806" t="s">
        <v>1294</v>
      </c>
      <c r="Z33" s="476"/>
      <c r="AA33" s="476"/>
      <c r="AB33" s="476"/>
      <c r="AC33" s="476"/>
      <c r="AD33" s="476"/>
    </row>
    <row r="34" spans="1:30" s="345" customFormat="1" ht="14.25" customHeight="1" thickBot="1">
      <c r="B34" s="694"/>
      <c r="C34" s="814"/>
      <c r="D34" s="815"/>
      <c r="E34" s="811"/>
      <c r="F34" s="816"/>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
        <v>1294</v>
      </c>
      <c r="C35" s="809">
        <v>0</v>
      </c>
      <c r="D35" s="809">
        <v>0</v>
      </c>
      <c r="E35" s="814"/>
      <c r="F35" s="819" t="s">
        <v>1294</v>
      </c>
      <c r="H35" s="1580" t="s">
        <v>1280</v>
      </c>
      <c r="I35" s="1581"/>
      <c r="J35" s="1581"/>
      <c r="K35" s="1581"/>
      <c r="L35" s="1581"/>
      <c r="M35" s="1581"/>
      <c r="N35" s="1581"/>
      <c r="O35" s="1581"/>
      <c r="P35" s="1581"/>
      <c r="Q35" s="1581"/>
      <c r="R35" s="1581"/>
      <c r="S35" s="1581"/>
      <c r="T35" s="1581"/>
      <c r="U35" s="1581"/>
      <c r="V35" s="1581"/>
      <c r="W35" s="1581"/>
      <c r="X35" s="1581"/>
      <c r="Y35" s="1581"/>
      <c r="Z35" s="1581"/>
      <c r="AA35" s="1582"/>
    </row>
    <row r="36" spans="1:30" s="345" customFormat="1" ht="15.75" customHeight="1" thickBot="1">
      <c r="A36" s="345">
        <v>2</v>
      </c>
      <c r="B36" s="818" t="s">
        <v>1294</v>
      </c>
      <c r="C36" s="809">
        <v>0</v>
      </c>
      <c r="D36" s="809">
        <v>0</v>
      </c>
      <c r="E36" s="1583" t="s">
        <v>1281</v>
      </c>
      <c r="F36" s="1584"/>
      <c r="G36" s="1585"/>
      <c r="H36" s="820" t="s">
        <v>1294</v>
      </c>
      <c r="I36" s="821" t="s">
        <v>1294</v>
      </c>
      <c r="J36" s="821" t="s">
        <v>1294</v>
      </c>
      <c r="K36" s="821" t="s">
        <v>1294</v>
      </c>
      <c r="L36" s="821" t="s">
        <v>1294</v>
      </c>
      <c r="M36" s="821">
        <v>0</v>
      </c>
      <c r="N36" s="821" t="s">
        <v>1294</v>
      </c>
      <c r="O36" s="821" t="s">
        <v>1294</v>
      </c>
      <c r="P36" s="821" t="s">
        <v>1294</v>
      </c>
      <c r="Q36" s="821" t="s">
        <v>1294</v>
      </c>
      <c r="R36" s="821" t="s">
        <v>1294</v>
      </c>
      <c r="S36" s="821" t="s">
        <v>1294</v>
      </c>
      <c r="T36" s="821" t="s">
        <v>1294</v>
      </c>
      <c r="U36" s="821" t="s">
        <v>1294</v>
      </c>
      <c r="V36" s="821" t="s">
        <v>1294</v>
      </c>
      <c r="W36" s="821" t="s">
        <v>1294</v>
      </c>
      <c r="X36" s="821" t="s">
        <v>1294</v>
      </c>
      <c r="Y36" s="821" t="s">
        <v>1294</v>
      </c>
      <c r="Z36" s="821" t="s">
        <v>1294</v>
      </c>
      <c r="AA36" s="822" t="s">
        <v>1294</v>
      </c>
    </row>
    <row r="37" spans="1:30" s="345" customFormat="1" ht="13.5" customHeight="1">
      <c r="A37" s="345">
        <v>3</v>
      </c>
      <c r="B37" s="818" t="s">
        <v>1294</v>
      </c>
      <c r="C37" s="809">
        <v>0</v>
      </c>
      <c r="D37" s="809">
        <v>0</v>
      </c>
      <c r="E37" s="1571" t="s">
        <v>1282</v>
      </c>
      <c r="F37" s="1574" t="s">
        <v>1283</v>
      </c>
      <c r="G37" s="1575"/>
      <c r="H37" s="823" t="s">
        <v>1294</v>
      </c>
      <c r="I37" s="824" t="s">
        <v>1294</v>
      </c>
      <c r="J37" s="824" t="s">
        <v>1294</v>
      </c>
      <c r="K37" s="824" t="s">
        <v>1294</v>
      </c>
      <c r="L37" s="824" t="s">
        <v>1294</v>
      </c>
      <c r="M37" s="824" t="s">
        <v>1294</v>
      </c>
      <c r="N37" s="824" t="s">
        <v>1294</v>
      </c>
      <c r="O37" s="824" t="s">
        <v>1294</v>
      </c>
      <c r="P37" s="824" t="s">
        <v>1294</v>
      </c>
      <c r="Q37" s="824" t="s">
        <v>1294</v>
      </c>
      <c r="R37" s="824" t="s">
        <v>1294</v>
      </c>
      <c r="S37" s="824" t="s">
        <v>1294</v>
      </c>
      <c r="T37" s="824" t="s">
        <v>1294</v>
      </c>
      <c r="U37" s="824" t="s">
        <v>1294</v>
      </c>
      <c r="V37" s="824" t="s">
        <v>1294</v>
      </c>
      <c r="W37" s="824" t="s">
        <v>1294</v>
      </c>
      <c r="X37" s="824" t="s">
        <v>1294</v>
      </c>
      <c r="Y37" s="824" t="s">
        <v>1294</v>
      </c>
      <c r="Z37" s="824" t="s">
        <v>1294</v>
      </c>
      <c r="AA37" s="825" t="s">
        <v>1294</v>
      </c>
    </row>
    <row r="38" spans="1:30" s="345" customFormat="1" ht="12.75" customHeight="1" thickBot="1">
      <c r="A38" s="345">
        <v>4</v>
      </c>
      <c r="B38" s="818" t="s">
        <v>1294</v>
      </c>
      <c r="C38" s="809">
        <v>0</v>
      </c>
      <c r="D38" s="809">
        <v>0</v>
      </c>
      <c r="E38" s="1572"/>
      <c r="F38" s="1576" t="s">
        <v>1284</v>
      </c>
      <c r="G38" s="1577"/>
      <c r="H38" s="823" t="s">
        <v>1294</v>
      </c>
      <c r="I38" s="824" t="s">
        <v>1294</v>
      </c>
      <c r="J38" s="824" t="s">
        <v>1294</v>
      </c>
      <c r="K38" s="824" t="s">
        <v>1294</v>
      </c>
      <c r="L38" s="824" t="s">
        <v>1294</v>
      </c>
      <c r="M38" s="824" t="s">
        <v>1294</v>
      </c>
      <c r="N38" s="824" t="s">
        <v>1294</v>
      </c>
      <c r="O38" s="824" t="s">
        <v>1294</v>
      </c>
      <c r="P38" s="824" t="s">
        <v>1294</v>
      </c>
      <c r="Q38" s="824" t="s">
        <v>1294</v>
      </c>
      <c r="R38" s="824" t="s">
        <v>1294</v>
      </c>
      <c r="S38" s="824" t="s">
        <v>1294</v>
      </c>
      <c r="T38" s="824" t="s">
        <v>1294</v>
      </c>
      <c r="U38" s="824" t="s">
        <v>1294</v>
      </c>
      <c r="V38" s="824" t="s">
        <v>1294</v>
      </c>
      <c r="W38" s="824" t="s">
        <v>1294</v>
      </c>
      <c r="X38" s="824" t="s">
        <v>1294</v>
      </c>
      <c r="Y38" s="824" t="s">
        <v>1294</v>
      </c>
      <c r="Z38" s="824" t="s">
        <v>1294</v>
      </c>
      <c r="AA38" s="825" t="s">
        <v>1294</v>
      </c>
    </row>
    <row r="39" spans="1:30" s="345" customFormat="1" ht="12.75" customHeight="1">
      <c r="A39" s="345">
        <v>5</v>
      </c>
      <c r="B39" s="818" t="s">
        <v>1294</v>
      </c>
      <c r="C39" s="809">
        <v>0</v>
      </c>
      <c r="D39" s="809">
        <v>0</v>
      </c>
      <c r="E39" s="1572"/>
      <c r="F39" s="1578" t="s">
        <v>1294</v>
      </c>
      <c r="G39" s="826" t="s">
        <v>1285</v>
      </c>
      <c r="H39" s="827" t="s">
        <v>1294</v>
      </c>
      <c r="I39" s="828" t="s">
        <v>1294</v>
      </c>
      <c r="J39" s="828" t="s">
        <v>1294</v>
      </c>
      <c r="K39" s="828" t="s">
        <v>1294</v>
      </c>
      <c r="L39" s="828" t="s">
        <v>1294</v>
      </c>
      <c r="M39" s="828" t="s">
        <v>1294</v>
      </c>
      <c r="N39" s="828" t="s">
        <v>1294</v>
      </c>
      <c r="O39" s="828" t="s">
        <v>1294</v>
      </c>
      <c r="P39" s="828" t="s">
        <v>1294</v>
      </c>
      <c r="Q39" s="828" t="s">
        <v>1294</v>
      </c>
      <c r="R39" s="828" t="s">
        <v>1294</v>
      </c>
      <c r="S39" s="828" t="s">
        <v>1294</v>
      </c>
      <c r="T39" s="828" t="s">
        <v>1294</v>
      </c>
      <c r="U39" s="828" t="s">
        <v>1294</v>
      </c>
      <c r="V39" s="828" t="s">
        <v>1294</v>
      </c>
      <c r="W39" s="828" t="s">
        <v>1294</v>
      </c>
      <c r="X39" s="828" t="s">
        <v>1294</v>
      </c>
      <c r="Y39" s="828" t="s">
        <v>1294</v>
      </c>
      <c r="Z39" s="828" t="s">
        <v>1294</v>
      </c>
      <c r="AA39" s="829" t="s">
        <v>1294</v>
      </c>
    </row>
    <row r="40" spans="1:30" s="345" customFormat="1" ht="12.75" customHeight="1" thickBot="1">
      <c r="A40" s="345">
        <v>6</v>
      </c>
      <c r="B40" s="818">
        <v>10</v>
      </c>
      <c r="C40" s="809">
        <v>0</v>
      </c>
      <c r="D40" s="809" t="e">
        <v>#DIV/0!</v>
      </c>
      <c r="E40" s="1572"/>
      <c r="F40" s="1579"/>
      <c r="G40" s="830" t="s">
        <v>1286</v>
      </c>
      <c r="H40" s="823" t="s">
        <v>1294</v>
      </c>
      <c r="I40" s="824" t="s">
        <v>1294</v>
      </c>
      <c r="J40" s="824" t="s">
        <v>1294</v>
      </c>
      <c r="K40" s="824" t="s">
        <v>1294</v>
      </c>
      <c r="L40" s="824" t="s">
        <v>1294</v>
      </c>
      <c r="M40" s="824" t="s">
        <v>1294</v>
      </c>
      <c r="N40" s="824" t="s">
        <v>1294</v>
      </c>
      <c r="O40" s="824" t="s">
        <v>1294</v>
      </c>
      <c r="P40" s="824" t="s">
        <v>1294</v>
      </c>
      <c r="Q40" s="824" t="s">
        <v>1294</v>
      </c>
      <c r="R40" s="824" t="s">
        <v>1294</v>
      </c>
      <c r="S40" s="824" t="s">
        <v>1294</v>
      </c>
      <c r="T40" s="824" t="s">
        <v>1294</v>
      </c>
      <c r="U40" s="824" t="s">
        <v>1294</v>
      </c>
      <c r="V40" s="824" t="s">
        <v>1294</v>
      </c>
      <c r="W40" s="824" t="s">
        <v>1294</v>
      </c>
      <c r="X40" s="824" t="s">
        <v>1294</v>
      </c>
      <c r="Y40" s="824" t="s">
        <v>1294</v>
      </c>
      <c r="Z40" s="824" t="s">
        <v>1294</v>
      </c>
      <c r="AA40" s="825" t="s">
        <v>1294</v>
      </c>
    </row>
    <row r="41" spans="1:30" s="345" customFormat="1" ht="12.75" customHeight="1">
      <c r="A41" s="345">
        <v>7</v>
      </c>
      <c r="B41" s="818">
        <v>20</v>
      </c>
      <c r="C41" s="809">
        <v>0</v>
      </c>
      <c r="D41" s="809" t="e">
        <v>#DIV/0!</v>
      </c>
      <c r="E41" s="1572"/>
      <c r="F41" s="1578" t="s">
        <v>1294</v>
      </c>
      <c r="G41" s="826" t="s">
        <v>1285</v>
      </c>
      <c r="H41" s="827" t="s">
        <v>1294</v>
      </c>
      <c r="I41" s="828" t="s">
        <v>1294</v>
      </c>
      <c r="J41" s="828" t="s">
        <v>1294</v>
      </c>
      <c r="K41" s="828" t="s">
        <v>1294</v>
      </c>
      <c r="L41" s="828" t="s">
        <v>1294</v>
      </c>
      <c r="M41" s="828" t="s">
        <v>1294</v>
      </c>
      <c r="N41" s="828" t="s">
        <v>1294</v>
      </c>
      <c r="O41" s="828" t="s">
        <v>1294</v>
      </c>
      <c r="P41" s="828" t="s">
        <v>1294</v>
      </c>
      <c r="Q41" s="828" t="s">
        <v>1294</v>
      </c>
      <c r="R41" s="828" t="s">
        <v>1294</v>
      </c>
      <c r="S41" s="828" t="s">
        <v>1294</v>
      </c>
      <c r="T41" s="828" t="s">
        <v>1294</v>
      </c>
      <c r="U41" s="828" t="s">
        <v>1294</v>
      </c>
      <c r="V41" s="828" t="s">
        <v>1294</v>
      </c>
      <c r="W41" s="828" t="s">
        <v>1294</v>
      </c>
      <c r="X41" s="828" t="s">
        <v>1294</v>
      </c>
      <c r="Y41" s="828" t="s">
        <v>1294</v>
      </c>
      <c r="Z41" s="828" t="s">
        <v>1294</v>
      </c>
      <c r="AA41" s="829" t="s">
        <v>1294</v>
      </c>
    </row>
    <row r="42" spans="1:30" s="345" customFormat="1" ht="13.5" customHeight="1" thickBot="1">
      <c r="A42" s="345">
        <v>8</v>
      </c>
      <c r="B42" s="818">
        <v>30</v>
      </c>
      <c r="C42" s="809">
        <v>0</v>
      </c>
      <c r="D42" s="809" t="e">
        <v>#DIV/0!</v>
      </c>
      <c r="E42" s="1573"/>
      <c r="F42" s="1579"/>
      <c r="G42" s="830" t="s">
        <v>1286</v>
      </c>
      <c r="H42" s="831" t="s">
        <v>1294</v>
      </c>
      <c r="I42" s="832" t="s">
        <v>1294</v>
      </c>
      <c r="J42" s="832" t="s">
        <v>1294</v>
      </c>
      <c r="K42" s="832" t="s">
        <v>1294</v>
      </c>
      <c r="L42" s="832" t="s">
        <v>1294</v>
      </c>
      <c r="M42" s="832" t="s">
        <v>1294</v>
      </c>
      <c r="N42" s="832" t="s">
        <v>1294</v>
      </c>
      <c r="O42" s="832" t="s">
        <v>1294</v>
      </c>
      <c r="P42" s="832" t="s">
        <v>1294</v>
      </c>
      <c r="Q42" s="832" t="s">
        <v>1294</v>
      </c>
      <c r="R42" s="832" t="s">
        <v>1294</v>
      </c>
      <c r="S42" s="832" t="s">
        <v>1294</v>
      </c>
      <c r="T42" s="832" t="s">
        <v>1294</v>
      </c>
      <c r="U42" s="832" t="s">
        <v>1294</v>
      </c>
      <c r="V42" s="832" t="s">
        <v>1294</v>
      </c>
      <c r="W42" s="832" t="s">
        <v>1294</v>
      </c>
      <c r="X42" s="832" t="s">
        <v>1294</v>
      </c>
      <c r="Y42" s="832" t="s">
        <v>1294</v>
      </c>
      <c r="Z42" s="832" t="s">
        <v>1294</v>
      </c>
      <c r="AA42" s="833" t="s">
        <v>1294</v>
      </c>
    </row>
    <row r="43" spans="1:30" s="345" customFormat="1" ht="12.75" customHeight="1">
      <c r="A43" s="345">
        <v>9</v>
      </c>
      <c r="B43" s="818">
        <v>40</v>
      </c>
      <c r="C43" s="809">
        <v>0</v>
      </c>
      <c r="D43" s="809" t="e">
        <v>#DIV/0!</v>
      </c>
      <c r="E43" s="1590">
        <v>0</v>
      </c>
      <c r="F43" s="1574" t="s">
        <v>1283</v>
      </c>
      <c r="G43" s="1593"/>
      <c r="H43" s="834" t="s">
        <v>1294</v>
      </c>
      <c r="I43" s="835" t="s">
        <v>1294</v>
      </c>
      <c r="J43" s="835" t="s">
        <v>1294</v>
      </c>
      <c r="K43" s="835" t="s">
        <v>1294</v>
      </c>
      <c r="L43" s="835" t="s">
        <v>1294</v>
      </c>
      <c r="M43" s="835" t="s">
        <v>1294</v>
      </c>
      <c r="N43" s="835" t="s">
        <v>1294</v>
      </c>
      <c r="O43" s="835" t="s">
        <v>1294</v>
      </c>
      <c r="P43" s="835" t="s">
        <v>1294</v>
      </c>
      <c r="Q43" s="835" t="s">
        <v>1294</v>
      </c>
      <c r="R43" s="835" t="s">
        <v>1294</v>
      </c>
      <c r="S43" s="835" t="s">
        <v>1294</v>
      </c>
      <c r="T43" s="835" t="s">
        <v>1294</v>
      </c>
      <c r="U43" s="835" t="s">
        <v>1294</v>
      </c>
      <c r="V43" s="835" t="s">
        <v>1294</v>
      </c>
      <c r="W43" s="835" t="s">
        <v>1294</v>
      </c>
      <c r="X43" s="835" t="s">
        <v>1294</v>
      </c>
      <c r="Y43" s="835" t="s">
        <v>1294</v>
      </c>
      <c r="Z43" s="835" t="s">
        <v>1294</v>
      </c>
      <c r="AA43" s="836" t="s">
        <v>1294</v>
      </c>
    </row>
    <row r="44" spans="1:30" s="345" customFormat="1" ht="13.5" customHeight="1" thickBot="1">
      <c r="A44" s="345">
        <v>10</v>
      </c>
      <c r="B44" s="818">
        <v>50</v>
      </c>
      <c r="C44" s="809">
        <v>0</v>
      </c>
      <c r="D44" s="809" t="e">
        <v>#DIV/0!</v>
      </c>
      <c r="E44" s="1591"/>
      <c r="F44" s="1576" t="s">
        <v>1284</v>
      </c>
      <c r="G44" s="1594"/>
      <c r="H44" s="834" t="s">
        <v>1294</v>
      </c>
      <c r="I44" s="835" t="s">
        <v>1294</v>
      </c>
      <c r="J44" s="835" t="s">
        <v>1294</v>
      </c>
      <c r="K44" s="835" t="s">
        <v>1294</v>
      </c>
      <c r="L44" s="835" t="s">
        <v>1294</v>
      </c>
      <c r="M44" s="835" t="s">
        <v>1294</v>
      </c>
      <c r="N44" s="835" t="s">
        <v>1294</v>
      </c>
      <c r="O44" s="835" t="s">
        <v>1294</v>
      </c>
      <c r="P44" s="835" t="s">
        <v>1294</v>
      </c>
      <c r="Q44" s="835" t="s">
        <v>1294</v>
      </c>
      <c r="R44" s="835" t="s">
        <v>1294</v>
      </c>
      <c r="S44" s="835" t="s">
        <v>1294</v>
      </c>
      <c r="T44" s="835" t="s">
        <v>1294</v>
      </c>
      <c r="U44" s="835" t="s">
        <v>1294</v>
      </c>
      <c r="V44" s="835" t="s">
        <v>1294</v>
      </c>
      <c r="W44" s="835" t="s">
        <v>1294</v>
      </c>
      <c r="X44" s="835" t="s">
        <v>1294</v>
      </c>
      <c r="Y44" s="835" t="s">
        <v>1294</v>
      </c>
      <c r="Z44" s="835" t="s">
        <v>1294</v>
      </c>
      <c r="AA44" s="836" t="s">
        <v>1294</v>
      </c>
    </row>
    <row r="45" spans="1:30" s="345" customFormat="1">
      <c r="A45" s="345">
        <v>11</v>
      </c>
      <c r="B45" s="818">
        <v>60</v>
      </c>
      <c r="C45" s="809">
        <v>0</v>
      </c>
      <c r="D45" s="809" t="e">
        <v>#DIV/0!</v>
      </c>
      <c r="E45" s="1591"/>
      <c r="F45" s="1578" t="s">
        <v>1294</v>
      </c>
      <c r="G45" s="1596" t="s">
        <v>1285</v>
      </c>
      <c r="H45" s="837" t="s">
        <v>1294</v>
      </c>
      <c r="I45" s="838" t="s">
        <v>1294</v>
      </c>
      <c r="J45" s="838" t="s">
        <v>1294</v>
      </c>
      <c r="K45" s="838" t="s">
        <v>1294</v>
      </c>
      <c r="L45" s="838" t="s">
        <v>1294</v>
      </c>
      <c r="M45" s="838" t="s">
        <v>1294</v>
      </c>
      <c r="N45" s="838" t="s">
        <v>1294</v>
      </c>
      <c r="O45" s="838" t="s">
        <v>1294</v>
      </c>
      <c r="P45" s="838" t="s">
        <v>1294</v>
      </c>
      <c r="Q45" s="838" t="s">
        <v>1294</v>
      </c>
      <c r="R45" s="838" t="s">
        <v>1294</v>
      </c>
      <c r="S45" s="838" t="s">
        <v>1294</v>
      </c>
      <c r="T45" s="838" t="s">
        <v>1294</v>
      </c>
      <c r="U45" s="838" t="s">
        <v>1294</v>
      </c>
      <c r="V45" s="838" t="s">
        <v>1294</v>
      </c>
      <c r="W45" s="838" t="s">
        <v>1294</v>
      </c>
      <c r="X45" s="838" t="s">
        <v>1294</v>
      </c>
      <c r="Y45" s="838" t="s">
        <v>1294</v>
      </c>
      <c r="Z45" s="838" t="s">
        <v>1294</v>
      </c>
      <c r="AA45" s="839" t="s">
        <v>1294</v>
      </c>
    </row>
    <row r="46" spans="1:30" s="345" customFormat="1">
      <c r="A46" s="345">
        <v>12</v>
      </c>
      <c r="B46" s="818">
        <v>70</v>
      </c>
      <c r="C46" s="809">
        <v>0</v>
      </c>
      <c r="D46" s="809" t="e">
        <v>#DIV/0!</v>
      </c>
      <c r="E46" s="1591"/>
      <c r="F46" s="1595"/>
      <c r="G46" s="1597"/>
      <c r="H46" s="834" t="s">
        <v>1294</v>
      </c>
      <c r="I46" s="835" t="s">
        <v>1294</v>
      </c>
      <c r="J46" s="835" t="s">
        <v>1294</v>
      </c>
      <c r="K46" s="835" t="s">
        <v>1294</v>
      </c>
      <c r="L46" s="835" t="s">
        <v>1294</v>
      </c>
      <c r="M46" s="835" t="s">
        <v>1294</v>
      </c>
      <c r="N46" s="835" t="s">
        <v>1294</v>
      </c>
      <c r="O46" s="835" t="s">
        <v>1294</v>
      </c>
      <c r="P46" s="835" t="s">
        <v>1294</v>
      </c>
      <c r="Q46" s="835" t="s">
        <v>1294</v>
      </c>
      <c r="R46" s="835" t="s">
        <v>1294</v>
      </c>
      <c r="S46" s="835" t="s">
        <v>1294</v>
      </c>
      <c r="T46" s="835" t="s">
        <v>1294</v>
      </c>
      <c r="U46" s="835" t="s">
        <v>1294</v>
      </c>
      <c r="V46" s="835" t="s">
        <v>1294</v>
      </c>
      <c r="W46" s="835" t="s">
        <v>1294</v>
      </c>
      <c r="X46" s="835" t="s">
        <v>1294</v>
      </c>
      <c r="Y46" s="835" t="s">
        <v>1294</v>
      </c>
      <c r="Z46" s="835" t="s">
        <v>1294</v>
      </c>
      <c r="AA46" s="836" t="s">
        <v>1294</v>
      </c>
    </row>
    <row r="47" spans="1:30" s="345" customFormat="1">
      <c r="A47" s="345">
        <v>13</v>
      </c>
      <c r="B47" s="818">
        <v>80</v>
      </c>
      <c r="C47" s="809">
        <v>0</v>
      </c>
      <c r="D47" s="809" t="e">
        <v>#DIV/0!</v>
      </c>
      <c r="E47" s="1591"/>
      <c r="F47" s="1595"/>
      <c r="G47" s="1597" t="s">
        <v>1286</v>
      </c>
      <c r="H47" s="834" t="s">
        <v>1294</v>
      </c>
      <c r="I47" s="835" t="s">
        <v>1294</v>
      </c>
      <c r="J47" s="835" t="s">
        <v>1294</v>
      </c>
      <c r="K47" s="835" t="s">
        <v>1294</v>
      </c>
      <c r="L47" s="835" t="s">
        <v>1294</v>
      </c>
      <c r="M47" s="835" t="s">
        <v>1294</v>
      </c>
      <c r="N47" s="835" t="s">
        <v>1294</v>
      </c>
      <c r="O47" s="835" t="s">
        <v>1294</v>
      </c>
      <c r="P47" s="835" t="s">
        <v>1294</v>
      </c>
      <c r="Q47" s="835" t="s">
        <v>1294</v>
      </c>
      <c r="R47" s="835" t="s">
        <v>1294</v>
      </c>
      <c r="S47" s="835" t="s">
        <v>1294</v>
      </c>
      <c r="T47" s="835" t="s">
        <v>1294</v>
      </c>
      <c r="U47" s="835" t="s">
        <v>1294</v>
      </c>
      <c r="V47" s="835" t="s">
        <v>1294</v>
      </c>
      <c r="W47" s="835" t="s">
        <v>1294</v>
      </c>
      <c r="X47" s="835" t="s">
        <v>1294</v>
      </c>
      <c r="Y47" s="835" t="s">
        <v>1294</v>
      </c>
      <c r="Z47" s="835" t="s">
        <v>1294</v>
      </c>
      <c r="AA47" s="836" t="s">
        <v>1294</v>
      </c>
    </row>
    <row r="48" spans="1:30" s="345" customFormat="1" ht="13.5" thickBot="1">
      <c r="A48" s="345">
        <v>14</v>
      </c>
      <c r="B48" s="818">
        <v>90</v>
      </c>
      <c r="C48" s="809">
        <v>0</v>
      </c>
      <c r="D48" s="809" t="e">
        <v>#DIV/0!</v>
      </c>
      <c r="E48" s="1591"/>
      <c r="F48" s="1579"/>
      <c r="G48" s="1598"/>
      <c r="H48" s="834" t="s">
        <v>1294</v>
      </c>
      <c r="I48" s="835" t="s">
        <v>1294</v>
      </c>
      <c r="J48" s="835" t="s">
        <v>1294</v>
      </c>
      <c r="K48" s="835" t="s">
        <v>1294</v>
      </c>
      <c r="L48" s="835" t="s">
        <v>1294</v>
      </c>
      <c r="M48" s="835" t="s">
        <v>1294</v>
      </c>
      <c r="N48" s="835" t="s">
        <v>1294</v>
      </c>
      <c r="O48" s="835" t="s">
        <v>1294</v>
      </c>
      <c r="P48" s="835" t="s">
        <v>1294</v>
      </c>
      <c r="Q48" s="835" t="s">
        <v>1294</v>
      </c>
      <c r="R48" s="835" t="s">
        <v>1294</v>
      </c>
      <c r="S48" s="835" t="s">
        <v>1294</v>
      </c>
      <c r="T48" s="835" t="s">
        <v>1294</v>
      </c>
      <c r="U48" s="835" t="s">
        <v>1294</v>
      </c>
      <c r="V48" s="835" t="s">
        <v>1294</v>
      </c>
      <c r="W48" s="835" t="s">
        <v>1294</v>
      </c>
      <c r="X48" s="835" t="s">
        <v>1294</v>
      </c>
      <c r="Y48" s="835" t="s">
        <v>1294</v>
      </c>
      <c r="Z48" s="835" t="s">
        <v>1294</v>
      </c>
      <c r="AA48" s="836" t="s">
        <v>1294</v>
      </c>
    </row>
    <row r="49" spans="1:28" s="345" customFormat="1">
      <c r="A49" s="345">
        <v>15</v>
      </c>
      <c r="B49" s="818" t="s">
        <v>1294</v>
      </c>
      <c r="C49" s="809">
        <v>0</v>
      </c>
      <c r="D49" s="809">
        <v>0</v>
      </c>
      <c r="E49" s="1591"/>
      <c r="F49" s="1578" t="s">
        <v>1294</v>
      </c>
      <c r="G49" s="1596" t="s">
        <v>1285</v>
      </c>
      <c r="H49" s="840" t="s">
        <v>1294</v>
      </c>
      <c r="I49" s="841" t="s">
        <v>1294</v>
      </c>
      <c r="J49" s="841" t="s">
        <v>1294</v>
      </c>
      <c r="K49" s="841" t="s">
        <v>1294</v>
      </c>
      <c r="L49" s="841" t="s">
        <v>1294</v>
      </c>
      <c r="M49" s="841" t="s">
        <v>1294</v>
      </c>
      <c r="N49" s="841" t="s">
        <v>1294</v>
      </c>
      <c r="O49" s="841" t="s">
        <v>1294</v>
      </c>
      <c r="P49" s="841" t="s">
        <v>1294</v>
      </c>
      <c r="Q49" s="841" t="s">
        <v>1294</v>
      </c>
      <c r="R49" s="841" t="s">
        <v>1294</v>
      </c>
      <c r="S49" s="841" t="s">
        <v>1294</v>
      </c>
      <c r="T49" s="841" t="s">
        <v>1294</v>
      </c>
      <c r="U49" s="841" t="s">
        <v>1294</v>
      </c>
      <c r="V49" s="841" t="s">
        <v>1294</v>
      </c>
      <c r="W49" s="841" t="s">
        <v>1294</v>
      </c>
      <c r="X49" s="841" t="s">
        <v>1294</v>
      </c>
      <c r="Y49" s="841" t="s">
        <v>1294</v>
      </c>
      <c r="Z49" s="841" t="s">
        <v>1294</v>
      </c>
      <c r="AA49" s="842" t="s">
        <v>1294</v>
      </c>
    </row>
    <row r="50" spans="1:28" s="345" customFormat="1">
      <c r="A50" s="345">
        <v>16</v>
      </c>
      <c r="B50" s="818" t="s">
        <v>1294</v>
      </c>
      <c r="C50" s="809">
        <v>0</v>
      </c>
      <c r="D50" s="809">
        <v>0</v>
      </c>
      <c r="E50" s="1591"/>
      <c r="F50" s="1595"/>
      <c r="G50" s="1597"/>
      <c r="H50" s="843" t="s">
        <v>1294</v>
      </c>
      <c r="I50" s="844" t="s">
        <v>1294</v>
      </c>
      <c r="J50" s="844" t="s">
        <v>1294</v>
      </c>
      <c r="K50" s="844" t="s">
        <v>1294</v>
      </c>
      <c r="L50" s="844" t="s">
        <v>1294</v>
      </c>
      <c r="M50" s="844" t="s">
        <v>1294</v>
      </c>
      <c r="N50" s="844" t="s">
        <v>1294</v>
      </c>
      <c r="O50" s="844" t="s">
        <v>1294</v>
      </c>
      <c r="P50" s="844" t="s">
        <v>1294</v>
      </c>
      <c r="Q50" s="844" t="s">
        <v>1294</v>
      </c>
      <c r="R50" s="844" t="s">
        <v>1294</v>
      </c>
      <c r="S50" s="844" t="s">
        <v>1294</v>
      </c>
      <c r="T50" s="844" t="s">
        <v>1294</v>
      </c>
      <c r="U50" s="844" t="s">
        <v>1294</v>
      </c>
      <c r="V50" s="844" t="s">
        <v>1294</v>
      </c>
      <c r="W50" s="844" t="s">
        <v>1294</v>
      </c>
      <c r="X50" s="844" t="s">
        <v>1294</v>
      </c>
      <c r="Y50" s="844" t="s">
        <v>1294</v>
      </c>
      <c r="Z50" s="844" t="s">
        <v>1294</v>
      </c>
      <c r="AA50" s="845" t="s">
        <v>1294</v>
      </c>
    </row>
    <row r="51" spans="1:28" s="345" customFormat="1">
      <c r="A51" s="345">
        <v>17</v>
      </c>
      <c r="B51" s="818" t="s">
        <v>1294</v>
      </c>
      <c r="C51" s="809">
        <v>0</v>
      </c>
      <c r="D51" s="809">
        <v>0</v>
      </c>
      <c r="E51" s="1591"/>
      <c r="F51" s="1595"/>
      <c r="G51" s="1597" t="s">
        <v>1286</v>
      </c>
      <c r="H51" s="843" t="s">
        <v>1294</v>
      </c>
      <c r="I51" s="844" t="s">
        <v>1294</v>
      </c>
      <c r="J51" s="844" t="s">
        <v>1294</v>
      </c>
      <c r="K51" s="844" t="s">
        <v>1294</v>
      </c>
      <c r="L51" s="844" t="s">
        <v>1294</v>
      </c>
      <c r="M51" s="844" t="s">
        <v>1294</v>
      </c>
      <c r="N51" s="844" t="s">
        <v>1294</v>
      </c>
      <c r="O51" s="844" t="s">
        <v>1294</v>
      </c>
      <c r="P51" s="844" t="s">
        <v>1294</v>
      </c>
      <c r="Q51" s="844" t="s">
        <v>1294</v>
      </c>
      <c r="R51" s="844" t="s">
        <v>1294</v>
      </c>
      <c r="S51" s="844" t="s">
        <v>1294</v>
      </c>
      <c r="T51" s="844" t="s">
        <v>1294</v>
      </c>
      <c r="U51" s="844" t="s">
        <v>1294</v>
      </c>
      <c r="V51" s="844" t="s">
        <v>1294</v>
      </c>
      <c r="W51" s="844" t="s">
        <v>1294</v>
      </c>
      <c r="X51" s="844" t="s">
        <v>1294</v>
      </c>
      <c r="Y51" s="844" t="s">
        <v>1294</v>
      </c>
      <c r="Z51" s="844" t="s">
        <v>1294</v>
      </c>
      <c r="AA51" s="845" t="s">
        <v>1294</v>
      </c>
    </row>
    <row r="52" spans="1:28" s="345" customFormat="1" ht="13.5" thickBot="1">
      <c r="A52" s="345">
        <v>18</v>
      </c>
      <c r="B52" s="818" t="s">
        <v>1294</v>
      </c>
      <c r="C52" s="809">
        <v>0</v>
      </c>
      <c r="D52" s="809">
        <v>0</v>
      </c>
      <c r="E52" s="1592"/>
      <c r="F52" s="1579"/>
      <c r="G52" s="1598"/>
      <c r="H52" s="846" t="s">
        <v>1294</v>
      </c>
      <c r="I52" s="847" t="s">
        <v>1294</v>
      </c>
      <c r="J52" s="847" t="s">
        <v>1294</v>
      </c>
      <c r="K52" s="847" t="s">
        <v>1294</v>
      </c>
      <c r="L52" s="847" t="s">
        <v>1294</v>
      </c>
      <c r="M52" s="847" t="s">
        <v>1294</v>
      </c>
      <c r="N52" s="847" t="s">
        <v>1294</v>
      </c>
      <c r="O52" s="847" t="s">
        <v>1294</v>
      </c>
      <c r="P52" s="847" t="s">
        <v>1294</v>
      </c>
      <c r="Q52" s="847" t="s">
        <v>1294</v>
      </c>
      <c r="R52" s="847" t="s">
        <v>1294</v>
      </c>
      <c r="S52" s="847" t="s">
        <v>1294</v>
      </c>
      <c r="T52" s="847" t="s">
        <v>1294</v>
      </c>
      <c r="U52" s="847" t="s">
        <v>1294</v>
      </c>
      <c r="V52" s="847" t="s">
        <v>1294</v>
      </c>
      <c r="W52" s="847" t="s">
        <v>1294</v>
      </c>
      <c r="X52" s="847" t="s">
        <v>1294</v>
      </c>
      <c r="Y52" s="847" t="s">
        <v>1294</v>
      </c>
      <c r="Z52" s="847" t="s">
        <v>1294</v>
      </c>
      <c r="AA52" s="848" t="s">
        <v>1294</v>
      </c>
    </row>
    <row r="53" spans="1:28" s="345" customFormat="1">
      <c r="A53" s="345">
        <v>19</v>
      </c>
      <c r="B53" s="818" t="s">
        <v>1294</v>
      </c>
      <c r="C53" s="809">
        <v>0</v>
      </c>
      <c r="D53" s="809">
        <v>0</v>
      </c>
      <c r="E53" s="1571" t="s">
        <v>1287</v>
      </c>
      <c r="F53" s="1574" t="s">
        <v>1283</v>
      </c>
      <c r="G53" s="1593"/>
      <c r="H53" s="834" t="s">
        <v>1294</v>
      </c>
      <c r="I53" s="835" t="s">
        <v>1294</v>
      </c>
      <c r="J53" s="835" t="s">
        <v>1294</v>
      </c>
      <c r="K53" s="835" t="s">
        <v>1294</v>
      </c>
      <c r="L53" s="835" t="s">
        <v>1294</v>
      </c>
      <c r="M53" s="835" t="s">
        <v>1294</v>
      </c>
      <c r="N53" s="835" t="s">
        <v>1294</v>
      </c>
      <c r="O53" s="835" t="s">
        <v>1294</v>
      </c>
      <c r="P53" s="835" t="s">
        <v>1294</v>
      </c>
      <c r="Q53" s="835" t="s">
        <v>1294</v>
      </c>
      <c r="R53" s="835" t="s">
        <v>1294</v>
      </c>
      <c r="S53" s="835" t="s">
        <v>1294</v>
      </c>
      <c r="T53" s="835" t="s">
        <v>1294</v>
      </c>
      <c r="U53" s="835" t="s">
        <v>1294</v>
      </c>
      <c r="V53" s="835" t="s">
        <v>1294</v>
      </c>
      <c r="W53" s="835" t="s">
        <v>1294</v>
      </c>
      <c r="X53" s="835" t="s">
        <v>1294</v>
      </c>
      <c r="Y53" s="835" t="s">
        <v>1294</v>
      </c>
      <c r="Z53" s="835" t="s">
        <v>1294</v>
      </c>
      <c r="AA53" s="836" t="s">
        <v>1294</v>
      </c>
    </row>
    <row r="54" spans="1:28" s="345" customFormat="1" ht="13.5" thickBot="1">
      <c r="A54" s="345">
        <v>20</v>
      </c>
      <c r="B54" s="818" t="e">
        <v>#DIV/0!</v>
      </c>
      <c r="C54" s="809">
        <v>0</v>
      </c>
      <c r="D54" s="809" t="e">
        <v>#DIV/0!</v>
      </c>
      <c r="E54" s="1572"/>
      <c r="F54" s="1576" t="s">
        <v>1284</v>
      </c>
      <c r="G54" s="1594"/>
      <c r="H54" s="834" t="s">
        <v>1294</v>
      </c>
      <c r="I54" s="835" t="s">
        <v>1294</v>
      </c>
      <c r="J54" s="835" t="s">
        <v>1294</v>
      </c>
      <c r="K54" s="835" t="s">
        <v>1294</v>
      </c>
      <c r="L54" s="835" t="s">
        <v>1294</v>
      </c>
      <c r="M54" s="835" t="s">
        <v>1294</v>
      </c>
      <c r="N54" s="835" t="s">
        <v>1294</v>
      </c>
      <c r="O54" s="835" t="s">
        <v>1294</v>
      </c>
      <c r="P54" s="835" t="s">
        <v>1294</v>
      </c>
      <c r="Q54" s="835" t="s">
        <v>1294</v>
      </c>
      <c r="R54" s="835" t="s">
        <v>1294</v>
      </c>
      <c r="S54" s="835" t="s">
        <v>1294</v>
      </c>
      <c r="T54" s="835" t="s">
        <v>1294</v>
      </c>
      <c r="U54" s="835" t="s">
        <v>1294</v>
      </c>
      <c r="V54" s="835" t="s">
        <v>1294</v>
      </c>
      <c r="W54" s="835" t="s">
        <v>1294</v>
      </c>
      <c r="X54" s="835" t="s">
        <v>1294</v>
      </c>
      <c r="Y54" s="835" t="s">
        <v>1294</v>
      </c>
      <c r="Z54" s="835" t="s">
        <v>1294</v>
      </c>
      <c r="AA54" s="836" t="s">
        <v>1294</v>
      </c>
    </row>
    <row r="55" spans="1:28" s="345" customFormat="1">
      <c r="E55" s="1572"/>
      <c r="F55" s="1578" t="s">
        <v>1294</v>
      </c>
      <c r="G55" s="849" t="s">
        <v>1285</v>
      </c>
      <c r="H55" s="827" t="s">
        <v>1294</v>
      </c>
      <c r="I55" s="828" t="s">
        <v>1294</v>
      </c>
      <c r="J55" s="828" t="s">
        <v>1294</v>
      </c>
      <c r="K55" s="828" t="s">
        <v>1294</v>
      </c>
      <c r="L55" s="828" t="s">
        <v>1294</v>
      </c>
      <c r="M55" s="828" t="s">
        <v>1294</v>
      </c>
      <c r="N55" s="828" t="s">
        <v>1294</v>
      </c>
      <c r="O55" s="828" t="s">
        <v>1294</v>
      </c>
      <c r="P55" s="828" t="s">
        <v>1294</v>
      </c>
      <c r="Q55" s="828" t="s">
        <v>1294</v>
      </c>
      <c r="R55" s="828" t="s">
        <v>1294</v>
      </c>
      <c r="S55" s="828" t="s">
        <v>1294</v>
      </c>
      <c r="T55" s="828" t="s">
        <v>1294</v>
      </c>
      <c r="U55" s="828" t="s">
        <v>1294</v>
      </c>
      <c r="V55" s="828" t="s">
        <v>1294</v>
      </c>
      <c r="W55" s="828" t="s">
        <v>1294</v>
      </c>
      <c r="X55" s="828" t="s">
        <v>1294</v>
      </c>
      <c r="Y55" s="828" t="s">
        <v>1294</v>
      </c>
      <c r="Z55" s="828" t="s">
        <v>1294</v>
      </c>
      <c r="AA55" s="829" t="s">
        <v>1294</v>
      </c>
    </row>
    <row r="56" spans="1:28" s="345" customFormat="1" ht="13.5" thickBot="1">
      <c r="E56" s="1572"/>
      <c r="F56" s="1579"/>
      <c r="G56" s="850" t="s">
        <v>1286</v>
      </c>
      <c r="H56" s="823" t="s">
        <v>1294</v>
      </c>
      <c r="I56" s="824" t="s">
        <v>1294</v>
      </c>
      <c r="J56" s="824" t="s">
        <v>1294</v>
      </c>
      <c r="K56" s="824" t="s">
        <v>1294</v>
      </c>
      <c r="L56" s="824" t="s">
        <v>1294</v>
      </c>
      <c r="M56" s="824" t="s">
        <v>1294</v>
      </c>
      <c r="N56" s="824" t="s">
        <v>1294</v>
      </c>
      <c r="O56" s="824" t="s">
        <v>1294</v>
      </c>
      <c r="P56" s="824" t="s">
        <v>1294</v>
      </c>
      <c r="Q56" s="824" t="s">
        <v>1294</v>
      </c>
      <c r="R56" s="824" t="s">
        <v>1294</v>
      </c>
      <c r="S56" s="824" t="s">
        <v>1294</v>
      </c>
      <c r="T56" s="824" t="s">
        <v>1294</v>
      </c>
      <c r="U56" s="824" t="s">
        <v>1294</v>
      </c>
      <c r="V56" s="824" t="s">
        <v>1294</v>
      </c>
      <c r="W56" s="824" t="s">
        <v>1294</v>
      </c>
      <c r="X56" s="824" t="s">
        <v>1294</v>
      </c>
      <c r="Y56" s="824" t="s">
        <v>1294</v>
      </c>
      <c r="Z56" s="824" t="s">
        <v>1294</v>
      </c>
      <c r="AA56" s="825" t="s">
        <v>1294</v>
      </c>
    </row>
    <row r="57" spans="1:28" s="345" customFormat="1">
      <c r="E57" s="1572"/>
      <c r="F57" s="1578" t="s">
        <v>1294</v>
      </c>
      <c r="G57" s="849" t="s">
        <v>1285</v>
      </c>
      <c r="H57" s="823" t="s">
        <v>1294</v>
      </c>
      <c r="I57" s="824" t="s">
        <v>1294</v>
      </c>
      <c r="J57" s="824" t="s">
        <v>1294</v>
      </c>
      <c r="K57" s="824" t="s">
        <v>1294</v>
      </c>
      <c r="L57" s="824" t="s">
        <v>1294</v>
      </c>
      <c r="M57" s="824" t="s">
        <v>1294</v>
      </c>
      <c r="N57" s="824" t="s">
        <v>1294</v>
      </c>
      <c r="O57" s="824" t="s">
        <v>1294</v>
      </c>
      <c r="P57" s="824" t="s">
        <v>1294</v>
      </c>
      <c r="Q57" s="824" t="s">
        <v>1294</v>
      </c>
      <c r="R57" s="824" t="s">
        <v>1294</v>
      </c>
      <c r="S57" s="824" t="s">
        <v>1294</v>
      </c>
      <c r="T57" s="824" t="s">
        <v>1294</v>
      </c>
      <c r="U57" s="824" t="s">
        <v>1294</v>
      </c>
      <c r="V57" s="824" t="s">
        <v>1294</v>
      </c>
      <c r="W57" s="824" t="s">
        <v>1294</v>
      </c>
      <c r="X57" s="824" t="s">
        <v>1294</v>
      </c>
      <c r="Y57" s="824" t="s">
        <v>1294</v>
      </c>
      <c r="Z57" s="824" t="s">
        <v>1294</v>
      </c>
      <c r="AA57" s="825" t="s">
        <v>1294</v>
      </c>
    </row>
    <row r="58" spans="1:28" s="345" customFormat="1" ht="13.5" thickBot="1">
      <c r="E58" s="1573"/>
      <c r="F58" s="1579"/>
      <c r="G58" s="850" t="s">
        <v>1286</v>
      </c>
      <c r="H58" s="831" t="s">
        <v>1294</v>
      </c>
      <c r="I58" s="832" t="s">
        <v>1294</v>
      </c>
      <c r="J58" s="832" t="s">
        <v>1294</v>
      </c>
      <c r="K58" s="832" t="s">
        <v>1294</v>
      </c>
      <c r="L58" s="832" t="s">
        <v>1294</v>
      </c>
      <c r="M58" s="832" t="s">
        <v>1294</v>
      </c>
      <c r="N58" s="832" t="s">
        <v>1294</v>
      </c>
      <c r="O58" s="832" t="s">
        <v>1294</v>
      </c>
      <c r="P58" s="832" t="s">
        <v>1294</v>
      </c>
      <c r="Q58" s="832" t="s">
        <v>1294</v>
      </c>
      <c r="R58" s="832" t="s">
        <v>1294</v>
      </c>
      <c r="S58" s="832" t="s">
        <v>1294</v>
      </c>
      <c r="T58" s="832" t="s">
        <v>1294</v>
      </c>
      <c r="U58" s="832" t="s">
        <v>1294</v>
      </c>
      <c r="V58" s="832" t="s">
        <v>1294</v>
      </c>
      <c r="W58" s="832" t="s">
        <v>1294</v>
      </c>
      <c r="X58" s="832" t="s">
        <v>1294</v>
      </c>
      <c r="Y58" s="832" t="s">
        <v>1294</v>
      </c>
      <c r="Z58" s="832" t="s">
        <v>1294</v>
      </c>
      <c r="AA58" s="833" t="s">
        <v>1294</v>
      </c>
    </row>
    <row r="59" spans="1:28" s="345" customFormat="1">
      <c r="E59" s="1586" t="s">
        <v>1283</v>
      </c>
      <c r="F59" s="1587"/>
      <c r="G59" s="1587"/>
      <c r="H59" s="834" t="s">
        <v>1294</v>
      </c>
      <c r="I59" s="835" t="s">
        <v>1294</v>
      </c>
      <c r="J59" s="835" t="s">
        <v>1294</v>
      </c>
      <c r="K59" s="835" t="s">
        <v>1294</v>
      </c>
      <c r="L59" s="835" t="s">
        <v>1294</v>
      </c>
      <c r="M59" s="835" t="s">
        <v>1294</v>
      </c>
      <c r="N59" s="835" t="s">
        <v>1294</v>
      </c>
      <c r="O59" s="835" t="s">
        <v>1294</v>
      </c>
      <c r="P59" s="835" t="s">
        <v>1294</v>
      </c>
      <c r="Q59" s="835" t="s">
        <v>1294</v>
      </c>
      <c r="R59" s="835" t="s">
        <v>1294</v>
      </c>
      <c r="S59" s="835" t="s">
        <v>1294</v>
      </c>
      <c r="T59" s="835" t="s">
        <v>1294</v>
      </c>
      <c r="U59" s="835" t="s">
        <v>1294</v>
      </c>
      <c r="V59" s="835" t="s">
        <v>1294</v>
      </c>
      <c r="W59" s="835" t="s">
        <v>1294</v>
      </c>
      <c r="X59" s="835" t="s">
        <v>1294</v>
      </c>
      <c r="Y59" s="835" t="s">
        <v>1294</v>
      </c>
      <c r="Z59" s="835" t="s">
        <v>1294</v>
      </c>
      <c r="AA59" s="836" t="s">
        <v>1294</v>
      </c>
      <c r="AB59" s="851" t="s">
        <v>1294</v>
      </c>
    </row>
    <row r="60" spans="1:28" s="345" customFormat="1" ht="13.5" thickBot="1">
      <c r="E60" s="1588" t="s">
        <v>1284</v>
      </c>
      <c r="F60" s="1589"/>
      <c r="G60" s="1589"/>
      <c r="H60" s="831" t="s">
        <v>1294</v>
      </c>
      <c r="I60" s="832" t="s">
        <v>1294</v>
      </c>
      <c r="J60" s="832" t="s">
        <v>1294</v>
      </c>
      <c r="K60" s="832" t="s">
        <v>1294</v>
      </c>
      <c r="L60" s="832" t="s">
        <v>1294</v>
      </c>
      <c r="M60" s="832" t="s">
        <v>1294</v>
      </c>
      <c r="N60" s="832" t="s">
        <v>1294</v>
      </c>
      <c r="O60" s="832" t="s">
        <v>1294</v>
      </c>
      <c r="P60" s="832" t="s">
        <v>1294</v>
      </c>
      <c r="Q60" s="832" t="s">
        <v>1294</v>
      </c>
      <c r="R60" s="832" t="s">
        <v>1294</v>
      </c>
      <c r="S60" s="832" t="s">
        <v>1294</v>
      </c>
      <c r="T60" s="832" t="s">
        <v>1294</v>
      </c>
      <c r="U60" s="832" t="s">
        <v>1294</v>
      </c>
      <c r="V60" s="832" t="s">
        <v>1294</v>
      </c>
      <c r="W60" s="832" t="s">
        <v>1294</v>
      </c>
      <c r="X60" s="832" t="s">
        <v>1294</v>
      </c>
      <c r="Y60" s="832" t="s">
        <v>1294</v>
      </c>
      <c r="Z60" s="832" t="s">
        <v>1294</v>
      </c>
      <c r="AA60" s="833" t="s">
        <v>1294</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99" t="s">
        <v>1295</v>
      </c>
      <c r="I65" s="1600"/>
      <c r="J65" s="1600"/>
      <c r="K65" s="1600"/>
      <c r="L65" s="1600"/>
      <c r="M65" s="1600"/>
      <c r="N65" s="1600"/>
      <c r="O65" s="1600"/>
      <c r="P65" s="1600"/>
      <c r="Q65" s="1600"/>
      <c r="R65" s="1600"/>
      <c r="S65" s="1600"/>
      <c r="T65" s="1600"/>
      <c r="U65" s="1600"/>
      <c r="V65" s="1600"/>
      <c r="W65" s="1600"/>
      <c r="X65" s="1600"/>
      <c r="Y65" s="1600"/>
      <c r="Z65" s="1600"/>
      <c r="AA65" s="1601"/>
    </row>
    <row r="66" spans="5:27" s="345" customFormat="1" ht="13.5" thickBot="1">
      <c r="F66" s="854"/>
      <c r="G66" s="855"/>
      <c r="H66" s="1602"/>
      <c r="I66" s="1603"/>
      <c r="J66" s="1603"/>
      <c r="K66" s="1603"/>
      <c r="L66" s="1603"/>
      <c r="M66" s="1603"/>
      <c r="N66" s="1603"/>
      <c r="O66" s="1603"/>
      <c r="P66" s="1603"/>
      <c r="Q66" s="1603"/>
      <c r="R66" s="1603"/>
      <c r="S66" s="1603"/>
      <c r="T66" s="1603"/>
      <c r="U66" s="1603"/>
      <c r="V66" s="1603"/>
      <c r="W66" s="1603"/>
      <c r="X66" s="1603"/>
      <c r="Y66" s="1603"/>
      <c r="Z66" s="1603"/>
      <c r="AA66" s="1604"/>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t="s">
        <v>1294</v>
      </c>
      <c r="I68" s="860" t="s">
        <v>1294</v>
      </c>
      <c r="J68" s="860" t="s">
        <v>1294</v>
      </c>
      <c r="K68" s="860" t="s">
        <v>1294</v>
      </c>
      <c r="L68" s="860" t="s">
        <v>1294</v>
      </c>
      <c r="M68" s="860" t="s">
        <v>1294</v>
      </c>
      <c r="N68" s="860" t="s">
        <v>1294</v>
      </c>
      <c r="O68" s="860" t="s">
        <v>1294</v>
      </c>
      <c r="P68" s="860" t="s">
        <v>1294</v>
      </c>
      <c r="Q68" s="860" t="s">
        <v>1294</v>
      </c>
      <c r="R68" s="860" t="s">
        <v>1294</v>
      </c>
      <c r="S68" s="860" t="s">
        <v>1294</v>
      </c>
      <c r="T68" s="860" t="s">
        <v>1294</v>
      </c>
      <c r="U68" s="860" t="s">
        <v>1294</v>
      </c>
      <c r="V68" s="860" t="s">
        <v>1294</v>
      </c>
      <c r="W68" s="860" t="s">
        <v>1294</v>
      </c>
      <c r="X68" s="860" t="s">
        <v>1294</v>
      </c>
      <c r="Y68" s="860" t="s">
        <v>1294</v>
      </c>
      <c r="Z68" s="860" t="s">
        <v>1294</v>
      </c>
      <c r="AA68" s="861" t="s">
        <v>1294</v>
      </c>
    </row>
    <row r="69" spans="5:27" s="345" customFormat="1" ht="13.5" thickBot="1">
      <c r="F69" s="854"/>
      <c r="G69" s="855"/>
      <c r="H69" s="859" t="s">
        <v>1294</v>
      </c>
      <c r="I69" s="860" t="s">
        <v>1294</v>
      </c>
      <c r="J69" s="860" t="s">
        <v>1294</v>
      </c>
      <c r="K69" s="860" t="s">
        <v>1294</v>
      </c>
      <c r="L69" s="860" t="s">
        <v>1294</v>
      </c>
      <c r="M69" s="860" t="s">
        <v>1294</v>
      </c>
      <c r="N69" s="860" t="s">
        <v>1294</v>
      </c>
      <c r="O69" s="860" t="s">
        <v>1294</v>
      </c>
      <c r="P69" s="860" t="s">
        <v>1294</v>
      </c>
      <c r="Q69" s="860" t="s">
        <v>1294</v>
      </c>
      <c r="R69" s="860" t="s">
        <v>1294</v>
      </c>
      <c r="S69" s="860" t="s">
        <v>1294</v>
      </c>
      <c r="T69" s="860" t="s">
        <v>1294</v>
      </c>
      <c r="U69" s="860" t="s">
        <v>1294</v>
      </c>
      <c r="V69" s="860" t="s">
        <v>1294</v>
      </c>
      <c r="W69" s="860" t="s">
        <v>1294</v>
      </c>
      <c r="X69" s="860" t="s">
        <v>1294</v>
      </c>
      <c r="Y69" s="860" t="s">
        <v>1294</v>
      </c>
      <c r="Z69" s="860" t="s">
        <v>1294</v>
      </c>
      <c r="AA69" s="861" t="s">
        <v>1294</v>
      </c>
    </row>
    <row r="70" spans="5:27" s="345" customFormat="1" ht="13.5" thickBot="1">
      <c r="E70" s="1605" t="s">
        <v>1281</v>
      </c>
      <c r="F70" s="1606"/>
      <c r="G70" s="1606"/>
      <c r="H70" s="862" t="s">
        <v>1294</v>
      </c>
      <c r="I70" s="863" t="s">
        <v>1294</v>
      </c>
      <c r="J70" s="863" t="s">
        <v>1294</v>
      </c>
      <c r="K70" s="863" t="s">
        <v>1294</v>
      </c>
      <c r="L70" s="863" t="s">
        <v>1294</v>
      </c>
      <c r="M70" s="863" t="s">
        <v>1294</v>
      </c>
      <c r="N70" s="863" t="s">
        <v>1294</v>
      </c>
      <c r="O70" s="863" t="s">
        <v>1294</v>
      </c>
      <c r="P70" s="863" t="s">
        <v>1294</v>
      </c>
      <c r="Q70" s="863" t="s">
        <v>1294</v>
      </c>
      <c r="R70" s="863" t="s">
        <v>1294</v>
      </c>
      <c r="S70" s="863" t="s">
        <v>1294</v>
      </c>
      <c r="T70" s="863" t="s">
        <v>1294</v>
      </c>
      <c r="U70" s="863" t="s">
        <v>1294</v>
      </c>
      <c r="V70" s="863" t="s">
        <v>1294</v>
      </c>
      <c r="W70" s="863" t="s">
        <v>1294</v>
      </c>
      <c r="X70" s="863" t="s">
        <v>1294</v>
      </c>
      <c r="Y70" s="863" t="s">
        <v>1294</v>
      </c>
      <c r="Z70" s="863" t="s">
        <v>1294</v>
      </c>
      <c r="AA70" s="864" t="s">
        <v>1294</v>
      </c>
    </row>
    <row r="71" spans="5:27" s="345" customFormat="1">
      <c r="E71" s="1574" t="s">
        <v>1283</v>
      </c>
      <c r="F71" s="1593"/>
      <c r="G71" s="1575"/>
      <c r="H71" s="865" t="s">
        <v>1294</v>
      </c>
      <c r="I71" s="866" t="s">
        <v>1294</v>
      </c>
      <c r="J71" s="866" t="s">
        <v>1294</v>
      </c>
      <c r="K71" s="866" t="s">
        <v>1294</v>
      </c>
      <c r="L71" s="866" t="s">
        <v>1294</v>
      </c>
      <c r="M71" s="866" t="s">
        <v>1294</v>
      </c>
      <c r="N71" s="866" t="s">
        <v>1294</v>
      </c>
      <c r="O71" s="866" t="s">
        <v>1294</v>
      </c>
      <c r="P71" s="866" t="s">
        <v>1294</v>
      </c>
      <c r="Q71" s="866" t="s">
        <v>1294</v>
      </c>
      <c r="R71" s="866" t="s">
        <v>1294</v>
      </c>
      <c r="S71" s="866" t="s">
        <v>1294</v>
      </c>
      <c r="T71" s="866" t="s">
        <v>1294</v>
      </c>
      <c r="U71" s="866" t="s">
        <v>1294</v>
      </c>
      <c r="V71" s="866" t="s">
        <v>1294</v>
      </c>
      <c r="W71" s="866" t="s">
        <v>1294</v>
      </c>
      <c r="X71" s="866" t="s">
        <v>1294</v>
      </c>
      <c r="Y71" s="866" t="s">
        <v>1294</v>
      </c>
      <c r="Z71" s="866" t="s">
        <v>1294</v>
      </c>
      <c r="AA71" s="867" t="s">
        <v>1294</v>
      </c>
    </row>
    <row r="72" spans="5:27" s="345" customFormat="1" ht="13.5" thickBot="1">
      <c r="E72" s="1576" t="s">
        <v>1284</v>
      </c>
      <c r="F72" s="1594"/>
      <c r="G72" s="1577"/>
      <c r="H72" s="868" t="s">
        <v>1294</v>
      </c>
      <c r="I72" s="869" t="s">
        <v>1294</v>
      </c>
      <c r="J72" s="869" t="s">
        <v>1294</v>
      </c>
      <c r="K72" s="869" t="s">
        <v>1294</v>
      </c>
      <c r="L72" s="869" t="s">
        <v>1294</v>
      </c>
      <c r="M72" s="869" t="s">
        <v>1294</v>
      </c>
      <c r="N72" s="869" t="s">
        <v>1294</v>
      </c>
      <c r="O72" s="869" t="s">
        <v>1294</v>
      </c>
      <c r="P72" s="869" t="s">
        <v>1294</v>
      </c>
      <c r="Q72" s="869" t="s">
        <v>1294</v>
      </c>
      <c r="R72" s="869" t="s">
        <v>1294</v>
      </c>
      <c r="S72" s="869" t="s">
        <v>1294</v>
      </c>
      <c r="T72" s="869" t="s">
        <v>1294</v>
      </c>
      <c r="U72" s="869" t="s">
        <v>1294</v>
      </c>
      <c r="V72" s="869" t="s">
        <v>1294</v>
      </c>
      <c r="W72" s="869" t="s">
        <v>1294</v>
      </c>
      <c r="X72" s="869" t="s">
        <v>1294</v>
      </c>
      <c r="Y72" s="869" t="s">
        <v>1294</v>
      </c>
      <c r="Z72" s="869" t="s">
        <v>1294</v>
      </c>
      <c r="AA72" s="870" t="s">
        <v>1294</v>
      </c>
    </row>
    <row r="73" spans="5:27" s="345" customFormat="1">
      <c r="F73" s="854"/>
      <c r="H73" s="871" t="s">
        <v>1294</v>
      </c>
      <c r="I73" s="872" t="s">
        <v>1294</v>
      </c>
      <c r="J73" s="872" t="s">
        <v>1294</v>
      </c>
      <c r="K73" s="872" t="s">
        <v>1294</v>
      </c>
      <c r="L73" s="872" t="s">
        <v>1294</v>
      </c>
      <c r="M73" s="872" t="s">
        <v>1294</v>
      </c>
      <c r="N73" s="872" t="s">
        <v>1294</v>
      </c>
      <c r="O73" s="872" t="s">
        <v>1294</v>
      </c>
      <c r="P73" s="872" t="s">
        <v>1294</v>
      </c>
      <c r="Q73" s="872" t="s">
        <v>1294</v>
      </c>
      <c r="R73" s="872" t="s">
        <v>1294</v>
      </c>
      <c r="S73" s="872" t="s">
        <v>1294</v>
      </c>
      <c r="T73" s="872" t="s">
        <v>1294</v>
      </c>
      <c r="U73" s="872" t="s">
        <v>1294</v>
      </c>
      <c r="V73" s="872" t="s">
        <v>1294</v>
      </c>
      <c r="W73" s="872" t="s">
        <v>1294</v>
      </c>
      <c r="X73" s="872" t="s">
        <v>1294</v>
      </c>
      <c r="Y73" s="872" t="s">
        <v>1294</v>
      </c>
      <c r="Z73" s="872" t="s">
        <v>1294</v>
      </c>
      <c r="AA73" s="873" t="s">
        <v>1294</v>
      </c>
    </row>
    <row r="74" spans="5:27" s="345" customFormat="1" ht="13.5" thickBot="1">
      <c r="F74" s="854"/>
      <c r="H74" s="874" t="s">
        <v>1294</v>
      </c>
      <c r="I74" s="875" t="s">
        <v>1294</v>
      </c>
      <c r="J74" s="875" t="s">
        <v>1294</v>
      </c>
      <c r="K74" s="875" t="s">
        <v>1294</v>
      </c>
      <c r="L74" s="875" t="s">
        <v>1294</v>
      </c>
      <c r="M74" s="875" t="s">
        <v>1294</v>
      </c>
      <c r="N74" s="875" t="s">
        <v>1294</v>
      </c>
      <c r="O74" s="875" t="s">
        <v>1294</v>
      </c>
      <c r="P74" s="875" t="s">
        <v>1294</v>
      </c>
      <c r="Q74" s="875" t="s">
        <v>1294</v>
      </c>
      <c r="R74" s="875" t="s">
        <v>1294</v>
      </c>
      <c r="S74" s="875" t="s">
        <v>1294</v>
      </c>
      <c r="T74" s="875" t="s">
        <v>1294</v>
      </c>
      <c r="U74" s="875" t="s">
        <v>1294</v>
      </c>
      <c r="V74" s="875" t="s">
        <v>1294</v>
      </c>
      <c r="W74" s="875" t="s">
        <v>1294</v>
      </c>
      <c r="X74" s="875" t="s">
        <v>1294</v>
      </c>
      <c r="Y74" s="875" t="s">
        <v>1294</v>
      </c>
      <c r="Z74" s="875" t="s">
        <v>1294</v>
      </c>
      <c r="AA74" s="876" t="s">
        <v>1294</v>
      </c>
    </row>
    <row r="75" spans="5:27" s="345" customFormat="1" ht="13.5" thickBot="1">
      <c r="E75" s="1605" t="s">
        <v>1281</v>
      </c>
      <c r="F75" s="1606"/>
      <c r="G75" s="1607"/>
      <c r="H75" s="877" t="s">
        <v>1294</v>
      </c>
      <c r="I75" s="878" t="s">
        <v>1294</v>
      </c>
      <c r="J75" s="878" t="s">
        <v>1294</v>
      </c>
      <c r="K75" s="878" t="s">
        <v>1294</v>
      </c>
      <c r="L75" s="878" t="s">
        <v>1294</v>
      </c>
      <c r="M75" s="878" t="s">
        <v>1294</v>
      </c>
      <c r="N75" s="878" t="s">
        <v>1294</v>
      </c>
      <c r="O75" s="878" t="s">
        <v>1294</v>
      </c>
      <c r="P75" s="878" t="s">
        <v>1294</v>
      </c>
      <c r="Q75" s="878" t="s">
        <v>1294</v>
      </c>
      <c r="R75" s="878" t="s">
        <v>1294</v>
      </c>
      <c r="S75" s="878" t="s">
        <v>1294</v>
      </c>
      <c r="T75" s="878" t="s">
        <v>1294</v>
      </c>
      <c r="U75" s="878" t="s">
        <v>1294</v>
      </c>
      <c r="V75" s="878" t="s">
        <v>1294</v>
      </c>
      <c r="W75" s="878" t="s">
        <v>1294</v>
      </c>
      <c r="X75" s="878" t="s">
        <v>1294</v>
      </c>
      <c r="Y75" s="878" t="s">
        <v>1294</v>
      </c>
      <c r="Z75" s="878" t="s">
        <v>1294</v>
      </c>
      <c r="AA75" s="879" t="s">
        <v>1294</v>
      </c>
    </row>
    <row r="76" spans="5:27" s="345" customFormat="1">
      <c r="E76" s="1574" t="s">
        <v>1283</v>
      </c>
      <c r="F76" s="1593"/>
      <c r="G76" s="1575"/>
      <c r="H76" s="880" t="s">
        <v>1294</v>
      </c>
      <c r="I76" s="881" t="s">
        <v>1294</v>
      </c>
      <c r="J76" s="881" t="s">
        <v>1294</v>
      </c>
      <c r="K76" s="881" t="s">
        <v>1294</v>
      </c>
      <c r="L76" s="881" t="s">
        <v>1294</v>
      </c>
      <c r="M76" s="881" t="s">
        <v>1294</v>
      </c>
      <c r="N76" s="881" t="s">
        <v>1294</v>
      </c>
      <c r="O76" s="881" t="s">
        <v>1294</v>
      </c>
      <c r="P76" s="881" t="s">
        <v>1294</v>
      </c>
      <c r="Q76" s="881" t="s">
        <v>1294</v>
      </c>
      <c r="R76" s="881" t="s">
        <v>1294</v>
      </c>
      <c r="S76" s="881" t="s">
        <v>1294</v>
      </c>
      <c r="T76" s="881" t="s">
        <v>1294</v>
      </c>
      <c r="U76" s="881" t="s">
        <v>1294</v>
      </c>
      <c r="V76" s="881" t="s">
        <v>1294</v>
      </c>
      <c r="W76" s="881" t="s">
        <v>1294</v>
      </c>
      <c r="X76" s="881" t="s">
        <v>1294</v>
      </c>
      <c r="Y76" s="881" t="s">
        <v>1294</v>
      </c>
      <c r="Z76" s="881" t="s">
        <v>1294</v>
      </c>
      <c r="AA76" s="882" t="s">
        <v>1294</v>
      </c>
    </row>
    <row r="77" spans="5:27" s="345" customFormat="1" ht="13.5" thickBot="1">
      <c r="E77" s="1576" t="s">
        <v>1284</v>
      </c>
      <c r="F77" s="1594"/>
      <c r="G77" s="1577"/>
      <c r="H77" s="883" t="s">
        <v>1294</v>
      </c>
      <c r="I77" s="884" t="s">
        <v>1294</v>
      </c>
      <c r="J77" s="884" t="s">
        <v>1294</v>
      </c>
      <c r="K77" s="884" t="s">
        <v>1294</v>
      </c>
      <c r="L77" s="884" t="s">
        <v>1294</v>
      </c>
      <c r="M77" s="884" t="s">
        <v>1294</v>
      </c>
      <c r="N77" s="884" t="s">
        <v>1294</v>
      </c>
      <c r="O77" s="884" t="s">
        <v>1294</v>
      </c>
      <c r="P77" s="884" t="s">
        <v>1294</v>
      </c>
      <c r="Q77" s="884" t="s">
        <v>1294</v>
      </c>
      <c r="R77" s="884" t="s">
        <v>1294</v>
      </c>
      <c r="S77" s="884" t="s">
        <v>1294</v>
      </c>
      <c r="T77" s="884" t="s">
        <v>1294</v>
      </c>
      <c r="U77" s="884" t="s">
        <v>1294</v>
      </c>
      <c r="V77" s="884" t="s">
        <v>1294</v>
      </c>
      <c r="W77" s="884" t="s">
        <v>1294</v>
      </c>
      <c r="X77" s="884" t="s">
        <v>1294</v>
      </c>
      <c r="Y77" s="884" t="s">
        <v>1294</v>
      </c>
      <c r="Z77" s="884" t="s">
        <v>1294</v>
      </c>
      <c r="AA77" s="885" t="s">
        <v>1294</v>
      </c>
    </row>
    <row r="78" spans="5:27" s="345" customFormat="1">
      <c r="F78" s="854"/>
      <c r="H78" s="886" t="s">
        <v>1294</v>
      </c>
      <c r="I78" s="887" t="s">
        <v>1294</v>
      </c>
      <c r="J78" s="887" t="s">
        <v>1294</v>
      </c>
      <c r="K78" s="887" t="s">
        <v>1294</v>
      </c>
      <c r="L78" s="887" t="s">
        <v>1294</v>
      </c>
      <c r="M78" s="887" t="s">
        <v>1294</v>
      </c>
      <c r="N78" s="887" t="s">
        <v>1294</v>
      </c>
      <c r="O78" s="887" t="s">
        <v>1294</v>
      </c>
      <c r="P78" s="887" t="s">
        <v>1294</v>
      </c>
      <c r="Q78" s="887" t="s">
        <v>1294</v>
      </c>
      <c r="R78" s="887" t="s">
        <v>1294</v>
      </c>
      <c r="S78" s="887" t="s">
        <v>1294</v>
      </c>
      <c r="T78" s="887" t="s">
        <v>1294</v>
      </c>
      <c r="U78" s="887" t="s">
        <v>1294</v>
      </c>
      <c r="V78" s="887" t="s">
        <v>1294</v>
      </c>
      <c r="W78" s="887" t="s">
        <v>1294</v>
      </c>
      <c r="X78" s="887" t="s">
        <v>1294</v>
      </c>
      <c r="Y78" s="887" t="s">
        <v>1294</v>
      </c>
      <c r="Z78" s="887" t="s">
        <v>1294</v>
      </c>
      <c r="AA78" s="888" t="s">
        <v>1294</v>
      </c>
    </row>
    <row r="79" spans="5:27" s="345" customFormat="1" ht="13.5" thickBot="1">
      <c r="F79" s="854"/>
      <c r="H79" s="859" t="s">
        <v>1294</v>
      </c>
      <c r="I79" s="860" t="s">
        <v>1294</v>
      </c>
      <c r="J79" s="860" t="s">
        <v>1294</v>
      </c>
      <c r="K79" s="860" t="s">
        <v>1294</v>
      </c>
      <c r="L79" s="860" t="s">
        <v>1294</v>
      </c>
      <c r="M79" s="860" t="s">
        <v>1294</v>
      </c>
      <c r="N79" s="860" t="s">
        <v>1294</v>
      </c>
      <c r="O79" s="860" t="s">
        <v>1294</v>
      </c>
      <c r="P79" s="860" t="s">
        <v>1294</v>
      </c>
      <c r="Q79" s="860" t="s">
        <v>1294</v>
      </c>
      <c r="R79" s="860" t="s">
        <v>1294</v>
      </c>
      <c r="S79" s="860" t="s">
        <v>1294</v>
      </c>
      <c r="T79" s="860" t="s">
        <v>1294</v>
      </c>
      <c r="U79" s="860" t="s">
        <v>1294</v>
      </c>
      <c r="V79" s="860" t="s">
        <v>1294</v>
      </c>
      <c r="W79" s="860" t="s">
        <v>1294</v>
      </c>
      <c r="X79" s="860" t="s">
        <v>1294</v>
      </c>
      <c r="Y79" s="860" t="s">
        <v>1294</v>
      </c>
      <c r="Z79" s="860" t="s">
        <v>1294</v>
      </c>
      <c r="AA79" s="861" t="s">
        <v>1294</v>
      </c>
    </row>
    <row r="80" spans="5:27" s="345" customFormat="1" ht="13.5" thickBot="1">
      <c r="E80" s="1605" t="s">
        <v>1281</v>
      </c>
      <c r="F80" s="1606"/>
      <c r="G80" s="1607"/>
      <c r="H80" s="862" t="s">
        <v>1294</v>
      </c>
      <c r="I80" s="863" t="s">
        <v>1294</v>
      </c>
      <c r="J80" s="863" t="s">
        <v>1294</v>
      </c>
      <c r="K80" s="863" t="s">
        <v>1294</v>
      </c>
      <c r="L80" s="863" t="s">
        <v>1294</v>
      </c>
      <c r="M80" s="863" t="s">
        <v>1294</v>
      </c>
      <c r="N80" s="863" t="s">
        <v>1294</v>
      </c>
      <c r="O80" s="863" t="s">
        <v>1294</v>
      </c>
      <c r="P80" s="863" t="s">
        <v>1294</v>
      </c>
      <c r="Q80" s="863" t="s">
        <v>1294</v>
      </c>
      <c r="R80" s="863" t="s">
        <v>1294</v>
      </c>
      <c r="S80" s="863" t="s">
        <v>1294</v>
      </c>
      <c r="T80" s="863" t="s">
        <v>1294</v>
      </c>
      <c r="U80" s="863" t="s">
        <v>1294</v>
      </c>
      <c r="V80" s="863" t="s">
        <v>1294</v>
      </c>
      <c r="W80" s="863" t="s">
        <v>1294</v>
      </c>
      <c r="X80" s="863" t="s">
        <v>1294</v>
      </c>
      <c r="Y80" s="863" t="s">
        <v>1294</v>
      </c>
      <c r="Z80" s="863" t="s">
        <v>1294</v>
      </c>
      <c r="AA80" s="864" t="s">
        <v>1294</v>
      </c>
    </row>
    <row r="81" spans="2:28" s="345" customFormat="1">
      <c r="E81" s="1574" t="s">
        <v>1283</v>
      </c>
      <c r="F81" s="1593"/>
      <c r="G81" s="1575"/>
      <c r="H81" s="865" t="s">
        <v>1294</v>
      </c>
      <c r="I81" s="866" t="s">
        <v>1294</v>
      </c>
      <c r="J81" s="866" t="s">
        <v>1294</v>
      </c>
      <c r="K81" s="866" t="s">
        <v>1294</v>
      </c>
      <c r="L81" s="866" t="s">
        <v>1294</v>
      </c>
      <c r="M81" s="866" t="s">
        <v>1294</v>
      </c>
      <c r="N81" s="866" t="s">
        <v>1294</v>
      </c>
      <c r="O81" s="866" t="s">
        <v>1294</v>
      </c>
      <c r="P81" s="866" t="s">
        <v>1294</v>
      </c>
      <c r="Q81" s="866" t="s">
        <v>1294</v>
      </c>
      <c r="R81" s="866" t="s">
        <v>1294</v>
      </c>
      <c r="S81" s="866" t="s">
        <v>1294</v>
      </c>
      <c r="T81" s="866" t="s">
        <v>1294</v>
      </c>
      <c r="U81" s="866" t="s">
        <v>1294</v>
      </c>
      <c r="V81" s="866" t="s">
        <v>1294</v>
      </c>
      <c r="W81" s="866" t="s">
        <v>1294</v>
      </c>
      <c r="X81" s="866" t="s">
        <v>1294</v>
      </c>
      <c r="Y81" s="866" t="s">
        <v>1294</v>
      </c>
      <c r="Z81" s="866" t="s">
        <v>1294</v>
      </c>
      <c r="AA81" s="867" t="s">
        <v>1294</v>
      </c>
    </row>
    <row r="82" spans="2:28" s="345" customFormat="1" ht="13.5" thickBot="1">
      <c r="E82" s="1576" t="s">
        <v>1284</v>
      </c>
      <c r="F82" s="1594"/>
      <c r="G82" s="1577"/>
      <c r="H82" s="868" t="s">
        <v>1294</v>
      </c>
      <c r="I82" s="869" t="s">
        <v>1294</v>
      </c>
      <c r="J82" s="869" t="s">
        <v>1294</v>
      </c>
      <c r="K82" s="869" t="s">
        <v>1294</v>
      </c>
      <c r="L82" s="869" t="s">
        <v>1294</v>
      </c>
      <c r="M82" s="869" t="s">
        <v>1294</v>
      </c>
      <c r="N82" s="869" t="s">
        <v>1294</v>
      </c>
      <c r="O82" s="869" t="s">
        <v>1294</v>
      </c>
      <c r="P82" s="869" t="s">
        <v>1294</v>
      </c>
      <c r="Q82" s="869" t="s">
        <v>1294</v>
      </c>
      <c r="R82" s="869" t="s">
        <v>1294</v>
      </c>
      <c r="S82" s="869" t="s">
        <v>1294</v>
      </c>
      <c r="T82" s="869" t="s">
        <v>1294</v>
      </c>
      <c r="U82" s="869" t="s">
        <v>1294</v>
      </c>
      <c r="V82" s="869" t="s">
        <v>1294</v>
      </c>
      <c r="W82" s="869" t="s">
        <v>1294</v>
      </c>
      <c r="X82" s="869" t="s">
        <v>1294</v>
      </c>
      <c r="Y82" s="869" t="s">
        <v>1294</v>
      </c>
      <c r="Z82" s="869" t="s">
        <v>1294</v>
      </c>
      <c r="AA82" s="870" t="s">
        <v>1294</v>
      </c>
    </row>
    <row r="83" spans="2:28" s="345" customFormat="1">
      <c r="F83" s="889"/>
      <c r="H83" s="871" t="s">
        <v>1294</v>
      </c>
      <c r="I83" s="872" t="s">
        <v>1294</v>
      </c>
      <c r="J83" s="872" t="s">
        <v>1294</v>
      </c>
      <c r="K83" s="872" t="s">
        <v>1294</v>
      </c>
      <c r="L83" s="872" t="s">
        <v>1294</v>
      </c>
      <c r="M83" s="872" t="s">
        <v>1294</v>
      </c>
      <c r="N83" s="872" t="s">
        <v>1294</v>
      </c>
      <c r="O83" s="872" t="s">
        <v>1294</v>
      </c>
      <c r="P83" s="872" t="s">
        <v>1294</v>
      </c>
      <c r="Q83" s="872" t="s">
        <v>1294</v>
      </c>
      <c r="R83" s="872" t="s">
        <v>1294</v>
      </c>
      <c r="S83" s="872" t="s">
        <v>1294</v>
      </c>
      <c r="T83" s="872" t="s">
        <v>1294</v>
      </c>
      <c r="U83" s="872" t="s">
        <v>1294</v>
      </c>
      <c r="V83" s="872" t="s">
        <v>1294</v>
      </c>
      <c r="W83" s="872" t="s">
        <v>1294</v>
      </c>
      <c r="X83" s="872" t="s">
        <v>1294</v>
      </c>
      <c r="Y83" s="872" t="s">
        <v>1294</v>
      </c>
      <c r="Z83" s="872" t="s">
        <v>1294</v>
      </c>
      <c r="AA83" s="873" t="s">
        <v>1294</v>
      </c>
    </row>
    <row r="84" spans="2:28" s="345" customFormat="1" ht="13.5" thickBot="1">
      <c r="F84" s="889"/>
      <c r="H84" s="874" t="s">
        <v>1294</v>
      </c>
      <c r="I84" s="875" t="s">
        <v>1294</v>
      </c>
      <c r="J84" s="875" t="s">
        <v>1294</v>
      </c>
      <c r="K84" s="875" t="s">
        <v>1294</v>
      </c>
      <c r="L84" s="875" t="s">
        <v>1294</v>
      </c>
      <c r="M84" s="875" t="s">
        <v>1294</v>
      </c>
      <c r="N84" s="875" t="s">
        <v>1294</v>
      </c>
      <c r="O84" s="875" t="s">
        <v>1294</v>
      </c>
      <c r="P84" s="875" t="s">
        <v>1294</v>
      </c>
      <c r="Q84" s="875" t="s">
        <v>1294</v>
      </c>
      <c r="R84" s="875" t="s">
        <v>1294</v>
      </c>
      <c r="S84" s="875" t="s">
        <v>1294</v>
      </c>
      <c r="T84" s="875" t="s">
        <v>1294</v>
      </c>
      <c r="U84" s="875" t="s">
        <v>1294</v>
      </c>
      <c r="V84" s="875" t="s">
        <v>1294</v>
      </c>
      <c r="W84" s="875" t="s">
        <v>1294</v>
      </c>
      <c r="X84" s="875" t="s">
        <v>1294</v>
      </c>
      <c r="Y84" s="875" t="s">
        <v>1294</v>
      </c>
      <c r="Z84" s="875" t="s">
        <v>1294</v>
      </c>
      <c r="AA84" s="876" t="s">
        <v>1294</v>
      </c>
    </row>
    <row r="85" spans="2:28" s="345" customFormat="1" ht="13.5" thickBot="1">
      <c r="E85" s="1605" t="s">
        <v>1281</v>
      </c>
      <c r="F85" s="1606"/>
      <c r="G85" s="1607"/>
      <c r="H85" s="877" t="s">
        <v>1294</v>
      </c>
      <c r="I85" s="878" t="s">
        <v>1294</v>
      </c>
      <c r="J85" s="878" t="s">
        <v>1294</v>
      </c>
      <c r="K85" s="878" t="s">
        <v>1294</v>
      </c>
      <c r="L85" s="878" t="s">
        <v>1294</v>
      </c>
      <c r="M85" s="878" t="s">
        <v>1294</v>
      </c>
      <c r="N85" s="878" t="s">
        <v>1294</v>
      </c>
      <c r="O85" s="878" t="s">
        <v>1294</v>
      </c>
      <c r="P85" s="878" t="s">
        <v>1294</v>
      </c>
      <c r="Q85" s="878" t="s">
        <v>1294</v>
      </c>
      <c r="R85" s="878" t="s">
        <v>1294</v>
      </c>
      <c r="S85" s="878" t="s">
        <v>1294</v>
      </c>
      <c r="T85" s="878" t="s">
        <v>1294</v>
      </c>
      <c r="U85" s="878" t="s">
        <v>1294</v>
      </c>
      <c r="V85" s="878" t="s">
        <v>1294</v>
      </c>
      <c r="W85" s="878" t="s">
        <v>1294</v>
      </c>
      <c r="X85" s="878" t="s">
        <v>1294</v>
      </c>
      <c r="Y85" s="878" t="s">
        <v>1294</v>
      </c>
      <c r="Z85" s="878" t="s">
        <v>1294</v>
      </c>
      <c r="AA85" s="879" t="s">
        <v>1294</v>
      </c>
    </row>
    <row r="86" spans="2:28" s="345" customFormat="1">
      <c r="E86" s="1574" t="s">
        <v>1283</v>
      </c>
      <c r="F86" s="1593"/>
      <c r="G86" s="1575"/>
      <c r="H86" s="880" t="s">
        <v>1294</v>
      </c>
      <c r="I86" s="881" t="s">
        <v>1294</v>
      </c>
      <c r="J86" s="881" t="s">
        <v>1294</v>
      </c>
      <c r="K86" s="881" t="s">
        <v>1294</v>
      </c>
      <c r="L86" s="881" t="s">
        <v>1294</v>
      </c>
      <c r="M86" s="881" t="s">
        <v>1294</v>
      </c>
      <c r="N86" s="881" t="s">
        <v>1294</v>
      </c>
      <c r="O86" s="881" t="s">
        <v>1294</v>
      </c>
      <c r="P86" s="881" t="s">
        <v>1294</v>
      </c>
      <c r="Q86" s="881" t="s">
        <v>1294</v>
      </c>
      <c r="R86" s="881" t="s">
        <v>1294</v>
      </c>
      <c r="S86" s="881" t="s">
        <v>1294</v>
      </c>
      <c r="T86" s="881" t="s">
        <v>1294</v>
      </c>
      <c r="U86" s="881" t="s">
        <v>1294</v>
      </c>
      <c r="V86" s="881" t="s">
        <v>1294</v>
      </c>
      <c r="W86" s="881" t="s">
        <v>1294</v>
      </c>
      <c r="X86" s="881" t="s">
        <v>1294</v>
      </c>
      <c r="Y86" s="881" t="s">
        <v>1294</v>
      </c>
      <c r="Z86" s="881" t="s">
        <v>1294</v>
      </c>
      <c r="AA86" s="882" t="s">
        <v>1294</v>
      </c>
      <c r="AB86" s="851">
        <v>1</v>
      </c>
    </row>
    <row r="87" spans="2:28" s="345" customFormat="1" ht="13.5" thickBot="1">
      <c r="E87" s="1576" t="s">
        <v>1284</v>
      </c>
      <c r="F87" s="1594"/>
      <c r="G87" s="1577"/>
      <c r="H87" s="883" t="s">
        <v>1294</v>
      </c>
      <c r="I87" s="884" t="s">
        <v>1294</v>
      </c>
      <c r="J87" s="884" t="s">
        <v>1294</v>
      </c>
      <c r="K87" s="884" t="s">
        <v>1294</v>
      </c>
      <c r="L87" s="884" t="s">
        <v>1294</v>
      </c>
      <c r="M87" s="884" t="s">
        <v>1294</v>
      </c>
      <c r="N87" s="884" t="s">
        <v>1294</v>
      </c>
      <c r="O87" s="884" t="s">
        <v>1294</v>
      </c>
      <c r="P87" s="884" t="s">
        <v>1294</v>
      </c>
      <c r="Q87" s="884" t="s">
        <v>1294</v>
      </c>
      <c r="R87" s="884" t="s">
        <v>1294</v>
      </c>
      <c r="S87" s="884" t="s">
        <v>1294</v>
      </c>
      <c r="T87" s="884" t="s">
        <v>1294</v>
      </c>
      <c r="U87" s="884" t="s">
        <v>1294</v>
      </c>
      <c r="V87" s="884" t="s">
        <v>1294</v>
      </c>
      <c r="W87" s="884" t="s">
        <v>1294</v>
      </c>
      <c r="X87" s="884" t="s">
        <v>1294</v>
      </c>
      <c r="Y87" s="884" t="s">
        <v>1294</v>
      </c>
      <c r="Z87" s="884" t="s">
        <v>1294</v>
      </c>
      <c r="AA87" s="885" t="s">
        <v>1294</v>
      </c>
    </row>
    <row r="88" spans="2:28" s="345" customFormat="1">
      <c r="F88" s="889"/>
      <c r="R88" s="694"/>
    </row>
    <row r="89" spans="2:28" s="345" customFormat="1">
      <c r="F89" s="889"/>
      <c r="R89" s="694"/>
    </row>
    <row r="90" spans="2:28" s="345" customFormat="1">
      <c r="B90" s="963"/>
      <c r="C90" s="809"/>
      <c r="D90" s="809"/>
      <c r="R90" s="694"/>
    </row>
    <row r="91" spans="2:28" s="345" customFormat="1">
      <c r="B91" s="963"/>
      <c r="C91" s="809"/>
      <c r="D91" s="809"/>
      <c r="Q91" s="694"/>
    </row>
    <row r="92" spans="2:28" s="345" customFormat="1">
      <c r="B92" s="963"/>
      <c r="C92" s="809"/>
      <c r="D92" s="809"/>
      <c r="R92" s="694"/>
    </row>
    <row r="93" spans="2:28" s="345" customFormat="1">
      <c r="B93" s="963"/>
      <c r="C93" s="809"/>
      <c r="D93" s="809"/>
      <c r="R93" s="694"/>
    </row>
    <row r="94" spans="2:28" s="345" customFormat="1">
      <c r="B94" s="963"/>
      <c r="C94" s="809"/>
      <c r="D94" s="809"/>
    </row>
    <row r="95" spans="2:28" s="345" customFormat="1">
      <c r="B95" s="963"/>
      <c r="C95" s="809"/>
      <c r="D95" s="809"/>
    </row>
    <row r="96" spans="2:28" s="345" customFormat="1">
      <c r="B96" s="963"/>
      <c r="C96" s="809"/>
      <c r="D96" s="809"/>
      <c r="R96" s="694"/>
    </row>
    <row r="97" spans="2:18" s="345" customFormat="1">
      <c r="B97" s="963"/>
      <c r="C97" s="809"/>
      <c r="D97" s="809"/>
      <c r="R97" s="694"/>
    </row>
    <row r="98" spans="2:18" s="345" customFormat="1">
      <c r="B98" s="963"/>
      <c r="C98" s="809"/>
      <c r="D98" s="809"/>
      <c r="R98" s="694"/>
    </row>
    <row r="99" spans="2:18" s="345" customFormat="1">
      <c r="B99" s="963"/>
      <c r="C99" s="809"/>
      <c r="D99" s="809"/>
      <c r="R99" s="694"/>
    </row>
    <row r="100" spans="2:18" s="345" customFormat="1">
      <c r="B100" s="963"/>
      <c r="C100" s="809"/>
      <c r="D100" s="809"/>
      <c r="R100" s="694"/>
    </row>
    <row r="101" spans="2:18" s="345" customFormat="1">
      <c r="B101" s="964"/>
      <c r="C101" s="965"/>
      <c r="D101" s="964"/>
      <c r="R101" s="694"/>
    </row>
    <row r="102" spans="2:18" s="345" customFormat="1">
      <c r="C102" s="694"/>
      <c r="R102" s="694"/>
    </row>
    <row r="103" spans="2:18" s="345" customFormat="1">
      <c r="C103" s="694"/>
      <c r="R103" s="694"/>
    </row>
    <row r="104" spans="2:18" s="345" customFormat="1">
      <c r="C104" s="694"/>
      <c r="R104" s="694"/>
    </row>
    <row r="105" spans="2:18" s="345" customFormat="1">
      <c r="C105" s="694"/>
      <c r="R105" s="694"/>
    </row>
    <row r="106" spans="2:18" s="345" customFormat="1">
      <c r="R106" s="694"/>
    </row>
    <row r="107" spans="2:18" s="345" customFormat="1">
      <c r="R107" s="694"/>
    </row>
    <row r="108" spans="2:18" s="345" customFormat="1">
      <c r="R108" s="694"/>
    </row>
    <row r="109" spans="2:18" s="345" customFormat="1">
      <c r="R109" s="694"/>
    </row>
    <row r="110" spans="2:18" s="345" customFormat="1">
      <c r="R110" s="694"/>
    </row>
    <row r="111" spans="2:18" s="345" customFormat="1">
      <c r="R111" s="694"/>
    </row>
    <row r="112" spans="2:18" s="345" customFormat="1">
      <c r="R112" s="694"/>
    </row>
    <row r="113" spans="18:18" s="345" customFormat="1">
      <c r="R113" s="694"/>
    </row>
    <row r="114" spans="18:18" s="345" customFormat="1">
      <c r="R114" s="694"/>
    </row>
    <row r="115" spans="18:18" s="345" customFormat="1">
      <c r="R115" s="694"/>
    </row>
    <row r="116" spans="18:18" s="345" customFormat="1">
      <c r="R116" s="694"/>
    </row>
    <row r="117" spans="18:18" s="345" customFormat="1">
      <c r="R117" s="694"/>
    </row>
    <row r="118" spans="18:18" s="345" customFormat="1">
      <c r="R118" s="694"/>
    </row>
    <row r="119" spans="18:18" s="345" customFormat="1">
      <c r="R119" s="694"/>
    </row>
    <row r="120" spans="18:18" s="345" customFormat="1">
      <c r="R120" s="694"/>
    </row>
    <row r="121" spans="18:18" s="345" customFormat="1">
      <c r="R121" s="694"/>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topLeftCell="A4" workbookViewId="0">
      <selection activeCell="T13" sqref="T13:T31"/>
    </sheetView>
  </sheetViews>
  <sheetFormatPr baseColWidth="10" defaultRowHeight="12.75"/>
  <sheetData>
    <row r="1" spans="1:27" s="345" customFormat="1" ht="18">
      <c r="B1" s="345">
        <f>0.001</f>
        <v>1E-3</v>
      </c>
      <c r="D1" s="1228" t="s">
        <v>1101</v>
      </c>
      <c r="E1" s="1228"/>
      <c r="L1" s="1249" t="str">
        <f>IF('Stipe=phyllotaxie&amp;croissance'!S9&gt;0,'Stipe=phyllotaxie&amp;croissance'!S9,"")</f>
        <v/>
      </c>
      <c r="M1" s="1249"/>
      <c r="N1" s="968"/>
      <c r="O1" s="968"/>
    </row>
    <row r="2" spans="1:27" s="345" customFormat="1" ht="18">
      <c r="D2" s="967"/>
      <c r="E2" s="967"/>
    </row>
    <row r="3" spans="1:27" s="345" customFormat="1" ht="15.75">
      <c r="D3" s="1323" t="s">
        <v>1102</v>
      </c>
      <c r="E3" s="1323"/>
      <c r="F3" s="1323"/>
      <c r="G3" s="1323"/>
      <c r="H3" s="1323"/>
      <c r="I3" s="969"/>
      <c r="J3" s="1322" t="str">
        <f>IF('Stipe=phyllotaxie&amp;croissance'!$E$11&gt;0,'Stipe=phyllotaxie&amp;croissance'!$E$11,"")</f>
        <v>Rochdi</v>
      </c>
      <c r="K3" s="1322"/>
      <c r="Q3" s="1323" t="s">
        <v>1103</v>
      </c>
      <c r="R3" s="1323"/>
      <c r="S3" s="1323"/>
      <c r="T3" s="1323"/>
      <c r="U3" s="1512" t="str">
        <f>IF('Stipe=phyllotaxie&amp;croissance'!$E$10&gt;0,'Stipe=phyllotaxie&amp;croissance'!$E$10,"")</f>
        <v>01</v>
      </c>
      <c r="V3" s="1512"/>
      <c r="W3" s="971"/>
    </row>
    <row r="4" spans="1:27" s="345" customFormat="1" ht="18">
      <c r="D4" s="967"/>
      <c r="E4" s="967"/>
    </row>
    <row r="5" spans="1:27" s="345" customFormat="1" ht="18">
      <c r="D5" s="446" t="s">
        <v>1228</v>
      </c>
      <c r="E5" s="446"/>
      <c r="F5" s="446"/>
      <c r="G5" s="446"/>
      <c r="H5" s="446"/>
      <c r="I5" s="446"/>
      <c r="J5" s="446"/>
      <c r="K5" s="446"/>
      <c r="L5" s="446"/>
      <c r="M5" s="446"/>
      <c r="N5" s="970"/>
      <c r="O5" s="970"/>
    </row>
    <row r="6" spans="1:27" s="345" customFormat="1" ht="13.5" thickBot="1"/>
    <row r="7" spans="1:27" s="345" customFormat="1" ht="15.75" thickBot="1">
      <c r="D7" s="1496" t="s">
        <v>1229</v>
      </c>
      <c r="E7" s="1497"/>
      <c r="F7" s="1497"/>
      <c r="G7" s="577">
        <f>IF('Folioles=disposition&amp;groupes'!$D$7&gt;0,'Folioles=disposition&amp;groupes'!$D$7,"")</f>
        <v>57</v>
      </c>
      <c r="R7" s="1498" t="s">
        <v>1229</v>
      </c>
      <c r="S7" s="1499"/>
      <c r="T7" s="1513"/>
      <c r="U7" s="577">
        <f>IF('Folioles=disposition&amp;groupes'!$P$7&gt;0,'Folioles=disposition&amp;groupes'!$P$7,"")</f>
        <v>83</v>
      </c>
    </row>
    <row r="8" spans="1:27" s="345" customFormat="1"/>
    <row r="9" spans="1:27" s="345" customFormat="1" ht="15">
      <c r="C9" s="582"/>
      <c r="D9" s="1514" t="s">
        <v>1296</v>
      </c>
      <c r="E9" s="1514"/>
      <c r="F9" s="1514"/>
      <c r="Q9" s="582"/>
      <c r="R9" s="1514" t="s">
        <v>1296</v>
      </c>
      <c r="S9" s="1514"/>
      <c r="T9" s="1514"/>
    </row>
    <row r="10" spans="1:27" s="345" customFormat="1" ht="13.5" thickBot="1"/>
    <row r="11" spans="1:27" s="345" customFormat="1" ht="15.75" thickBot="1">
      <c r="C11" s="1520" t="s">
        <v>1233</v>
      </c>
      <c r="D11" s="1520" t="s">
        <v>1237</v>
      </c>
      <c r="E11" s="1521"/>
      <c r="F11" s="1521"/>
      <c r="G11" s="1522"/>
      <c r="H11" s="1520" t="s">
        <v>1233</v>
      </c>
      <c r="I11" s="1520" t="s">
        <v>1238</v>
      </c>
      <c r="J11" s="1521"/>
      <c r="K11" s="1521"/>
      <c r="L11" s="1522"/>
      <c r="M11" s="583"/>
      <c r="O11" s="1520" t="s">
        <v>1233</v>
      </c>
      <c r="P11" s="1520" t="s">
        <v>1237</v>
      </c>
      <c r="Q11" s="1521"/>
      <c r="R11" s="1521"/>
      <c r="S11" s="1522"/>
      <c r="T11" s="1520" t="s">
        <v>1233</v>
      </c>
      <c r="U11" s="1520" t="s">
        <v>1238</v>
      </c>
      <c r="V11" s="1521"/>
      <c r="W11" s="1521"/>
      <c r="X11" s="1522"/>
    </row>
    <row r="12" spans="1:27" s="345" customFormat="1" ht="13.5" thickBot="1">
      <c r="C12" s="1523"/>
      <c r="D12" s="584" t="s">
        <v>1239</v>
      </c>
      <c r="E12" s="585" t="s">
        <v>1240</v>
      </c>
      <c r="F12" s="585" t="s">
        <v>1240</v>
      </c>
      <c r="G12" s="586" t="s">
        <v>1241</v>
      </c>
      <c r="H12" s="1523"/>
      <c r="I12" s="588" t="s">
        <v>1239</v>
      </c>
      <c r="J12" s="589" t="s">
        <v>1240</v>
      </c>
      <c r="K12" s="589" t="s">
        <v>1240</v>
      </c>
      <c r="L12" s="590" t="s">
        <v>1241</v>
      </c>
      <c r="M12" s="587"/>
      <c r="O12" s="1523"/>
      <c r="P12" s="584" t="s">
        <v>1239</v>
      </c>
      <c r="Q12" s="585" t="s">
        <v>1240</v>
      </c>
      <c r="R12" s="585" t="s">
        <v>1240</v>
      </c>
      <c r="S12" s="586" t="s">
        <v>1241</v>
      </c>
      <c r="T12" s="1523"/>
      <c r="U12" s="584" t="s">
        <v>1239</v>
      </c>
      <c r="V12" s="585" t="s">
        <v>1240</v>
      </c>
      <c r="W12" s="585" t="s">
        <v>1240</v>
      </c>
      <c r="X12" s="586" t="s">
        <v>1241</v>
      </c>
    </row>
    <row r="13" spans="1:27" s="345" customFormat="1">
      <c r="A13" s="345">
        <f>IF(COUNTIF(C13,"")+COUNTIF(H13,"")+COUNTIF(O13,"")+COUNTIF(T13,"")=4,"",AVERAGE(C13,H13,O13,T13))</f>
        <v>5.3605555861977985</v>
      </c>
      <c r="B13" s="595" t="s">
        <v>1243</v>
      </c>
      <c r="C13" s="775">
        <f>IF('Sections rachis &amp; L pennes'!Q13="","",'Sections rachis &amp; L pennes'!Q13)</f>
        <v>5.15970515970516</v>
      </c>
      <c r="D13" s="776" t="str">
        <f>IF('Ouvertures pennes'!H14="","",'Ouvertures pennes'!H14)</f>
        <v/>
      </c>
      <c r="E13" s="777" t="str">
        <f>IF('Ouvertures pennes'!I14="","",'Ouvertures pennes'!I14)</f>
        <v/>
      </c>
      <c r="F13" s="777" t="str">
        <f>IF('Ouvertures pennes'!J14="","",'Ouvertures pennes'!J14)</f>
        <v/>
      </c>
      <c r="G13" s="780">
        <f>IF('Ouvertures pennes'!K14="","",'Ouvertures pennes'!K14)</f>
        <v>0.10199999999999999</v>
      </c>
      <c r="H13" s="775">
        <f>IF('Sections rachis &amp; L pennes'!V13="","",'Sections rachis &amp; L pennes'!V13)</f>
        <v>5.4054054054054053</v>
      </c>
      <c r="I13" s="776" t="str">
        <f>IF('Ouvertures pennes'!R14="","",'Ouvertures pennes'!R14)</f>
        <v/>
      </c>
      <c r="J13" s="777" t="str">
        <f>IF('Ouvertures pennes'!S14="","",'Ouvertures pennes'!S14)</f>
        <v/>
      </c>
      <c r="K13" s="777" t="str">
        <f>IF('Ouvertures pennes'!T14="","",'Ouvertures pennes'!T14)</f>
        <v/>
      </c>
      <c r="L13" s="780">
        <f>IF('Ouvertures pennes'!U14="","",'Ouvertures pennes'!U14)</f>
        <v>0.13700000000000001</v>
      </c>
      <c r="M13" s="781">
        <f>IF(COUNTIF(D13:G13,"")+COUNTIF(I13:L13,"")=8,"",MAX(D13:G13,I13:L13))</f>
        <v>0.13700000000000001</v>
      </c>
      <c r="N13" s="595" t="s">
        <v>1243</v>
      </c>
      <c r="O13" s="775">
        <f>IF('Sections rachis &amp; L pennes'!AC13="","",'Sections rachis &amp; L pennes'!AC13)</f>
        <v>5.3228419347373288</v>
      </c>
      <c r="P13" s="776">
        <f>IF('Ouvertures pennes'!H48="","",'Ouvertures pennes'!H48)</f>
        <v>0.14399999999999999</v>
      </c>
      <c r="Q13" s="777" t="str">
        <f>IF('Ouvertures pennes'!I48="","",'Ouvertures pennes'!I48)</f>
        <v/>
      </c>
      <c r="R13" s="777" t="str">
        <f>IF('Ouvertures pennes'!J48="","",'Ouvertures pennes'!J48)</f>
        <v/>
      </c>
      <c r="S13" s="780" t="str">
        <f>IF('Ouvertures pennes'!K48="","",'Ouvertures pennes'!K48)</f>
        <v/>
      </c>
      <c r="T13" s="775">
        <f>IF('Sections rachis &amp; L pennes'!AH13="","",'Sections rachis &amp; L pennes'!AH13)</f>
        <v>5.5542698449432999</v>
      </c>
      <c r="U13" s="776">
        <f>IF('Ouvertures pennes'!R48="","",'Ouvertures pennes'!R48)</f>
        <v>0.13800000000000001</v>
      </c>
      <c r="V13" s="777" t="str">
        <f>IF('Ouvertures pennes'!S48="","",'Ouvertures pennes'!S48)</f>
        <v/>
      </c>
      <c r="W13" s="777" t="str">
        <f>IF('Ouvertures pennes'!T48="","",'Ouvertures pennes'!T48)</f>
        <v/>
      </c>
      <c r="X13" s="780" t="str">
        <f>IF('Ouvertures pennes'!U48="","",'Ouvertures pennes'!U48)</f>
        <v/>
      </c>
      <c r="Y13" s="781">
        <f>IF(COUNTIF(P13:S13,"")+COUNTIF(U13:X13,"")=8,"",MAX(P13:S13,U13:X13))</f>
        <v>0.14399999999999999</v>
      </c>
    </row>
    <row r="14" spans="1:27" s="345" customFormat="1">
      <c r="A14" s="345">
        <f t="shared" ref="A14:A31" si="0">IF(COUNTIF(C14,"")+COUNTIF(H14,"")+COUNTIF(O14,"")+COUNTIF(T14,"")=4,"",AVERAGE(C14,H14,O14,T14))</f>
        <v>26.922669813782981</v>
      </c>
      <c r="B14" s="609" t="s">
        <v>1244</v>
      </c>
      <c r="C14" s="782">
        <f>IF('Sections rachis &amp; L pennes'!Q14="","",'Sections rachis &amp; L pennes'!Q14)</f>
        <v>27.346437346437348</v>
      </c>
      <c r="D14" s="783" t="str">
        <f>IF('Ouvertures pennes'!H15="","",'Ouvertures pennes'!H15)</f>
        <v/>
      </c>
      <c r="E14" s="784" t="str">
        <f>IF('Ouvertures pennes'!I15="","",'Ouvertures pennes'!I15)</f>
        <v/>
      </c>
      <c r="F14" s="784" t="str">
        <f>IF('Ouvertures pennes'!J15="","",'Ouvertures pennes'!J15)</f>
        <v/>
      </c>
      <c r="G14" s="787">
        <f>IF('Ouvertures pennes'!K15="","",'Ouvertures pennes'!K15)</f>
        <v>0.30299999999999999</v>
      </c>
      <c r="H14" s="782">
        <f>IF('Sections rachis &amp; L pennes'!V14="","",'Sections rachis &amp; L pennes'!V14)</f>
        <v>28.157248157248159</v>
      </c>
      <c r="I14" s="783">
        <f>IF('Ouvertures pennes'!R15="","",'Ouvertures pennes'!R15)</f>
        <v>0.27</v>
      </c>
      <c r="J14" s="784" t="str">
        <f>IF('Ouvertures pennes'!S15="","",'Ouvertures pennes'!S15)</f>
        <v/>
      </c>
      <c r="K14" s="784" t="str">
        <f>IF('Ouvertures pennes'!T15="","",'Ouvertures pennes'!T15)</f>
        <v/>
      </c>
      <c r="L14" s="787" t="str">
        <f>IF('Ouvertures pennes'!U15="","",'Ouvertures pennes'!U15)</f>
        <v/>
      </c>
      <c r="M14" s="781">
        <f t="shared" ref="M14:M31" si="1">IF(COUNTIF(D14:G14,"")+COUNTIF(I14:L14,"")=8,"",MAX(D14:G14,I14:L14))</f>
        <v>0.30299999999999999</v>
      </c>
      <c r="N14" s="609" t="s">
        <v>1244</v>
      </c>
      <c r="O14" s="782">
        <f>IF('Sections rachis &amp; L pennes'!AC14="","",'Sections rachis &amp; L pennes'!AC14)</f>
        <v>26.429067345521869</v>
      </c>
      <c r="P14" s="783">
        <f>IF('Ouvertures pennes'!H49="","",'Ouvertures pennes'!H49)</f>
        <v>0.34300000000000003</v>
      </c>
      <c r="Q14" s="784" t="str">
        <f>IF('Ouvertures pennes'!I49="","",'Ouvertures pennes'!I49)</f>
        <v/>
      </c>
      <c r="R14" s="784" t="str">
        <f>IF('Ouvertures pennes'!J49="","",'Ouvertures pennes'!J49)</f>
        <v/>
      </c>
      <c r="S14" s="787" t="str">
        <f>IF('Ouvertures pennes'!K49="","",'Ouvertures pennes'!K49)</f>
        <v/>
      </c>
      <c r="T14" s="782">
        <f>IF('Sections rachis &amp; L pennes'!AH14="","",'Sections rachis &amp; L pennes'!AH14)</f>
        <v>25.757926405924554</v>
      </c>
      <c r="U14" s="783" t="str">
        <f>IF('Ouvertures pennes'!R49="","",'Ouvertures pennes'!R49)</f>
        <v/>
      </c>
      <c r="V14" s="784" t="str">
        <f>IF('Ouvertures pennes'!S49="","",'Ouvertures pennes'!S49)</f>
        <v/>
      </c>
      <c r="W14" s="784" t="str">
        <f>IF('Ouvertures pennes'!T49="","",'Ouvertures pennes'!T49)</f>
        <v/>
      </c>
      <c r="X14" s="787">
        <f>IF('Ouvertures pennes'!U49="","",'Ouvertures pennes'!U49)</f>
        <v>0.34699999999999998</v>
      </c>
      <c r="Y14" s="781">
        <f t="shared" ref="Y14:Y31" si="2">IF(COUNTIF(P14:S14,"")+COUNTIF(U14:X14,"")=8,"",MAX(P14:S14,U14:X14))</f>
        <v>0.34699999999999998</v>
      </c>
    </row>
    <row r="15" spans="1:27" s="345" customFormat="1" ht="13.5" thickBot="1">
      <c r="A15" s="345">
        <f t="shared" si="0"/>
        <v>28.402760758696882</v>
      </c>
      <c r="B15" s="620" t="s">
        <v>1245</v>
      </c>
      <c r="C15" s="788">
        <f>IF('Sections rachis &amp; L pennes'!Q15="","",'Sections rachis &amp; L pennes'!Q15)</f>
        <v>30.466830466830466</v>
      </c>
      <c r="D15" s="789">
        <f>IF('Ouvertures pennes'!H16="","",'Ouvertures pennes'!H16)</f>
        <v>0.28399999999999997</v>
      </c>
      <c r="E15" s="790" t="str">
        <f>IF('Ouvertures pennes'!I16="","",'Ouvertures pennes'!I16)</f>
        <v/>
      </c>
      <c r="F15" s="790" t="str">
        <f>IF('Ouvertures pennes'!J16="","",'Ouvertures pennes'!J16)</f>
        <v/>
      </c>
      <c r="G15" s="793" t="str">
        <f>IF('Ouvertures pennes'!K16="","",'Ouvertures pennes'!K16)</f>
        <v/>
      </c>
      <c r="H15" s="788">
        <f>IF('Sections rachis &amp; L pennes'!V15="","",'Sections rachis &amp; L pennes'!V15)</f>
        <v>28.55036855036855</v>
      </c>
      <c r="I15" s="789" t="str">
        <f>IF('Ouvertures pennes'!R16="","",'Ouvertures pennes'!R16)</f>
        <v/>
      </c>
      <c r="J15" s="790" t="str">
        <f>IF('Ouvertures pennes'!S16="","",'Ouvertures pennes'!S16)</f>
        <v/>
      </c>
      <c r="K15" s="790" t="str">
        <f>IF('Ouvertures pennes'!T16="","",'Ouvertures pennes'!T16)</f>
        <v/>
      </c>
      <c r="L15" s="793">
        <f>IF('Ouvertures pennes'!U16="","",'Ouvertures pennes'!U16)</f>
        <v>0.34</v>
      </c>
      <c r="M15" s="781">
        <f t="shared" si="1"/>
        <v>0.34</v>
      </c>
      <c r="N15" s="620" t="s">
        <v>1245</v>
      </c>
      <c r="O15" s="782">
        <f>IF('Sections rachis &amp; L pennes'!AC15="","",'Sections rachis &amp; L pennes'!AC15)</f>
        <v>26.799352001851421</v>
      </c>
      <c r="P15" s="789" t="str">
        <f>IF('Ouvertures pennes'!H50="","",'Ouvertures pennes'!H50)</f>
        <v/>
      </c>
      <c r="Q15" s="790" t="str">
        <f>IF('Ouvertures pennes'!I50="","",'Ouvertures pennes'!I50)</f>
        <v/>
      </c>
      <c r="R15" s="790" t="str">
        <f>IF('Ouvertures pennes'!J50="","",'Ouvertures pennes'!J50)</f>
        <v/>
      </c>
      <c r="S15" s="793">
        <f>IF('Ouvertures pennes'!K50="","",'Ouvertures pennes'!K50)</f>
        <v>0.377</v>
      </c>
      <c r="T15" s="782">
        <f>IF('Sections rachis &amp; L pennes'!AH15="","",'Sections rachis &amp; L pennes'!AH15)</f>
        <v>27.794492015737095</v>
      </c>
      <c r="U15" s="789">
        <f>IF('Ouvertures pennes'!R50="","",'Ouvertures pennes'!R50)</f>
        <v>0.41</v>
      </c>
      <c r="V15" s="790" t="str">
        <f>IF('Ouvertures pennes'!S50="","",'Ouvertures pennes'!S50)</f>
        <v/>
      </c>
      <c r="W15" s="790" t="str">
        <f>IF('Ouvertures pennes'!T50="","",'Ouvertures pennes'!T50)</f>
        <v/>
      </c>
      <c r="X15" s="793" t="str">
        <f>IF('Ouvertures pennes'!U50="","",'Ouvertures pennes'!U50)</f>
        <v/>
      </c>
      <c r="Y15" s="781">
        <f t="shared" si="2"/>
        <v>0.41</v>
      </c>
      <c r="Z15" s="656">
        <f>IF(MAX(M13:M14,Y13:Y14)=0,"",MAX(M13:M14,Y13:Y14))</f>
        <v>0.34699999999999998</v>
      </c>
      <c r="AA15" s="656">
        <f>IF('Ouvertures pennes (MAX)'!Z15="","",Z15/'Ouvertures pennes (MAX)'!Z15)</f>
        <v>0.83014354066985641</v>
      </c>
    </row>
    <row r="16" spans="1:27" s="345" customFormat="1">
      <c r="A16" s="345" t="str">
        <f t="shared" si="0"/>
        <v/>
      </c>
      <c r="C16" s="775" t="str">
        <f>IF('Sections rachis &amp; L pennes'!Q16="","",'Sections rachis &amp; L pennes'!Q16)</f>
        <v/>
      </c>
      <c r="D16" s="776" t="str">
        <f>IF('Ouvertures pennes'!H17="","",'Ouvertures pennes'!H17)</f>
        <v/>
      </c>
      <c r="E16" s="777" t="str">
        <f>IF('Ouvertures pennes'!I17="","",'Ouvertures pennes'!I17)</f>
        <v/>
      </c>
      <c r="F16" s="777" t="str">
        <f>IF('Ouvertures pennes'!J17="","",'Ouvertures pennes'!J17)</f>
        <v/>
      </c>
      <c r="G16" s="780" t="str">
        <f>IF('Ouvertures pennes'!K17="","",'Ouvertures pennes'!K17)</f>
        <v/>
      </c>
      <c r="H16" s="775" t="s">
        <v>1294</v>
      </c>
      <c r="I16" s="776" t="str">
        <f>IF('Ouvertures pennes'!R17="","",'Ouvertures pennes'!R17)</f>
        <v/>
      </c>
      <c r="J16" s="777" t="str">
        <f>IF('Ouvertures pennes'!S17="","",'Ouvertures pennes'!S17)</f>
        <v/>
      </c>
      <c r="K16" s="777" t="str">
        <f>IF('Ouvertures pennes'!T17="","",'Ouvertures pennes'!T17)</f>
        <v/>
      </c>
      <c r="L16" s="780" t="str">
        <f>IF('Ouvertures pennes'!U17="","",'Ouvertures pennes'!U17)</f>
        <v/>
      </c>
      <c r="M16" s="781" t="str">
        <f t="shared" si="1"/>
        <v/>
      </c>
      <c r="O16" s="782" t="str">
        <f>IF('Sections rachis &amp; L pennes'!AC16="","",'Sections rachis &amp; L pennes'!AC16)</f>
        <v/>
      </c>
      <c r="P16" s="776" t="str">
        <f>IF('Ouvertures pennes'!H51="","",'Ouvertures pennes'!H51)</f>
        <v/>
      </c>
      <c r="Q16" s="777" t="str">
        <f>IF('Ouvertures pennes'!I51="","",'Ouvertures pennes'!I51)</f>
        <v/>
      </c>
      <c r="R16" s="777" t="str">
        <f>IF('Ouvertures pennes'!J51="","",'Ouvertures pennes'!J51)</f>
        <v/>
      </c>
      <c r="S16" s="780" t="str">
        <f>IF('Ouvertures pennes'!K51="","",'Ouvertures pennes'!K51)</f>
        <v/>
      </c>
      <c r="T16" s="782" t="str">
        <f>IF('Sections rachis &amp; L pennes'!AH16="","",'Sections rachis &amp; L pennes'!AH16)</f>
        <v/>
      </c>
      <c r="U16" s="776" t="str">
        <f>IF('Ouvertures pennes'!R51="","",'Ouvertures pennes'!R51)</f>
        <v/>
      </c>
      <c r="V16" s="777" t="str">
        <f>IF('Ouvertures pennes'!S51="","",'Ouvertures pennes'!S51)</f>
        <v/>
      </c>
      <c r="W16" s="777" t="str">
        <f>IF('Ouvertures pennes'!T51="","",'Ouvertures pennes'!T51)</f>
        <v/>
      </c>
      <c r="X16" s="780" t="str">
        <f>IF('Ouvertures pennes'!U51="","",'Ouvertures pennes'!U51)</f>
        <v/>
      </c>
      <c r="Y16" s="781" t="str">
        <f t="shared" si="2"/>
        <v/>
      </c>
    </row>
    <row r="17" spans="1:25" s="345" customFormat="1">
      <c r="A17" s="345">
        <f t="shared" si="0"/>
        <v>10</v>
      </c>
      <c r="C17" s="782">
        <f>IF('Sections rachis &amp; L pennes'!Q17="","",'Sections rachis &amp; L pennes'!Q17)</f>
        <v>10</v>
      </c>
      <c r="D17" s="783">
        <f>IF('Ouvertures pennes'!H18="","",'Ouvertures pennes'!H18)</f>
        <v>0.98367928561406293</v>
      </c>
      <c r="E17" s="784" t="str">
        <f>IF('Ouvertures pennes'!I18="","",'Ouvertures pennes'!I18)</f>
        <v/>
      </c>
      <c r="F17" s="784" t="str">
        <f>IF('Ouvertures pennes'!J18="","",'Ouvertures pennes'!J18)</f>
        <v/>
      </c>
      <c r="G17" s="787" t="str">
        <f>IF('Ouvertures pennes'!K18="","",'Ouvertures pennes'!K18)</f>
        <v/>
      </c>
      <c r="H17" s="782">
        <f>IF('Sections rachis &amp; L pennes'!V17="","",'Sections rachis &amp; L pennes'!V17)</f>
        <v>10</v>
      </c>
      <c r="I17" s="783">
        <f>IF('Ouvertures pennes'!R18="","",'Ouvertures pennes'!R18)</f>
        <v>1.0153808841739156</v>
      </c>
      <c r="J17" s="784" t="str">
        <f>IF('Ouvertures pennes'!S18="","",'Ouvertures pennes'!S18)</f>
        <v/>
      </c>
      <c r="K17" s="784" t="str">
        <f>IF('Ouvertures pennes'!T18="","",'Ouvertures pennes'!T18)</f>
        <v/>
      </c>
      <c r="L17" s="787">
        <f>IF('Ouvertures pennes'!U18="","",'Ouvertures pennes'!U18)</f>
        <v>0.95877088674560729</v>
      </c>
      <c r="M17" s="781">
        <f t="shared" si="1"/>
        <v>1.0153808841739156</v>
      </c>
      <c r="O17" s="782">
        <f>IF('Sections rachis &amp; L pennes'!AC17="","",'Sections rachis &amp; L pennes'!AC17)</f>
        <v>10</v>
      </c>
      <c r="P17" s="783" t="str">
        <f>IF('Ouvertures pennes'!H52="","",'Ouvertures pennes'!H52)</f>
        <v/>
      </c>
      <c r="Q17" s="784">
        <f>IF('Ouvertures pennes'!I52="","",'Ouvertures pennes'!I52)</f>
        <v>1.0535000065867921</v>
      </c>
      <c r="R17" s="784" t="str">
        <f>IF('Ouvertures pennes'!J52="","",'Ouvertures pennes'!J52)</f>
        <v/>
      </c>
      <c r="S17" s="787" t="str">
        <f>IF('Ouvertures pennes'!K52="","",'Ouvertures pennes'!K52)</f>
        <v/>
      </c>
      <c r="T17" s="782">
        <f>IF('Sections rachis &amp; L pennes'!AH17="","",'Sections rachis &amp; L pennes'!AH17)</f>
        <v>10</v>
      </c>
      <c r="U17" s="783" t="str">
        <f>IF('Ouvertures pennes'!R52="","",'Ouvertures pennes'!R52)</f>
        <v/>
      </c>
      <c r="V17" s="784">
        <f>IF('Ouvertures pennes'!S52="","",'Ouvertures pennes'!S52)</f>
        <v>1.0130183800387038</v>
      </c>
      <c r="W17" s="784" t="str">
        <f>IF('Ouvertures pennes'!T52="","",'Ouvertures pennes'!T52)</f>
        <v/>
      </c>
      <c r="X17" s="787" t="str">
        <f>IF('Ouvertures pennes'!U52="","",'Ouvertures pennes'!U52)</f>
        <v/>
      </c>
      <c r="Y17" s="781">
        <f t="shared" si="2"/>
        <v>1.0535000065867921</v>
      </c>
    </row>
    <row r="18" spans="1:25" s="345" customFormat="1">
      <c r="A18" s="345">
        <f t="shared" si="0"/>
        <v>20</v>
      </c>
      <c r="C18" s="782">
        <f>IF('Sections rachis &amp; L pennes'!Q18="","",'Sections rachis &amp; L pennes'!Q18)</f>
        <v>20</v>
      </c>
      <c r="D18" s="783">
        <f>IF('Ouvertures pennes'!H19="","",'Ouvertures pennes'!H19)</f>
        <v>1.2472171289408076</v>
      </c>
      <c r="E18" s="784" t="str">
        <f>IF('Ouvertures pennes'!I19="","",'Ouvertures pennes'!I19)</f>
        <v/>
      </c>
      <c r="F18" s="784" t="str">
        <f>IF('Ouvertures pennes'!J19="","",'Ouvertures pennes'!J19)</f>
        <v/>
      </c>
      <c r="G18" s="787" t="str">
        <f>IF('Ouvertures pennes'!K19="","",'Ouvertures pennes'!K19)</f>
        <v/>
      </c>
      <c r="H18" s="782">
        <f>IF('Sections rachis &amp; L pennes'!V18="","",'Sections rachis &amp; L pennes'!V18)</f>
        <v>20</v>
      </c>
      <c r="I18" s="783">
        <f>IF('Ouvertures pennes'!R19="","",'Ouvertures pennes'!R19)</f>
        <v>1.2421525608075878</v>
      </c>
      <c r="J18" s="784" t="str">
        <f>IF('Ouvertures pennes'!S19="","",'Ouvertures pennes'!S19)</f>
        <v/>
      </c>
      <c r="K18" s="784" t="str">
        <f>IF('Ouvertures pennes'!T19="","",'Ouvertures pennes'!T19)</f>
        <v/>
      </c>
      <c r="L18" s="787" t="str">
        <f>IF('Ouvertures pennes'!U19="","",'Ouvertures pennes'!U19)</f>
        <v/>
      </c>
      <c r="M18" s="781">
        <f t="shared" si="1"/>
        <v>1.2472171289408076</v>
      </c>
      <c r="O18" s="782">
        <f>IF('Sections rachis &amp; L pennes'!AC18="","",'Sections rachis &amp; L pennes'!AC18)</f>
        <v>20</v>
      </c>
      <c r="P18" s="783">
        <f>IF('Ouvertures pennes'!H53="","",'Ouvertures pennes'!H53)</f>
        <v>1.3470960605727991</v>
      </c>
      <c r="Q18" s="784" t="str">
        <f>IF('Ouvertures pennes'!I53="","",'Ouvertures pennes'!I53)</f>
        <v/>
      </c>
      <c r="R18" s="784" t="str">
        <f>IF('Ouvertures pennes'!J53="","",'Ouvertures pennes'!J53)</f>
        <v/>
      </c>
      <c r="S18" s="787">
        <f>IF('Ouvertures pennes'!K53="","",'Ouvertures pennes'!K53)</f>
        <v>1.2849597999275966</v>
      </c>
      <c r="T18" s="782">
        <f>IF('Sections rachis &amp; L pennes'!AH18="","",'Sections rachis &amp; L pennes'!AH18)</f>
        <v>20</v>
      </c>
      <c r="U18" s="783">
        <f>IF('Ouvertures pennes'!R53="","",'Ouvertures pennes'!R53)</f>
        <v>1.3222415563147181</v>
      </c>
      <c r="V18" s="784" t="str">
        <f>IF('Ouvertures pennes'!S53="","",'Ouvertures pennes'!S53)</f>
        <v/>
      </c>
      <c r="W18" s="784" t="str">
        <f>IF('Ouvertures pennes'!T53="","",'Ouvertures pennes'!T53)</f>
        <v/>
      </c>
      <c r="X18" s="787">
        <f>IF('Ouvertures pennes'!U53="","",'Ouvertures pennes'!U53)</f>
        <v>1.2530040087386349</v>
      </c>
      <c r="Y18" s="781">
        <f t="shared" si="2"/>
        <v>1.3470960605727991</v>
      </c>
    </row>
    <row r="19" spans="1:25" s="345" customFormat="1">
      <c r="A19" s="345">
        <f t="shared" si="0"/>
        <v>30</v>
      </c>
      <c r="C19" s="782">
        <f>IF('Sections rachis &amp; L pennes'!Q19="","",'Sections rachis &amp; L pennes'!Q19)</f>
        <v>30</v>
      </c>
      <c r="D19" s="783">
        <f>IF('Ouvertures pennes'!H20="","",'Ouvertures pennes'!H20)</f>
        <v>0.72885552109963359</v>
      </c>
      <c r="E19" s="784" t="str">
        <f>IF('Ouvertures pennes'!I20="","",'Ouvertures pennes'!I20)</f>
        <v/>
      </c>
      <c r="F19" s="784" t="str">
        <f>IF('Ouvertures pennes'!J20="","",'Ouvertures pennes'!J20)</f>
        <v/>
      </c>
      <c r="G19" s="787">
        <f>IF('Ouvertures pennes'!K20="","",'Ouvertures pennes'!K20)</f>
        <v>0.66743931405269885</v>
      </c>
      <c r="H19" s="782">
        <f>IF('Sections rachis &amp; L pennes'!V19="","",'Sections rachis &amp; L pennes'!V19)</f>
        <v>30</v>
      </c>
      <c r="I19" s="783">
        <f>IF('Ouvertures pennes'!R20="","",'Ouvertures pennes'!R20)</f>
        <v>0.7665427390602525</v>
      </c>
      <c r="J19" s="784" t="str">
        <f>IF('Ouvertures pennes'!S20="","",'Ouvertures pennes'!S20)</f>
        <v/>
      </c>
      <c r="K19" s="784" t="str">
        <f>IF('Ouvertures pennes'!T20="","",'Ouvertures pennes'!T20)</f>
        <v/>
      </c>
      <c r="L19" s="787">
        <f>IF('Ouvertures pennes'!U20="","",'Ouvertures pennes'!U20)</f>
        <v>0.71908476088762119</v>
      </c>
      <c r="M19" s="781">
        <f t="shared" si="1"/>
        <v>0.7665427390602525</v>
      </c>
      <c r="O19" s="782">
        <f>IF('Sections rachis &amp; L pennes'!AC19="","",'Sections rachis &amp; L pennes'!AC19)</f>
        <v>30</v>
      </c>
      <c r="P19" s="783">
        <f>IF('Ouvertures pennes'!H54="","",'Ouvertures pennes'!H54)</f>
        <v>0.94114984830146087</v>
      </c>
      <c r="Q19" s="784" t="str">
        <f>IF('Ouvertures pennes'!I54="","",'Ouvertures pennes'!I54)</f>
        <v/>
      </c>
      <c r="R19" s="784" t="str">
        <f>IF('Ouvertures pennes'!J54="","",'Ouvertures pennes'!J54)</f>
        <v/>
      </c>
      <c r="S19" s="787">
        <f>IF('Ouvertures pennes'!K54="","",'Ouvertures pennes'!K54)</f>
        <v>0.77968465880710025</v>
      </c>
      <c r="T19" s="782">
        <f>IF('Sections rachis &amp; L pennes'!AH19="","",'Sections rachis &amp; L pennes'!AH19)</f>
        <v>30</v>
      </c>
      <c r="U19" s="783">
        <f>IF('Ouvertures pennes'!R54="","",'Ouvertures pennes'!R54)</f>
        <v>0.9455534443785798</v>
      </c>
      <c r="V19" s="784" t="str">
        <f>IF('Ouvertures pennes'!S54="","",'Ouvertures pennes'!S54)</f>
        <v/>
      </c>
      <c r="W19" s="784" t="str">
        <f>IF('Ouvertures pennes'!T54="","",'Ouvertures pennes'!T54)</f>
        <v/>
      </c>
      <c r="X19" s="787">
        <f>IF('Ouvertures pennes'!U54="","",'Ouvertures pennes'!U54)</f>
        <v>0.77528106272998143</v>
      </c>
      <c r="Y19" s="781">
        <f t="shared" si="2"/>
        <v>0.9455534443785798</v>
      </c>
    </row>
    <row r="20" spans="1:25" s="345" customFormat="1">
      <c r="A20" s="345">
        <f t="shared" si="0"/>
        <v>40</v>
      </c>
      <c r="C20" s="782">
        <f>IF('Sections rachis &amp; L pennes'!Q20="","",'Sections rachis &amp; L pennes'!Q20)</f>
        <v>40</v>
      </c>
      <c r="D20" s="783">
        <f>IF('Ouvertures pennes'!H21="","",'Ouvertures pennes'!H21)</f>
        <v>1.117878013677942</v>
      </c>
      <c r="E20" s="784">
        <f>IF('Ouvertures pennes'!I21="","",'Ouvertures pennes'!I21)</f>
        <v>1.0908982952222512</v>
      </c>
      <c r="F20" s="784" t="str">
        <f>IF('Ouvertures pennes'!J21="","",'Ouvertures pennes'!J21)</f>
        <v/>
      </c>
      <c r="G20" s="787">
        <f>IF('Ouvertures pennes'!K21="","",'Ouvertures pennes'!K21)</f>
        <v>1.0786347868333008</v>
      </c>
      <c r="H20" s="782">
        <f>IF('Sections rachis &amp; L pennes'!V20="","",'Sections rachis &amp; L pennes'!V20)</f>
        <v>40</v>
      </c>
      <c r="I20" s="783">
        <f>IF('Ouvertures pennes'!R21="","",'Ouvertures pennes'!R21)</f>
        <v>1.1313678729057874</v>
      </c>
      <c r="J20" s="784" t="str">
        <f>IF('Ouvertures pennes'!S21="","",'Ouvertures pennes'!S21)</f>
        <v/>
      </c>
      <c r="K20" s="784" t="str">
        <f>IF('Ouvertures pennes'!T21="","",'Ouvertures pennes'!T21)</f>
        <v/>
      </c>
      <c r="L20" s="787">
        <f>IF('Ouvertures pennes'!U21="","",'Ouvertures pennes'!U21)</f>
        <v>1.1155479470840415</v>
      </c>
      <c r="M20" s="781">
        <f t="shared" si="1"/>
        <v>1.1313678729057874</v>
      </c>
      <c r="O20" s="782">
        <f>IF('Sections rachis &amp; L pennes'!AC20="","",'Sections rachis &amp; L pennes'!AC20)</f>
        <v>40</v>
      </c>
      <c r="P20" s="783">
        <f>IF('Ouvertures pennes'!H55="","",'Ouvertures pennes'!H55)</f>
        <v>1.0646653559346699</v>
      </c>
      <c r="Q20" s="784" t="str">
        <f>IF('Ouvertures pennes'!I55="","",'Ouvertures pennes'!I55)</f>
        <v/>
      </c>
      <c r="R20" s="784" t="str">
        <f>IF('Ouvertures pennes'!J55="","",'Ouvertures pennes'!J55)</f>
        <v/>
      </c>
      <c r="S20" s="787">
        <f>IF('Ouvertures pennes'!K55="","",'Ouvertures pennes'!K55)</f>
        <v>1.0221070258545639</v>
      </c>
      <c r="T20" s="782">
        <f>IF('Sections rachis &amp; L pennes'!AH20="","",'Sections rachis &amp; L pennes'!AH20)</f>
        <v>40</v>
      </c>
      <c r="U20" s="783">
        <f>IF('Ouvertures pennes'!R55="","",'Ouvertures pennes'!R55)</f>
        <v>0.9756797566762665</v>
      </c>
      <c r="V20" s="784" t="str">
        <f>IF('Ouvertures pennes'!S55="","",'Ouvertures pennes'!S55)</f>
        <v/>
      </c>
      <c r="W20" s="784" t="str">
        <f>IF('Ouvertures pennes'!T55="","",'Ouvertures pennes'!T55)</f>
        <v/>
      </c>
      <c r="X20" s="787">
        <f>IF('Ouvertures pennes'!U55="","",'Ouvertures pennes'!U55)</f>
        <v>1.0530585386400957</v>
      </c>
      <c r="Y20" s="781">
        <f t="shared" si="2"/>
        <v>1.0646653559346699</v>
      </c>
    </row>
    <row r="21" spans="1:25" s="345" customFormat="1">
      <c r="A21" s="345">
        <f t="shared" si="0"/>
        <v>50</v>
      </c>
      <c r="C21" s="782">
        <f>IF('Sections rachis &amp; L pennes'!Q21="","",'Sections rachis &amp; L pennes'!Q21)</f>
        <v>50</v>
      </c>
      <c r="D21" s="783">
        <f>IF('Ouvertures pennes'!H22="","",'Ouvertures pennes'!H22)</f>
        <v>1.4469311154518045</v>
      </c>
      <c r="E21" s="784" t="str">
        <f>IF('Ouvertures pennes'!I22="","",'Ouvertures pennes'!I22)</f>
        <v/>
      </c>
      <c r="F21" s="784" t="str">
        <f>IF('Ouvertures pennes'!J22="","",'Ouvertures pennes'!J22)</f>
        <v/>
      </c>
      <c r="G21" s="787">
        <f>IF('Ouvertures pennes'!K22="","",'Ouvertures pennes'!K22)</f>
        <v>2.0032168946602815</v>
      </c>
      <c r="H21" s="782">
        <f>IF('Sections rachis &amp; L pennes'!V21="","",'Sections rachis &amp; L pennes'!V21)</f>
        <v>50</v>
      </c>
      <c r="I21" s="783">
        <f>IF('Ouvertures pennes'!R22="","",'Ouvertures pennes'!R22)</f>
        <v>1.4435867119695893</v>
      </c>
      <c r="J21" s="784" t="str">
        <f>IF('Ouvertures pennes'!S22="","",'Ouvertures pennes'!S22)</f>
        <v/>
      </c>
      <c r="K21" s="784" t="str">
        <f>IF('Ouvertures pennes'!T22="","",'Ouvertures pennes'!T22)</f>
        <v/>
      </c>
      <c r="L21" s="787" t="str">
        <f>IF('Ouvertures pennes'!U22="","",'Ouvertures pennes'!U22)</f>
        <v/>
      </c>
      <c r="M21" s="781">
        <f t="shared" si="1"/>
        <v>2.0032168946602815</v>
      </c>
      <c r="O21" s="782">
        <f>IF('Sections rachis &amp; L pennes'!AC21="","",'Sections rachis &amp; L pennes'!AC21)</f>
        <v>50</v>
      </c>
      <c r="P21" s="783">
        <f>IF('Ouvertures pennes'!H56="","",'Ouvertures pennes'!H56)</f>
        <v>1.4993369846699174</v>
      </c>
      <c r="Q21" s="784">
        <f>IF('Ouvertures pennes'!I56="","",'Ouvertures pennes'!I56)</f>
        <v>1.4911306096737718</v>
      </c>
      <c r="R21" s="784" t="str">
        <f>IF('Ouvertures pennes'!J56="","",'Ouvertures pennes'!J56)</f>
        <v/>
      </c>
      <c r="S21" s="787">
        <f>IF('Ouvertures pennes'!K56="","",'Ouvertures pennes'!K56)</f>
        <v>1.4794072168221357</v>
      </c>
      <c r="T21" s="782">
        <f>IF('Sections rachis &amp; L pennes'!AH21="","",'Sections rachis &amp; L pennes'!AH21)</f>
        <v>50</v>
      </c>
      <c r="U21" s="783">
        <f>IF('Ouvertures pennes'!R56="","",'Ouvertures pennes'!R56)</f>
        <v>1.341071181172826</v>
      </c>
      <c r="V21" s="784" t="str">
        <f>IF('Ouvertures pennes'!S56="","",'Ouvertures pennes'!S56)</f>
        <v/>
      </c>
      <c r="W21" s="784" t="str">
        <f>IF('Ouvertures pennes'!T56="","",'Ouvertures pennes'!T56)</f>
        <v/>
      </c>
      <c r="X21" s="787">
        <f>IF('Ouvertures pennes'!U56="","",'Ouvertures pennes'!U56)</f>
        <v>1.3164520561843895</v>
      </c>
      <c r="Y21" s="781">
        <f t="shared" si="2"/>
        <v>1.4993369846699174</v>
      </c>
    </row>
    <row r="22" spans="1:25" s="345" customFormat="1">
      <c r="A22" s="345">
        <f t="shared" si="0"/>
        <v>60</v>
      </c>
      <c r="C22" s="782">
        <f>IF('Sections rachis &amp; L pennes'!Q22="","",'Sections rachis &amp; L pennes'!Q22)</f>
        <v>60</v>
      </c>
      <c r="D22" s="783">
        <f>IF('Ouvertures pennes'!H23="","",'Ouvertures pennes'!H23)</f>
        <v>1.6703249107237721</v>
      </c>
      <c r="E22" s="784" t="str">
        <f>IF('Ouvertures pennes'!I23="","",'Ouvertures pennes'!I23)</f>
        <v/>
      </c>
      <c r="F22" s="784" t="str">
        <f>IF('Ouvertures pennes'!J23="","",'Ouvertures pennes'!J23)</f>
        <v/>
      </c>
      <c r="G22" s="787">
        <f>IF('Ouvertures pennes'!K23="","",'Ouvertures pennes'!K23)</f>
        <v>1.6631881066589953</v>
      </c>
      <c r="H22" s="782">
        <f>IF('Sections rachis &amp; L pennes'!V22="","",'Sections rachis &amp; L pennes'!V22)</f>
        <v>60</v>
      </c>
      <c r="I22" s="783">
        <f>IF('Ouvertures pennes'!R23="","",'Ouvertures pennes'!R23)</f>
        <v>1.6907157794802772</v>
      </c>
      <c r="J22" s="784">
        <f>IF('Ouvertures pennes'!S23="","",'Ouvertures pennes'!S23)</f>
        <v>1.6795008016641992</v>
      </c>
      <c r="K22" s="784" t="str">
        <f>IF('Ouvertures pennes'!T23="","",'Ouvertures pennes'!T23)</f>
        <v/>
      </c>
      <c r="L22" s="787">
        <f>IF('Ouvertures pennes'!U23="","",'Ouvertures pennes'!U23)</f>
        <v>1.6713444541615972</v>
      </c>
      <c r="M22" s="781">
        <f t="shared" si="1"/>
        <v>1.6907157794802772</v>
      </c>
      <c r="O22" s="782">
        <f>IF('Sections rachis &amp; L pennes'!AC22="","",'Sections rachis &amp; L pennes'!AC22)</f>
        <v>60</v>
      </c>
      <c r="P22" s="783">
        <f>IF('Ouvertures pennes'!H57="","",'Ouvertures pennes'!H57)</f>
        <v>1.7490300734542978</v>
      </c>
      <c r="Q22" s="784" t="str">
        <f>IF('Ouvertures pennes'!I57="","",'Ouvertures pennes'!I57)</f>
        <v/>
      </c>
      <c r="R22" s="784" t="str">
        <f>IF('Ouvertures pennes'!J57="","",'Ouvertures pennes'!J57)</f>
        <v/>
      </c>
      <c r="S22" s="787">
        <f>IF('Ouvertures pennes'!K57="","",'Ouvertures pennes'!K57)</f>
        <v>1.7232981126235083</v>
      </c>
      <c r="T22" s="782">
        <f>IF('Sections rachis &amp; L pennes'!AH22="","",'Sections rachis &amp; L pennes'!AH22)</f>
        <v>60</v>
      </c>
      <c r="U22" s="783">
        <f>IF('Ouvertures pennes'!R57="","",'Ouvertures pennes'!R57)</f>
        <v>1.6600403755811501</v>
      </c>
      <c r="V22" s="784">
        <f>IF('Ouvertures pennes'!S57="","",'Ouvertures pennes'!S57)</f>
        <v>1.6900609965504052</v>
      </c>
      <c r="W22" s="784" t="str">
        <f>IF('Ouvertures pennes'!T57="","",'Ouvertures pennes'!T57)</f>
        <v/>
      </c>
      <c r="X22" s="787">
        <f>IF('Ouvertures pennes'!U57="","",'Ouvertures pennes'!U57)</f>
        <v>1.658968210546534</v>
      </c>
      <c r="Y22" s="781">
        <f t="shared" si="2"/>
        <v>1.7490300734542978</v>
      </c>
    </row>
    <row r="23" spans="1:25" s="345" customFormat="1">
      <c r="A23" s="345">
        <f t="shared" si="0"/>
        <v>70</v>
      </c>
      <c r="C23" s="782">
        <f>IF('Sections rachis &amp; L pennes'!Q23="","",'Sections rachis &amp; L pennes'!Q23)</f>
        <v>70</v>
      </c>
      <c r="D23" s="783">
        <f>IF('Ouvertures pennes'!H24="","",'Ouvertures pennes'!H24)</f>
        <v>1.8337683183721831</v>
      </c>
      <c r="E23" s="784" t="str">
        <f>IF('Ouvertures pennes'!I24="","",'Ouvertures pennes'!I24)</f>
        <v/>
      </c>
      <c r="F23" s="784" t="str">
        <f>IF('Ouvertures pennes'!J24="","",'Ouvertures pennes'!J24)</f>
        <v/>
      </c>
      <c r="G23" s="787">
        <f>IF('Ouvertures pennes'!K24="","",'Ouvertures pennes'!K24)</f>
        <v>1.8310458246473027</v>
      </c>
      <c r="H23" s="782">
        <f>IF('Sections rachis &amp; L pennes'!V23="","",'Sections rachis &amp; L pennes'!V23)</f>
        <v>70</v>
      </c>
      <c r="I23" s="783">
        <f>IF('Ouvertures pennes'!R24="","",'Ouvertures pennes'!R24)</f>
        <v>1.798375899948738</v>
      </c>
      <c r="J23" s="784" t="str">
        <f>IF('Ouvertures pennes'!S24="","",'Ouvertures pennes'!S24)</f>
        <v/>
      </c>
      <c r="K23" s="784" t="str">
        <f>IF('Ouvertures pennes'!T24="","",'Ouvertures pennes'!T24)</f>
        <v/>
      </c>
      <c r="L23" s="787">
        <f>IF('Ouvertures pennes'!U24="","",'Ouvertures pennes'!U24)</f>
        <v>1.7784109459662816</v>
      </c>
      <c r="M23" s="781">
        <f t="shared" si="1"/>
        <v>1.8337683183721831</v>
      </c>
      <c r="O23" s="782">
        <f>IF('Sections rachis &amp; L pennes'!AC23="","",'Sections rachis &amp; L pennes'!AC23)</f>
        <v>70</v>
      </c>
      <c r="P23" s="783">
        <f>IF('Ouvertures pennes'!H58="","",'Ouvertures pennes'!H58)</f>
        <v>1.8730629075461898</v>
      </c>
      <c r="Q23" s="784" t="str">
        <f>IF('Ouvertures pennes'!I58="","",'Ouvertures pennes'!I58)</f>
        <v/>
      </c>
      <c r="R23" s="784" t="str">
        <f>IF('Ouvertures pennes'!J58="","",'Ouvertures pennes'!J58)</f>
        <v/>
      </c>
      <c r="S23" s="787">
        <f>IF('Ouvertures pennes'!K58="","",'Ouvertures pennes'!K58)</f>
        <v>1.8644738789560831</v>
      </c>
      <c r="T23" s="782">
        <f>IF('Sections rachis &amp; L pennes'!AH23="","",'Sections rachis &amp; L pennes'!AH23)</f>
        <v>70</v>
      </c>
      <c r="U23" s="783">
        <f>IF('Ouvertures pennes'!R58="","",'Ouvertures pennes'!R58)</f>
        <v>1.8568391868759884</v>
      </c>
      <c r="V23" s="784">
        <f>IF('Ouvertures pennes'!S58="","",'Ouvertures pennes'!S58)</f>
        <v>1.8539761773459531</v>
      </c>
      <c r="W23" s="784" t="str">
        <f>IF('Ouvertures pennes'!T58="","",'Ouvertures pennes'!T58)</f>
        <v/>
      </c>
      <c r="X23" s="787">
        <f>IF('Ouvertures pennes'!U58="","",'Ouvertures pennes'!U58)</f>
        <v>1.840615466205787</v>
      </c>
      <c r="Y23" s="781">
        <f t="shared" si="2"/>
        <v>1.8730629075461898</v>
      </c>
    </row>
    <row r="24" spans="1:25" s="345" customFormat="1">
      <c r="A24" s="345">
        <f t="shared" si="0"/>
        <v>80</v>
      </c>
      <c r="C24" s="782">
        <f>IF('Sections rachis &amp; L pennes'!Q24="","",'Sections rachis &amp; L pennes'!Q24)</f>
        <v>80</v>
      </c>
      <c r="D24" s="783">
        <f>IF('Ouvertures pennes'!H25="","",'Ouvertures pennes'!H25)</f>
        <v>1.8394038302771809</v>
      </c>
      <c r="E24" s="784" t="str">
        <f>IF('Ouvertures pennes'!I25="","",'Ouvertures pennes'!I25)</f>
        <v/>
      </c>
      <c r="F24" s="784" t="str">
        <f>IF('Ouvertures pennes'!J25="","",'Ouvertures pennes'!J25)</f>
        <v/>
      </c>
      <c r="G24" s="787">
        <f>IF('Ouvertures pennes'!K25="","",'Ouvertures pennes'!K25)</f>
        <v>1.8251277920963267</v>
      </c>
      <c r="H24" s="782">
        <f>IF('Sections rachis &amp; L pennes'!V24="","",'Sections rachis &amp; L pennes'!V24)</f>
        <v>80</v>
      </c>
      <c r="I24" s="783">
        <f>IF('Ouvertures pennes'!R25="","",'Ouvertures pennes'!R25)</f>
        <v>1.7815483071231915</v>
      </c>
      <c r="J24" s="784">
        <f>IF('Ouvertures pennes'!S25="","",'Ouvertures pennes'!S25)</f>
        <v>1.7913161227206182</v>
      </c>
      <c r="K24" s="784" t="str">
        <f>IF('Ouvertures pennes'!T25="","",'Ouvertures pennes'!T25)</f>
        <v/>
      </c>
      <c r="L24" s="787">
        <f>IF('Ouvertures pennes'!U25="","",'Ouvertures pennes'!U25)</f>
        <v>1.7973270861651887</v>
      </c>
      <c r="M24" s="781">
        <f t="shared" si="1"/>
        <v>1.8394038302771809</v>
      </c>
      <c r="O24" s="782">
        <f>IF('Sections rachis &amp; L pennes'!AC24="","",'Sections rachis &amp; L pennes'!AC24)</f>
        <v>80</v>
      </c>
      <c r="P24" s="783">
        <f>IF('Ouvertures pennes'!H59="","",'Ouvertures pennes'!H59)</f>
        <v>1.8766597908504046</v>
      </c>
      <c r="Q24" s="784">
        <f>IF('Ouvertures pennes'!I59="","",'Ouvertures pennes'!I59)</f>
        <v>1.8774499416902954</v>
      </c>
      <c r="R24" s="784" t="str">
        <f>IF('Ouvertures pennes'!J59="","",'Ouvertures pennes'!J59)</f>
        <v/>
      </c>
      <c r="S24" s="787">
        <f>IF('Ouvertures pennes'!K59="","",'Ouvertures pennes'!K59)</f>
        <v>1.8806105450498598</v>
      </c>
      <c r="T24" s="782">
        <f>IF('Sections rachis &amp; L pennes'!AH24="","",'Sections rachis &amp; L pennes'!AH24)</f>
        <v>80</v>
      </c>
      <c r="U24" s="783">
        <f>IF('Ouvertures pennes'!R59="","",'Ouvertures pennes'!R59)</f>
        <v>1.8513749639738888</v>
      </c>
      <c r="V24" s="784">
        <f>IF('Ouvertures pennes'!S59="","",'Ouvertures pennes'!S59)</f>
        <v>1.8458439080946514</v>
      </c>
      <c r="W24" s="784" t="str">
        <f>IF('Ouvertures pennes'!T59="","",'Ouvertures pennes'!T59)</f>
        <v/>
      </c>
      <c r="X24" s="787">
        <f>IF('Ouvertures pennes'!U59="","",'Ouvertures pennes'!U59)</f>
        <v>1.8711287349711665</v>
      </c>
      <c r="Y24" s="781">
        <f t="shared" si="2"/>
        <v>1.8806105450498598</v>
      </c>
    </row>
    <row r="25" spans="1:25" s="345" customFormat="1" ht="13.5" thickBot="1">
      <c r="A25" s="345">
        <f t="shared" si="0"/>
        <v>90</v>
      </c>
      <c r="C25" s="794">
        <f>IF('Sections rachis &amp; L pennes'!Q25="","",'Sections rachis &amp; L pennes'!Q25)</f>
        <v>90</v>
      </c>
      <c r="D25" s="783" t="str">
        <f>IF('Ouvertures pennes'!H26="","",'Ouvertures pennes'!H26)</f>
        <v/>
      </c>
      <c r="E25" s="784">
        <f>IF('Ouvertures pennes'!I26="","",'Ouvertures pennes'!I26)</f>
        <v>1.523926931258522</v>
      </c>
      <c r="F25" s="784" t="str">
        <f>IF('Ouvertures pennes'!J26="","",'Ouvertures pennes'!J26)</f>
        <v/>
      </c>
      <c r="G25" s="787" t="str">
        <f>IF('Ouvertures pennes'!K26="","",'Ouvertures pennes'!K26)</f>
        <v/>
      </c>
      <c r="H25" s="794">
        <f>IF('Sections rachis &amp; L pennes'!V25="","",'Sections rachis &amp; L pennes'!V25)</f>
        <v>90</v>
      </c>
      <c r="I25" s="783" t="str">
        <f>IF('Ouvertures pennes'!R26="","",'Ouvertures pennes'!R26)</f>
        <v/>
      </c>
      <c r="J25" s="784">
        <f>IF('Ouvertures pennes'!S26="","",'Ouvertures pennes'!S26)</f>
        <v>1.5006240367494028</v>
      </c>
      <c r="K25" s="784" t="str">
        <f>IF('Ouvertures pennes'!T26="","",'Ouvertures pennes'!T26)</f>
        <v/>
      </c>
      <c r="L25" s="787" t="str">
        <f>IF('Ouvertures pennes'!U26="","",'Ouvertures pennes'!U26)</f>
        <v/>
      </c>
      <c r="M25" s="781">
        <f t="shared" si="1"/>
        <v>1.523926931258522</v>
      </c>
      <c r="O25" s="794">
        <f>IF('Sections rachis &amp; L pennes'!AC25="","",'Sections rachis &amp; L pennes'!AC25)</f>
        <v>90</v>
      </c>
      <c r="P25" s="783">
        <f>IF('Ouvertures pennes'!H60="","",'Ouvertures pennes'!H60)</f>
        <v>1.5524560833632461</v>
      </c>
      <c r="Q25" s="784" t="str">
        <f>IF('Ouvertures pennes'!I60="","",'Ouvertures pennes'!I60)</f>
        <v/>
      </c>
      <c r="R25" s="784" t="str">
        <f>IF('Ouvertures pennes'!J60="","",'Ouvertures pennes'!J60)</f>
        <v/>
      </c>
      <c r="S25" s="787" t="str">
        <f>IF('Ouvertures pennes'!K60="","",'Ouvertures pennes'!K60)</f>
        <v/>
      </c>
      <c r="T25" s="788">
        <f>IF('Sections rachis &amp; L pennes'!AH25="","",'Sections rachis &amp; L pennes'!AH25)</f>
        <v>90</v>
      </c>
      <c r="U25" s="783">
        <f>IF('Ouvertures pennes'!R60="","",'Ouvertures pennes'!R60)</f>
        <v>1.5335199189395601</v>
      </c>
      <c r="V25" s="784" t="str">
        <f>IF('Ouvertures pennes'!S60="","",'Ouvertures pennes'!S60)</f>
        <v/>
      </c>
      <c r="W25" s="784" t="str">
        <f>IF('Ouvertures pennes'!T60="","",'Ouvertures pennes'!T60)</f>
        <v/>
      </c>
      <c r="X25" s="787">
        <f>IF('Ouvertures pennes'!U60="","",'Ouvertures pennes'!U60)</f>
        <v>1.5285074048274081</v>
      </c>
      <c r="Y25" s="781">
        <f t="shared" si="2"/>
        <v>1.5524560833632461</v>
      </c>
    </row>
    <row r="26" spans="1:25" s="345" customFormat="1">
      <c r="A26" s="345">
        <f t="shared" si="0"/>
        <v>97.736572490101764</v>
      </c>
      <c r="B26" s="648" t="s">
        <v>1247</v>
      </c>
      <c r="C26" s="795">
        <f>IF('Sections rachis &amp; L pennes'!Q26="","",'Sections rachis &amp; L pennes'!Q26)</f>
        <v>97.59213759213759</v>
      </c>
      <c r="D26" s="776" t="str">
        <f>IF('Ouvertures pennes'!H27="","",'Ouvertures pennes'!H27)</f>
        <v/>
      </c>
      <c r="E26" s="777">
        <f>IF('Ouvertures pennes'!I27="","",'Ouvertures pennes'!I27)</f>
        <v>1.4</v>
      </c>
      <c r="F26" s="777" t="str">
        <f>IF('Ouvertures pennes'!J27="","",'Ouvertures pennes'!J27)</f>
        <v/>
      </c>
      <c r="G26" s="780" t="str">
        <f>IF('Ouvertures pennes'!K27="","",'Ouvertures pennes'!K27)</f>
        <v/>
      </c>
      <c r="H26" s="795">
        <f>IF('Sections rachis &amp; L pennes'!V26="","",'Sections rachis &amp; L pennes'!V26)</f>
        <v>97.54299754299754</v>
      </c>
      <c r="I26" s="776" t="str">
        <f>IF('Ouvertures pennes'!R27="","",'Ouvertures pennes'!R27)</f>
        <v/>
      </c>
      <c r="J26" s="777">
        <f>IF('Ouvertures pennes'!S27="","",'Ouvertures pennes'!S27)</f>
        <v>1.4</v>
      </c>
      <c r="K26" s="777" t="str">
        <f>IF('Ouvertures pennes'!T27="","",'Ouvertures pennes'!T27)</f>
        <v/>
      </c>
      <c r="L26" s="780" t="str">
        <f>IF('Ouvertures pennes'!U27="","",'Ouvertures pennes'!U27)</f>
        <v/>
      </c>
      <c r="M26" s="781">
        <f t="shared" si="1"/>
        <v>1.4</v>
      </c>
      <c r="N26" s="648" t="s">
        <v>1247</v>
      </c>
      <c r="O26" s="795">
        <f>IF('Sections rachis &amp; L pennes'!AC26="","",'Sections rachis &amp; L pennes'!AC26)</f>
        <v>98.032862763249241</v>
      </c>
      <c r="P26" s="776" t="str">
        <f>IF('Ouvertures pennes'!H61="","",'Ouvertures pennes'!H61)</f>
        <v/>
      </c>
      <c r="Q26" s="777">
        <f>IF('Ouvertures pennes'!I61="","",'Ouvertures pennes'!I61)</f>
        <v>1.3</v>
      </c>
      <c r="R26" s="777" t="str">
        <f>IF('Ouvertures pennes'!J61="","",'Ouvertures pennes'!J61)</f>
        <v/>
      </c>
      <c r="S26" s="780" t="str">
        <f>IF('Ouvertures pennes'!K61="","",'Ouvertures pennes'!K61)</f>
        <v/>
      </c>
      <c r="T26" s="796">
        <f>IF('Sections rachis &amp; L pennes'!AH26="","",'Sections rachis &amp; L pennes'!AH26)</f>
        <v>97.778292062022672</v>
      </c>
      <c r="U26" s="776" t="str">
        <f>IF('Ouvertures pennes'!R61="","",'Ouvertures pennes'!R61)</f>
        <v/>
      </c>
      <c r="V26" s="777">
        <f>IF('Ouvertures pennes'!S61="","",'Ouvertures pennes'!S61)</f>
        <v>1.3</v>
      </c>
      <c r="W26" s="777" t="str">
        <f>IF('Ouvertures pennes'!T61="","",'Ouvertures pennes'!T61)</f>
        <v/>
      </c>
      <c r="X26" s="780" t="str">
        <f>IF('Ouvertures pennes'!U61="","",'Ouvertures pennes'!U61)</f>
        <v/>
      </c>
      <c r="Y26" s="781">
        <f t="shared" si="2"/>
        <v>1.3</v>
      </c>
    </row>
    <row r="27" spans="1:25" s="345" customFormat="1">
      <c r="A27" s="345">
        <f t="shared" si="0"/>
        <v>98.474693898206965</v>
      </c>
      <c r="B27" s="653" t="s">
        <v>1248</v>
      </c>
      <c r="C27" s="797">
        <f>IF('Sections rachis &amp; L pennes'!Q27="","",'Sections rachis &amp; L pennes'!Q27)</f>
        <v>98.599508599508596</v>
      </c>
      <c r="D27" s="783" t="str">
        <f>IF('Ouvertures pennes'!H28="","",'Ouvertures pennes'!H28)</f>
        <v/>
      </c>
      <c r="E27" s="784">
        <f>IF('Ouvertures pennes'!I28="","",'Ouvertures pennes'!I28)</f>
        <v>1.3</v>
      </c>
      <c r="F27" s="784" t="str">
        <f>IF('Ouvertures pennes'!J28="","",'Ouvertures pennes'!J28)</f>
        <v/>
      </c>
      <c r="G27" s="787" t="str">
        <f>IF('Ouvertures pennes'!K28="","",'Ouvertures pennes'!K28)</f>
        <v/>
      </c>
      <c r="H27" s="797">
        <f>IF('Sections rachis &amp; L pennes'!V27="","",'Sections rachis &amp; L pennes'!V27)</f>
        <v>97.960687960687963</v>
      </c>
      <c r="I27" s="783" t="str">
        <f>IF('Ouvertures pennes'!R28="","",'Ouvertures pennes'!R28)</f>
        <v/>
      </c>
      <c r="J27" s="784">
        <f>IF('Ouvertures pennes'!S28="","",'Ouvertures pennes'!S28)</f>
        <v>1.3</v>
      </c>
      <c r="K27" s="784" t="str">
        <f>IF('Ouvertures pennes'!T28="","",'Ouvertures pennes'!T28)</f>
        <v/>
      </c>
      <c r="L27" s="787" t="str">
        <f>IF('Ouvertures pennes'!U28="","",'Ouvertures pennes'!U28)</f>
        <v/>
      </c>
      <c r="M27" s="781">
        <f t="shared" si="1"/>
        <v>1.3</v>
      </c>
      <c r="N27" s="653" t="s">
        <v>1248</v>
      </c>
      <c r="O27" s="797">
        <f>IF('Sections rachis &amp; L pennes'!AC27="","",'Sections rachis &amp; L pennes'!AC27)</f>
        <v>98.704003702846563</v>
      </c>
      <c r="P27" s="783" t="str">
        <f>IF('Ouvertures pennes'!H62="","",'Ouvertures pennes'!H62)</f>
        <v/>
      </c>
      <c r="Q27" s="784">
        <f>IF('Ouvertures pennes'!I62="","",'Ouvertures pennes'!I62)</f>
        <v>1.1000000000000001</v>
      </c>
      <c r="R27" s="784" t="str">
        <f>IF('Ouvertures pennes'!J62="","",'Ouvertures pennes'!J62)</f>
        <v/>
      </c>
      <c r="S27" s="787" t="str">
        <f>IF('Ouvertures pennes'!K62="","",'Ouvertures pennes'!K62)</f>
        <v/>
      </c>
      <c r="T27" s="797">
        <f>IF('Sections rachis &amp; L pennes'!AH27="","",'Sections rachis &amp; L pennes'!AH27)</f>
        <v>98.634575329784766</v>
      </c>
      <c r="U27" s="783" t="str">
        <f>IF('Ouvertures pennes'!R62="","",'Ouvertures pennes'!R62)</f>
        <v/>
      </c>
      <c r="V27" s="784">
        <f>IF('Ouvertures pennes'!S62="","",'Ouvertures pennes'!S62)</f>
        <v>1.1000000000000001</v>
      </c>
      <c r="W27" s="784" t="str">
        <f>IF('Ouvertures pennes'!T62="","",'Ouvertures pennes'!T62)</f>
        <v/>
      </c>
      <c r="X27" s="787" t="str">
        <f>IF('Ouvertures pennes'!U62="","",'Ouvertures pennes'!U62)</f>
        <v/>
      </c>
      <c r="Y27" s="781">
        <f t="shared" si="2"/>
        <v>1.1000000000000001</v>
      </c>
    </row>
    <row r="28" spans="1:25" s="345" customFormat="1">
      <c r="A28" s="345">
        <f t="shared" si="0"/>
        <v>99.115172061249353</v>
      </c>
      <c r="B28" s="653" t="s">
        <v>1249</v>
      </c>
      <c r="C28" s="797">
        <f>IF('Sections rachis &amp; L pennes'!Q28="","",'Sections rachis &amp; L pennes'!Q28)</f>
        <v>99.017199017199019</v>
      </c>
      <c r="D28" s="783" t="str">
        <f>IF('Ouvertures pennes'!H29="","",'Ouvertures pennes'!H29)</f>
        <v/>
      </c>
      <c r="E28" s="784">
        <f>IF('Ouvertures pennes'!I29="","",'Ouvertures pennes'!I29)</f>
        <v>1.1000000000000001</v>
      </c>
      <c r="F28" s="784" t="str">
        <f>IF('Ouvertures pennes'!J29="","",'Ouvertures pennes'!J29)</f>
        <v/>
      </c>
      <c r="G28" s="787" t="str">
        <f>IF('Ouvertures pennes'!K29="","",'Ouvertures pennes'!K29)</f>
        <v/>
      </c>
      <c r="H28" s="797">
        <f>IF('Sections rachis &amp; L pennes'!V28="","",'Sections rachis &amp; L pennes'!V28)</f>
        <v>99.017199017199019</v>
      </c>
      <c r="I28" s="783" t="str">
        <f>IF('Ouvertures pennes'!R29="","",'Ouvertures pennes'!R29)</f>
        <v/>
      </c>
      <c r="J28" s="784">
        <f>IF('Ouvertures pennes'!S29="","",'Ouvertures pennes'!S29)</f>
        <v>1.1000000000000001</v>
      </c>
      <c r="K28" s="784" t="str">
        <f>IF('Ouvertures pennes'!T29="","",'Ouvertures pennes'!T29)</f>
        <v/>
      </c>
      <c r="L28" s="787" t="str">
        <f>IF('Ouvertures pennes'!U29="","",'Ouvertures pennes'!U29)</f>
        <v/>
      </c>
      <c r="M28" s="781">
        <f t="shared" si="1"/>
        <v>1.1000000000000001</v>
      </c>
      <c r="N28" s="653" t="s">
        <v>1249</v>
      </c>
      <c r="O28" s="797">
        <f>IF('Sections rachis &amp; L pennes'!AC28="","",'Sections rachis &amp; L pennes'!AC28)</f>
        <v>99.352001851423282</v>
      </c>
      <c r="P28" s="783" t="str">
        <f>IF('Ouvertures pennes'!H63="","",'Ouvertures pennes'!H63)</f>
        <v/>
      </c>
      <c r="Q28" s="784">
        <f>IF('Ouvertures pennes'!I63="","",'Ouvertures pennes'!I63)</f>
        <v>0.75</v>
      </c>
      <c r="R28" s="784" t="str">
        <f>IF('Ouvertures pennes'!J63="","",'Ouvertures pennes'!J63)</f>
        <v/>
      </c>
      <c r="S28" s="787" t="str">
        <f>IF('Ouvertures pennes'!K63="","",'Ouvertures pennes'!K63)</f>
        <v/>
      </c>
      <c r="T28" s="797">
        <f>IF('Sections rachis &amp; L pennes'!AH28="","",'Sections rachis &amp; L pennes'!AH28)</f>
        <v>99.074288359176109</v>
      </c>
      <c r="U28" s="783" t="str">
        <f>IF('Ouvertures pennes'!R63="","",'Ouvertures pennes'!R63)</f>
        <v/>
      </c>
      <c r="V28" s="784">
        <f>IF('Ouvertures pennes'!S63="","",'Ouvertures pennes'!S63)</f>
        <v>0.75</v>
      </c>
      <c r="W28" s="784" t="str">
        <f>IF('Ouvertures pennes'!T63="","",'Ouvertures pennes'!T63)</f>
        <v/>
      </c>
      <c r="X28" s="787" t="str">
        <f>IF('Ouvertures pennes'!U63="","",'Ouvertures pennes'!U63)</f>
        <v/>
      </c>
      <c r="Y28" s="781">
        <f t="shared" si="2"/>
        <v>0.75</v>
      </c>
    </row>
    <row r="29" spans="1:25" s="345" customFormat="1">
      <c r="A29" s="345">
        <f t="shared" si="0"/>
        <v>99.665653482478291</v>
      </c>
      <c r="B29" s="653" t="s">
        <v>1251</v>
      </c>
      <c r="C29" s="797">
        <f>IF('Sections rachis &amp; L pennes'!Q29="","",'Sections rachis &amp; L pennes'!Q29)</f>
        <v>99.656019656019652</v>
      </c>
      <c r="D29" s="783" t="str">
        <f>IF('Ouvertures pennes'!H30="","",'Ouvertures pennes'!H30)</f>
        <v/>
      </c>
      <c r="E29" s="784">
        <f>IF('Ouvertures pennes'!I30="","",'Ouvertures pennes'!I30)</f>
        <v>0.75</v>
      </c>
      <c r="F29" s="784" t="str">
        <f>IF('Ouvertures pennes'!J30="","",'Ouvertures pennes'!J30)</f>
        <v/>
      </c>
      <c r="G29" s="787" t="str">
        <f>IF('Ouvertures pennes'!K30="","",'Ouvertures pennes'!K30)</f>
        <v/>
      </c>
      <c r="H29" s="797">
        <f>IF('Sections rachis &amp; L pennes'!V29="","",'Sections rachis &amp; L pennes'!V29)</f>
        <v>99.631449631449627</v>
      </c>
      <c r="I29" s="783" t="str">
        <f>IF('Ouvertures pennes'!R30="","",'Ouvertures pennes'!R30)</f>
        <v/>
      </c>
      <c r="J29" s="784">
        <f>IF('Ouvertures pennes'!S30="","",'Ouvertures pennes'!S30)</f>
        <v>0.75</v>
      </c>
      <c r="K29" s="784" t="str">
        <f>IF('Ouvertures pennes'!T30="","",'Ouvertures pennes'!T30)</f>
        <v/>
      </c>
      <c r="L29" s="787" t="str">
        <f>IF('Ouvertures pennes'!U30="","",'Ouvertures pennes'!U30)</f>
        <v/>
      </c>
      <c r="M29" s="781">
        <f t="shared" si="1"/>
        <v>0.75</v>
      </c>
      <c r="N29" s="653" t="s">
        <v>1251</v>
      </c>
      <c r="O29" s="797">
        <f>IF('Sections rachis &amp; L pennes'!AC29="","",'Sections rachis &amp; L pennes'!AC29)</f>
        <v>99.745429298773431</v>
      </c>
      <c r="P29" s="783" t="str">
        <f>IF('Ouvertures pennes'!H64="","",'Ouvertures pennes'!H64)</f>
        <v/>
      </c>
      <c r="Q29" s="784">
        <f>IF('Ouvertures pennes'!I64="","",'Ouvertures pennes'!I64)</f>
        <v>0.5</v>
      </c>
      <c r="R29" s="784" t="str">
        <f>IF('Ouvertures pennes'!J64="","",'Ouvertures pennes'!J64)</f>
        <v/>
      </c>
      <c r="S29" s="787" t="str">
        <f>IF('Ouvertures pennes'!K64="","",'Ouvertures pennes'!K64)</f>
        <v/>
      </c>
      <c r="T29" s="797">
        <f>IF('Sections rachis &amp; L pennes'!AH29="","",'Sections rachis &amp; L pennes'!AH29)</f>
        <v>99.629715343670441</v>
      </c>
      <c r="U29" s="783" t="str">
        <f>IF('Ouvertures pennes'!R64="","",'Ouvertures pennes'!R64)</f>
        <v/>
      </c>
      <c r="V29" s="784">
        <f>IF('Ouvertures pennes'!S64="","",'Ouvertures pennes'!S64)</f>
        <v>0.6</v>
      </c>
      <c r="W29" s="784" t="str">
        <f>IF('Ouvertures pennes'!T64="","",'Ouvertures pennes'!T64)</f>
        <v/>
      </c>
      <c r="X29" s="787" t="str">
        <f>IF('Ouvertures pennes'!U64="","",'Ouvertures pennes'!U64)</f>
        <v/>
      </c>
      <c r="Y29" s="781">
        <f t="shared" si="2"/>
        <v>0.6</v>
      </c>
    </row>
    <row r="30" spans="1:25" s="345" customFormat="1" ht="13.5" thickBot="1">
      <c r="A30" s="345">
        <f t="shared" si="0"/>
        <v>99.951573567634654</v>
      </c>
      <c r="B30" s="657" t="s">
        <v>1252</v>
      </c>
      <c r="C30" s="798">
        <f>IF('Sections rachis &amp; L pennes'!Q30="","",'Sections rachis &amp; L pennes'!Q30)</f>
        <v>99.877149877149876</v>
      </c>
      <c r="D30" s="789" t="str">
        <f>IF('Ouvertures pennes'!H31="","",'Ouvertures pennes'!H31)</f>
        <v/>
      </c>
      <c r="E30" s="790">
        <f>IF('Ouvertures pennes'!I31="","",'Ouvertures pennes'!I31)</f>
        <v>0.5</v>
      </c>
      <c r="F30" s="790" t="str">
        <f>IF('Ouvertures pennes'!J31="","",'Ouvertures pennes'!J31)</f>
        <v/>
      </c>
      <c r="G30" s="793" t="str">
        <f>IF('Ouvertures pennes'!K31="","",'Ouvertures pennes'!K31)</f>
        <v/>
      </c>
      <c r="H30" s="798">
        <f>IF('Sections rachis &amp; L pennes'!V30="","",'Sections rachis &amp; L pennes'!V30)</f>
        <v>99.975429975429975</v>
      </c>
      <c r="I30" s="789" t="str">
        <f>IF('Ouvertures pennes'!R31="","",'Ouvertures pennes'!R31)</f>
        <v/>
      </c>
      <c r="J30" s="790">
        <f>IF('Ouvertures pennes'!S31="","",'Ouvertures pennes'!S31)</f>
        <v>0.5</v>
      </c>
      <c r="K30" s="790" t="str">
        <f>IF('Ouvertures pennes'!T31="","",'Ouvertures pennes'!T31)</f>
        <v/>
      </c>
      <c r="L30" s="793" t="str">
        <f>IF('Ouvertures pennes'!U31="","",'Ouvertures pennes'!U31)</f>
        <v/>
      </c>
      <c r="M30" s="781">
        <f t="shared" si="1"/>
        <v>0.5</v>
      </c>
      <c r="N30" s="799" t="s">
        <v>1252</v>
      </c>
      <c r="O30" s="798">
        <f>IF('Sections rachis &amp; L pennes'!AC30="","",'Sections rachis &amp; L pennes'!AC30)</f>
        <v>99.976857208979396</v>
      </c>
      <c r="P30" s="789" t="str">
        <f>IF('Ouvertures pennes'!H65="","",'Ouvertures pennes'!H65)</f>
        <v/>
      </c>
      <c r="Q30" s="790">
        <f>IF('Ouvertures pennes'!I65="","",'Ouvertures pennes'!I65)</f>
        <v>0.6</v>
      </c>
      <c r="R30" s="790" t="str">
        <f>IF('Ouvertures pennes'!J65="","",'Ouvertures pennes'!J65)</f>
        <v/>
      </c>
      <c r="S30" s="793" t="str">
        <f>IF('Ouvertures pennes'!K65="","",'Ouvertures pennes'!K65)</f>
        <v/>
      </c>
      <c r="T30" s="798">
        <f>IF('Sections rachis &amp; L pennes'!AH30="","",'Sections rachis &amp; L pennes'!AH30)</f>
        <v>99.976857208979396</v>
      </c>
      <c r="U30" s="789" t="str">
        <f>IF('Ouvertures pennes'!R65="","",'Ouvertures pennes'!R65)</f>
        <v/>
      </c>
      <c r="V30" s="790">
        <f>IF('Ouvertures pennes'!S65="","",'Ouvertures pennes'!S65)</f>
        <v>0.7</v>
      </c>
      <c r="W30" s="790" t="str">
        <f>IF('Ouvertures pennes'!T65="","",'Ouvertures pennes'!T65)</f>
        <v/>
      </c>
      <c r="X30" s="793" t="str">
        <f>IF('Ouvertures pennes'!U65="","",'Ouvertures pennes'!U65)</f>
        <v/>
      </c>
      <c r="Y30" s="781">
        <f t="shared" si="2"/>
        <v>0.7</v>
      </c>
    </row>
    <row r="31" spans="1:25" s="345" customFormat="1" ht="13.5" thickBot="1">
      <c r="A31" s="345">
        <f t="shared" si="0"/>
        <v>100</v>
      </c>
      <c r="B31" s="660" t="s">
        <v>1254</v>
      </c>
      <c r="C31" s="800">
        <f>IF('Sections rachis &amp; L pennes'!Q31="","",'Sections rachis &amp; L pennes'!Q31)</f>
        <v>100</v>
      </c>
      <c r="D31" s="801" t="str">
        <f>IF('Ouvertures pennes'!H32="","",'Ouvertures pennes'!H32)</f>
        <v/>
      </c>
      <c r="E31" s="802">
        <f>IF('Ouvertures pennes'!I32="","",'Ouvertures pennes'!I32)</f>
        <v>0.4</v>
      </c>
      <c r="F31" s="802" t="str">
        <f>IF('Ouvertures pennes'!J32="","",'Ouvertures pennes'!J32)</f>
        <v/>
      </c>
      <c r="G31" s="803" t="str">
        <f>IF('Ouvertures pennes'!K32="","",'Ouvertures pennes'!K32)</f>
        <v/>
      </c>
      <c r="H31" s="800" t="str">
        <f>IF('Sections rachis &amp; L pennes'!V31="","",'Sections rachis &amp; L pennes'!V31)</f>
        <v>XXX</v>
      </c>
      <c r="I31" s="801" t="str">
        <f>IF('Ouvertures pennes'!R32="","",'Ouvertures pennes'!R32)</f>
        <v/>
      </c>
      <c r="J31" s="802" t="str">
        <f>IF('Ouvertures pennes'!S32="","",'Ouvertures pennes'!S32)</f>
        <v/>
      </c>
      <c r="K31" s="802" t="str">
        <f>IF('Ouvertures pennes'!T32="","",'Ouvertures pennes'!T32)</f>
        <v/>
      </c>
      <c r="L31" s="803" t="str">
        <f>IF('Ouvertures pennes'!U32="","",'Ouvertures pennes'!U32)</f>
        <v/>
      </c>
      <c r="M31" s="781">
        <f t="shared" si="1"/>
        <v>0.4</v>
      </c>
      <c r="N31" s="660" t="s">
        <v>1254</v>
      </c>
      <c r="O31" s="961">
        <f>IF('Sections rachis &amp; L pennes'!AC31="","",'Sections rachis &amp; L pennes'!AC31)</f>
        <v>100</v>
      </c>
      <c r="P31" s="801" t="str">
        <f>IF('Ouvertures pennes'!H66="","",'Ouvertures pennes'!H66)</f>
        <v/>
      </c>
      <c r="Q31" s="802">
        <f>IF('Ouvertures pennes'!I66="","",'Ouvertures pennes'!I66)</f>
        <v>0.6</v>
      </c>
      <c r="R31" s="802" t="str">
        <f>IF('Ouvertures pennes'!J66="","",'Ouvertures pennes'!J66)</f>
        <v/>
      </c>
      <c r="S31" s="803" t="str">
        <f>IF('Ouvertures pennes'!K66="","",'Ouvertures pennes'!K66)</f>
        <v/>
      </c>
      <c r="T31" s="961" t="str">
        <f>IF('Sections rachis &amp; L pennes'!AH31="","",'Sections rachis &amp; L pennes'!AH31)</f>
        <v>XXX</v>
      </c>
      <c r="U31" s="801" t="str">
        <f>IF('Ouvertures pennes'!R66="","",'Ouvertures pennes'!R66)</f>
        <v/>
      </c>
      <c r="V31" s="802" t="str">
        <f>IF('Ouvertures pennes'!S66="","",'Ouvertures pennes'!S66)</f>
        <v/>
      </c>
      <c r="W31" s="802" t="str">
        <f>IF('Ouvertures pennes'!T66="","",'Ouvertures pennes'!T66)</f>
        <v/>
      </c>
      <c r="X31" s="803" t="str">
        <f>IF('Ouvertures pennes'!U66="","",'Ouvertures pennes'!U66)</f>
        <v/>
      </c>
      <c r="Y31" s="781">
        <f t="shared" si="2"/>
        <v>0.6</v>
      </c>
    </row>
    <row r="32" spans="1:25" s="345" customFormat="1">
      <c r="D32" s="805"/>
      <c r="E32" s="806"/>
      <c r="F32" s="807"/>
      <c r="G32" s="807"/>
      <c r="H32" s="807"/>
      <c r="I32" s="807"/>
      <c r="J32" s="807"/>
      <c r="K32" s="807"/>
      <c r="L32" s="807"/>
      <c r="M32" s="807"/>
      <c r="N32" s="807"/>
      <c r="O32" s="807"/>
      <c r="P32" s="807"/>
      <c r="Q32" s="807"/>
      <c r="R32" s="807"/>
      <c r="S32" s="808"/>
      <c r="T32" s="808"/>
      <c r="Y32" s="807"/>
    </row>
    <row r="33" spans="1:30" s="345" customFormat="1">
      <c r="B33" s="809"/>
      <c r="C33" s="809"/>
      <c r="D33" s="810"/>
      <c r="E33" s="811"/>
      <c r="F33" s="812"/>
      <c r="G33" s="476"/>
      <c r="H33" s="476"/>
      <c r="I33" s="476"/>
      <c r="J33" s="962"/>
      <c r="K33" s="476"/>
      <c r="L33" s="476"/>
      <c r="M33" s="806">
        <f>IF('Ouvertures pennes (MAX)'!M33="","",'Ouvertures pennes (MAX)'!M33)</f>
        <v>2.561997016660738</v>
      </c>
      <c r="N33" s="476"/>
      <c r="O33" s="476"/>
      <c r="P33" s="476"/>
      <c r="Q33" s="476"/>
      <c r="R33" s="817"/>
      <c r="S33" s="476"/>
      <c r="T33" s="476"/>
      <c r="U33" s="476"/>
      <c r="V33" s="476"/>
      <c r="W33" s="476"/>
      <c r="X33" s="476"/>
      <c r="Y33" s="806">
        <f>IF('Ouvertures pennes (MAX)'!Y33="","",'Ouvertures pennes (MAX)'!Y33)</f>
        <v>2.6550767173058456</v>
      </c>
      <c r="Z33" s="476"/>
      <c r="AA33" s="476"/>
      <c r="AB33" s="476"/>
      <c r="AC33" s="476"/>
      <c r="AD33" s="476"/>
    </row>
    <row r="34" spans="1:30" s="345" customFormat="1" ht="14.25" customHeight="1" thickBot="1">
      <c r="B34" s="694"/>
      <c r="C34" s="814"/>
      <c r="D34" s="815"/>
      <c r="E34" s="811"/>
      <c r="F34" s="816"/>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tr">
        <f>IF(C16="","",C16)</f>
        <v/>
      </c>
      <c r="C35" s="809">
        <f>SUMIF(D$35:D$54,A35,B$35:B$54)</f>
        <v>5.3605555861977985</v>
      </c>
      <c r="D35" s="809">
        <f>IF(B35="",0,RANK(B35,B$35:B$54,1))</f>
        <v>0</v>
      </c>
      <c r="E35" s="814"/>
      <c r="F35" s="819">
        <f>IF(MAX(M33,Y33)=0,"",MAX(M33,Y33))</f>
        <v>2.6550767173058456</v>
      </c>
      <c r="H35" s="1580" t="s">
        <v>1280</v>
      </c>
      <c r="I35" s="1581"/>
      <c r="J35" s="1581"/>
      <c r="K35" s="1581"/>
      <c r="L35" s="1581"/>
      <c r="M35" s="1581"/>
      <c r="N35" s="1581"/>
      <c r="O35" s="1581"/>
      <c r="P35" s="1581"/>
      <c r="Q35" s="1581"/>
      <c r="R35" s="1581"/>
      <c r="S35" s="1581"/>
      <c r="T35" s="1581"/>
      <c r="U35" s="1581"/>
      <c r="V35" s="1581"/>
      <c r="W35" s="1581"/>
      <c r="X35" s="1581"/>
      <c r="Y35" s="1581"/>
      <c r="Z35" s="1581"/>
      <c r="AA35" s="1582"/>
    </row>
    <row r="36" spans="1:30" s="345" customFormat="1" ht="15.75" customHeight="1" thickBot="1">
      <c r="A36" s="345">
        <v>2</v>
      </c>
      <c r="B36" s="818" t="str">
        <f>IF(O16="","",O16)</f>
        <v/>
      </c>
      <c r="C36" s="809">
        <f t="shared" ref="C36:C54" si="3">SUMIF(D$35:D$54,A36,B$35:B$54)</f>
        <v>10</v>
      </c>
      <c r="D36" s="809">
        <f t="shared" ref="D36:D54" si="4">IF(B36="",0,RANK(B36,B$35:B$54,1))</f>
        <v>0</v>
      </c>
      <c r="E36" s="1583" t="s">
        <v>1281</v>
      </c>
      <c r="F36" s="1584"/>
      <c r="G36" s="1585"/>
      <c r="H36" s="820">
        <f>IF($C35=0,"",$C35)</f>
        <v>5.3605555861977985</v>
      </c>
      <c r="I36" s="821">
        <f>IF($C36=0,"",$C36)</f>
        <v>10</v>
      </c>
      <c r="J36" s="821">
        <f>IF($C37=0,"",$C37)</f>
        <v>20</v>
      </c>
      <c r="K36" s="821">
        <f>IF($C38=0,"",$C38)</f>
        <v>26.922669813782981</v>
      </c>
      <c r="L36" s="821">
        <f>IF($C39=0,"",$C39)</f>
        <v>28.402760758696882</v>
      </c>
      <c r="M36" s="821">
        <f>IF($C40="",0,$C40)</f>
        <v>30</v>
      </c>
      <c r="N36" s="821">
        <f>IF($C41=0,"",$C41)</f>
        <v>40</v>
      </c>
      <c r="O36" s="821">
        <f>IF($C42=0,"",$C42)</f>
        <v>50</v>
      </c>
      <c r="P36" s="821">
        <f>IF($C43=0,"",$C43)</f>
        <v>60</v>
      </c>
      <c r="Q36" s="821">
        <f>IF($C44=0,"",$C44)</f>
        <v>70</v>
      </c>
      <c r="R36" s="821">
        <f>IF($C45=0,"",$C45)</f>
        <v>80</v>
      </c>
      <c r="S36" s="821">
        <f>IF($C46=0,"",$C46)</f>
        <v>90</v>
      </c>
      <c r="T36" s="821">
        <f>IF($C47=0,"",$C47)</f>
        <v>97.736572490101764</v>
      </c>
      <c r="U36" s="821">
        <f>IF($C48=0,"",$C48)</f>
        <v>98.474693898206965</v>
      </c>
      <c r="V36" s="821">
        <f>IF($C49=0,"",$C49)</f>
        <v>99.115172061249353</v>
      </c>
      <c r="W36" s="821">
        <f>IF($C50=0,"",$C50)</f>
        <v>99.665653482478291</v>
      </c>
      <c r="X36" s="821">
        <f>IF($C51=0,"",$C51)</f>
        <v>99.951573567634654</v>
      </c>
      <c r="Y36" s="821">
        <f>IF($C52=0,"",$C52)</f>
        <v>100</v>
      </c>
      <c r="Z36" s="821" t="str">
        <f>IF($C53=0,"",$C53)</f>
        <v/>
      </c>
      <c r="AA36" s="822" t="str">
        <f>IF($C54=0,"",$C54)</f>
        <v/>
      </c>
    </row>
    <row r="37" spans="1:30" s="345" customFormat="1" ht="13.5" customHeight="1">
      <c r="A37" s="345">
        <v>3</v>
      </c>
      <c r="B37" s="818">
        <f>IF(COUNTIF(C13,"")+COUNTIF(H13,"")+COUNTIF(O13,"")+COUNTIF(T13,"")=4,"",AVERAGE(C13,H13,O13,T13))</f>
        <v>5.3605555861977985</v>
      </c>
      <c r="C37" s="809">
        <f t="shared" si="3"/>
        <v>20</v>
      </c>
      <c r="D37" s="809">
        <f t="shared" si="4"/>
        <v>1</v>
      </c>
      <c r="E37" s="1571" t="s">
        <v>1282</v>
      </c>
      <c r="F37" s="1574" t="s">
        <v>1283</v>
      </c>
      <c r="G37" s="1575"/>
      <c r="H37" s="823">
        <f t="shared" ref="H37:AA37" si="5">IF(COUNTIF(H39:H42,"")=4,"",AVERAGE(H39:H42))</f>
        <v>5.3105810118765709E-2</v>
      </c>
      <c r="I37" s="824">
        <f t="shared" si="5"/>
        <v>0.39013709945562669</v>
      </c>
      <c r="J37" s="824">
        <f t="shared" si="5"/>
        <v>0.49425581148842979</v>
      </c>
      <c r="K37" s="824">
        <f t="shared" si="5"/>
        <v>0.11728650692024079</v>
      </c>
      <c r="L37" s="824">
        <f t="shared" si="5"/>
        <v>0.1326360884040767</v>
      </c>
      <c r="M37" s="824">
        <f t="shared" si="5"/>
        <v>0.32357169948474485</v>
      </c>
      <c r="N37" s="824">
        <f t="shared" si="5"/>
        <v>0.41159904495774557</v>
      </c>
      <c r="O37" s="824">
        <f t="shared" si="5"/>
        <v>0.54950777110674032</v>
      </c>
      <c r="P37" s="824">
        <f t="shared" si="5"/>
        <v>0.64896626001836311</v>
      </c>
      <c r="Q37" s="824">
        <f t="shared" si="5"/>
        <v>0.70562984052110012</v>
      </c>
      <c r="R37" s="824">
        <f t="shared" si="5"/>
        <v>0.70436188854515169</v>
      </c>
      <c r="S37" s="824">
        <f t="shared" si="5"/>
        <v>0.58114629648709393</v>
      </c>
      <c r="T37" s="824" t="str">
        <f t="shared" si="5"/>
        <v/>
      </c>
      <c r="U37" s="824" t="str">
        <f t="shared" si="5"/>
        <v/>
      </c>
      <c r="V37" s="824" t="str">
        <f t="shared" si="5"/>
        <v/>
      </c>
      <c r="W37" s="824" t="str">
        <f t="shared" si="5"/>
        <v/>
      </c>
      <c r="X37" s="824" t="str">
        <f t="shared" si="5"/>
        <v/>
      </c>
      <c r="Y37" s="824" t="str">
        <f t="shared" si="5"/>
        <v/>
      </c>
      <c r="Z37" s="824" t="str">
        <f t="shared" si="5"/>
        <v/>
      </c>
      <c r="AA37" s="825" t="str">
        <f t="shared" si="5"/>
        <v/>
      </c>
    </row>
    <row r="38" spans="1:30" s="345" customFormat="1" ht="12.75" customHeight="1" thickBot="1">
      <c r="A38" s="345">
        <v>4</v>
      </c>
      <c r="B38" s="818">
        <f>IF(COUNTIF(C14,"")+COUNTIF(H14,"")+COUNTIF(O14,"")+COUNTIF(T14,"")=4,"",AVERAGE(C14,H14,O14,T14))</f>
        <v>26.922669813782981</v>
      </c>
      <c r="C38" s="809">
        <f t="shared" si="3"/>
        <v>26.922669813782981</v>
      </c>
      <c r="D38" s="809">
        <f t="shared" si="4"/>
        <v>4</v>
      </c>
      <c r="E38" s="1572"/>
      <c r="F38" s="1576" t="s">
        <v>1284</v>
      </c>
      <c r="G38" s="1577"/>
      <c r="H38" s="823">
        <f t="shared" ref="H38:AA38" si="6">IF(COUNTIF(H39:H42,"")=4,"",IF(COUNTIF(H39:H42,"")=3,0,STDEV(H39:H42)*$F$35))</f>
        <v>4.2426406871192675E-3</v>
      </c>
      <c r="I38" s="824">
        <f t="shared" si="6"/>
        <v>2.32308242376007E-2</v>
      </c>
      <c r="J38" s="824">
        <f t="shared" si="6"/>
        <v>2.7847267191905618E-2</v>
      </c>
      <c r="K38" s="824">
        <f t="shared" si="6"/>
        <v>4.4682538850666476E-2</v>
      </c>
      <c r="L38" s="824">
        <f t="shared" si="6"/>
        <v>8.1799540525911957E-2</v>
      </c>
      <c r="M38" s="824">
        <f t="shared" si="6"/>
        <v>9.8591037097670975E-2</v>
      </c>
      <c r="N38" s="824">
        <f t="shared" si="6"/>
        <v>9.1599917603816028E-2</v>
      </c>
      <c r="O38" s="824">
        <f t="shared" si="6"/>
        <v>7.8625624180432313E-2</v>
      </c>
      <c r="P38" s="824">
        <f t="shared" si="6"/>
        <v>4.3030285166046074E-2</v>
      </c>
      <c r="Q38" s="824">
        <f t="shared" si="6"/>
        <v>1.9119651992019763E-2</v>
      </c>
      <c r="R38" s="824">
        <f t="shared" si="6"/>
        <v>2.7488204168608078E-2</v>
      </c>
      <c r="S38" s="824">
        <f t="shared" si="6"/>
        <v>1.3389890273651789E-2</v>
      </c>
      <c r="T38" s="824" t="str">
        <f t="shared" si="6"/>
        <v/>
      </c>
      <c r="U38" s="824" t="str">
        <f t="shared" si="6"/>
        <v/>
      </c>
      <c r="V38" s="824" t="str">
        <f t="shared" si="6"/>
        <v/>
      </c>
      <c r="W38" s="824" t="str">
        <f t="shared" si="6"/>
        <v/>
      </c>
      <c r="X38" s="824" t="str">
        <f t="shared" si="6"/>
        <v/>
      </c>
      <c r="Y38" s="824" t="str">
        <f t="shared" si="6"/>
        <v/>
      </c>
      <c r="Z38" s="824" t="str">
        <f t="shared" si="6"/>
        <v/>
      </c>
      <c r="AA38" s="825" t="str">
        <f t="shared" si="6"/>
        <v/>
      </c>
    </row>
    <row r="39" spans="1:30" s="345" customFormat="1" ht="12.75" customHeight="1">
      <c r="A39" s="345">
        <v>5</v>
      </c>
      <c r="B39" s="818">
        <f>IF(COUNTIF(C15,"")+COUNTIF(H15,"")+COUNTIF(O15,"")+COUNTIF(T15,"")=4,"",AVERAGE(C15,H15,O15,T15))</f>
        <v>28.402760758696882</v>
      </c>
      <c r="C39" s="809">
        <f t="shared" si="3"/>
        <v>28.402760758696882</v>
      </c>
      <c r="D39" s="809">
        <f t="shared" si="4"/>
        <v>5</v>
      </c>
      <c r="E39" s="1572"/>
      <c r="F39" s="1578">
        <f>G7</f>
        <v>57</v>
      </c>
      <c r="G39" s="826" t="s">
        <v>1285</v>
      </c>
      <c r="H39" s="827" t="str">
        <f>IF(H36="","",IF(SUMIF($A$13:$A$31,H36,$D$13:$D$31)=0,"",SUMIF($A$13:$A$31,H36,$D$13:$D$31)/$M$33))</f>
        <v/>
      </c>
      <c r="I39" s="828">
        <f t="shared" ref="I39:AA39" si="7">IF(I36="","",IF(SUMIF($A$13:$A$31,I36,$D$13:$D$31)=0,"",SUMIF($A$13:$A$31,I36,$D$13:$D$31)/$M$33))</f>
        <v>0.38395020728641333</v>
      </c>
      <c r="J39" s="828">
        <f t="shared" si="7"/>
        <v>0.4868144345329522</v>
      </c>
      <c r="K39" s="828" t="str">
        <f t="shared" si="7"/>
        <v/>
      </c>
      <c r="L39" s="828">
        <f t="shared" si="7"/>
        <v>0.11085102681741628</v>
      </c>
      <c r="M39" s="828">
        <f t="shared" si="7"/>
        <v>0.28448726378675143</v>
      </c>
      <c r="N39" s="828">
        <f t="shared" si="7"/>
        <v>0.43633072420004793</v>
      </c>
      <c r="O39" s="828">
        <f t="shared" si="7"/>
        <v>0.56476690099261284</v>
      </c>
      <c r="P39" s="828">
        <f t="shared" si="7"/>
        <v>0.65196208264943423</v>
      </c>
      <c r="Q39" s="828">
        <f t="shared" si="7"/>
        <v>0.71575739801691285</v>
      </c>
      <c r="R39" s="828">
        <f t="shared" si="7"/>
        <v>0.71795705393702125</v>
      </c>
      <c r="S39" s="828" t="str">
        <f t="shared" si="7"/>
        <v/>
      </c>
      <c r="T39" s="828" t="str">
        <f t="shared" si="7"/>
        <v/>
      </c>
      <c r="U39" s="828" t="str">
        <f t="shared" si="7"/>
        <v/>
      </c>
      <c r="V39" s="828" t="str">
        <f t="shared" si="7"/>
        <v/>
      </c>
      <c r="W39" s="828" t="str">
        <f t="shared" si="7"/>
        <v/>
      </c>
      <c r="X39" s="828" t="str">
        <f t="shared" si="7"/>
        <v/>
      </c>
      <c r="Y39" s="828" t="str">
        <f t="shared" si="7"/>
        <v/>
      </c>
      <c r="Z39" s="828" t="str">
        <f t="shared" si="7"/>
        <v/>
      </c>
      <c r="AA39" s="829" t="str">
        <f t="shared" si="7"/>
        <v/>
      </c>
    </row>
    <row r="40" spans="1:30" s="345" customFormat="1" ht="12.75" customHeight="1" thickBot="1">
      <c r="A40" s="345">
        <v>6</v>
      </c>
      <c r="B40" s="818">
        <f t="shared" ref="B40:B48" si="8">IF(C17="","",C17)</f>
        <v>10</v>
      </c>
      <c r="C40" s="809">
        <f t="shared" si="3"/>
        <v>30</v>
      </c>
      <c r="D40" s="809">
        <f t="shared" si="4"/>
        <v>2</v>
      </c>
      <c r="E40" s="1572"/>
      <c r="F40" s="1579"/>
      <c r="G40" s="830" t="s">
        <v>1286</v>
      </c>
      <c r="H40" s="823" t="str">
        <f>IF(H36="","",IF(SUMIF($A$13:$A$31,H36,$I$13:$I$31)=0,"",SUMIF($A$13:$A$31,H36,$I$13:$I$31)/$M$33))</f>
        <v/>
      </c>
      <c r="I40" s="824">
        <f t="shared" ref="I40:AA40" si="9">IF(I36="","",IF(SUMIF($A$13:$A$31,I36,$I$13:$I$31)=0,"",SUMIF($A$13:$A$31,I36,$I$13:$I$31)/$M$33))</f>
        <v>0.39632399162484006</v>
      </c>
      <c r="J40" s="824">
        <f t="shared" si="9"/>
        <v>0.48483762968100086</v>
      </c>
      <c r="K40" s="824">
        <f t="shared" si="9"/>
        <v>0.10538653957993803</v>
      </c>
      <c r="L40" s="824" t="str">
        <f t="shared" si="9"/>
        <v/>
      </c>
      <c r="M40" s="824">
        <f t="shared" si="9"/>
        <v>0.29919735818402743</v>
      </c>
      <c r="N40" s="824">
        <f t="shared" si="9"/>
        <v>0.44159609302761504</v>
      </c>
      <c r="O40" s="824">
        <f t="shared" si="9"/>
        <v>0.5634615116965026</v>
      </c>
      <c r="P40" s="824">
        <f t="shared" si="9"/>
        <v>0.65992105708379256</v>
      </c>
      <c r="Q40" s="824">
        <f t="shared" si="9"/>
        <v>0.7019430109613124</v>
      </c>
      <c r="R40" s="824">
        <f t="shared" si="9"/>
        <v>0.69537485623040662</v>
      </c>
      <c r="S40" s="824" t="str">
        <f t="shared" si="9"/>
        <v/>
      </c>
      <c r="T40" s="824" t="str">
        <f t="shared" si="9"/>
        <v/>
      </c>
      <c r="U40" s="824" t="str">
        <f t="shared" si="9"/>
        <v/>
      </c>
      <c r="V40" s="824" t="str">
        <f t="shared" si="9"/>
        <v/>
      </c>
      <c r="W40" s="824" t="str">
        <f t="shared" si="9"/>
        <v/>
      </c>
      <c r="X40" s="824" t="str">
        <f t="shared" si="9"/>
        <v/>
      </c>
      <c r="Y40" s="824" t="str">
        <f t="shared" si="9"/>
        <v/>
      </c>
      <c r="Z40" s="824" t="str">
        <f t="shared" si="9"/>
        <v/>
      </c>
      <c r="AA40" s="825" t="str">
        <f t="shared" si="9"/>
        <v/>
      </c>
    </row>
    <row r="41" spans="1:30" s="345" customFormat="1" ht="12.75" customHeight="1">
      <c r="A41" s="345">
        <v>7</v>
      </c>
      <c r="B41" s="818">
        <f t="shared" si="8"/>
        <v>20</v>
      </c>
      <c r="C41" s="809">
        <f t="shared" si="3"/>
        <v>40</v>
      </c>
      <c r="D41" s="809">
        <f t="shared" si="4"/>
        <v>3</v>
      </c>
      <c r="E41" s="1572"/>
      <c r="F41" s="1578">
        <f>U7</f>
        <v>83</v>
      </c>
      <c r="G41" s="826" t="s">
        <v>1285</v>
      </c>
      <c r="H41" s="827">
        <f>IF(H36="","",IF(SUMIF($A$13:$A$31,H36,$P$13:$P$31)=0,"",SUMIF($A$13:$A$31,H36,$P$13:$P$31)/$Y$33))</f>
        <v>5.423572097235646E-2</v>
      </c>
      <c r="I41" s="828" t="str">
        <f t="shared" ref="I41:AA41" si="10">IF(I36="","",IF(SUMIF($A$13:$A$31,I36,$P$13:$P$31)=0,"",SUMIF($A$13:$A$31,I36,$P$13:$P$31)/$Y$33))</f>
        <v/>
      </c>
      <c r="J41" s="828">
        <f t="shared" si="10"/>
        <v>0.5073661532235203</v>
      </c>
      <c r="K41" s="828">
        <f t="shared" si="10"/>
        <v>0.12918647426054353</v>
      </c>
      <c r="L41" s="828" t="str">
        <f t="shared" si="10"/>
        <v/>
      </c>
      <c r="M41" s="828">
        <f t="shared" si="10"/>
        <v>0.35447180948370588</v>
      </c>
      <c r="N41" s="828">
        <f t="shared" si="10"/>
        <v>0.40099231370421762</v>
      </c>
      <c r="O41" s="828">
        <f t="shared" si="10"/>
        <v>0.56470571072286069</v>
      </c>
      <c r="P41" s="828">
        <f t="shared" si="10"/>
        <v>0.65874935441755156</v>
      </c>
      <c r="Q41" s="828">
        <f t="shared" si="10"/>
        <v>0.70546470289823515</v>
      </c>
      <c r="R41" s="828">
        <f t="shared" si="10"/>
        <v>0.70681942205974568</v>
      </c>
      <c r="S41" s="828">
        <f t="shared" si="10"/>
        <v>0.58471232610504431</v>
      </c>
      <c r="T41" s="828" t="str">
        <f t="shared" si="10"/>
        <v/>
      </c>
      <c r="U41" s="828" t="str">
        <f t="shared" si="10"/>
        <v/>
      </c>
      <c r="V41" s="828" t="str">
        <f t="shared" si="10"/>
        <v/>
      </c>
      <c r="W41" s="828" t="str">
        <f t="shared" si="10"/>
        <v/>
      </c>
      <c r="X41" s="828" t="str">
        <f t="shared" si="10"/>
        <v/>
      </c>
      <c r="Y41" s="828" t="str">
        <f t="shared" si="10"/>
        <v/>
      </c>
      <c r="Z41" s="828" t="str">
        <f t="shared" si="10"/>
        <v/>
      </c>
      <c r="AA41" s="829" t="str">
        <f t="shared" si="10"/>
        <v/>
      </c>
    </row>
    <row r="42" spans="1:30" s="345" customFormat="1" ht="13.5" customHeight="1" thickBot="1">
      <c r="A42" s="345">
        <v>8</v>
      </c>
      <c r="B42" s="818">
        <f t="shared" si="8"/>
        <v>30</v>
      </c>
      <c r="C42" s="809">
        <f t="shared" si="3"/>
        <v>50</v>
      </c>
      <c r="D42" s="809">
        <f t="shared" si="4"/>
        <v>6</v>
      </c>
      <c r="E42" s="1573"/>
      <c r="F42" s="1579"/>
      <c r="G42" s="830" t="s">
        <v>1286</v>
      </c>
      <c r="H42" s="831">
        <f>IF(H36="","",IF(SUMIF($A$13:$A$31,H36,$U$13:$U$31)=0,"",SUMIF($A$13:$A$31,H36,$U$13:$U$31)/$Y$33))</f>
        <v>5.197589926517495E-2</v>
      </c>
      <c r="I42" s="832" t="str">
        <f t="shared" ref="I42:AA42" si="11">IF(I36="","",IF(SUMIF($A$13:$A$31,I36,$U$13:$U$31)=0,"",SUMIF($A$13:$A$31,I36,$U$13:$U$31)/$Y$33))</f>
        <v/>
      </c>
      <c r="J42" s="832">
        <f t="shared" si="11"/>
        <v>0.49800502851624584</v>
      </c>
      <c r="K42" s="832" t="str">
        <f t="shared" si="11"/>
        <v/>
      </c>
      <c r="L42" s="832">
        <f t="shared" si="11"/>
        <v>0.15442114999073714</v>
      </c>
      <c r="M42" s="832">
        <f t="shared" si="11"/>
        <v>0.35613036648449464</v>
      </c>
      <c r="N42" s="832">
        <f t="shared" si="11"/>
        <v>0.36747704889910165</v>
      </c>
      <c r="O42" s="832">
        <f t="shared" si="11"/>
        <v>0.50509696101498536</v>
      </c>
      <c r="P42" s="832">
        <f t="shared" si="11"/>
        <v>0.62523254592267419</v>
      </c>
      <c r="Q42" s="832">
        <f t="shared" si="11"/>
        <v>0.69935425020794006</v>
      </c>
      <c r="R42" s="832">
        <f t="shared" si="11"/>
        <v>0.69729622195343288</v>
      </c>
      <c r="S42" s="832">
        <f t="shared" si="11"/>
        <v>0.57758026686914365</v>
      </c>
      <c r="T42" s="832" t="str">
        <f t="shared" si="11"/>
        <v/>
      </c>
      <c r="U42" s="832" t="str">
        <f t="shared" si="11"/>
        <v/>
      </c>
      <c r="V42" s="832" t="str">
        <f t="shared" si="11"/>
        <v/>
      </c>
      <c r="W42" s="832" t="str">
        <f t="shared" si="11"/>
        <v/>
      </c>
      <c r="X42" s="832" t="str">
        <f t="shared" si="11"/>
        <v/>
      </c>
      <c r="Y42" s="832" t="str">
        <f t="shared" si="11"/>
        <v/>
      </c>
      <c r="Z42" s="832" t="str">
        <f t="shared" si="11"/>
        <v/>
      </c>
      <c r="AA42" s="833" t="str">
        <f t="shared" si="11"/>
        <v/>
      </c>
    </row>
    <row r="43" spans="1:30" s="345" customFormat="1" ht="12.75" customHeight="1">
      <c r="A43" s="345">
        <v>9</v>
      </c>
      <c r="B43" s="818">
        <f t="shared" si="8"/>
        <v>40</v>
      </c>
      <c r="C43" s="809">
        <f t="shared" si="3"/>
        <v>60</v>
      </c>
      <c r="D43" s="809">
        <f t="shared" si="4"/>
        <v>7</v>
      </c>
      <c r="E43" s="1590">
        <v>0</v>
      </c>
      <c r="F43" s="1574" t="s">
        <v>1283</v>
      </c>
      <c r="G43" s="1593"/>
      <c r="H43" s="834" t="str">
        <f t="shared" ref="H43:AA43" si="12">IF(COUNTIF(H45:H52,"")=8,"",AVERAGE(H45:H52))</f>
        <v/>
      </c>
      <c r="I43" s="835">
        <f t="shared" si="12"/>
        <v>0.38916359236550224</v>
      </c>
      <c r="J43" s="835" t="str">
        <f t="shared" si="12"/>
        <v/>
      </c>
      <c r="K43" s="835" t="str">
        <f t="shared" si="12"/>
        <v/>
      </c>
      <c r="L43" s="835" t="str">
        <f t="shared" si="12"/>
        <v/>
      </c>
      <c r="M43" s="835" t="str">
        <f t="shared" si="12"/>
        <v/>
      </c>
      <c r="N43" s="835">
        <f t="shared" si="12"/>
        <v>0.42579998654491369</v>
      </c>
      <c r="O43" s="835">
        <f t="shared" si="12"/>
        <v>0.56161488666393378</v>
      </c>
      <c r="P43" s="835">
        <f t="shared" si="12"/>
        <v>0.64604152111123414</v>
      </c>
      <c r="Q43" s="835">
        <f t="shared" si="12"/>
        <v>0.69827593502729979</v>
      </c>
      <c r="R43" s="835">
        <f t="shared" si="12"/>
        <v>0.70050582635241199</v>
      </c>
      <c r="S43" s="835">
        <f t="shared" si="12"/>
        <v>0.59027214870649447</v>
      </c>
      <c r="T43" s="835">
        <f t="shared" si="12"/>
        <v>0.51803838015191128</v>
      </c>
      <c r="U43" s="835">
        <f t="shared" si="12"/>
        <v>0.4608586591840827</v>
      </c>
      <c r="V43" s="835">
        <f t="shared" si="12"/>
        <v>0.35591514102834831</v>
      </c>
      <c r="W43" s="835">
        <f t="shared" si="12"/>
        <v>0.24994535544017799</v>
      </c>
      <c r="X43" s="835">
        <f t="shared" si="12"/>
        <v>0.21998713837968228</v>
      </c>
      <c r="Y43" s="835">
        <f t="shared" si="12"/>
        <v>0.19105518875162264</v>
      </c>
      <c r="Z43" s="835" t="str">
        <f t="shared" si="12"/>
        <v/>
      </c>
      <c r="AA43" s="836" t="str">
        <f t="shared" si="12"/>
        <v/>
      </c>
    </row>
    <row r="44" spans="1:30" s="345" customFormat="1" ht="13.5" customHeight="1" thickBot="1">
      <c r="A44" s="345">
        <v>10</v>
      </c>
      <c r="B44" s="818">
        <f t="shared" si="8"/>
        <v>50</v>
      </c>
      <c r="C44" s="809">
        <f t="shared" si="3"/>
        <v>70</v>
      </c>
      <c r="D44" s="809">
        <f t="shared" si="4"/>
        <v>8</v>
      </c>
      <c r="E44" s="1591"/>
      <c r="F44" s="1576" t="s">
        <v>1284</v>
      </c>
      <c r="G44" s="1594"/>
      <c r="H44" s="834" t="str">
        <f t="shared" ref="H44:AA44" si="13">IF(COUNTIF(H45:H52,"")=8,"",IF(COUNTIF(H45:H52,"")=7,0,STDEV(H45:H52)*$F$35))</f>
        <v/>
      </c>
      <c r="I44" s="835">
        <f t="shared" si="13"/>
        <v>2.8624832645614627E-2</v>
      </c>
      <c r="J44" s="835" t="str">
        <f t="shared" si="13"/>
        <v/>
      </c>
      <c r="K44" s="835" t="str">
        <f t="shared" si="13"/>
        <v/>
      </c>
      <c r="L44" s="835" t="str">
        <f t="shared" si="13"/>
        <v/>
      </c>
      <c r="M44" s="835" t="str">
        <f t="shared" si="13"/>
        <v/>
      </c>
      <c r="N44" s="835">
        <f t="shared" si="13"/>
        <v>0</v>
      </c>
      <c r="O44" s="835">
        <f t="shared" si="13"/>
        <v>0</v>
      </c>
      <c r="P44" s="835">
        <f t="shared" si="13"/>
        <v>3.567891757812116E-2</v>
      </c>
      <c r="Q44" s="835">
        <f t="shared" si="13"/>
        <v>0</v>
      </c>
      <c r="R44" s="835">
        <f t="shared" si="13"/>
        <v>1.6091149667609366E-2</v>
      </c>
      <c r="S44" s="835">
        <f t="shared" si="13"/>
        <v>1.7076282306289357E-2</v>
      </c>
      <c r="T44" s="835">
        <f t="shared" si="13"/>
        <v>8.7100957411348531E-2</v>
      </c>
      <c r="U44" s="835">
        <f t="shared" si="13"/>
        <v>0.14273841786656966</v>
      </c>
      <c r="V44" s="835">
        <f t="shared" si="13"/>
        <v>0.22514582531753052</v>
      </c>
      <c r="W44" s="835">
        <f t="shared" si="13"/>
        <v>0.13740662137477463</v>
      </c>
      <c r="X44" s="835">
        <f t="shared" si="13"/>
        <v>8.637195985784539E-2</v>
      </c>
      <c r="Y44" s="835">
        <f t="shared" si="13"/>
        <v>0.13114542116182609</v>
      </c>
      <c r="Z44" s="835" t="str">
        <f t="shared" si="13"/>
        <v/>
      </c>
      <c r="AA44" s="836" t="str">
        <f t="shared" si="13"/>
        <v/>
      </c>
    </row>
    <row r="45" spans="1:30" s="345" customFormat="1">
      <c r="A45" s="345">
        <v>11</v>
      </c>
      <c r="B45" s="818">
        <f t="shared" si="8"/>
        <v>60</v>
      </c>
      <c r="C45" s="809">
        <f t="shared" si="3"/>
        <v>80</v>
      </c>
      <c r="D45" s="809">
        <f t="shared" si="4"/>
        <v>9</v>
      </c>
      <c r="E45" s="1591"/>
      <c r="F45" s="1578">
        <f>G7</f>
        <v>57</v>
      </c>
      <c r="G45" s="1596" t="s">
        <v>1285</v>
      </c>
      <c r="H45" s="837" t="str">
        <f>IF(H36="","",IF(SUMIF($A$13:$A$31,H36,$E$13:$E$31)=0,"",SUMIF($A$13:$A$31,H36,$E$13:$E$31)/$M$33))</f>
        <v/>
      </c>
      <c r="I45" s="838" t="str">
        <f t="shared" ref="I45:AA45" si="14">IF(I36="","",IF(SUMIF($A$13:$A$31,I36,$E$13:$E$31)=0,"",SUMIF($A$13:$A$31,I36,$E$13:$E$31)/$M$33))</f>
        <v/>
      </c>
      <c r="J45" s="838" t="str">
        <f t="shared" si="14"/>
        <v/>
      </c>
      <c r="K45" s="838" t="str">
        <f t="shared" si="14"/>
        <v/>
      </c>
      <c r="L45" s="838" t="str">
        <f t="shared" si="14"/>
        <v/>
      </c>
      <c r="M45" s="838" t="str">
        <f t="shared" si="14"/>
        <v/>
      </c>
      <c r="N45" s="838">
        <f t="shared" si="14"/>
        <v>0.42579998654491369</v>
      </c>
      <c r="O45" s="838" t="str">
        <f t="shared" si="14"/>
        <v/>
      </c>
      <c r="P45" s="838" t="str">
        <f t="shared" si="14"/>
        <v/>
      </c>
      <c r="Q45" s="838" t="str">
        <f t="shared" si="14"/>
        <v/>
      </c>
      <c r="R45" s="838" t="str">
        <f t="shared" si="14"/>
        <v/>
      </c>
      <c r="S45" s="838">
        <f t="shared" si="14"/>
        <v>0.5948199476222582</v>
      </c>
      <c r="T45" s="838">
        <f t="shared" si="14"/>
        <v>0.54644872374782671</v>
      </c>
      <c r="U45" s="838">
        <f t="shared" si="14"/>
        <v>0.5074166720515535</v>
      </c>
      <c r="V45" s="838">
        <f t="shared" si="14"/>
        <v>0.42935256865900678</v>
      </c>
      <c r="W45" s="838">
        <f t="shared" si="14"/>
        <v>0.29274038772205008</v>
      </c>
      <c r="X45" s="838">
        <f t="shared" si="14"/>
        <v>0.1951602584813667</v>
      </c>
      <c r="Y45" s="838">
        <f t="shared" si="14"/>
        <v>0.15612820678509337</v>
      </c>
      <c r="Z45" s="838" t="str">
        <f t="shared" si="14"/>
        <v/>
      </c>
      <c r="AA45" s="839" t="str">
        <f t="shared" si="14"/>
        <v/>
      </c>
    </row>
    <row r="46" spans="1:30" s="345" customFormat="1">
      <c r="A46" s="345">
        <v>12</v>
      </c>
      <c r="B46" s="818">
        <f t="shared" si="8"/>
        <v>70</v>
      </c>
      <c r="C46" s="809">
        <f t="shared" si="3"/>
        <v>90</v>
      </c>
      <c r="D46" s="809">
        <f t="shared" si="4"/>
        <v>10</v>
      </c>
      <c r="E46" s="1591"/>
      <c r="F46" s="1595"/>
      <c r="G46" s="1597"/>
      <c r="H46" s="834" t="str">
        <f>IF(H36="","",IF(SUMIF($A$13:$A$31,H36,$F$13:$F$31)=0,"",SUMIF($A$13:$A$31,H36,$F$13:$F$31)/$M$33))</f>
        <v/>
      </c>
      <c r="I46" s="835" t="str">
        <f t="shared" ref="I46:AA46" si="15">IF(I36="","",IF(SUMIF($A$13:$A$31,I36,$F$13:$F$31)=0,"",SUMIF($A$13:$A$31,I36,$F$13:$F$31)/$M$33))</f>
        <v/>
      </c>
      <c r="J46" s="835" t="str">
        <f t="shared" si="15"/>
        <v/>
      </c>
      <c r="K46" s="835" t="str">
        <f t="shared" si="15"/>
        <v/>
      </c>
      <c r="L46" s="835" t="str">
        <f t="shared" si="15"/>
        <v/>
      </c>
      <c r="M46" s="835" t="str">
        <f t="shared" si="15"/>
        <v/>
      </c>
      <c r="N46" s="835" t="str">
        <f t="shared" si="15"/>
        <v/>
      </c>
      <c r="O46" s="835" t="str">
        <f t="shared" si="15"/>
        <v/>
      </c>
      <c r="P46" s="835" t="str">
        <f t="shared" si="15"/>
        <v/>
      </c>
      <c r="Q46" s="835" t="str">
        <f t="shared" si="15"/>
        <v/>
      </c>
      <c r="R46" s="835" t="str">
        <f t="shared" si="15"/>
        <v/>
      </c>
      <c r="S46" s="835" t="str">
        <f t="shared" si="15"/>
        <v/>
      </c>
      <c r="T46" s="835" t="str">
        <f t="shared" si="15"/>
        <v/>
      </c>
      <c r="U46" s="835" t="str">
        <f t="shared" si="15"/>
        <v/>
      </c>
      <c r="V46" s="835" t="str">
        <f t="shared" si="15"/>
        <v/>
      </c>
      <c r="W46" s="835" t="str">
        <f t="shared" si="15"/>
        <v/>
      </c>
      <c r="X46" s="835" t="str">
        <f t="shared" si="15"/>
        <v/>
      </c>
      <c r="Y46" s="835" t="str">
        <f t="shared" si="15"/>
        <v/>
      </c>
      <c r="Z46" s="835" t="str">
        <f t="shared" si="15"/>
        <v/>
      </c>
      <c r="AA46" s="836" t="str">
        <f t="shared" si="15"/>
        <v/>
      </c>
    </row>
    <row r="47" spans="1:30" s="345" customFormat="1">
      <c r="A47" s="345">
        <v>13</v>
      </c>
      <c r="B47" s="818">
        <f t="shared" si="8"/>
        <v>80</v>
      </c>
      <c r="C47" s="809">
        <f t="shared" si="3"/>
        <v>97.736572490101764</v>
      </c>
      <c r="D47" s="809">
        <f t="shared" si="4"/>
        <v>11</v>
      </c>
      <c r="E47" s="1591"/>
      <c r="F47" s="1595"/>
      <c r="G47" s="1597" t="s">
        <v>1286</v>
      </c>
      <c r="H47" s="834" t="str">
        <f>IF(H36="","",IF(SUMIF($A$13:$A$31,H36,$J$13:$J$31)=0,"",SUMIF($A$13:$A$31,H36,$J$13:$J$31)/$M$33))</f>
        <v/>
      </c>
      <c r="I47" s="835" t="str">
        <f t="shared" ref="I47:AA47" si="16">IF(I36="","",IF(SUMIF($A$13:$A$31,I36,$J$13:$J$31)=0,"",SUMIF($A$13:$A$31,I36,$J$13:$J$31)/$M$33))</f>
        <v/>
      </c>
      <c r="J47" s="835" t="str">
        <f t="shared" si="16"/>
        <v/>
      </c>
      <c r="K47" s="835" t="str">
        <f t="shared" si="16"/>
        <v/>
      </c>
      <c r="L47" s="835" t="str">
        <f t="shared" si="16"/>
        <v/>
      </c>
      <c r="M47" s="835" t="str">
        <f t="shared" si="16"/>
        <v/>
      </c>
      <c r="N47" s="835" t="str">
        <f t="shared" si="16"/>
        <v/>
      </c>
      <c r="O47" s="835" t="str">
        <f t="shared" si="16"/>
        <v/>
      </c>
      <c r="P47" s="835">
        <f t="shared" si="16"/>
        <v>0.65554362114489551</v>
      </c>
      <c r="Q47" s="835" t="str">
        <f t="shared" si="16"/>
        <v/>
      </c>
      <c r="R47" s="835">
        <f t="shared" si="16"/>
        <v>0.69918743506399095</v>
      </c>
      <c r="S47" s="835">
        <f t="shared" si="16"/>
        <v>0.58572434979073074</v>
      </c>
      <c r="T47" s="835">
        <f t="shared" si="16"/>
        <v>0.54644872374782671</v>
      </c>
      <c r="U47" s="835">
        <f t="shared" si="16"/>
        <v>0.5074166720515535</v>
      </c>
      <c r="V47" s="835">
        <f t="shared" si="16"/>
        <v>0.42935256865900678</v>
      </c>
      <c r="W47" s="835">
        <f t="shared" si="16"/>
        <v>0.29274038772205008</v>
      </c>
      <c r="X47" s="835">
        <f t="shared" si="16"/>
        <v>0.1951602584813667</v>
      </c>
      <c r="Y47" s="835" t="str">
        <f t="shared" si="16"/>
        <v/>
      </c>
      <c r="Z47" s="835" t="str">
        <f t="shared" si="16"/>
        <v/>
      </c>
      <c r="AA47" s="836" t="str">
        <f t="shared" si="16"/>
        <v/>
      </c>
    </row>
    <row r="48" spans="1:30" s="345" customFormat="1" ht="13.5" thickBot="1">
      <c r="A48" s="345">
        <v>14</v>
      </c>
      <c r="B48" s="818">
        <f t="shared" si="8"/>
        <v>90</v>
      </c>
      <c r="C48" s="809">
        <f t="shared" si="3"/>
        <v>98.474693898206965</v>
      </c>
      <c r="D48" s="809">
        <f t="shared" si="4"/>
        <v>12</v>
      </c>
      <c r="E48" s="1591"/>
      <c r="F48" s="1579"/>
      <c r="G48" s="1598"/>
      <c r="H48" s="834" t="str">
        <f>IF(H36="","",IF(SUMIF($A$13:$A$31,H36,$K$13:$K$31)=0,"",SUMIF($A$13:$A$31,H36,$K$13:$K$31)/$M$33))</f>
        <v/>
      </c>
      <c r="I48" s="835" t="str">
        <f t="shared" ref="I48:AA48" si="17">IF(I36="","",IF(SUMIF($A$13:$A$31,I36,$K$13:$K$31)=0,"",SUMIF($A$13:$A$31,I36,$K$13:$K$31)/$M$33))</f>
        <v/>
      </c>
      <c r="J48" s="835" t="str">
        <f t="shared" si="17"/>
        <v/>
      </c>
      <c r="K48" s="835" t="str">
        <f t="shared" si="17"/>
        <v/>
      </c>
      <c r="L48" s="835" t="str">
        <f t="shared" si="17"/>
        <v/>
      </c>
      <c r="M48" s="835" t="str">
        <f t="shared" si="17"/>
        <v/>
      </c>
      <c r="N48" s="835" t="str">
        <f t="shared" si="17"/>
        <v/>
      </c>
      <c r="O48" s="835" t="str">
        <f t="shared" si="17"/>
        <v/>
      </c>
      <c r="P48" s="835" t="str">
        <f t="shared" si="17"/>
        <v/>
      </c>
      <c r="Q48" s="835" t="str">
        <f t="shared" si="17"/>
        <v/>
      </c>
      <c r="R48" s="835" t="str">
        <f t="shared" si="17"/>
        <v/>
      </c>
      <c r="S48" s="835" t="str">
        <f t="shared" si="17"/>
        <v/>
      </c>
      <c r="T48" s="835" t="str">
        <f t="shared" si="17"/>
        <v/>
      </c>
      <c r="U48" s="835" t="str">
        <f t="shared" si="17"/>
        <v/>
      </c>
      <c r="V48" s="835" t="str">
        <f t="shared" si="17"/>
        <v/>
      </c>
      <c r="W48" s="835" t="str">
        <f t="shared" si="17"/>
        <v/>
      </c>
      <c r="X48" s="835" t="str">
        <f t="shared" si="17"/>
        <v/>
      </c>
      <c r="Y48" s="835" t="str">
        <f t="shared" si="17"/>
        <v/>
      </c>
      <c r="Z48" s="835" t="str">
        <f t="shared" si="17"/>
        <v/>
      </c>
      <c r="AA48" s="836" t="str">
        <f t="shared" si="17"/>
        <v/>
      </c>
    </row>
    <row r="49" spans="1:28" s="345" customFormat="1">
      <c r="A49" s="345">
        <v>15</v>
      </c>
      <c r="B49" s="818">
        <f t="shared" ref="B49:B54" si="18">IF(COUNTIF(C26,"")+COUNTIF(H26,"")+COUNTIF(O26,"")+COUNTIF(T26,"")=4,"",AVERAGE(C26,H26,O26,T26))</f>
        <v>97.736572490101764</v>
      </c>
      <c r="C49" s="809">
        <f t="shared" si="3"/>
        <v>99.115172061249353</v>
      </c>
      <c r="D49" s="809">
        <f t="shared" si="4"/>
        <v>13</v>
      </c>
      <c r="E49" s="1591"/>
      <c r="F49" s="1578">
        <f>U7</f>
        <v>83</v>
      </c>
      <c r="G49" s="1596" t="s">
        <v>1285</v>
      </c>
      <c r="H49" s="840" t="str">
        <f>IF(H36="","",IF(SUMIF($A$13:$A$31,H36,$Q$13:$Q$31)=0,"",SUMIF($A$13:$A$31,H36,$Q$13:$Q$31)/$Y$33))</f>
        <v/>
      </c>
      <c r="I49" s="841">
        <f t="shared" ref="I49:AA49" si="19">IF(I36="","",IF(SUMIF($A$13:$A$31,I36,$Q$13:$Q$31)=0,"",SUMIF($A$13:$A$31,I36,$Q$13:$Q$31)/$Y$33))</f>
        <v>0.39678703056678438</v>
      </c>
      <c r="J49" s="841" t="str">
        <f t="shared" si="19"/>
        <v/>
      </c>
      <c r="K49" s="841" t="str">
        <f t="shared" si="19"/>
        <v/>
      </c>
      <c r="L49" s="841" t="str">
        <f t="shared" si="19"/>
        <v/>
      </c>
      <c r="M49" s="841" t="str">
        <f t="shared" si="19"/>
        <v/>
      </c>
      <c r="N49" s="841" t="str">
        <f t="shared" si="19"/>
        <v/>
      </c>
      <c r="O49" s="841">
        <f t="shared" si="19"/>
        <v>0.56161488666393378</v>
      </c>
      <c r="P49" s="841" t="str">
        <f t="shared" si="19"/>
        <v/>
      </c>
      <c r="Q49" s="841" t="str">
        <f t="shared" si="19"/>
        <v/>
      </c>
      <c r="R49" s="841">
        <f t="shared" si="19"/>
        <v>0.70711702206306792</v>
      </c>
      <c r="S49" s="841" t="str">
        <f t="shared" si="19"/>
        <v/>
      </c>
      <c r="T49" s="841">
        <f t="shared" si="19"/>
        <v>0.48962803655599585</v>
      </c>
      <c r="U49" s="841">
        <f t="shared" si="19"/>
        <v>0.4143006463166119</v>
      </c>
      <c r="V49" s="841">
        <f t="shared" si="19"/>
        <v>0.2824777133976899</v>
      </c>
      <c r="W49" s="841">
        <f t="shared" si="19"/>
        <v>0.18831847559845993</v>
      </c>
      <c r="X49" s="841">
        <f t="shared" si="19"/>
        <v>0.22598217071815191</v>
      </c>
      <c r="Y49" s="841">
        <f t="shared" si="19"/>
        <v>0.22598217071815191</v>
      </c>
      <c r="Z49" s="841" t="str">
        <f t="shared" si="19"/>
        <v/>
      </c>
      <c r="AA49" s="842" t="str">
        <f t="shared" si="19"/>
        <v/>
      </c>
    </row>
    <row r="50" spans="1:28" s="345" customFormat="1">
      <c r="A50" s="345">
        <v>16</v>
      </c>
      <c r="B50" s="818">
        <f t="shared" si="18"/>
        <v>98.474693898206965</v>
      </c>
      <c r="C50" s="809">
        <f t="shared" si="3"/>
        <v>99.665653482478291</v>
      </c>
      <c r="D50" s="809">
        <f t="shared" si="4"/>
        <v>14</v>
      </c>
      <c r="E50" s="1591"/>
      <c r="F50" s="1595"/>
      <c r="G50" s="1597"/>
      <c r="H50" s="843" t="str">
        <f>IF(H36="","",IF(SUMIF($A$13:$A$31,H36,$R$13:$R$31)=0,"",SUMIF($A$13:$A$31,H36,$R$13:$R$31)/$Y$33))</f>
        <v/>
      </c>
      <c r="I50" s="844" t="str">
        <f t="shared" ref="I50:AA50" si="20">IF(I36="","",IF(SUMIF($A$13:$A$31,I36,$R$13:$R$31)=0,"",SUMIF($A$13:$A$31,I36,$R$13:$R$31)/$Y$33))</f>
        <v/>
      </c>
      <c r="J50" s="844" t="str">
        <f t="shared" si="20"/>
        <v/>
      </c>
      <c r="K50" s="844" t="str">
        <f t="shared" si="20"/>
        <v/>
      </c>
      <c r="L50" s="844" t="str">
        <f t="shared" si="20"/>
        <v/>
      </c>
      <c r="M50" s="844" t="str">
        <f t="shared" si="20"/>
        <v/>
      </c>
      <c r="N50" s="844" t="str">
        <f t="shared" si="20"/>
        <v/>
      </c>
      <c r="O50" s="844" t="str">
        <f t="shared" si="20"/>
        <v/>
      </c>
      <c r="P50" s="844" t="str">
        <f t="shared" si="20"/>
        <v/>
      </c>
      <c r="Q50" s="844" t="str">
        <f t="shared" si="20"/>
        <v/>
      </c>
      <c r="R50" s="844" t="str">
        <f t="shared" si="20"/>
        <v/>
      </c>
      <c r="S50" s="844" t="str">
        <f t="shared" si="20"/>
        <v/>
      </c>
      <c r="T50" s="844" t="str">
        <f t="shared" si="20"/>
        <v/>
      </c>
      <c r="U50" s="844" t="str">
        <f t="shared" si="20"/>
        <v/>
      </c>
      <c r="V50" s="844" t="str">
        <f t="shared" si="20"/>
        <v/>
      </c>
      <c r="W50" s="844" t="str">
        <f t="shared" si="20"/>
        <v/>
      </c>
      <c r="X50" s="844" t="str">
        <f t="shared" si="20"/>
        <v/>
      </c>
      <c r="Y50" s="844" t="str">
        <f t="shared" si="20"/>
        <v/>
      </c>
      <c r="Z50" s="844" t="str">
        <f t="shared" si="20"/>
        <v/>
      </c>
      <c r="AA50" s="845" t="str">
        <f t="shared" si="20"/>
        <v/>
      </c>
    </row>
    <row r="51" spans="1:28" s="345" customFormat="1">
      <c r="A51" s="345">
        <v>17</v>
      </c>
      <c r="B51" s="818">
        <f t="shared" si="18"/>
        <v>99.115172061249353</v>
      </c>
      <c r="C51" s="809">
        <f t="shared" si="3"/>
        <v>99.951573567634654</v>
      </c>
      <c r="D51" s="809">
        <f t="shared" si="4"/>
        <v>15</v>
      </c>
      <c r="E51" s="1591"/>
      <c r="F51" s="1595"/>
      <c r="G51" s="1597" t="s">
        <v>1286</v>
      </c>
      <c r="H51" s="843" t="str">
        <f>IF(H36="","",IF(SUMIF($A$13:$A$31,H36,$V$13:$V$31)=0,"",SUMIF($A$13:$A$31,H36,$V$13:$V$31)/$Y$33))</f>
        <v/>
      </c>
      <c r="I51" s="844">
        <f t="shared" ref="I51:AA51" si="21">IF(I36="","",IF(SUMIF($A$13:$A$31,I36,$V$13:$V$31)=0,"",SUMIF($A$13:$A$31,I36,$V$13:$V$31)/$Y$33))</f>
        <v>0.3815401541642201</v>
      </c>
      <c r="J51" s="844" t="str">
        <f t="shared" si="21"/>
        <v/>
      </c>
      <c r="K51" s="844" t="str">
        <f t="shared" si="21"/>
        <v/>
      </c>
      <c r="L51" s="844" t="str">
        <f t="shared" si="21"/>
        <v/>
      </c>
      <c r="M51" s="844" t="str">
        <f t="shared" si="21"/>
        <v/>
      </c>
      <c r="N51" s="844" t="str">
        <f t="shared" si="21"/>
        <v/>
      </c>
      <c r="O51" s="844" t="str">
        <f t="shared" si="21"/>
        <v/>
      </c>
      <c r="P51" s="844">
        <f t="shared" si="21"/>
        <v>0.63653942107757278</v>
      </c>
      <c r="Q51" s="844">
        <f t="shared" si="21"/>
        <v>0.69827593502729979</v>
      </c>
      <c r="R51" s="844">
        <f t="shared" si="21"/>
        <v>0.69521302193017709</v>
      </c>
      <c r="S51" s="844" t="str">
        <f t="shared" si="21"/>
        <v/>
      </c>
      <c r="T51" s="844">
        <f t="shared" si="21"/>
        <v>0.48962803655599585</v>
      </c>
      <c r="U51" s="844">
        <f t="shared" si="21"/>
        <v>0.4143006463166119</v>
      </c>
      <c r="V51" s="844">
        <f t="shared" si="21"/>
        <v>0.2824777133976899</v>
      </c>
      <c r="W51" s="844">
        <f t="shared" si="21"/>
        <v>0.22598217071815191</v>
      </c>
      <c r="X51" s="844">
        <f t="shared" si="21"/>
        <v>0.26364586583784388</v>
      </c>
      <c r="Y51" s="844" t="str">
        <f t="shared" si="21"/>
        <v/>
      </c>
      <c r="Z51" s="844" t="str">
        <f t="shared" si="21"/>
        <v/>
      </c>
      <c r="AA51" s="845" t="str">
        <f t="shared" si="21"/>
        <v/>
      </c>
    </row>
    <row r="52" spans="1:28" s="345" customFormat="1" ht="13.5" thickBot="1">
      <c r="A52" s="345">
        <v>18</v>
      </c>
      <c r="B52" s="818">
        <f t="shared" si="18"/>
        <v>99.665653482478291</v>
      </c>
      <c r="C52" s="809">
        <f t="shared" si="3"/>
        <v>100</v>
      </c>
      <c r="D52" s="809">
        <f t="shared" si="4"/>
        <v>16</v>
      </c>
      <c r="E52" s="1592"/>
      <c r="F52" s="1579"/>
      <c r="G52" s="1598"/>
      <c r="H52" s="846" t="str">
        <f>IF(H36="","",IF(SUMIF($A$13:$A$31,H36,$W$13:$W$31)=0,"",SUMIF($A$13:$A$31,H36,$W$13:$W$31)/$Y$33))</f>
        <v/>
      </c>
      <c r="I52" s="847" t="str">
        <f t="shared" ref="I52:AA52" si="22">IF(I36="","",IF(SUMIF($A$13:$A$31,I36,$W$13:$W$31)=0,"",SUMIF($A$13:$A$31,I36,$W$13:$W$31)/$Y$33))</f>
        <v/>
      </c>
      <c r="J52" s="847" t="str">
        <f t="shared" si="22"/>
        <v/>
      </c>
      <c r="K52" s="847" t="str">
        <f t="shared" si="22"/>
        <v/>
      </c>
      <c r="L52" s="847" t="str">
        <f t="shared" si="22"/>
        <v/>
      </c>
      <c r="M52" s="847" t="str">
        <f t="shared" si="22"/>
        <v/>
      </c>
      <c r="N52" s="847" t="str">
        <f t="shared" si="22"/>
        <v/>
      </c>
      <c r="O52" s="847" t="str">
        <f t="shared" si="22"/>
        <v/>
      </c>
      <c r="P52" s="847" t="str">
        <f t="shared" si="22"/>
        <v/>
      </c>
      <c r="Q52" s="847" t="str">
        <f t="shared" si="22"/>
        <v/>
      </c>
      <c r="R52" s="847" t="str">
        <f t="shared" si="22"/>
        <v/>
      </c>
      <c r="S52" s="847" t="str">
        <f t="shared" si="22"/>
        <v/>
      </c>
      <c r="T52" s="847" t="str">
        <f t="shared" si="22"/>
        <v/>
      </c>
      <c r="U52" s="847" t="str">
        <f t="shared" si="22"/>
        <v/>
      </c>
      <c r="V52" s="847" t="str">
        <f t="shared" si="22"/>
        <v/>
      </c>
      <c r="W52" s="847" t="str">
        <f t="shared" si="22"/>
        <v/>
      </c>
      <c r="X52" s="847" t="str">
        <f t="shared" si="22"/>
        <v/>
      </c>
      <c r="Y52" s="847" t="str">
        <f t="shared" si="22"/>
        <v/>
      </c>
      <c r="Z52" s="847" t="str">
        <f t="shared" si="22"/>
        <v/>
      </c>
      <c r="AA52" s="848" t="str">
        <f t="shared" si="22"/>
        <v/>
      </c>
    </row>
    <row r="53" spans="1:28" s="345" customFormat="1">
      <c r="A53" s="345">
        <v>19</v>
      </c>
      <c r="B53" s="818">
        <f t="shared" si="18"/>
        <v>99.951573567634654</v>
      </c>
      <c r="C53" s="809">
        <f t="shared" si="3"/>
        <v>0</v>
      </c>
      <c r="D53" s="809">
        <f t="shared" si="4"/>
        <v>17</v>
      </c>
      <c r="E53" s="1571" t="s">
        <v>1287</v>
      </c>
      <c r="F53" s="1574" t="s">
        <v>1283</v>
      </c>
      <c r="G53" s="1593"/>
      <c r="H53" s="834">
        <f t="shared" ref="H53:AA53" si="23">IF(COUNTIF(H55:H58,"")=4,"",AVERAGE(H55:H58))</f>
        <v>4.6643301777046647E-2</v>
      </c>
      <c r="I53" s="835">
        <f t="shared" si="23"/>
        <v>0.3742279481633638</v>
      </c>
      <c r="J53" s="835">
        <f t="shared" si="23"/>
        <v>0.47794547557208616</v>
      </c>
      <c r="K53" s="835">
        <f t="shared" si="23"/>
        <v>0.12448006935251971</v>
      </c>
      <c r="L53" s="835">
        <f t="shared" si="23"/>
        <v>0.13735055318428407</v>
      </c>
      <c r="M53" s="835">
        <f t="shared" si="23"/>
        <v>0.28171158557185666</v>
      </c>
      <c r="N53" s="835">
        <f t="shared" si="23"/>
        <v>0.40950464261335617</v>
      </c>
      <c r="O53" s="835">
        <f t="shared" si="23"/>
        <v>0.61164018882436577</v>
      </c>
      <c r="P53" s="835">
        <f t="shared" si="23"/>
        <v>0.64385573726583556</v>
      </c>
      <c r="Q53" s="835">
        <f t="shared" si="23"/>
        <v>0.7010796468836229</v>
      </c>
      <c r="R53" s="835">
        <f t="shared" si="23"/>
        <v>0.70674052621751426</v>
      </c>
      <c r="S53" s="835">
        <f t="shared" si="23"/>
        <v>0.57569236883611119</v>
      </c>
      <c r="T53" s="835" t="str">
        <f t="shared" si="23"/>
        <v/>
      </c>
      <c r="U53" s="835" t="str">
        <f t="shared" si="23"/>
        <v/>
      </c>
      <c r="V53" s="835" t="str">
        <f t="shared" si="23"/>
        <v/>
      </c>
      <c r="W53" s="835" t="str">
        <f t="shared" si="23"/>
        <v/>
      </c>
      <c r="X53" s="835" t="str">
        <f t="shared" si="23"/>
        <v/>
      </c>
      <c r="Y53" s="835" t="str">
        <f t="shared" si="23"/>
        <v/>
      </c>
      <c r="Z53" s="835" t="str">
        <f t="shared" si="23"/>
        <v/>
      </c>
      <c r="AA53" s="836" t="str">
        <f t="shared" si="23"/>
        <v/>
      </c>
    </row>
    <row r="54" spans="1:28" s="345" customFormat="1" ht="13.5" thickBot="1">
      <c r="A54" s="345">
        <v>20</v>
      </c>
      <c r="B54" s="818">
        <f t="shared" si="18"/>
        <v>100</v>
      </c>
      <c r="C54" s="809">
        <f t="shared" si="3"/>
        <v>0</v>
      </c>
      <c r="D54" s="809">
        <f t="shared" si="4"/>
        <v>18</v>
      </c>
      <c r="E54" s="1572"/>
      <c r="F54" s="1576" t="s">
        <v>1284</v>
      </c>
      <c r="G54" s="1594"/>
      <c r="H54" s="834">
        <f t="shared" ref="H54:AA54" si="24">IF(COUNTIF(H55:H58,"")=4,"",IF(COUNTIF(H55:H58,"")=3,0,STDEV(H55:H58)*$F$35))</f>
        <v>2.5647881660633819E-2</v>
      </c>
      <c r="I54" s="835">
        <f t="shared" si="24"/>
        <v>0</v>
      </c>
      <c r="J54" s="835">
        <f t="shared" si="24"/>
        <v>2.2596156647896014E-2</v>
      </c>
      <c r="K54" s="835">
        <f t="shared" si="24"/>
        <v>2.3328677552529417E-2</v>
      </c>
      <c r="L54" s="835">
        <f t="shared" si="24"/>
        <v>1.7428406089741409E-2</v>
      </c>
      <c r="M54" s="835">
        <f t="shared" si="24"/>
        <v>4.0525697510650931E-2</v>
      </c>
      <c r="N54" s="835">
        <f t="shared" si="24"/>
        <v>6.078507669653526E-2</v>
      </c>
      <c r="O54" s="835">
        <f t="shared" si="24"/>
        <v>0.39987049598801766</v>
      </c>
      <c r="P54" s="835">
        <f t="shared" si="24"/>
        <v>3.3922726500481407E-2</v>
      </c>
      <c r="Q54" s="835">
        <f t="shared" si="24"/>
        <v>2.6378091568585525E-2</v>
      </c>
      <c r="R54" s="835">
        <f t="shared" si="24"/>
        <v>1.2400674894069916E-2</v>
      </c>
      <c r="S54" s="835">
        <f t="shared" si="24"/>
        <v>0</v>
      </c>
      <c r="T54" s="835" t="str">
        <f t="shared" si="24"/>
        <v/>
      </c>
      <c r="U54" s="835" t="str">
        <f t="shared" si="24"/>
        <v/>
      </c>
      <c r="V54" s="835" t="str">
        <f t="shared" si="24"/>
        <v/>
      </c>
      <c r="W54" s="835" t="str">
        <f t="shared" si="24"/>
        <v/>
      </c>
      <c r="X54" s="835" t="str">
        <f t="shared" si="24"/>
        <v/>
      </c>
      <c r="Y54" s="835" t="str">
        <f t="shared" si="24"/>
        <v/>
      </c>
      <c r="Z54" s="835" t="str">
        <f t="shared" si="24"/>
        <v/>
      </c>
      <c r="AA54" s="836" t="str">
        <f t="shared" si="24"/>
        <v/>
      </c>
    </row>
    <row r="55" spans="1:28" s="345" customFormat="1">
      <c r="E55" s="1572"/>
      <c r="F55" s="1578">
        <f>G7</f>
        <v>57</v>
      </c>
      <c r="G55" s="972" t="s">
        <v>1285</v>
      </c>
      <c r="H55" s="827">
        <f>IF(H36="","",IF(SUMIF($A$13:$A$31,H36,$G$13:$G$31)=0,"",SUMIF($A$13:$A$31,H36,$G$13:$G$31)/$M$33))</f>
        <v>3.9812692730198808E-2</v>
      </c>
      <c r="I55" s="828" t="str">
        <f t="shared" ref="I55:AA55" si="25">IF(I36="","",IF(SUMIF($A$13:$A$31,I36,$G$13:$G$31)=0,"",SUMIF($A$13:$A$31,I36,$G$13:$G$31)/$M$33))</f>
        <v/>
      </c>
      <c r="J55" s="828" t="str">
        <f t="shared" si="25"/>
        <v/>
      </c>
      <c r="K55" s="828">
        <f t="shared" si="25"/>
        <v>0.11826711663970822</v>
      </c>
      <c r="L55" s="828" t="str">
        <f t="shared" si="25"/>
        <v/>
      </c>
      <c r="M55" s="828">
        <f t="shared" si="25"/>
        <v>0.26051525810230158</v>
      </c>
      <c r="N55" s="828">
        <f t="shared" si="25"/>
        <v>0.42101328761076173</v>
      </c>
      <c r="O55" s="828">
        <f t="shared" si="25"/>
        <v>0.78189665391228258</v>
      </c>
      <c r="P55" s="828">
        <f t="shared" si="25"/>
        <v>0.64917644159740884</v>
      </c>
      <c r="Q55" s="828">
        <f t="shared" si="25"/>
        <v>0.71469475285878969</v>
      </c>
      <c r="R55" s="828">
        <f t="shared" si="25"/>
        <v>0.71238482333409048</v>
      </c>
      <c r="S55" s="828" t="str">
        <f t="shared" si="25"/>
        <v/>
      </c>
      <c r="T55" s="828" t="str">
        <f t="shared" si="25"/>
        <v/>
      </c>
      <c r="U55" s="828" t="str">
        <f t="shared" si="25"/>
        <v/>
      </c>
      <c r="V55" s="828" t="str">
        <f t="shared" si="25"/>
        <v/>
      </c>
      <c r="W55" s="828" t="str">
        <f t="shared" si="25"/>
        <v/>
      </c>
      <c r="X55" s="828" t="str">
        <f t="shared" si="25"/>
        <v/>
      </c>
      <c r="Y55" s="828" t="str">
        <f t="shared" si="25"/>
        <v/>
      </c>
      <c r="Z55" s="828" t="str">
        <f t="shared" si="25"/>
        <v/>
      </c>
      <c r="AA55" s="829" t="str">
        <f t="shared" si="25"/>
        <v/>
      </c>
    </row>
    <row r="56" spans="1:28" s="345" customFormat="1" ht="13.5" thickBot="1">
      <c r="E56" s="1572"/>
      <c r="F56" s="1579"/>
      <c r="G56" s="973" t="s">
        <v>1286</v>
      </c>
      <c r="H56" s="823">
        <f>IF(H36="","",IF(SUMIF($A$13:$A$31,H36,$L$13:$L$31)=0,"",SUMIF($A$13:$A$31,H36,$L$13:$L$31)/$M$33))</f>
        <v>5.347391082389448E-2</v>
      </c>
      <c r="I56" s="824">
        <f t="shared" ref="I56:AA56" si="26">IF(I36="","",IF(SUMIF($A$13:$A$31,I36,$L$13:$L$31)=0,"",SUMIF($A$13:$A$31,I36,$L$13:$L$31)/$M$33))</f>
        <v>0.3742279481633638</v>
      </c>
      <c r="J56" s="824" t="str">
        <f t="shared" si="26"/>
        <v/>
      </c>
      <c r="K56" s="824" t="str">
        <f t="shared" si="26"/>
        <v/>
      </c>
      <c r="L56" s="824">
        <f t="shared" si="26"/>
        <v>0.13270897576732937</v>
      </c>
      <c r="M56" s="824">
        <f t="shared" si="26"/>
        <v>0.28067353560967984</v>
      </c>
      <c r="N56" s="824">
        <f t="shared" si="26"/>
        <v>0.43542125140255905</v>
      </c>
      <c r="O56" s="824" t="str">
        <f t="shared" si="26"/>
        <v/>
      </c>
      <c r="P56" s="824">
        <f t="shared" si="26"/>
        <v>0.65236003137115217</v>
      </c>
      <c r="Q56" s="824">
        <f t="shared" si="26"/>
        <v>0.69415027980174282</v>
      </c>
      <c r="R56" s="824">
        <f t="shared" si="26"/>
        <v>0.7015336374231198</v>
      </c>
      <c r="S56" s="824" t="str">
        <f t="shared" si="26"/>
        <v/>
      </c>
      <c r="T56" s="824" t="str">
        <f t="shared" si="26"/>
        <v/>
      </c>
      <c r="U56" s="824" t="str">
        <f t="shared" si="26"/>
        <v/>
      </c>
      <c r="V56" s="824" t="str">
        <f t="shared" si="26"/>
        <v/>
      </c>
      <c r="W56" s="824" t="str">
        <f t="shared" si="26"/>
        <v/>
      </c>
      <c r="X56" s="824" t="str">
        <f t="shared" si="26"/>
        <v/>
      </c>
      <c r="Y56" s="824" t="str">
        <f t="shared" si="26"/>
        <v/>
      </c>
      <c r="Z56" s="824" t="str">
        <f t="shared" si="26"/>
        <v/>
      </c>
      <c r="AA56" s="825" t="str">
        <f t="shared" si="26"/>
        <v/>
      </c>
    </row>
    <row r="57" spans="1:28" s="345" customFormat="1">
      <c r="E57" s="1572"/>
      <c r="F57" s="1578">
        <f>U7</f>
        <v>83</v>
      </c>
      <c r="G57" s="972" t="s">
        <v>1285</v>
      </c>
      <c r="H57" s="823" t="str">
        <f>IF(H36="","",IF(SUMIF($A$13:$A$31,H36,$S$13:$S$31)=0,"",SUMIF($A$13:$A$31,H36,$S$13:$S$31)/$Y$33))</f>
        <v/>
      </c>
      <c r="I57" s="824" t="str">
        <f t="shared" ref="I57:AA57" si="27">IF(I36="","",IF(SUMIF($A$13:$A$31,I36,$S$13:$S$31)=0,"",SUMIF($A$13:$A$31,I36,$S$13:$S$31)/$Y$33))</f>
        <v/>
      </c>
      <c r="J57" s="824">
        <f t="shared" si="27"/>
        <v>0.4839633414553341</v>
      </c>
      <c r="K57" s="824" t="str">
        <f t="shared" si="27"/>
        <v/>
      </c>
      <c r="L57" s="824">
        <f t="shared" si="27"/>
        <v>0.1419921306012388</v>
      </c>
      <c r="M57" s="824">
        <f t="shared" si="27"/>
        <v>0.29365805278811696</v>
      </c>
      <c r="N57" s="824">
        <f t="shared" si="27"/>
        <v>0.38496327401481434</v>
      </c>
      <c r="O57" s="824">
        <f t="shared" si="27"/>
        <v>0.55719942372260978</v>
      </c>
      <c r="P57" s="824">
        <f t="shared" si="27"/>
        <v>0.64905774714192443</v>
      </c>
      <c r="Q57" s="824">
        <f t="shared" si="27"/>
        <v>0.70222975735631421</v>
      </c>
      <c r="R57" s="824">
        <f t="shared" si="27"/>
        <v>0.70830742207635689</v>
      </c>
      <c r="S57" s="824" t="str">
        <f t="shared" si="27"/>
        <v/>
      </c>
      <c r="T57" s="824" t="str">
        <f t="shared" si="27"/>
        <v/>
      </c>
      <c r="U57" s="824" t="str">
        <f t="shared" si="27"/>
        <v/>
      </c>
      <c r="V57" s="824" t="str">
        <f t="shared" si="27"/>
        <v/>
      </c>
      <c r="W57" s="824" t="str">
        <f t="shared" si="27"/>
        <v/>
      </c>
      <c r="X57" s="824" t="str">
        <f t="shared" si="27"/>
        <v/>
      </c>
      <c r="Y57" s="824" t="str">
        <f t="shared" si="27"/>
        <v/>
      </c>
      <c r="Z57" s="824" t="str">
        <f t="shared" si="27"/>
        <v/>
      </c>
      <c r="AA57" s="825" t="str">
        <f t="shared" si="27"/>
        <v/>
      </c>
    </row>
    <row r="58" spans="1:28" s="345" customFormat="1" ht="13.5" thickBot="1">
      <c r="E58" s="1573"/>
      <c r="F58" s="1579"/>
      <c r="G58" s="973" t="s">
        <v>1286</v>
      </c>
      <c r="H58" s="831" t="str">
        <f>IF(H36="","",IF(SUMIF($A$13:$A$31,H36,$X$13:$X$31)=0,"",SUMIF($A$13:$A$31,H36,$X$13:$X$31)/$Y$33))</f>
        <v/>
      </c>
      <c r="I58" s="832" t="str">
        <f t="shared" ref="I58:AA58" si="28">IF(I36="","",IF(SUMIF($A$13:$A$31,I36,$X$13:$X$31)=0,"",SUMIF($A$13:$A$31,I36,$X$13:$X$31)/$Y$33))</f>
        <v/>
      </c>
      <c r="J58" s="832">
        <f t="shared" si="28"/>
        <v>0.47192760968883823</v>
      </c>
      <c r="K58" s="832">
        <f t="shared" si="28"/>
        <v>0.13069302206533118</v>
      </c>
      <c r="L58" s="832" t="str">
        <f t="shared" si="28"/>
        <v/>
      </c>
      <c r="M58" s="832">
        <f t="shared" si="28"/>
        <v>0.2919994957873282</v>
      </c>
      <c r="N58" s="832">
        <f t="shared" si="28"/>
        <v>0.39662075742528946</v>
      </c>
      <c r="O58" s="832">
        <f t="shared" si="28"/>
        <v>0.49582448883820474</v>
      </c>
      <c r="P58" s="832">
        <f t="shared" si="28"/>
        <v>0.62482872895285646</v>
      </c>
      <c r="Q58" s="832">
        <f t="shared" si="28"/>
        <v>0.69324379751764487</v>
      </c>
      <c r="R58" s="832">
        <f t="shared" si="28"/>
        <v>0.70473622203648967</v>
      </c>
      <c r="S58" s="832">
        <f t="shared" si="28"/>
        <v>0.57569236883611119</v>
      </c>
      <c r="T58" s="832" t="str">
        <f t="shared" si="28"/>
        <v/>
      </c>
      <c r="U58" s="832" t="str">
        <f t="shared" si="28"/>
        <v/>
      </c>
      <c r="V58" s="832" t="str">
        <f t="shared" si="28"/>
        <v/>
      </c>
      <c r="W58" s="832" t="str">
        <f t="shared" si="28"/>
        <v/>
      </c>
      <c r="X58" s="832" t="str">
        <f t="shared" si="28"/>
        <v/>
      </c>
      <c r="Y58" s="832" t="str">
        <f t="shared" si="28"/>
        <v/>
      </c>
      <c r="Z58" s="832" t="str">
        <f t="shared" si="28"/>
        <v/>
      </c>
      <c r="AA58" s="833" t="str">
        <f t="shared" si="28"/>
        <v/>
      </c>
    </row>
    <row r="59" spans="1:28" s="345" customFormat="1">
      <c r="E59" s="1586" t="s">
        <v>1283</v>
      </c>
      <c r="F59" s="1587"/>
      <c r="G59" s="1587"/>
      <c r="H59" s="834">
        <f t="shared" ref="H59:AA59" si="29">IF(COUNTIF(H39:H42,"")+COUNTIF(H45:H52,"")+COUNTIF(H55:H58,"")=16,"",AVERAGE(H39:H42,H45:H52,H55:H58))</f>
        <v>4.9874555947906171E-2</v>
      </c>
      <c r="I59" s="835">
        <f t="shared" si="29"/>
        <v>0.38656586636112433</v>
      </c>
      <c r="J59" s="835">
        <f t="shared" si="29"/>
        <v>0.4888190328496485</v>
      </c>
      <c r="K59" s="835">
        <f t="shared" si="29"/>
        <v>0.12088328813638025</v>
      </c>
      <c r="L59" s="835">
        <f t="shared" si="29"/>
        <v>0.13499332079418039</v>
      </c>
      <c r="M59" s="835">
        <f t="shared" si="29"/>
        <v>0.30264164252830072</v>
      </c>
      <c r="N59" s="835">
        <f t="shared" si="29"/>
        <v>0.41224608186992451</v>
      </c>
      <c r="O59" s="835">
        <f t="shared" si="29"/>
        <v>0.57432081719549899</v>
      </c>
      <c r="P59" s="835">
        <f t="shared" si="29"/>
        <v>0.64633710313592618</v>
      </c>
      <c r="Q59" s="835">
        <f t="shared" si="29"/>
        <v>0.70279043162735477</v>
      </c>
      <c r="R59" s="835">
        <f t="shared" si="29"/>
        <v>0.70417519437344545</v>
      </c>
      <c r="S59" s="835">
        <f t="shared" si="29"/>
        <v>0.58370585184465751</v>
      </c>
      <c r="T59" s="835">
        <f t="shared" si="29"/>
        <v>0.51803838015191128</v>
      </c>
      <c r="U59" s="835">
        <f t="shared" si="29"/>
        <v>0.4608586591840827</v>
      </c>
      <c r="V59" s="835">
        <f t="shared" si="29"/>
        <v>0.35591514102834831</v>
      </c>
      <c r="W59" s="835">
        <f t="shared" si="29"/>
        <v>0.24994535544017799</v>
      </c>
      <c r="X59" s="835">
        <f t="shared" si="29"/>
        <v>0.21998713837968228</v>
      </c>
      <c r="Y59" s="835">
        <f t="shared" si="29"/>
        <v>0.19105518875162264</v>
      </c>
      <c r="Z59" s="835" t="str">
        <f t="shared" si="29"/>
        <v/>
      </c>
      <c r="AA59" s="836" t="str">
        <f t="shared" si="29"/>
        <v/>
      </c>
      <c r="AB59" s="851">
        <f>'Ouvertures pennes (MAX)'!AB59</f>
        <v>0.99487262409793209</v>
      </c>
    </row>
    <row r="60" spans="1:28" s="345" customFormat="1" ht="13.5" thickBot="1">
      <c r="E60" s="1588" t="s">
        <v>1284</v>
      </c>
      <c r="F60" s="1589"/>
      <c r="G60" s="1589"/>
      <c r="H60" s="831">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1.7983570525538509E-2</v>
      </c>
      <c r="I60" s="832">
        <f t="shared" si="30"/>
        <v>2.6014904756296031E-2</v>
      </c>
      <c r="J60" s="832">
        <f t="shared" si="30"/>
        <v>3.2672465990869724E-2</v>
      </c>
      <c r="K60" s="832">
        <f t="shared" si="30"/>
        <v>3.1120978196326608E-2</v>
      </c>
      <c r="L60" s="832">
        <f t="shared" si="30"/>
        <v>4.8824843775120995E-2</v>
      </c>
      <c r="M60" s="832">
        <f t="shared" si="30"/>
        <v>9.1645730809091955E-2</v>
      </c>
      <c r="N60" s="832">
        <f t="shared" si="30"/>
        <v>6.8715787602313616E-2</v>
      </c>
      <c r="O60" s="832">
        <f t="shared" si="30"/>
        <v>0.23491391292413097</v>
      </c>
      <c r="P60" s="832">
        <f t="shared" si="30"/>
        <v>3.4399324359130345E-2</v>
      </c>
      <c r="Q60" s="832">
        <f t="shared" si="30"/>
        <v>2.1323790302604E-2</v>
      </c>
      <c r="R60" s="832">
        <f t="shared" si="30"/>
        <v>1.9280250923850047E-2</v>
      </c>
      <c r="S60" s="832">
        <f t="shared" si="30"/>
        <v>2.0148391744294659E-2</v>
      </c>
      <c r="T60" s="832">
        <f t="shared" si="30"/>
        <v>8.7100957411348531E-2</v>
      </c>
      <c r="U60" s="832">
        <f t="shared" si="30"/>
        <v>0.14273841786656966</v>
      </c>
      <c r="V60" s="832">
        <f t="shared" si="30"/>
        <v>0.22514582531753052</v>
      </c>
      <c r="W60" s="832">
        <f t="shared" si="30"/>
        <v>0.13740662137477463</v>
      </c>
      <c r="X60" s="832">
        <f t="shared" si="30"/>
        <v>8.637195985784539E-2</v>
      </c>
      <c r="Y60" s="832">
        <f t="shared" si="30"/>
        <v>0.13114542116182609</v>
      </c>
      <c r="Z60" s="832" t="str">
        <f t="shared" si="30"/>
        <v/>
      </c>
      <c r="AA60" s="833" t="str">
        <f t="shared" si="30"/>
        <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99" t="s">
        <v>1295</v>
      </c>
      <c r="I65" s="1600"/>
      <c r="J65" s="1600"/>
      <c r="K65" s="1600"/>
      <c r="L65" s="1600"/>
      <c r="M65" s="1600"/>
      <c r="N65" s="1600"/>
      <c r="O65" s="1600"/>
      <c r="P65" s="1600"/>
      <c r="Q65" s="1600"/>
      <c r="R65" s="1600"/>
      <c r="S65" s="1600"/>
      <c r="T65" s="1600"/>
      <c r="U65" s="1600"/>
      <c r="V65" s="1600"/>
      <c r="W65" s="1600"/>
      <c r="X65" s="1600"/>
      <c r="Y65" s="1600"/>
      <c r="Z65" s="1600"/>
      <c r="AA65" s="1601"/>
    </row>
    <row r="66" spans="5:27" s="345" customFormat="1" ht="13.5" thickBot="1">
      <c r="F66" s="854"/>
      <c r="G66" s="855"/>
      <c r="H66" s="1602"/>
      <c r="I66" s="1603"/>
      <c r="J66" s="1603"/>
      <c r="K66" s="1603"/>
      <c r="L66" s="1603"/>
      <c r="M66" s="1603"/>
      <c r="N66" s="1603"/>
      <c r="O66" s="1603"/>
      <c r="P66" s="1603"/>
      <c r="Q66" s="1603"/>
      <c r="R66" s="1603"/>
      <c r="S66" s="1603"/>
      <c r="T66" s="1603"/>
      <c r="U66" s="1603"/>
      <c r="V66" s="1603"/>
      <c r="W66" s="1603"/>
      <c r="X66" s="1603"/>
      <c r="Y66" s="1603"/>
      <c r="Z66" s="1603"/>
      <c r="AA66" s="1604"/>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1">IF(H37="","",RANK(H36,$H$36:$AA$36,1))</f>
        <v>1</v>
      </c>
      <c r="I68" s="860">
        <f t="shared" si="31"/>
        <v>2</v>
      </c>
      <c r="J68" s="860">
        <f t="shared" si="31"/>
        <v>3</v>
      </c>
      <c r="K68" s="860">
        <f t="shared" si="31"/>
        <v>4</v>
      </c>
      <c r="L68" s="860">
        <f t="shared" si="31"/>
        <v>5</v>
      </c>
      <c r="M68" s="860">
        <f t="shared" si="31"/>
        <v>6</v>
      </c>
      <c r="N68" s="860">
        <f t="shared" si="31"/>
        <v>7</v>
      </c>
      <c r="O68" s="860">
        <f t="shared" si="31"/>
        <v>8</v>
      </c>
      <c r="P68" s="860">
        <f t="shared" si="31"/>
        <v>9</v>
      </c>
      <c r="Q68" s="860">
        <f t="shared" si="31"/>
        <v>10</v>
      </c>
      <c r="R68" s="860">
        <f t="shared" si="31"/>
        <v>11</v>
      </c>
      <c r="S68" s="860">
        <f t="shared" si="31"/>
        <v>12</v>
      </c>
      <c r="T68" s="860" t="str">
        <f t="shared" si="31"/>
        <v/>
      </c>
      <c r="U68" s="860" t="str">
        <f t="shared" si="31"/>
        <v/>
      </c>
      <c r="V68" s="860" t="str">
        <f t="shared" si="31"/>
        <v/>
      </c>
      <c r="W68" s="860" t="str">
        <f t="shared" si="31"/>
        <v/>
      </c>
      <c r="X68" s="860" t="str">
        <f t="shared" si="31"/>
        <v/>
      </c>
      <c r="Y68" s="860" t="str">
        <f t="shared" si="31"/>
        <v/>
      </c>
      <c r="Z68" s="860" t="str">
        <f t="shared" si="31"/>
        <v/>
      </c>
      <c r="AA68" s="861" t="str">
        <f t="shared" si="31"/>
        <v/>
      </c>
    </row>
    <row r="69" spans="5:27" s="345" customFormat="1" ht="13.5" thickBot="1">
      <c r="F69" s="854"/>
      <c r="G69" s="855"/>
      <c r="H69" s="859">
        <f t="shared" ref="H69:AA69" si="32">IF(H68="","",RANK(H68,$H$68:$AA$68,1))</f>
        <v>1</v>
      </c>
      <c r="I69" s="860">
        <f t="shared" si="32"/>
        <v>2</v>
      </c>
      <c r="J69" s="860">
        <f t="shared" si="32"/>
        <v>3</v>
      </c>
      <c r="K69" s="860">
        <f t="shared" si="32"/>
        <v>4</v>
      </c>
      <c r="L69" s="860">
        <f t="shared" si="32"/>
        <v>5</v>
      </c>
      <c r="M69" s="860">
        <f t="shared" si="32"/>
        <v>6</v>
      </c>
      <c r="N69" s="860">
        <f t="shared" si="32"/>
        <v>7</v>
      </c>
      <c r="O69" s="860">
        <f t="shared" si="32"/>
        <v>8</v>
      </c>
      <c r="P69" s="860">
        <f t="shared" si="32"/>
        <v>9</v>
      </c>
      <c r="Q69" s="860">
        <f t="shared" si="32"/>
        <v>10</v>
      </c>
      <c r="R69" s="860">
        <f t="shared" si="32"/>
        <v>11</v>
      </c>
      <c r="S69" s="860">
        <f t="shared" si="32"/>
        <v>12</v>
      </c>
      <c r="T69" s="860" t="str">
        <f t="shared" si="32"/>
        <v/>
      </c>
      <c r="U69" s="860" t="str">
        <f t="shared" si="32"/>
        <v/>
      </c>
      <c r="V69" s="860" t="str">
        <f t="shared" si="32"/>
        <v/>
      </c>
      <c r="W69" s="860" t="str">
        <f t="shared" si="32"/>
        <v/>
      </c>
      <c r="X69" s="860" t="str">
        <f t="shared" si="32"/>
        <v/>
      </c>
      <c r="Y69" s="860" t="str">
        <f t="shared" si="32"/>
        <v/>
      </c>
      <c r="Z69" s="860" t="str">
        <f t="shared" si="32"/>
        <v/>
      </c>
      <c r="AA69" s="861" t="str">
        <f t="shared" si="32"/>
        <v/>
      </c>
    </row>
    <row r="70" spans="5:27" s="345" customFormat="1" ht="13.5" thickBot="1">
      <c r="E70" s="1605" t="s">
        <v>1281</v>
      </c>
      <c r="F70" s="1606"/>
      <c r="G70" s="1606"/>
      <c r="H70" s="862">
        <f>IF(SUMIF($H$69:$AA$69,H$67,$H$36:$AA$36)=0,"",SUMIF($H$69:$AA$69,H$67,$H$36:$AA$36))</f>
        <v>5.3605555861977985</v>
      </c>
      <c r="I70" s="863">
        <f>IF(SUMIF($H$69:$AA$69,I$67,$H$36:$AA$36)=0,"",SUMIF($H$69:$AA$69,I$67,$H$36:$AA$36))</f>
        <v>10</v>
      </c>
      <c r="J70" s="863">
        <f t="shared" ref="J70:AA70" si="33">IF(SUMIF($H$69:$AA$69,J$67,$H$36:$AA$36)=0,"",SUMIF($H$69:$AA$69,J$67,$H$36:$AA$36))</f>
        <v>20</v>
      </c>
      <c r="K70" s="863">
        <f t="shared" si="33"/>
        <v>26.922669813782981</v>
      </c>
      <c r="L70" s="863">
        <f t="shared" si="33"/>
        <v>28.402760758696882</v>
      </c>
      <c r="M70" s="863">
        <f t="shared" si="33"/>
        <v>30</v>
      </c>
      <c r="N70" s="863">
        <f t="shared" si="33"/>
        <v>40</v>
      </c>
      <c r="O70" s="863">
        <f t="shared" si="33"/>
        <v>50</v>
      </c>
      <c r="P70" s="863">
        <f t="shared" si="33"/>
        <v>60</v>
      </c>
      <c r="Q70" s="863">
        <f t="shared" si="33"/>
        <v>70</v>
      </c>
      <c r="R70" s="863">
        <f t="shared" si="33"/>
        <v>80</v>
      </c>
      <c r="S70" s="863">
        <f t="shared" si="33"/>
        <v>90</v>
      </c>
      <c r="T70" s="863" t="str">
        <f t="shared" si="33"/>
        <v/>
      </c>
      <c r="U70" s="863" t="str">
        <f t="shared" si="33"/>
        <v/>
      </c>
      <c r="V70" s="863" t="str">
        <f t="shared" si="33"/>
        <v/>
      </c>
      <c r="W70" s="863" t="str">
        <f t="shared" si="33"/>
        <v/>
      </c>
      <c r="X70" s="863" t="str">
        <f t="shared" si="33"/>
        <v/>
      </c>
      <c r="Y70" s="863" t="str">
        <f t="shared" si="33"/>
        <v/>
      </c>
      <c r="Z70" s="863" t="str">
        <f t="shared" si="33"/>
        <v/>
      </c>
      <c r="AA70" s="864" t="str">
        <f t="shared" si="33"/>
        <v/>
      </c>
    </row>
    <row r="71" spans="5:27" s="345" customFormat="1">
      <c r="E71" s="1574" t="s">
        <v>1283</v>
      </c>
      <c r="F71" s="1593"/>
      <c r="G71" s="1575"/>
      <c r="H71" s="865">
        <f>IF(SUMIF($H$36:$AA$36,H$70,$H37:$AA37)=0,"",SUMIF($H$36:$AA$36,H$70,$H37:$AA37)/$AB$59)</f>
        <v>5.337950691619206E-2</v>
      </c>
      <c r="I71" s="866">
        <f t="shared" ref="I71:AA71" si="34">IF(SUMIF($H$36:$AA$36,I$70,$H37:$AA37)=0,"",SUMIF($H$36:$AA$36,I$70,$H37:$AA37)/$AB$59)</f>
        <v>0.3921477885768247</v>
      </c>
      <c r="J71" s="866">
        <f t="shared" si="34"/>
        <v>0.49680310777128872</v>
      </c>
      <c r="K71" s="866">
        <f t="shared" si="34"/>
        <v>0.1178909782813518</v>
      </c>
      <c r="L71" s="866">
        <f t="shared" si="34"/>
        <v>0.13331966845940715</v>
      </c>
      <c r="M71" s="866">
        <f t="shared" si="34"/>
        <v>0.32523932375577508</v>
      </c>
      <c r="N71" s="866">
        <f t="shared" si="34"/>
        <v>0.41372034468326979</v>
      </c>
      <c r="O71" s="866">
        <f t="shared" si="34"/>
        <v>0.55233982501527601</v>
      </c>
      <c r="P71" s="866">
        <f t="shared" si="34"/>
        <v>0.65231090322421104</v>
      </c>
      <c r="Q71" s="866">
        <f t="shared" si="34"/>
        <v>0.7092665165662857</v>
      </c>
      <c r="R71" s="866">
        <f t="shared" si="34"/>
        <v>0.70799202981769505</v>
      </c>
      <c r="S71" s="866">
        <f t="shared" si="34"/>
        <v>0.58414140907136647</v>
      </c>
      <c r="T71" s="866" t="str">
        <f t="shared" si="34"/>
        <v/>
      </c>
      <c r="U71" s="866" t="str">
        <f t="shared" si="34"/>
        <v/>
      </c>
      <c r="V71" s="866" t="str">
        <f t="shared" si="34"/>
        <v/>
      </c>
      <c r="W71" s="866" t="str">
        <f t="shared" si="34"/>
        <v/>
      </c>
      <c r="X71" s="866" t="str">
        <f t="shared" si="34"/>
        <v/>
      </c>
      <c r="Y71" s="866" t="str">
        <f t="shared" si="34"/>
        <v/>
      </c>
      <c r="Z71" s="866" t="str">
        <f t="shared" si="34"/>
        <v/>
      </c>
      <c r="AA71" s="867" t="str">
        <f t="shared" si="34"/>
        <v/>
      </c>
    </row>
    <row r="72" spans="5:27" s="345" customFormat="1" ht="13.5" thickBot="1">
      <c r="E72" s="1576" t="s">
        <v>1284</v>
      </c>
      <c r="F72" s="1594"/>
      <c r="G72" s="1577"/>
      <c r="H72" s="868">
        <f>IF(SUMIF($H$36:$AA$36,H$70,$H37:$AA37)=0,"",SUMIF($H$36:$AA$36,H$70,$H38:$AA38)/$AB$59)</f>
        <v>4.2645064145434113E-3</v>
      </c>
      <c r="I72" s="869">
        <f t="shared" ref="I72:AA72" si="35">IF(SUMIF($H$36:$AA$36,I$70,$H37:$AA37)=0,"",SUMIF($H$36:$AA$36,I$70,$H38:$AA38)/$AB$59)</f>
        <v>2.3350551291593215E-2</v>
      </c>
      <c r="J72" s="869">
        <f t="shared" si="35"/>
        <v>2.7990786475962395E-2</v>
      </c>
      <c r="K72" s="869">
        <f t="shared" si="35"/>
        <v>4.4912823781015077E-2</v>
      </c>
      <c r="L72" s="869">
        <f t="shared" si="35"/>
        <v>8.2221119110681112E-2</v>
      </c>
      <c r="M72" s="869">
        <f t="shared" si="35"/>
        <v>9.9099155720628204E-2</v>
      </c>
      <c r="N72" s="869">
        <f t="shared" si="35"/>
        <v>9.2072005385484629E-2</v>
      </c>
      <c r="O72" s="869">
        <f t="shared" si="35"/>
        <v>7.9030845030763117E-2</v>
      </c>
      <c r="P72" s="869">
        <f t="shared" si="35"/>
        <v>4.3252054709076317E-2</v>
      </c>
      <c r="Q72" s="869">
        <f t="shared" si="35"/>
        <v>1.9218190880823438E-2</v>
      </c>
      <c r="R72" s="869">
        <f t="shared" si="35"/>
        <v>2.7629872913160214E-2</v>
      </c>
      <c r="S72" s="869">
        <f t="shared" si="35"/>
        <v>1.3458899108609637E-2</v>
      </c>
      <c r="T72" s="869" t="str">
        <f t="shared" si="35"/>
        <v/>
      </c>
      <c r="U72" s="869" t="str">
        <f t="shared" si="35"/>
        <v/>
      </c>
      <c r="V72" s="869" t="str">
        <f t="shared" si="35"/>
        <v/>
      </c>
      <c r="W72" s="869" t="str">
        <f t="shared" si="35"/>
        <v/>
      </c>
      <c r="X72" s="869" t="str">
        <f t="shared" si="35"/>
        <v/>
      </c>
      <c r="Y72" s="869" t="str">
        <f t="shared" si="35"/>
        <v/>
      </c>
      <c r="Z72" s="869" t="str">
        <f t="shared" si="35"/>
        <v/>
      </c>
      <c r="AA72" s="870" t="str">
        <f t="shared" si="35"/>
        <v/>
      </c>
    </row>
    <row r="73" spans="5:27" s="345" customFormat="1">
      <c r="F73" s="854"/>
      <c r="H73" s="871" t="str">
        <f t="shared" ref="H73:AA73" si="36">IF(H43="","",RANK(H36,$H$36:$AA$36,1))</f>
        <v/>
      </c>
      <c r="I73" s="872">
        <f t="shared" si="36"/>
        <v>2</v>
      </c>
      <c r="J73" s="872" t="str">
        <f t="shared" si="36"/>
        <v/>
      </c>
      <c r="K73" s="872" t="str">
        <f t="shared" si="36"/>
        <v/>
      </c>
      <c r="L73" s="872" t="str">
        <f t="shared" si="36"/>
        <v/>
      </c>
      <c r="M73" s="872" t="str">
        <f t="shared" si="36"/>
        <v/>
      </c>
      <c r="N73" s="872">
        <f t="shared" si="36"/>
        <v>7</v>
      </c>
      <c r="O73" s="872">
        <f t="shared" si="36"/>
        <v>8</v>
      </c>
      <c r="P73" s="872">
        <f t="shared" si="36"/>
        <v>9</v>
      </c>
      <c r="Q73" s="872">
        <f t="shared" si="36"/>
        <v>10</v>
      </c>
      <c r="R73" s="872">
        <f t="shared" si="36"/>
        <v>11</v>
      </c>
      <c r="S73" s="872">
        <f t="shared" si="36"/>
        <v>12</v>
      </c>
      <c r="T73" s="872">
        <f t="shared" si="36"/>
        <v>13</v>
      </c>
      <c r="U73" s="872">
        <f t="shared" si="36"/>
        <v>14</v>
      </c>
      <c r="V73" s="872">
        <f t="shared" si="36"/>
        <v>15</v>
      </c>
      <c r="W73" s="872">
        <f t="shared" si="36"/>
        <v>16</v>
      </c>
      <c r="X73" s="872">
        <f t="shared" si="36"/>
        <v>17</v>
      </c>
      <c r="Y73" s="872">
        <f t="shared" si="36"/>
        <v>18</v>
      </c>
      <c r="Z73" s="872" t="str">
        <f t="shared" si="36"/>
        <v/>
      </c>
      <c r="AA73" s="873" t="str">
        <f t="shared" si="36"/>
        <v/>
      </c>
    </row>
    <row r="74" spans="5:27" s="345" customFormat="1" ht="13.5" thickBot="1">
      <c r="F74" s="854"/>
      <c r="H74" s="874" t="str">
        <f t="shared" ref="H74:AA74" si="37">IF(H73="","",RANK(H73,$H$73:$AA$73,1))</f>
        <v/>
      </c>
      <c r="I74" s="875">
        <f t="shared" si="37"/>
        <v>1</v>
      </c>
      <c r="J74" s="875" t="str">
        <f t="shared" si="37"/>
        <v/>
      </c>
      <c r="K74" s="875" t="str">
        <f t="shared" si="37"/>
        <v/>
      </c>
      <c r="L74" s="875" t="str">
        <f t="shared" si="37"/>
        <v/>
      </c>
      <c r="M74" s="875" t="str">
        <f t="shared" si="37"/>
        <v/>
      </c>
      <c r="N74" s="875">
        <f t="shared" si="37"/>
        <v>2</v>
      </c>
      <c r="O74" s="875">
        <f t="shared" si="37"/>
        <v>3</v>
      </c>
      <c r="P74" s="875">
        <f t="shared" si="37"/>
        <v>4</v>
      </c>
      <c r="Q74" s="875">
        <f t="shared" si="37"/>
        <v>5</v>
      </c>
      <c r="R74" s="875">
        <f t="shared" si="37"/>
        <v>6</v>
      </c>
      <c r="S74" s="875">
        <f t="shared" si="37"/>
        <v>7</v>
      </c>
      <c r="T74" s="875">
        <f t="shared" si="37"/>
        <v>8</v>
      </c>
      <c r="U74" s="875">
        <f t="shared" si="37"/>
        <v>9</v>
      </c>
      <c r="V74" s="875">
        <f t="shared" si="37"/>
        <v>10</v>
      </c>
      <c r="W74" s="875">
        <f t="shared" si="37"/>
        <v>11</v>
      </c>
      <c r="X74" s="875">
        <f t="shared" si="37"/>
        <v>12</v>
      </c>
      <c r="Y74" s="875">
        <f t="shared" si="37"/>
        <v>13</v>
      </c>
      <c r="Z74" s="875" t="str">
        <f t="shared" si="37"/>
        <v/>
      </c>
      <c r="AA74" s="876" t="str">
        <f t="shared" si="37"/>
        <v/>
      </c>
    </row>
    <row r="75" spans="5:27" s="345" customFormat="1" ht="13.5" thickBot="1">
      <c r="E75" s="1605" t="s">
        <v>1281</v>
      </c>
      <c r="F75" s="1606"/>
      <c r="G75" s="1607"/>
      <c r="H75" s="877">
        <f>IF(SUMIF($H$74:$AA$74,H$67,$H$36:$AA$36)=0,"",SUMIF($H$74:$AA$74,H$67,$H$36:$AA$36))</f>
        <v>10</v>
      </c>
      <c r="I75" s="878">
        <f>IF(SUMIF($H$74:$AA$74,I$67,$H$36:$AA$36)=0,"",SUMIF($H$74:$AA$74,I$67,$H$36:$AA$36))</f>
        <v>40</v>
      </c>
      <c r="J75" s="878">
        <f t="shared" ref="J75:AA75" si="38">IF(SUMIF($H$74:$AA$74,J$67,$H$36:$AA$36)=0,"",SUMIF($H$74:$AA$74,J$67,$H$36:$AA$36))</f>
        <v>50</v>
      </c>
      <c r="K75" s="878">
        <f t="shared" si="38"/>
        <v>60</v>
      </c>
      <c r="L75" s="878">
        <f t="shared" si="38"/>
        <v>70</v>
      </c>
      <c r="M75" s="878">
        <f t="shared" si="38"/>
        <v>80</v>
      </c>
      <c r="N75" s="878">
        <f t="shared" si="38"/>
        <v>90</v>
      </c>
      <c r="O75" s="878">
        <f t="shared" si="38"/>
        <v>97.736572490101764</v>
      </c>
      <c r="P75" s="878">
        <f t="shared" si="38"/>
        <v>98.474693898206965</v>
      </c>
      <c r="Q75" s="878">
        <f t="shared" si="38"/>
        <v>99.115172061249353</v>
      </c>
      <c r="R75" s="878">
        <f t="shared" si="38"/>
        <v>99.665653482478291</v>
      </c>
      <c r="S75" s="878">
        <f t="shared" si="38"/>
        <v>99.951573567634654</v>
      </c>
      <c r="T75" s="878">
        <f t="shared" si="38"/>
        <v>100</v>
      </c>
      <c r="U75" s="878" t="str">
        <f t="shared" si="38"/>
        <v/>
      </c>
      <c r="V75" s="878" t="str">
        <f t="shared" si="38"/>
        <v/>
      </c>
      <c r="W75" s="878" t="str">
        <f t="shared" si="38"/>
        <v/>
      </c>
      <c r="X75" s="878" t="str">
        <f t="shared" si="38"/>
        <v/>
      </c>
      <c r="Y75" s="878" t="str">
        <f t="shared" si="38"/>
        <v/>
      </c>
      <c r="Z75" s="878" t="str">
        <f t="shared" si="38"/>
        <v/>
      </c>
      <c r="AA75" s="879" t="str">
        <f t="shared" si="38"/>
        <v/>
      </c>
    </row>
    <row r="76" spans="5:27" s="345" customFormat="1">
      <c r="E76" s="1574" t="s">
        <v>1283</v>
      </c>
      <c r="F76" s="1593"/>
      <c r="G76" s="1575"/>
      <c r="H76" s="880">
        <f>IF(SUMIF($H$36:$AA$36,H$75,$H43:$AA43)=0,"",SUMIF($H$36:$AA$36,H$75,$H43:$AA43)/$AB$59)</f>
        <v>0.39116926422451664</v>
      </c>
      <c r="I76" s="881">
        <f t="shared" ref="I76:AA76" si="39">IF(SUMIF($H$36:$AA$36,I$75,$H43:$AA43)=0,"",SUMIF($H$36:$AA$36,I$75,$H43:$AA43)/$AB$59)</f>
        <v>0.42799447510277383</v>
      </c>
      <c r="J76" s="881">
        <f t="shared" si="39"/>
        <v>0.56450933824132465</v>
      </c>
      <c r="K76" s="881">
        <f t="shared" si="39"/>
        <v>0.64937109079366917</v>
      </c>
      <c r="L76" s="881">
        <f t="shared" si="39"/>
        <v>0.70187471050421002</v>
      </c>
      <c r="M76" s="881">
        <f t="shared" si="39"/>
        <v>0.70411609424630872</v>
      </c>
      <c r="N76" s="881">
        <f t="shared" si="39"/>
        <v>0.5933142941205205</v>
      </c>
      <c r="O76" s="881">
        <f t="shared" si="39"/>
        <v>0.52070824706994578</v>
      </c>
      <c r="P76" s="881">
        <f t="shared" si="39"/>
        <v>0.46323383317733874</v>
      </c>
      <c r="Q76" s="881">
        <f t="shared" si="39"/>
        <v>0.35774945697300958</v>
      </c>
      <c r="R76" s="881">
        <f t="shared" si="39"/>
        <v>0.25123352415773598</v>
      </c>
      <c r="S76" s="881">
        <f t="shared" si="39"/>
        <v>0.22112090839683959</v>
      </c>
      <c r="T76" s="881">
        <f t="shared" si="39"/>
        <v>0.19203984924688788</v>
      </c>
      <c r="U76" s="881" t="str">
        <f t="shared" si="39"/>
        <v/>
      </c>
      <c r="V76" s="881" t="str">
        <f t="shared" si="39"/>
        <v/>
      </c>
      <c r="W76" s="881" t="str">
        <f t="shared" si="39"/>
        <v/>
      </c>
      <c r="X76" s="881" t="str">
        <f t="shared" si="39"/>
        <v/>
      </c>
      <c r="Y76" s="881" t="str">
        <f t="shared" si="39"/>
        <v/>
      </c>
      <c r="Z76" s="881" t="str">
        <f t="shared" si="39"/>
        <v/>
      </c>
      <c r="AA76" s="882" t="str">
        <f t="shared" si="39"/>
        <v/>
      </c>
    </row>
    <row r="77" spans="5:27" s="345" customFormat="1" ht="13.5" thickBot="1">
      <c r="E77" s="1576" t="s">
        <v>1284</v>
      </c>
      <c r="F77" s="1594"/>
      <c r="G77" s="1577"/>
      <c r="H77" s="883">
        <f>IF(SUMIF($H$36:$AA$36,H$75,$H43:$AA43)=0,"",SUMIF($H$36:$AA$36,H$75,$H44:$AA44)/$AB$59)</f>
        <v>2.8772359347579043E-2</v>
      </c>
      <c r="I77" s="884">
        <f t="shared" ref="I77:AA77" si="40">IF(SUMIF($H$36:$AA$36,I$75,$H43:$AA43)=0,"",SUMIF($H$36:$AA$36,I$75,$H44:$AA44)/$AB$59)</f>
        <v>0</v>
      </c>
      <c r="J77" s="884">
        <f t="shared" si="40"/>
        <v>0</v>
      </c>
      <c r="K77" s="884">
        <f t="shared" si="40"/>
        <v>3.5862799632738751E-2</v>
      </c>
      <c r="L77" s="884">
        <f t="shared" si="40"/>
        <v>0</v>
      </c>
      <c r="M77" s="884">
        <f t="shared" si="40"/>
        <v>1.6174080256957001E-2</v>
      </c>
      <c r="N77" s="884">
        <f t="shared" si="40"/>
        <v>1.716429007358878E-2</v>
      </c>
      <c r="O77" s="884">
        <f t="shared" si="40"/>
        <v>8.7549858445772843E-2</v>
      </c>
      <c r="P77" s="884">
        <f t="shared" si="40"/>
        <v>0.14347406332141566</v>
      </c>
      <c r="Q77" s="884">
        <f t="shared" si="40"/>
        <v>0.22630618218254228</v>
      </c>
      <c r="R77" s="884">
        <f t="shared" si="40"/>
        <v>0.13811478780950834</v>
      </c>
      <c r="S77" s="884">
        <f t="shared" si="40"/>
        <v>8.6817103783673119E-2</v>
      </c>
      <c r="T77" s="884">
        <f t="shared" si="40"/>
        <v>0.13182131861426771</v>
      </c>
      <c r="U77" s="884" t="str">
        <f t="shared" si="40"/>
        <v/>
      </c>
      <c r="V77" s="884" t="str">
        <f t="shared" si="40"/>
        <v/>
      </c>
      <c r="W77" s="884" t="str">
        <f t="shared" si="40"/>
        <v/>
      </c>
      <c r="X77" s="884" t="str">
        <f t="shared" si="40"/>
        <v/>
      </c>
      <c r="Y77" s="884" t="str">
        <f t="shared" si="40"/>
        <v/>
      </c>
      <c r="Z77" s="884" t="str">
        <f t="shared" si="40"/>
        <v/>
      </c>
      <c r="AA77" s="885" t="str">
        <f t="shared" si="40"/>
        <v/>
      </c>
    </row>
    <row r="78" spans="5:27" s="345" customFormat="1">
      <c r="F78" s="854"/>
      <c r="H78" s="886">
        <f t="shared" ref="H78:AA78" si="41">IF(H53="","",RANK(H36,$H$36:$AA$36,1))</f>
        <v>1</v>
      </c>
      <c r="I78" s="887">
        <f t="shared" si="41"/>
        <v>2</v>
      </c>
      <c r="J78" s="887">
        <f t="shared" si="41"/>
        <v>3</v>
      </c>
      <c r="K78" s="887">
        <f t="shared" si="41"/>
        <v>4</v>
      </c>
      <c r="L78" s="887">
        <f t="shared" si="41"/>
        <v>5</v>
      </c>
      <c r="M78" s="887">
        <f t="shared" si="41"/>
        <v>6</v>
      </c>
      <c r="N78" s="887">
        <f t="shared" si="41"/>
        <v>7</v>
      </c>
      <c r="O78" s="887">
        <f t="shared" si="41"/>
        <v>8</v>
      </c>
      <c r="P78" s="887">
        <f t="shared" si="41"/>
        <v>9</v>
      </c>
      <c r="Q78" s="887">
        <f t="shared" si="41"/>
        <v>10</v>
      </c>
      <c r="R78" s="887">
        <f t="shared" si="41"/>
        <v>11</v>
      </c>
      <c r="S78" s="887">
        <f t="shared" si="41"/>
        <v>12</v>
      </c>
      <c r="T78" s="887" t="str">
        <f t="shared" si="41"/>
        <v/>
      </c>
      <c r="U78" s="887" t="str">
        <f t="shared" si="41"/>
        <v/>
      </c>
      <c r="V78" s="887" t="str">
        <f t="shared" si="41"/>
        <v/>
      </c>
      <c r="W78" s="887" t="str">
        <f t="shared" si="41"/>
        <v/>
      </c>
      <c r="X78" s="887" t="str">
        <f t="shared" si="41"/>
        <v/>
      </c>
      <c r="Y78" s="887" t="str">
        <f t="shared" si="41"/>
        <v/>
      </c>
      <c r="Z78" s="887" t="str">
        <f t="shared" si="41"/>
        <v/>
      </c>
      <c r="AA78" s="888" t="str">
        <f t="shared" si="41"/>
        <v/>
      </c>
    </row>
    <row r="79" spans="5:27" s="345" customFormat="1" ht="13.5" thickBot="1">
      <c r="F79" s="854"/>
      <c r="H79" s="859">
        <f t="shared" ref="H79:AA79" si="42">IF(H78="","",RANK(H78,$H$78:$AA$78,1))</f>
        <v>1</v>
      </c>
      <c r="I79" s="860">
        <f t="shared" si="42"/>
        <v>2</v>
      </c>
      <c r="J79" s="860">
        <f t="shared" si="42"/>
        <v>3</v>
      </c>
      <c r="K79" s="860">
        <f t="shared" si="42"/>
        <v>4</v>
      </c>
      <c r="L79" s="860">
        <f t="shared" si="42"/>
        <v>5</v>
      </c>
      <c r="M79" s="860">
        <f t="shared" si="42"/>
        <v>6</v>
      </c>
      <c r="N79" s="860">
        <f t="shared" si="42"/>
        <v>7</v>
      </c>
      <c r="O79" s="860">
        <f t="shared" si="42"/>
        <v>8</v>
      </c>
      <c r="P79" s="860">
        <f t="shared" si="42"/>
        <v>9</v>
      </c>
      <c r="Q79" s="860">
        <f t="shared" si="42"/>
        <v>10</v>
      </c>
      <c r="R79" s="860">
        <f t="shared" si="42"/>
        <v>11</v>
      </c>
      <c r="S79" s="860">
        <f t="shared" si="42"/>
        <v>12</v>
      </c>
      <c r="T79" s="860" t="str">
        <f t="shared" si="42"/>
        <v/>
      </c>
      <c r="U79" s="860" t="str">
        <f t="shared" si="42"/>
        <v/>
      </c>
      <c r="V79" s="860" t="str">
        <f t="shared" si="42"/>
        <v/>
      </c>
      <c r="W79" s="860" t="str">
        <f t="shared" si="42"/>
        <v/>
      </c>
      <c r="X79" s="860" t="str">
        <f t="shared" si="42"/>
        <v/>
      </c>
      <c r="Y79" s="860" t="str">
        <f t="shared" si="42"/>
        <v/>
      </c>
      <c r="Z79" s="860" t="str">
        <f t="shared" si="42"/>
        <v/>
      </c>
      <c r="AA79" s="861" t="str">
        <f t="shared" si="42"/>
        <v/>
      </c>
    </row>
    <row r="80" spans="5:27" s="345" customFormat="1" ht="13.5" thickBot="1">
      <c r="E80" s="1605" t="s">
        <v>1281</v>
      </c>
      <c r="F80" s="1606"/>
      <c r="G80" s="1607"/>
      <c r="H80" s="862">
        <f>IF(SUMIF($H$79:$AA$79,H$67,$H$36:$AA$36)=0,"",SUMIF($H$79:$AA$79,H$67,$H$36:$AA$36))</f>
        <v>5.3605555861977985</v>
      </c>
      <c r="I80" s="863">
        <f>IF(SUMIF($H$79:$AA$79,I$67,$H$36:$AA$36)=0,"",SUMIF($H$79:$AA$79,I$67,$H$36:$AA$36))</f>
        <v>10</v>
      </c>
      <c r="J80" s="863">
        <f t="shared" ref="J80:AA80" si="43">IF(SUMIF($H$79:$AA$79,J$67,$H$36:$AA$36)=0,"",SUMIF($H$79:$AA$79,J$67,$H$36:$AA$36))</f>
        <v>20</v>
      </c>
      <c r="K80" s="863">
        <f t="shared" si="43"/>
        <v>26.922669813782981</v>
      </c>
      <c r="L80" s="863">
        <f t="shared" si="43"/>
        <v>28.402760758696882</v>
      </c>
      <c r="M80" s="863">
        <f t="shared" si="43"/>
        <v>30</v>
      </c>
      <c r="N80" s="863">
        <f t="shared" si="43"/>
        <v>40</v>
      </c>
      <c r="O80" s="863">
        <f t="shared" si="43"/>
        <v>50</v>
      </c>
      <c r="P80" s="863">
        <f t="shared" si="43"/>
        <v>60</v>
      </c>
      <c r="Q80" s="863">
        <f t="shared" si="43"/>
        <v>70</v>
      </c>
      <c r="R80" s="863">
        <f t="shared" si="43"/>
        <v>80</v>
      </c>
      <c r="S80" s="863">
        <f t="shared" si="43"/>
        <v>90</v>
      </c>
      <c r="T80" s="863" t="str">
        <f t="shared" si="43"/>
        <v/>
      </c>
      <c r="U80" s="863" t="str">
        <f t="shared" si="43"/>
        <v/>
      </c>
      <c r="V80" s="863" t="str">
        <f t="shared" si="43"/>
        <v/>
      </c>
      <c r="W80" s="863" t="str">
        <f t="shared" si="43"/>
        <v/>
      </c>
      <c r="X80" s="863" t="str">
        <f t="shared" si="43"/>
        <v/>
      </c>
      <c r="Y80" s="863" t="str">
        <f t="shared" si="43"/>
        <v/>
      </c>
      <c r="Z80" s="863" t="str">
        <f t="shared" si="43"/>
        <v/>
      </c>
      <c r="AA80" s="864" t="str">
        <f t="shared" si="43"/>
        <v/>
      </c>
    </row>
    <row r="81" spans="5:28" s="345" customFormat="1">
      <c r="E81" s="1574" t="s">
        <v>1283</v>
      </c>
      <c r="F81" s="1593"/>
      <c r="G81" s="1575"/>
      <c r="H81" s="865">
        <f>IF(SUMIF($H$36:$AA$36,H$80,$H53:$AA53)=0,"",SUMIF($H$36:$AA$36,H$80,$H53:$AA53)/$AB$59)</f>
        <v>4.6883692090069241E-2</v>
      </c>
      <c r="I81" s="866">
        <f t="shared" ref="I81:AA81" si="44">IF(SUMIF($H$36:$AA$36,I$80,$H53:$AA53)=0,"",SUMIF($H$36:$AA$36,I$80,$H53:$AA53)/$AB$59)</f>
        <v>0.37615664467869203</v>
      </c>
      <c r="J81" s="866">
        <f t="shared" si="44"/>
        <v>0.48040871162320647</v>
      </c>
      <c r="K81" s="866">
        <f t="shared" si="44"/>
        <v>0.12512161490561458</v>
      </c>
      <c r="L81" s="866">
        <f t="shared" si="44"/>
        <v>0.1380584306547003</v>
      </c>
      <c r="M81" s="866">
        <f t="shared" si="44"/>
        <v>0.2831634711300749</v>
      </c>
      <c r="N81" s="866">
        <f t="shared" si="44"/>
        <v>0.41161514820518957</v>
      </c>
      <c r="O81" s="866">
        <f t="shared" si="44"/>
        <v>0.61479246087301909</v>
      </c>
      <c r="P81" s="866">
        <f t="shared" si="44"/>
        <v>0.64717404185247385</v>
      </c>
      <c r="Q81" s="866">
        <f t="shared" si="44"/>
        <v>0.70469287213456466</v>
      </c>
      <c r="R81" s="866">
        <f t="shared" si="44"/>
        <v>0.71038292651617374</v>
      </c>
      <c r="S81" s="866">
        <f t="shared" si="44"/>
        <v>0.57865937296053471</v>
      </c>
      <c r="T81" s="866" t="str">
        <f t="shared" si="44"/>
        <v/>
      </c>
      <c r="U81" s="866" t="str">
        <f t="shared" si="44"/>
        <v/>
      </c>
      <c r="V81" s="866" t="str">
        <f t="shared" si="44"/>
        <v/>
      </c>
      <c r="W81" s="866" t="str">
        <f t="shared" si="44"/>
        <v/>
      </c>
      <c r="X81" s="866" t="str">
        <f t="shared" si="44"/>
        <v/>
      </c>
      <c r="Y81" s="866" t="str">
        <f t="shared" si="44"/>
        <v/>
      </c>
      <c r="Z81" s="866" t="str">
        <f t="shared" si="44"/>
        <v/>
      </c>
      <c r="AA81" s="867" t="str">
        <f t="shared" si="44"/>
        <v/>
      </c>
    </row>
    <row r="82" spans="5:28" s="345" customFormat="1" ht="13.5" thickBot="1">
      <c r="E82" s="1576" t="s">
        <v>1284</v>
      </c>
      <c r="F82" s="1594"/>
      <c r="G82" s="1577"/>
      <c r="H82" s="868">
        <f>IF(SUMIF($H$36:$AA$36,H$80,$H53:$AA53)=0,"",SUMIF($H$36:$AA$36,H$80,$H54:$AA54)/$AB$59)</f>
        <v>2.5780065748506439E-2</v>
      </c>
      <c r="I82" s="869">
        <f t="shared" ref="I82:AA82" si="45">IF(SUMIF($H$36:$AA$36,I$80,$H53:$AA53)=0,"",SUMIF($H$36:$AA$36,I$80,$H54:$AA54)/$AB$59)</f>
        <v>0</v>
      </c>
      <c r="J82" s="869">
        <f t="shared" si="45"/>
        <v>2.2712612751189461E-2</v>
      </c>
      <c r="K82" s="869">
        <f t="shared" si="45"/>
        <v>2.344890892307136E-2</v>
      </c>
      <c r="L82" s="869">
        <f t="shared" si="45"/>
        <v>1.7518228633081587E-2</v>
      </c>
      <c r="M82" s="869">
        <f t="shared" si="45"/>
        <v>4.073455890636881E-2</v>
      </c>
      <c r="N82" s="869">
        <f t="shared" si="45"/>
        <v>6.1098350908640311E-2</v>
      </c>
      <c r="O82" s="869">
        <f t="shared" si="45"/>
        <v>0.40193134910168732</v>
      </c>
      <c r="P82" s="869">
        <f t="shared" si="45"/>
        <v>3.4097557495101162E-2</v>
      </c>
      <c r="Q82" s="869">
        <f t="shared" si="45"/>
        <v>2.6514039013288752E-2</v>
      </c>
      <c r="R82" s="869">
        <f t="shared" si="45"/>
        <v>1.2464585509440285E-2</v>
      </c>
      <c r="S82" s="869">
        <f t="shared" si="45"/>
        <v>0</v>
      </c>
      <c r="T82" s="869" t="str">
        <f t="shared" si="45"/>
        <v/>
      </c>
      <c r="U82" s="869" t="str">
        <f t="shared" si="45"/>
        <v/>
      </c>
      <c r="V82" s="869" t="str">
        <f t="shared" si="45"/>
        <v/>
      </c>
      <c r="W82" s="869" t="str">
        <f t="shared" si="45"/>
        <v/>
      </c>
      <c r="X82" s="869" t="str">
        <f t="shared" si="45"/>
        <v/>
      </c>
      <c r="Y82" s="869" t="str">
        <f t="shared" si="45"/>
        <v/>
      </c>
      <c r="Z82" s="869" t="str">
        <f t="shared" si="45"/>
        <v/>
      </c>
      <c r="AA82" s="870" t="str">
        <f t="shared" si="45"/>
        <v/>
      </c>
    </row>
    <row r="83" spans="5:28" s="345" customFormat="1">
      <c r="F83" s="889"/>
      <c r="H83" s="871">
        <f t="shared" ref="H83:AA83" si="46">IF(H59="","",RANK(H36,$H$36:$AA$36,1))</f>
        <v>1</v>
      </c>
      <c r="I83" s="872">
        <f t="shared" si="46"/>
        <v>2</v>
      </c>
      <c r="J83" s="872">
        <f t="shared" si="46"/>
        <v>3</v>
      </c>
      <c r="K83" s="872">
        <f t="shared" si="46"/>
        <v>4</v>
      </c>
      <c r="L83" s="872">
        <f t="shared" si="46"/>
        <v>5</v>
      </c>
      <c r="M83" s="872">
        <f t="shared" si="46"/>
        <v>6</v>
      </c>
      <c r="N83" s="872">
        <f t="shared" si="46"/>
        <v>7</v>
      </c>
      <c r="O83" s="872">
        <f t="shared" si="46"/>
        <v>8</v>
      </c>
      <c r="P83" s="872">
        <f t="shared" si="46"/>
        <v>9</v>
      </c>
      <c r="Q83" s="872">
        <f t="shared" si="46"/>
        <v>10</v>
      </c>
      <c r="R83" s="872">
        <f t="shared" si="46"/>
        <v>11</v>
      </c>
      <c r="S83" s="872">
        <f t="shared" si="46"/>
        <v>12</v>
      </c>
      <c r="T83" s="872">
        <f t="shared" si="46"/>
        <v>13</v>
      </c>
      <c r="U83" s="872">
        <f t="shared" si="46"/>
        <v>14</v>
      </c>
      <c r="V83" s="872">
        <f t="shared" si="46"/>
        <v>15</v>
      </c>
      <c r="W83" s="872">
        <f t="shared" si="46"/>
        <v>16</v>
      </c>
      <c r="X83" s="872">
        <f t="shared" si="46"/>
        <v>17</v>
      </c>
      <c r="Y83" s="872">
        <f t="shared" si="46"/>
        <v>18</v>
      </c>
      <c r="Z83" s="872" t="str">
        <f t="shared" si="46"/>
        <v/>
      </c>
      <c r="AA83" s="873" t="str">
        <f t="shared" si="46"/>
        <v/>
      </c>
    </row>
    <row r="84" spans="5:28" s="345" customFormat="1" ht="13.5" thickBot="1">
      <c r="F84" s="889"/>
      <c r="H84" s="874">
        <f t="shared" ref="H84:AA84" si="47">IF(H83="","",RANK(H83,$H$83:$AA$83,1))</f>
        <v>1</v>
      </c>
      <c r="I84" s="875">
        <f t="shared" si="47"/>
        <v>2</v>
      </c>
      <c r="J84" s="875">
        <f t="shared" si="47"/>
        <v>3</v>
      </c>
      <c r="K84" s="875">
        <f t="shared" si="47"/>
        <v>4</v>
      </c>
      <c r="L84" s="875">
        <f t="shared" si="47"/>
        <v>5</v>
      </c>
      <c r="M84" s="875">
        <f t="shared" si="47"/>
        <v>6</v>
      </c>
      <c r="N84" s="875">
        <f t="shared" si="47"/>
        <v>7</v>
      </c>
      <c r="O84" s="875">
        <f t="shared" si="47"/>
        <v>8</v>
      </c>
      <c r="P84" s="875">
        <f t="shared" si="47"/>
        <v>9</v>
      </c>
      <c r="Q84" s="875">
        <f t="shared" si="47"/>
        <v>10</v>
      </c>
      <c r="R84" s="875">
        <f t="shared" si="47"/>
        <v>11</v>
      </c>
      <c r="S84" s="875">
        <f t="shared" si="47"/>
        <v>12</v>
      </c>
      <c r="T84" s="875">
        <f t="shared" si="47"/>
        <v>13</v>
      </c>
      <c r="U84" s="875">
        <f t="shared" si="47"/>
        <v>14</v>
      </c>
      <c r="V84" s="875">
        <f t="shared" si="47"/>
        <v>15</v>
      </c>
      <c r="W84" s="875">
        <f t="shared" si="47"/>
        <v>16</v>
      </c>
      <c r="X84" s="875">
        <f t="shared" si="47"/>
        <v>17</v>
      </c>
      <c r="Y84" s="875">
        <f t="shared" si="47"/>
        <v>18</v>
      </c>
      <c r="Z84" s="875" t="str">
        <f t="shared" si="47"/>
        <v/>
      </c>
      <c r="AA84" s="876" t="str">
        <f t="shared" si="47"/>
        <v/>
      </c>
    </row>
    <row r="85" spans="5:28" s="345" customFormat="1" ht="13.5" thickBot="1">
      <c r="E85" s="1605" t="s">
        <v>1281</v>
      </c>
      <c r="F85" s="1606"/>
      <c r="G85" s="1607"/>
      <c r="H85" s="877">
        <f>IF(SUMIF($H$84:$AA$84,H$67,$H$36:$AA$36)=0,"",SUMIF($H$84:$AA$84,H$67,$H$36:$AA$36))</f>
        <v>5.3605555861977985</v>
      </c>
      <c r="I85" s="878">
        <f>IF(SUMIF($H$84:$AA$84,I$67,$H$36:$AA$36)=0,"",SUMIF($H$84:$AA$84,I$67,$H$36:$AA$36))</f>
        <v>10</v>
      </c>
      <c r="J85" s="878">
        <f t="shared" ref="J85:AA85" si="48">IF(SUMIF($H$84:$AA$84,J$67,$H$36:$AA$36)=0,"",SUMIF($H$84:$AA$84,J$67,$H$36:$AA$36))</f>
        <v>20</v>
      </c>
      <c r="K85" s="878">
        <f t="shared" si="48"/>
        <v>26.922669813782981</v>
      </c>
      <c r="L85" s="878">
        <f t="shared" si="48"/>
        <v>28.402760758696882</v>
      </c>
      <c r="M85" s="878">
        <f t="shared" si="48"/>
        <v>30</v>
      </c>
      <c r="N85" s="878">
        <f t="shared" si="48"/>
        <v>40</v>
      </c>
      <c r="O85" s="878">
        <f t="shared" si="48"/>
        <v>50</v>
      </c>
      <c r="P85" s="878">
        <f t="shared" si="48"/>
        <v>60</v>
      </c>
      <c r="Q85" s="878">
        <f t="shared" si="48"/>
        <v>70</v>
      </c>
      <c r="R85" s="878">
        <f t="shared" si="48"/>
        <v>80</v>
      </c>
      <c r="S85" s="878">
        <f t="shared" si="48"/>
        <v>90</v>
      </c>
      <c r="T85" s="878">
        <f t="shared" si="48"/>
        <v>97.736572490101764</v>
      </c>
      <c r="U85" s="878">
        <f t="shared" si="48"/>
        <v>98.474693898206965</v>
      </c>
      <c r="V85" s="878">
        <f t="shared" si="48"/>
        <v>99.115172061249353</v>
      </c>
      <c r="W85" s="878">
        <f t="shared" si="48"/>
        <v>99.665653482478291</v>
      </c>
      <c r="X85" s="878">
        <f t="shared" si="48"/>
        <v>99.951573567634654</v>
      </c>
      <c r="Y85" s="878">
        <f t="shared" si="48"/>
        <v>100</v>
      </c>
      <c r="Z85" s="878" t="str">
        <f t="shared" si="48"/>
        <v/>
      </c>
      <c r="AA85" s="879" t="str">
        <f t="shared" si="48"/>
        <v/>
      </c>
    </row>
    <row r="86" spans="5:28" s="345" customFormat="1">
      <c r="E86" s="1574" t="s">
        <v>1283</v>
      </c>
      <c r="F86" s="1593"/>
      <c r="G86" s="1575"/>
      <c r="H86" s="880">
        <f>IF(SUMIF($H$36:$AA$36,H$85,$H59:$AA59)=0,"",SUMIF($H$36:$AA$36,H$85,$H59:$AA59)/$AB$59)</f>
        <v>5.013159950313064E-2</v>
      </c>
      <c r="I86" s="881">
        <f t="shared" ref="I86:AA86" si="49">IF(SUMIF($H$36:$AA$36,I$85,$H59:$AA59)=0,"",SUMIF($H$36:$AA$36,I$85,$H59:$AA59)/$AB$59)</f>
        <v>0.38855815005627498</v>
      </c>
      <c r="J86" s="881">
        <f t="shared" si="49"/>
        <v>0.49133830905526127</v>
      </c>
      <c r="K86" s="881">
        <f t="shared" si="49"/>
        <v>0.12150629659348319</v>
      </c>
      <c r="L86" s="881">
        <f t="shared" si="49"/>
        <v>0.13568904955705371</v>
      </c>
      <c r="M86" s="881">
        <f t="shared" si="49"/>
        <v>0.30420139744292496</v>
      </c>
      <c r="N86" s="881">
        <f t="shared" si="49"/>
        <v>0.41437071629517902</v>
      </c>
      <c r="O86" s="881">
        <f t="shared" si="49"/>
        <v>0.57728075261518574</v>
      </c>
      <c r="P86" s="881">
        <f t="shared" si="49"/>
        <v>0.64966819618940763</v>
      </c>
      <c r="Q86" s="881">
        <f t="shared" si="49"/>
        <v>0.70641247392306805</v>
      </c>
      <c r="R86" s="881">
        <f t="shared" si="49"/>
        <v>0.7078043734613092</v>
      </c>
      <c r="S86" s="881">
        <f t="shared" si="49"/>
        <v>0.58671415586886166</v>
      </c>
      <c r="T86" s="881">
        <f t="shared" si="49"/>
        <v>0.52070824706994578</v>
      </c>
      <c r="U86" s="881">
        <f t="shared" si="49"/>
        <v>0.46323383317733874</v>
      </c>
      <c r="V86" s="881">
        <f t="shared" si="49"/>
        <v>0.35774945697300958</v>
      </c>
      <c r="W86" s="881">
        <f t="shared" si="49"/>
        <v>0.25123352415773598</v>
      </c>
      <c r="X86" s="881">
        <f t="shared" si="49"/>
        <v>0.22112090839683959</v>
      </c>
      <c r="Y86" s="881">
        <f t="shared" si="49"/>
        <v>0.19203984924688788</v>
      </c>
      <c r="Z86" s="881" t="str">
        <f t="shared" si="49"/>
        <v/>
      </c>
      <c r="AA86" s="882" t="str">
        <f t="shared" si="49"/>
        <v/>
      </c>
      <c r="AB86" s="851">
        <v>1</v>
      </c>
    </row>
    <row r="87" spans="5:28" s="345" customFormat="1" ht="13.5" thickBot="1">
      <c r="E87" s="1576" t="s">
        <v>1284</v>
      </c>
      <c r="F87" s="1594"/>
      <c r="G87" s="1577"/>
      <c r="H87" s="883">
        <f>IF(SUMIF($H$36:$AA$36,H$85,$H59:$AA59)=0,"",SUMIF($H$36:$AA$36,H$85,$H60:$AA60)/$AB$59)</f>
        <v>1.8076254276113507E-2</v>
      </c>
      <c r="I87" s="884">
        <f t="shared" ref="I87:AA87" si="50">IF(SUMIF($H$36:$AA$36,I$85,$H59:$AA59)=0,"",SUMIF($H$36:$AA$36,I$85,$H60:$AA60)/$AB$59)</f>
        <v>2.6148980408305222E-2</v>
      </c>
      <c r="J87" s="884">
        <f t="shared" si="50"/>
        <v>3.2840853391150858E-2</v>
      </c>
      <c r="K87" s="884">
        <f t="shared" si="50"/>
        <v>3.1281369536672626E-2</v>
      </c>
      <c r="L87" s="884">
        <f t="shared" si="50"/>
        <v>4.9076477322301748E-2</v>
      </c>
      <c r="M87" s="884">
        <f t="shared" si="50"/>
        <v>9.2118054702921087E-2</v>
      </c>
      <c r="N87" s="884">
        <f t="shared" si="50"/>
        <v>6.9069935123221821E-2</v>
      </c>
      <c r="O87" s="884">
        <f t="shared" si="50"/>
        <v>0.23612461257252043</v>
      </c>
      <c r="P87" s="884">
        <f t="shared" si="50"/>
        <v>3.4576611644451263E-2</v>
      </c>
      <c r="Q87" s="884">
        <f t="shared" si="50"/>
        <v>2.143368888247241E-2</v>
      </c>
      <c r="R87" s="884">
        <f t="shared" si="50"/>
        <v>1.9379617507650066E-2</v>
      </c>
      <c r="S87" s="884">
        <f t="shared" si="50"/>
        <v>2.0252232553452307E-2</v>
      </c>
      <c r="T87" s="884">
        <f t="shared" si="50"/>
        <v>8.7549858445772843E-2</v>
      </c>
      <c r="U87" s="884">
        <f t="shared" si="50"/>
        <v>0.14347406332141566</v>
      </c>
      <c r="V87" s="884">
        <f t="shared" si="50"/>
        <v>0.22630618218254228</v>
      </c>
      <c r="W87" s="884">
        <f t="shared" si="50"/>
        <v>0.13811478780950834</v>
      </c>
      <c r="X87" s="884">
        <f t="shared" si="50"/>
        <v>8.6817103783673119E-2</v>
      </c>
      <c r="Y87" s="884">
        <f t="shared" si="50"/>
        <v>0.13182131861426771</v>
      </c>
      <c r="Z87" s="884" t="str">
        <f t="shared" si="50"/>
        <v/>
      </c>
      <c r="AA87" s="885" t="str">
        <f t="shared" si="50"/>
        <v/>
      </c>
    </row>
    <row r="88" spans="5:28" s="345" customFormat="1">
      <c r="F88" s="889"/>
      <c r="R88" s="694"/>
    </row>
    <row r="89" spans="5:28" s="345" customFormat="1">
      <c r="F89" s="889"/>
      <c r="R89" s="694"/>
    </row>
    <row r="90" spans="5:28" s="345" customFormat="1">
      <c r="R90" s="694"/>
    </row>
    <row r="91" spans="5:28" s="345" customFormat="1">
      <c r="R91" s="694"/>
    </row>
    <row r="92" spans="5:28" s="345" customFormat="1">
      <c r="R92" s="694"/>
    </row>
    <row r="93" spans="5:28" s="345" customFormat="1">
      <c r="R93" s="694"/>
    </row>
    <row r="94" spans="5:28" s="345" customFormat="1">
      <c r="R94" s="694"/>
    </row>
    <row r="95" spans="5:28" s="345" customFormat="1">
      <c r="R95" s="694"/>
    </row>
    <row r="96" spans="5:28" s="345" customFormat="1">
      <c r="R96" s="694"/>
    </row>
    <row r="97" spans="16:18" s="345" customFormat="1">
      <c r="R97" s="694"/>
    </row>
    <row r="98" spans="16:18" s="345" customFormat="1">
      <c r="R98" s="694"/>
    </row>
    <row r="99" spans="16:18" s="345" customFormat="1">
      <c r="R99" s="694"/>
    </row>
    <row r="100" spans="16:18" s="345" customFormat="1">
      <c r="R100" s="694"/>
    </row>
    <row r="101" spans="16:18" s="345" customFormat="1">
      <c r="R101" s="694"/>
    </row>
    <row r="102" spans="16:18" s="345" customFormat="1">
      <c r="R102" s="694"/>
    </row>
    <row r="103" spans="16:18" s="345" customFormat="1">
      <c r="R103" s="694"/>
    </row>
    <row r="104" spans="16:18" s="345" customFormat="1">
      <c r="R104" s="694"/>
    </row>
    <row r="105" spans="16:18" s="345" customFormat="1">
      <c r="R105" s="694"/>
    </row>
    <row r="106" spans="16:18" s="345" customFormat="1">
      <c r="R106" s="694"/>
    </row>
    <row r="107" spans="16:18" s="345" customFormat="1">
      <c r="R107" s="694"/>
    </row>
    <row r="108" spans="16:18" s="345" customFormat="1">
      <c r="R108" s="694"/>
    </row>
    <row r="109" spans="16:18" s="345" customFormat="1">
      <c r="R109" s="694"/>
    </row>
    <row r="110" spans="16:18" s="345" customFormat="1">
      <c r="R110" s="694"/>
    </row>
    <row r="111" spans="16:18" s="345" customFormat="1">
      <c r="P111" s="966"/>
      <c r="R111" s="694"/>
    </row>
    <row r="112" spans="16:18" s="345" customFormat="1">
      <c r="P112" s="966"/>
      <c r="R112" s="694"/>
    </row>
    <row r="113" spans="16:18" s="345" customFormat="1">
      <c r="P113" s="966"/>
      <c r="R113" s="694"/>
    </row>
    <row r="114" spans="16:18" s="345" customFormat="1">
      <c r="P114" s="966"/>
      <c r="R114" s="694"/>
    </row>
    <row r="115" spans="16:18" s="345" customFormat="1">
      <c r="R115" s="694"/>
    </row>
    <row r="116" spans="16:18" s="345" customFormat="1">
      <c r="R116" s="694"/>
    </row>
    <row r="117" spans="16:18" s="345" customFormat="1">
      <c r="R117" s="694"/>
    </row>
    <row r="118" spans="16:18" s="345" customFormat="1">
      <c r="R118" s="694"/>
    </row>
    <row r="119" spans="16:18" s="345" customFormat="1">
      <c r="R119" s="694"/>
    </row>
    <row r="120" spans="16:18" s="345" customFormat="1">
      <c r="R120" s="694"/>
    </row>
    <row r="121" spans="16:18" s="345" customFormat="1">
      <c r="R121" s="694"/>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T13" sqref="T13:T31"/>
    </sheetView>
  </sheetViews>
  <sheetFormatPr baseColWidth="10" defaultRowHeight="12.75"/>
  <sheetData>
    <row r="1" spans="1:26" s="345" customFormat="1" ht="18">
      <c r="B1" s="345">
        <f>0.001</f>
        <v>1E-3</v>
      </c>
      <c r="D1" s="1228" t="s">
        <v>1101</v>
      </c>
      <c r="E1" s="1228"/>
      <c r="L1" s="1249" t="str">
        <f>IF('Stipe=phyllotaxie&amp;croissance'!S9&gt;0,'Stipe=phyllotaxie&amp;croissance'!S9,"")</f>
        <v/>
      </c>
      <c r="M1" s="1249"/>
      <c r="N1" s="975"/>
      <c r="O1" s="975"/>
    </row>
    <row r="2" spans="1:26" s="345" customFormat="1" ht="18">
      <c r="D2" s="974"/>
      <c r="E2" s="974"/>
    </row>
    <row r="3" spans="1:26" s="345" customFormat="1" ht="15.75">
      <c r="D3" s="1323" t="s">
        <v>1102</v>
      </c>
      <c r="E3" s="1323"/>
      <c r="F3" s="1323"/>
      <c r="G3" s="1323"/>
      <c r="H3" s="1323"/>
      <c r="I3" s="978"/>
      <c r="J3" s="1322" t="str">
        <f>IF('Stipe=phyllotaxie&amp;croissance'!$E$11&gt;0,'Stipe=phyllotaxie&amp;croissance'!$E$11,"")</f>
        <v>Rochdi</v>
      </c>
      <c r="K3" s="1322"/>
      <c r="Q3" s="1323" t="s">
        <v>1103</v>
      </c>
      <c r="R3" s="1323"/>
      <c r="S3" s="1323"/>
      <c r="T3" s="1323"/>
      <c r="U3" s="1512" t="str">
        <f>IF('Stipe=phyllotaxie&amp;croissance'!$E$10&gt;0,'Stipe=phyllotaxie&amp;croissance'!$E$10,"")</f>
        <v>01</v>
      </c>
      <c r="V3" s="1512"/>
      <c r="W3" s="980"/>
    </row>
    <row r="4" spans="1:26" s="345" customFormat="1" ht="18">
      <c r="D4" s="974"/>
      <c r="E4" s="974"/>
    </row>
    <row r="5" spans="1:26" s="345" customFormat="1" ht="18">
      <c r="D5" s="446" t="s">
        <v>1228</v>
      </c>
      <c r="E5" s="446"/>
      <c r="F5" s="446"/>
      <c r="G5" s="446"/>
      <c r="H5" s="446"/>
      <c r="I5" s="446"/>
      <c r="J5" s="446"/>
      <c r="K5" s="446"/>
      <c r="L5" s="446"/>
      <c r="M5" s="446"/>
      <c r="N5" s="976"/>
      <c r="O5" s="976"/>
    </row>
    <row r="6" spans="1:26" s="345" customFormat="1" ht="13.5" thickBot="1"/>
    <row r="7" spans="1:26" s="345" customFormat="1" ht="15.75" thickBot="1">
      <c r="D7" s="1496" t="s">
        <v>1229</v>
      </c>
      <c r="E7" s="1497"/>
      <c r="F7" s="1497"/>
      <c r="G7" s="577">
        <f>IF('Folioles=disposition&amp;groupes'!$D$7&gt;0,'Folioles=disposition&amp;groupes'!$D$7,"")</f>
        <v>57</v>
      </c>
      <c r="R7" s="1498" t="s">
        <v>1229</v>
      </c>
      <c r="S7" s="1499"/>
      <c r="T7" s="1513"/>
      <c r="U7" s="577">
        <f>IF('Folioles=disposition&amp;groupes'!$P$7&gt;0,'Folioles=disposition&amp;groupes'!$P$7,"")</f>
        <v>83</v>
      </c>
    </row>
    <row r="8" spans="1:26" s="345" customFormat="1"/>
    <row r="9" spans="1:26" s="345" customFormat="1" ht="15">
      <c r="C9" s="582"/>
      <c r="D9" s="1514" t="s">
        <v>1298</v>
      </c>
      <c r="E9" s="1514"/>
      <c r="F9" s="1514"/>
      <c r="Q9" s="582"/>
      <c r="R9" s="1514" t="s">
        <v>1298</v>
      </c>
      <c r="S9" s="1514"/>
      <c r="T9" s="1514"/>
    </row>
    <row r="10" spans="1:26" s="345" customFormat="1" ht="13.5" thickBot="1"/>
    <row r="11" spans="1:26" s="345" customFormat="1" ht="15.75" thickBot="1">
      <c r="C11" s="1520" t="s">
        <v>1233</v>
      </c>
      <c r="D11" s="1520" t="s">
        <v>1237</v>
      </c>
      <c r="E11" s="1521"/>
      <c r="F11" s="1521"/>
      <c r="G11" s="1522"/>
      <c r="H11" s="1520" t="s">
        <v>1233</v>
      </c>
      <c r="I11" s="1520" t="s">
        <v>1238</v>
      </c>
      <c r="J11" s="1521"/>
      <c r="K11" s="1521"/>
      <c r="L11" s="1522"/>
      <c r="M11" s="583"/>
      <c r="O11" s="1520" t="s">
        <v>1233</v>
      </c>
      <c r="P11" s="1520" t="s">
        <v>1237</v>
      </c>
      <c r="Q11" s="1521"/>
      <c r="R11" s="1521"/>
      <c r="S11" s="1522"/>
      <c r="T11" s="1520" t="s">
        <v>1233</v>
      </c>
      <c r="U11" s="1520" t="s">
        <v>1238</v>
      </c>
      <c r="V11" s="1521"/>
      <c r="W11" s="1521"/>
      <c r="X11" s="1522"/>
    </row>
    <row r="12" spans="1:26" s="345" customFormat="1" ht="13.5" thickBot="1">
      <c r="C12" s="1523"/>
      <c r="D12" s="584" t="s">
        <v>1239</v>
      </c>
      <c r="E12" s="585" t="s">
        <v>1240</v>
      </c>
      <c r="F12" s="585" t="s">
        <v>1240</v>
      </c>
      <c r="G12" s="586" t="s">
        <v>1241</v>
      </c>
      <c r="H12" s="1523"/>
      <c r="I12" s="588" t="s">
        <v>1239</v>
      </c>
      <c r="J12" s="589" t="s">
        <v>1240</v>
      </c>
      <c r="K12" s="589" t="s">
        <v>1240</v>
      </c>
      <c r="L12" s="590" t="s">
        <v>1241</v>
      </c>
      <c r="M12" s="587"/>
      <c r="O12" s="1523"/>
      <c r="P12" s="584" t="s">
        <v>1239</v>
      </c>
      <c r="Q12" s="585" t="s">
        <v>1240</v>
      </c>
      <c r="R12" s="585" t="s">
        <v>1240</v>
      </c>
      <c r="S12" s="586" t="s">
        <v>1241</v>
      </c>
      <c r="T12" s="1523"/>
      <c r="U12" s="584" t="s">
        <v>1239</v>
      </c>
      <c r="V12" s="585" t="s">
        <v>1240</v>
      </c>
      <c r="W12" s="585" t="s">
        <v>1240</v>
      </c>
      <c r="X12" s="586" t="s">
        <v>1241</v>
      </c>
    </row>
    <row r="13" spans="1:26" s="345" customFormat="1">
      <c r="A13" s="345">
        <f>IF(COUNTIF(C13,"")+COUNTIF(H13,"")+COUNTIF(O13,"")+COUNTIF(T13,"")=4,"",AVERAGE(C13,H13,O13,T13))</f>
        <v>5.3605555861977985</v>
      </c>
      <c r="B13" s="595" t="s">
        <v>1243</v>
      </c>
      <c r="C13" s="775">
        <f>IF('Sections rachis &amp; L pennes'!Q13="","",'Sections rachis &amp; L pennes'!Q13)</f>
        <v>5.15970515970516</v>
      </c>
      <c r="D13" s="776" t="str">
        <f>IF('Ouvertures pennes'!H14="","",MAX('Ouvertures pennes'!D14,'Ouvertures pennes'!H14))</f>
        <v/>
      </c>
      <c r="E13" s="777" t="str">
        <f>IF('Ouvertures pennes'!I14="","",MAX('Ouvertures pennes'!E14,'Ouvertures pennes'!I14))</f>
        <v/>
      </c>
      <c r="F13" s="777" t="str">
        <f>IF('Ouvertures pennes'!J14="","",MAX('Ouvertures pennes'!F14,'Ouvertures pennes'!J14))</f>
        <v/>
      </c>
      <c r="G13" s="780">
        <f>IF('Ouvertures pennes'!K14="","",MAX('Ouvertures pennes'!G14,'Ouvertures pennes'!K14))</f>
        <v>0.13800000000000001</v>
      </c>
      <c r="H13" s="775">
        <f>IF('Sections rachis &amp; L pennes'!V13="","",'Sections rachis &amp; L pennes'!V13)</f>
        <v>5.4054054054054053</v>
      </c>
      <c r="I13" s="776" t="str">
        <f>IF('Ouvertures pennes'!R14="","",MAX('Ouvertures pennes'!N14,'Ouvertures pennes'!R14))</f>
        <v/>
      </c>
      <c r="J13" s="777" t="str">
        <f>IF('Ouvertures pennes'!S14="","",MAX('Ouvertures pennes'!O14,'Ouvertures pennes'!S14))</f>
        <v/>
      </c>
      <c r="K13" s="777" t="str">
        <f>IF('Ouvertures pennes'!T14="","",MAX('Ouvertures pennes'!P14,'Ouvertures pennes'!T14))</f>
        <v/>
      </c>
      <c r="L13" s="780">
        <f>IF('Ouvertures pennes'!U14="","",MAX('Ouvertures pennes'!Q14,'Ouvertures pennes'!U14))</f>
        <v>0.157</v>
      </c>
      <c r="M13" s="781">
        <f>IF(COUNTIF(D13:G13,"")+COUNTIF(I13:L13,"")=8,"",MAX(D13:G13,I13:L13))</f>
        <v>0.157</v>
      </c>
      <c r="N13" s="595" t="s">
        <v>1243</v>
      </c>
      <c r="O13" s="775">
        <f>IF('Sections rachis &amp; L pennes'!AC13="","",'Sections rachis &amp; L pennes'!AC13)</f>
        <v>5.3228419347373288</v>
      </c>
      <c r="P13" s="776">
        <f>IF('Ouvertures pennes'!H48="","",MAX('Ouvertures pennes'!D48,'Ouvertures pennes'!H48))</f>
        <v>0.16300000000000001</v>
      </c>
      <c r="Q13" s="777" t="str">
        <f>IF('Ouvertures pennes'!I48="","",MAX('Ouvertures pennes'!E48,'Ouvertures pennes'!I48))</f>
        <v/>
      </c>
      <c r="R13" s="777" t="str">
        <f>IF('Ouvertures pennes'!J48="","",MAX('Ouvertures pennes'!F48,'Ouvertures pennes'!J48))</f>
        <v/>
      </c>
      <c r="S13" s="780" t="str">
        <f>IF('Ouvertures pennes'!K48="","",MAX('Ouvertures pennes'!G48,'Ouvertures pennes'!K48))</f>
        <v/>
      </c>
      <c r="T13" s="775">
        <f>IF('Sections rachis &amp; L pennes'!AH13="","",'Sections rachis &amp; L pennes'!AH13)</f>
        <v>5.5542698449432999</v>
      </c>
      <c r="U13" s="776">
        <f>IF('Ouvertures pennes'!R48="","",MAX('Ouvertures pennes'!N48,'Ouvertures pennes'!R48))</f>
        <v>0.17</v>
      </c>
      <c r="V13" s="777" t="str">
        <f>IF('Ouvertures pennes'!S48="","",MAX('Ouvertures pennes'!O48,'Ouvertures pennes'!S48))</f>
        <v/>
      </c>
      <c r="W13" s="777" t="str">
        <f>IF('Ouvertures pennes'!T48="","",MAX('Ouvertures pennes'!P48,'Ouvertures pennes'!T48))</f>
        <v/>
      </c>
      <c r="X13" s="780" t="str">
        <f>IF('Ouvertures pennes'!U48="","",MAX('Ouvertures pennes'!Q48,'Ouvertures pennes'!U48))</f>
        <v/>
      </c>
      <c r="Y13" s="781">
        <f>IF(COUNTIF(P13:S13,"")+COUNTIF(U13:X13,"")=8,"",MAX(P13:S13,U13:X13))</f>
        <v>0.17</v>
      </c>
    </row>
    <row r="14" spans="1:26" s="345" customFormat="1">
      <c r="A14" s="345">
        <f t="shared" ref="A14:A31" si="0">IF(COUNTIF(C14,"")+COUNTIF(H14,"")+COUNTIF(O14,"")+COUNTIF(T14,"")=4,"",AVERAGE(C14,H14,O14,T14))</f>
        <v>26.922669813782981</v>
      </c>
      <c r="B14" s="609" t="s">
        <v>1244</v>
      </c>
      <c r="C14" s="782">
        <f>IF('Sections rachis &amp; L pennes'!Q14="","",'Sections rachis &amp; L pennes'!Q14)</f>
        <v>27.346437346437348</v>
      </c>
      <c r="D14" s="783" t="str">
        <f>IF('Ouvertures pennes'!H15="","",MAX('Ouvertures pennes'!D15,'Ouvertures pennes'!H15))</f>
        <v/>
      </c>
      <c r="E14" s="784" t="str">
        <f>IF('Ouvertures pennes'!I15="","",MAX('Ouvertures pennes'!E15,'Ouvertures pennes'!I15))</f>
        <v/>
      </c>
      <c r="F14" s="784" t="str">
        <f>IF('Ouvertures pennes'!J15="","",MAX('Ouvertures pennes'!F15,'Ouvertures pennes'!J15))</f>
        <v/>
      </c>
      <c r="G14" s="787">
        <f>IF('Ouvertures pennes'!K15="","",MAX('Ouvertures pennes'!G15,'Ouvertures pennes'!K15))</f>
        <v>0.315</v>
      </c>
      <c r="H14" s="782">
        <f>IF('Sections rachis &amp; L pennes'!V14="","",'Sections rachis &amp; L pennes'!V14)</f>
        <v>28.157248157248159</v>
      </c>
      <c r="I14" s="783">
        <f>IF('Ouvertures pennes'!R15="","",MAX('Ouvertures pennes'!N15,'Ouvertures pennes'!R15))</f>
        <v>0.32</v>
      </c>
      <c r="J14" s="784" t="str">
        <f>IF('Ouvertures pennes'!S15="","",MAX('Ouvertures pennes'!O15,'Ouvertures pennes'!S15))</f>
        <v/>
      </c>
      <c r="K14" s="784" t="str">
        <f>IF('Ouvertures pennes'!T15="","",MAX('Ouvertures pennes'!P15,'Ouvertures pennes'!T15))</f>
        <v/>
      </c>
      <c r="L14" s="787" t="str">
        <f>IF('Ouvertures pennes'!U15="","",MAX('Ouvertures pennes'!Q15,'Ouvertures pennes'!U15))</f>
        <v/>
      </c>
      <c r="M14" s="781">
        <f t="shared" ref="M14:M31" si="1">IF(COUNTIF(D14:G14,"")+COUNTIF(I14:L14,"")=8,"",MAX(D14:G14,I14:L14))</f>
        <v>0.32</v>
      </c>
      <c r="N14" s="609" t="s">
        <v>1244</v>
      </c>
      <c r="O14" s="782">
        <f>IF('Sections rachis &amp; L pennes'!AC14="","",'Sections rachis &amp; L pennes'!AC14)</f>
        <v>26.429067345521869</v>
      </c>
      <c r="P14" s="783">
        <f>IF('Ouvertures pennes'!H49="","",MAX('Ouvertures pennes'!D49,'Ouvertures pennes'!H49))</f>
        <v>0.38100000000000001</v>
      </c>
      <c r="Q14" s="784" t="str">
        <f>IF('Ouvertures pennes'!I49="","",MAX('Ouvertures pennes'!E49,'Ouvertures pennes'!I49))</f>
        <v/>
      </c>
      <c r="R14" s="784" t="str">
        <f>IF('Ouvertures pennes'!J49="","",MAX('Ouvertures pennes'!F49,'Ouvertures pennes'!J49))</f>
        <v/>
      </c>
      <c r="S14" s="787" t="str">
        <f>IF('Ouvertures pennes'!K49="","",MAX('Ouvertures pennes'!G49,'Ouvertures pennes'!K49))</f>
        <v/>
      </c>
      <c r="T14" s="782">
        <f>IF('Sections rachis &amp; L pennes'!AH14="","",'Sections rachis &amp; L pennes'!AH14)</f>
        <v>25.757926405924554</v>
      </c>
      <c r="U14" s="783" t="str">
        <f>IF('Ouvertures pennes'!R49="","",MAX('Ouvertures pennes'!N49,'Ouvertures pennes'!R49))</f>
        <v/>
      </c>
      <c r="V14" s="784" t="str">
        <f>IF('Ouvertures pennes'!S49="","",MAX('Ouvertures pennes'!O49,'Ouvertures pennes'!S49))</f>
        <v/>
      </c>
      <c r="W14" s="784" t="str">
        <f>IF('Ouvertures pennes'!T49="","",MAX('Ouvertures pennes'!P49,'Ouvertures pennes'!T49))</f>
        <v/>
      </c>
      <c r="X14" s="787">
        <f>IF('Ouvertures pennes'!U49="","",MAX('Ouvertures pennes'!Q49,'Ouvertures pennes'!U49))</f>
        <v>0.41799999999999998</v>
      </c>
      <c r="Y14" s="781">
        <f t="shared" ref="Y14:Y31" si="2">IF(COUNTIF(P14:S14,"")+COUNTIF(U14:X14,"")=8,"",MAX(P14:S14,U14:X14))</f>
        <v>0.41799999999999998</v>
      </c>
    </row>
    <row r="15" spans="1:26" s="345" customFormat="1" ht="13.5" thickBot="1">
      <c r="A15" s="345">
        <f t="shared" si="0"/>
        <v>28.402760758696882</v>
      </c>
      <c r="B15" s="620" t="s">
        <v>1245</v>
      </c>
      <c r="C15" s="788">
        <f>IF('Sections rachis &amp; L pennes'!Q15="","",'Sections rachis &amp; L pennes'!Q15)</f>
        <v>30.466830466830466</v>
      </c>
      <c r="D15" s="789">
        <f>IF('Ouvertures pennes'!H16="","",MAX('Ouvertures pennes'!D16,'Ouvertures pennes'!H16))</f>
        <v>0.35699999999999998</v>
      </c>
      <c r="E15" s="790" t="str">
        <f>IF('Ouvertures pennes'!I16="","",MAX('Ouvertures pennes'!E16,'Ouvertures pennes'!I16))</f>
        <v/>
      </c>
      <c r="F15" s="790" t="str">
        <f>IF('Ouvertures pennes'!J16="","",MAX('Ouvertures pennes'!F16,'Ouvertures pennes'!J16))</f>
        <v/>
      </c>
      <c r="G15" s="793" t="str">
        <f>IF('Ouvertures pennes'!K16="","",MAX('Ouvertures pennes'!G16,'Ouvertures pennes'!K16))</f>
        <v/>
      </c>
      <c r="H15" s="788">
        <f>IF('Sections rachis &amp; L pennes'!V15="","",'Sections rachis &amp; L pennes'!V15)</f>
        <v>28.55036855036855</v>
      </c>
      <c r="I15" s="789" t="str">
        <f>IF('Ouvertures pennes'!R16="","",MAX('Ouvertures pennes'!N16,'Ouvertures pennes'!R16))</f>
        <v/>
      </c>
      <c r="J15" s="790" t="str">
        <f>IF('Ouvertures pennes'!S16="","",MAX('Ouvertures pennes'!O16,'Ouvertures pennes'!S16))</f>
        <v/>
      </c>
      <c r="K15" s="790" t="str">
        <f>IF('Ouvertures pennes'!T16="","",MAX('Ouvertures pennes'!P16,'Ouvertures pennes'!T16))</f>
        <v/>
      </c>
      <c r="L15" s="793">
        <f>IF('Ouvertures pennes'!U16="","",MAX('Ouvertures pennes'!Q16,'Ouvertures pennes'!U16))</f>
        <v>0.34</v>
      </c>
      <c r="M15" s="781">
        <f t="shared" si="1"/>
        <v>0.35699999999999998</v>
      </c>
      <c r="N15" s="620" t="s">
        <v>1245</v>
      </c>
      <c r="O15" s="782">
        <f>IF('Sections rachis &amp; L pennes'!AC15="","",'Sections rachis &amp; L pennes'!AC15)</f>
        <v>26.799352001851421</v>
      </c>
      <c r="P15" s="789" t="str">
        <f>IF('Ouvertures pennes'!H50="","",MAX('Ouvertures pennes'!D50,'Ouvertures pennes'!H50))</f>
        <v/>
      </c>
      <c r="Q15" s="790" t="str">
        <f>IF('Ouvertures pennes'!I50="","",MAX('Ouvertures pennes'!E50,'Ouvertures pennes'!I50))</f>
        <v/>
      </c>
      <c r="R15" s="790" t="str">
        <f>IF('Ouvertures pennes'!J50="","",MAX('Ouvertures pennes'!F50,'Ouvertures pennes'!J50))</f>
        <v/>
      </c>
      <c r="S15" s="793">
        <f>IF('Ouvertures pennes'!K50="","",MAX('Ouvertures pennes'!G50,'Ouvertures pennes'!K50))</f>
        <v>0.45600000000000002</v>
      </c>
      <c r="T15" s="782">
        <f>IF('Sections rachis &amp; L pennes'!AH15="","",'Sections rachis &amp; L pennes'!AH15)</f>
        <v>27.794492015737095</v>
      </c>
      <c r="U15" s="789">
        <f>IF('Ouvertures pennes'!R50="","",MAX('Ouvertures pennes'!N50,'Ouvertures pennes'!R50))</f>
        <v>0.52500000000000002</v>
      </c>
      <c r="V15" s="790" t="str">
        <f>IF('Ouvertures pennes'!S50="","",MAX('Ouvertures pennes'!O50,'Ouvertures pennes'!S50))</f>
        <v/>
      </c>
      <c r="W15" s="790" t="str">
        <f>IF('Ouvertures pennes'!T50="","",MAX('Ouvertures pennes'!P50,'Ouvertures pennes'!T50))</f>
        <v/>
      </c>
      <c r="X15" s="793" t="str">
        <f>IF('Ouvertures pennes'!U50="","",MAX('Ouvertures pennes'!Q50,'Ouvertures pennes'!U50))</f>
        <v/>
      </c>
      <c r="Y15" s="781">
        <f t="shared" si="2"/>
        <v>0.52500000000000002</v>
      </c>
      <c r="Z15" s="656">
        <f>IF(MAX(M13:M14,Y13:Y14)=0,"",MAX(M13:M14,Y13:Y14))</f>
        <v>0.41799999999999998</v>
      </c>
    </row>
    <row r="16" spans="1:26" s="345" customFormat="1">
      <c r="A16" s="345" t="str">
        <f t="shared" si="0"/>
        <v/>
      </c>
      <c r="C16" s="775" t="str">
        <f>IF('Sections rachis &amp; L pennes'!Q16="","",'Sections rachis &amp; L pennes'!Q16)</f>
        <v/>
      </c>
      <c r="D16" s="776" t="str">
        <f>IF('Ouvertures pennes'!H17="","",MAX('Ouvertures pennes'!D17,'Ouvertures pennes'!H17))</f>
        <v/>
      </c>
      <c r="E16" s="777" t="str">
        <f>IF('Ouvertures pennes'!I17="","",MAX('Ouvertures pennes'!E17,'Ouvertures pennes'!I17))</f>
        <v/>
      </c>
      <c r="F16" s="777" t="str">
        <f>IF('Ouvertures pennes'!J17="","",MAX('Ouvertures pennes'!F17,'Ouvertures pennes'!J17))</f>
        <v/>
      </c>
      <c r="G16" s="780" t="str">
        <f>IF('Ouvertures pennes'!K17="","",MAX('Ouvertures pennes'!G17,'Ouvertures pennes'!K17))</f>
        <v/>
      </c>
      <c r="H16" s="775" t="str">
        <f>IF('Sections rachis &amp; L pennes'!V16="","",'Sections rachis &amp; L pennes'!V16)</f>
        <v/>
      </c>
      <c r="I16" s="776" t="str">
        <f>IF('Ouvertures pennes'!R17="","",MAX('Ouvertures pennes'!N17,'Ouvertures pennes'!R17))</f>
        <v/>
      </c>
      <c r="J16" s="777" t="str">
        <f>IF('Ouvertures pennes'!S17="","",MAX('Ouvertures pennes'!O17,'Ouvertures pennes'!S17))</f>
        <v/>
      </c>
      <c r="K16" s="777" t="str">
        <f>IF('Ouvertures pennes'!T17="","",MAX('Ouvertures pennes'!P17,'Ouvertures pennes'!T17))</f>
        <v/>
      </c>
      <c r="L16" s="780" t="str">
        <f>IF('Ouvertures pennes'!U17="","",MAX('Ouvertures pennes'!Q17,'Ouvertures pennes'!U17))</f>
        <v/>
      </c>
      <c r="M16" s="781" t="str">
        <f t="shared" si="1"/>
        <v/>
      </c>
      <c r="O16" s="782" t="str">
        <f>IF('Sections rachis &amp; L pennes'!AC16="","",'Sections rachis &amp; L pennes'!AC16)</f>
        <v/>
      </c>
      <c r="P16" s="776" t="str">
        <f>IF('Ouvertures pennes'!H51="","",MAX('Ouvertures pennes'!D51,'Ouvertures pennes'!H51))</f>
        <v/>
      </c>
      <c r="Q16" s="777" t="str">
        <f>IF('Ouvertures pennes'!I51="","",MAX('Ouvertures pennes'!E51,'Ouvertures pennes'!I51))</f>
        <v/>
      </c>
      <c r="R16" s="777" t="str">
        <f>IF('Ouvertures pennes'!J51="","",MAX('Ouvertures pennes'!F51,'Ouvertures pennes'!J51))</f>
        <v/>
      </c>
      <c r="S16" s="780" t="str">
        <f>IF('Ouvertures pennes'!K51="","",MAX('Ouvertures pennes'!G51,'Ouvertures pennes'!K51))</f>
        <v/>
      </c>
      <c r="T16" s="782" t="str">
        <f>IF('Sections rachis &amp; L pennes'!AH16="","",'Sections rachis &amp; L pennes'!AH16)</f>
        <v/>
      </c>
      <c r="U16" s="776" t="str">
        <f>IF('Ouvertures pennes'!R51="","",MAX('Ouvertures pennes'!N51,'Ouvertures pennes'!R51))</f>
        <v/>
      </c>
      <c r="V16" s="777" t="str">
        <f>IF('Ouvertures pennes'!S51="","",MAX('Ouvertures pennes'!O51,'Ouvertures pennes'!S51))</f>
        <v/>
      </c>
      <c r="W16" s="777" t="str">
        <f>IF('Ouvertures pennes'!T51="","",MAX('Ouvertures pennes'!P51,'Ouvertures pennes'!T51))</f>
        <v/>
      </c>
      <c r="X16" s="780" t="str">
        <f>IF('Ouvertures pennes'!U51="","",MAX('Ouvertures pennes'!Q51,'Ouvertures pennes'!U51))</f>
        <v/>
      </c>
      <c r="Y16" s="781" t="str">
        <f t="shared" si="2"/>
        <v/>
      </c>
    </row>
    <row r="17" spans="1:25" s="345" customFormat="1">
      <c r="A17" s="345">
        <f t="shared" si="0"/>
        <v>10</v>
      </c>
      <c r="C17" s="782">
        <f>IF('Sections rachis &amp; L pennes'!Q17="","",'Sections rachis &amp; L pennes'!Q17)</f>
        <v>10</v>
      </c>
      <c r="D17" s="783">
        <f>IF('Ouvertures pennes'!H18="","",MAX('Ouvertures pennes'!D18,'Ouvertures pennes'!H18))</f>
        <v>1.0612225636335881</v>
      </c>
      <c r="E17" s="784" t="str">
        <f>IF('Ouvertures pennes'!I18="","",MAX('Ouvertures pennes'!E18,'Ouvertures pennes'!I18))</f>
        <v/>
      </c>
      <c r="F17" s="784" t="str">
        <f>IF('Ouvertures pennes'!J18="","",MAX('Ouvertures pennes'!F18,'Ouvertures pennes'!J18))</f>
        <v/>
      </c>
      <c r="G17" s="787" t="str">
        <f>IF('Ouvertures pennes'!K18="","",MAX('Ouvertures pennes'!G18,'Ouvertures pennes'!K18))</f>
        <v/>
      </c>
      <c r="H17" s="782">
        <f>IF('Sections rachis &amp; L pennes'!V17="","",'Sections rachis &amp; L pennes'!V17)</f>
        <v>10</v>
      </c>
      <c r="I17" s="783">
        <f>IF('Ouvertures pennes'!R18="","",MAX('Ouvertures pennes'!N18,'Ouvertures pennes'!R18))</f>
        <v>1.0836464072927656</v>
      </c>
      <c r="J17" s="784" t="str">
        <f>IF('Ouvertures pennes'!S18="","",MAX('Ouvertures pennes'!O18,'Ouvertures pennes'!S18))</f>
        <v/>
      </c>
      <c r="K17" s="784" t="str">
        <f>IF('Ouvertures pennes'!T18="","",MAX('Ouvertures pennes'!P18,'Ouvertures pennes'!T18))</f>
        <v/>
      </c>
      <c r="L17" s="787">
        <f>IF('Ouvertures pennes'!U18="","",MAX('Ouvertures pennes'!Q18,'Ouvertures pennes'!U18))</f>
        <v>1.0436038293299486</v>
      </c>
      <c r="M17" s="781">
        <f t="shared" si="1"/>
        <v>1.0836464072927656</v>
      </c>
      <c r="O17" s="782">
        <f>IF('Sections rachis &amp; L pennes'!AC17="","",'Sections rachis &amp; L pennes'!AC17)</f>
        <v>10</v>
      </c>
      <c r="P17" s="783" t="str">
        <f>IF('Ouvertures pennes'!H52="","",MAX('Ouvertures pennes'!D52,'Ouvertures pennes'!H52))</f>
        <v/>
      </c>
      <c r="Q17" s="784">
        <f>IF('Ouvertures pennes'!I52="","",MAX('Ouvertures pennes'!E52,'Ouvertures pennes'!I52))</f>
        <v>1.1294703144439704</v>
      </c>
      <c r="R17" s="784" t="str">
        <f>IF('Ouvertures pennes'!J52="","",MAX('Ouvertures pennes'!F52,'Ouvertures pennes'!J52))</f>
        <v/>
      </c>
      <c r="S17" s="787" t="str">
        <f>IF('Ouvertures pennes'!K52="","",MAX('Ouvertures pennes'!G52,'Ouvertures pennes'!K52))</f>
        <v/>
      </c>
      <c r="T17" s="782">
        <f>IF('Sections rachis &amp; L pennes'!AH17="","",'Sections rachis &amp; L pennes'!AH17)</f>
        <v>10</v>
      </c>
      <c r="U17" s="783" t="str">
        <f>IF('Ouvertures pennes'!R52="","",MAX('Ouvertures pennes'!N52,'Ouvertures pennes'!R52))</f>
        <v/>
      </c>
      <c r="V17" s="784">
        <f>IF('Ouvertures pennes'!S52="","",MAX('Ouvertures pennes'!O52,'Ouvertures pennes'!S52))</f>
        <v>1.1008359961123659</v>
      </c>
      <c r="W17" s="784" t="str">
        <f>IF('Ouvertures pennes'!T52="","",MAX('Ouvertures pennes'!P52,'Ouvertures pennes'!T52))</f>
        <v/>
      </c>
      <c r="X17" s="787" t="str">
        <f>IF('Ouvertures pennes'!U52="","",MAX('Ouvertures pennes'!Q52,'Ouvertures pennes'!U52))</f>
        <v/>
      </c>
      <c r="Y17" s="781">
        <f t="shared" si="2"/>
        <v>1.1294703144439704</v>
      </c>
    </row>
    <row r="18" spans="1:25" s="345" customFormat="1">
      <c r="A18" s="345">
        <f t="shared" si="0"/>
        <v>20</v>
      </c>
      <c r="C18" s="782">
        <f>IF('Sections rachis &amp; L pennes'!Q18="","",'Sections rachis &amp; L pennes'!Q18)</f>
        <v>20</v>
      </c>
      <c r="D18" s="783">
        <f>IF('Ouvertures pennes'!H19="","",MAX('Ouvertures pennes'!D19,'Ouvertures pennes'!H19))</f>
        <v>1.5014140382747627</v>
      </c>
      <c r="E18" s="784" t="str">
        <f>IF('Ouvertures pennes'!I19="","",MAX('Ouvertures pennes'!E19,'Ouvertures pennes'!I19))</f>
        <v/>
      </c>
      <c r="F18" s="784" t="str">
        <f>IF('Ouvertures pennes'!J19="","",MAX('Ouvertures pennes'!F19,'Ouvertures pennes'!J19))</f>
        <v/>
      </c>
      <c r="G18" s="787" t="str">
        <f>IF('Ouvertures pennes'!K19="","",MAX('Ouvertures pennes'!G19,'Ouvertures pennes'!K19))</f>
        <v/>
      </c>
      <c r="H18" s="782">
        <f>IF('Sections rachis &amp; L pennes'!V18="","",'Sections rachis &amp; L pennes'!V18)</f>
        <v>20</v>
      </c>
      <c r="I18" s="783">
        <f>IF('Ouvertures pennes'!R19="","",MAX('Ouvertures pennes'!N19,'Ouvertures pennes'!R19))</f>
        <v>1.4978316610704665</v>
      </c>
      <c r="J18" s="784" t="str">
        <f>IF('Ouvertures pennes'!S19="","",MAX('Ouvertures pennes'!O19,'Ouvertures pennes'!S19))</f>
        <v/>
      </c>
      <c r="K18" s="784" t="str">
        <f>IF('Ouvertures pennes'!T19="","",MAX('Ouvertures pennes'!P19,'Ouvertures pennes'!T19))</f>
        <v/>
      </c>
      <c r="L18" s="787" t="str">
        <f>IF('Ouvertures pennes'!U19="","",MAX('Ouvertures pennes'!Q19,'Ouvertures pennes'!U19))</f>
        <v/>
      </c>
      <c r="M18" s="781">
        <f t="shared" si="1"/>
        <v>1.5014140382747627</v>
      </c>
      <c r="O18" s="782">
        <f>IF('Sections rachis &amp; L pennes'!AC18="","",'Sections rachis &amp; L pennes'!AC18)</f>
        <v>20</v>
      </c>
      <c r="P18" s="783">
        <f>IF('Ouvertures pennes'!H53="","",MAX('Ouvertures pennes'!D53,'Ouvertures pennes'!H53))</f>
        <v>1.6040215363491734</v>
      </c>
      <c r="Q18" s="784" t="str">
        <f>IF('Ouvertures pennes'!I53="","",MAX('Ouvertures pennes'!E53,'Ouvertures pennes'!I53))</f>
        <v/>
      </c>
      <c r="R18" s="784" t="str">
        <f>IF('Ouvertures pennes'!J53="","",MAX('Ouvertures pennes'!F53,'Ouvertures pennes'!J53))</f>
        <v/>
      </c>
      <c r="S18" s="787">
        <f>IF('Ouvertures pennes'!K53="","",MAX('Ouvertures pennes'!G53,'Ouvertures pennes'!K53))</f>
        <v>1.560070005272804</v>
      </c>
      <c r="T18" s="782">
        <f>IF('Sections rachis &amp; L pennes'!AH18="","",'Sections rachis &amp; L pennes'!AH18)</f>
        <v>20</v>
      </c>
      <c r="U18" s="783">
        <f>IF('Ouvertures pennes'!R53="","",MAX('Ouvertures pennes'!N53,'Ouvertures pennes'!R53))</f>
        <v>1.5864409239186257</v>
      </c>
      <c r="V18" s="784" t="str">
        <f>IF('Ouvertures pennes'!S53="","",MAX('Ouvertures pennes'!O53,'Ouvertures pennes'!S53))</f>
        <v/>
      </c>
      <c r="W18" s="784" t="str">
        <f>IF('Ouvertures pennes'!T53="","",MAX('Ouvertures pennes'!P53,'Ouvertures pennes'!T53))</f>
        <v/>
      </c>
      <c r="X18" s="787">
        <f>IF('Ouvertures pennes'!U53="","",MAX('Ouvertures pennes'!Q53,'Ouvertures pennes'!U53))</f>
        <v>1.5374663607192429</v>
      </c>
      <c r="Y18" s="781">
        <f t="shared" si="2"/>
        <v>1.6040215363491734</v>
      </c>
    </row>
    <row r="19" spans="1:25" s="345" customFormat="1">
      <c r="A19" s="345">
        <f t="shared" si="0"/>
        <v>30</v>
      </c>
      <c r="C19" s="782">
        <f>IF('Sections rachis &amp; L pennes'!Q19="","",'Sections rachis &amp; L pennes'!Q19)</f>
        <v>30</v>
      </c>
      <c r="D19" s="783">
        <f>IF('Ouvertures pennes'!H20="","",MAX('Ouvertures pennes'!D20,'Ouvertures pennes'!H20))</f>
        <v>1.3142331502695042</v>
      </c>
      <c r="E19" s="784" t="str">
        <f>IF('Ouvertures pennes'!I20="","",MAX('Ouvertures pennes'!E20,'Ouvertures pennes'!I20))</f>
        <v/>
      </c>
      <c r="F19" s="784" t="str">
        <f>IF('Ouvertures pennes'!J20="","",MAX('Ouvertures pennes'!F20,'Ouvertures pennes'!J20))</f>
        <v/>
      </c>
      <c r="G19" s="787">
        <f>IF('Ouvertures pennes'!K20="","",MAX('Ouvertures pennes'!G20,'Ouvertures pennes'!K20))</f>
        <v>1.2707909426988031</v>
      </c>
      <c r="H19" s="782">
        <f>IF('Sections rachis &amp; L pennes'!V19="","",'Sections rachis &amp; L pennes'!V19)</f>
        <v>30</v>
      </c>
      <c r="I19" s="783">
        <f>IF('Ouvertures pennes'!R20="","",MAX('Ouvertures pennes'!N20,'Ouvertures pennes'!R20))</f>
        <v>1.3408908685515255</v>
      </c>
      <c r="J19" s="784" t="str">
        <f>IF('Ouvertures pennes'!S20="","",MAX('Ouvertures pennes'!O20,'Ouvertures pennes'!S20))</f>
        <v/>
      </c>
      <c r="K19" s="784" t="str">
        <f>IF('Ouvertures pennes'!T20="","",MAX('Ouvertures pennes'!P20,'Ouvertures pennes'!T20))</f>
        <v/>
      </c>
      <c r="L19" s="787">
        <f>IF('Ouvertures pennes'!U20="","",MAX('Ouvertures pennes'!Q20,'Ouvertures pennes'!U20))</f>
        <v>1.3073218899741657</v>
      </c>
      <c r="M19" s="781">
        <f t="shared" si="1"/>
        <v>1.3408908685515255</v>
      </c>
      <c r="O19" s="782">
        <f>IF('Sections rachis &amp; L pennes'!AC19="","",'Sections rachis &amp; L pennes'!AC19)</f>
        <v>30</v>
      </c>
      <c r="P19" s="783">
        <f>IF('Ouvertures pennes'!H54="","",MAX('Ouvertures pennes'!D54,'Ouvertures pennes'!H54))</f>
        <v>1.5056200372407287</v>
      </c>
      <c r="Q19" s="784" t="str">
        <f>IF('Ouvertures pennes'!I54="","",MAX('Ouvertures pennes'!E54,'Ouvertures pennes'!I54))</f>
        <v/>
      </c>
      <c r="R19" s="784" t="str">
        <f>IF('Ouvertures pennes'!J54="","",MAX('Ouvertures pennes'!F54,'Ouvertures pennes'!J54))</f>
        <v/>
      </c>
      <c r="S19" s="787">
        <f>IF('Ouvertures pennes'!K54="","",MAX('Ouvertures pennes'!G54,'Ouvertures pennes'!K54))</f>
        <v>1.3914090721758217</v>
      </c>
      <c r="T19" s="782">
        <f>IF('Sections rachis &amp; L pennes'!AH19="","",'Sections rachis &amp; L pennes'!AH19)</f>
        <v>30</v>
      </c>
      <c r="U19" s="783">
        <f>IF('Ouvertures pennes'!R54="","",MAX('Ouvertures pennes'!N54,'Ouvertures pennes'!R54))</f>
        <v>1.508734881742499</v>
      </c>
      <c r="V19" s="784" t="str">
        <f>IF('Ouvertures pennes'!S54="","",MAX('Ouvertures pennes'!O54,'Ouvertures pennes'!S54))</f>
        <v/>
      </c>
      <c r="W19" s="784" t="str">
        <f>IF('Ouvertures pennes'!T54="","",MAX('Ouvertures pennes'!P54,'Ouvertures pennes'!T54))</f>
        <v/>
      </c>
      <c r="X19" s="787">
        <f>IF('Ouvertures pennes'!U54="","",MAX('Ouvertures pennes'!Q54,'Ouvertures pennes'!U54))</f>
        <v>1.3882942276740511</v>
      </c>
      <c r="Y19" s="781">
        <f t="shared" si="2"/>
        <v>1.508734881742499</v>
      </c>
    </row>
    <row r="20" spans="1:25" s="345" customFormat="1">
      <c r="A20" s="345">
        <f t="shared" si="0"/>
        <v>40</v>
      </c>
      <c r="C20" s="782">
        <f>IF('Sections rachis &amp; L pennes'!Q20="","",'Sections rachis &amp; L pennes'!Q20)</f>
        <v>40</v>
      </c>
      <c r="D20" s="783">
        <f>IF('Ouvertures pennes'!H21="","",MAX('Ouvertures pennes'!D21,'Ouvertures pennes'!H21))</f>
        <v>1.7443364405826915</v>
      </c>
      <c r="E20" s="784">
        <f>IF('Ouvertures pennes'!I21="","",MAX('Ouvertures pennes'!E21,'Ouvertures pennes'!I21))</f>
        <v>1.725252576799708</v>
      </c>
      <c r="F20" s="784" t="str">
        <f>IF('Ouvertures pennes'!J21="","",MAX('Ouvertures pennes'!F21,'Ouvertures pennes'!J21))</f>
        <v/>
      </c>
      <c r="G20" s="787">
        <f>IF('Ouvertures pennes'!K21="","",MAX('Ouvertures pennes'!G21,'Ouvertures pennes'!K21))</f>
        <v>1.7165780932619885</v>
      </c>
      <c r="H20" s="782">
        <f>IF('Sections rachis &amp; L pennes'!V20="","",'Sections rachis &amp; L pennes'!V20)</f>
        <v>40</v>
      </c>
      <c r="I20" s="783">
        <f>IF('Ouvertures pennes'!R21="","",MAX('Ouvertures pennes'!N21,'Ouvertures pennes'!R21))</f>
        <v>1.7538783724741831</v>
      </c>
      <c r="J20" s="784" t="str">
        <f>IF('Ouvertures pennes'!S21="","",MAX('Ouvertures pennes'!O21,'Ouvertures pennes'!S21))</f>
        <v/>
      </c>
      <c r="K20" s="784" t="str">
        <f>IF('Ouvertures pennes'!T21="","",MAX('Ouvertures pennes'!P21,'Ouvertures pennes'!T21))</f>
        <v/>
      </c>
      <c r="L20" s="787">
        <f>IF('Ouvertures pennes'!U21="","",MAX('Ouvertures pennes'!Q21,'Ouvertures pennes'!U21))</f>
        <v>1.7426882887105244</v>
      </c>
      <c r="M20" s="781">
        <f t="shared" si="1"/>
        <v>1.7538783724741831</v>
      </c>
      <c r="O20" s="782">
        <f>IF('Sections rachis &amp; L pennes'!AC20="","",'Sections rachis &amp; L pennes'!AC20)</f>
        <v>40</v>
      </c>
      <c r="P20" s="783">
        <f>IF('Ouvertures pennes'!H55="","",MAX('Ouvertures pennes'!D55,'Ouvertures pennes'!H55))</f>
        <v>1.755915798656795</v>
      </c>
      <c r="Q20" s="784" t="str">
        <f>IF('Ouvertures pennes'!I55="","",MAX('Ouvertures pennes'!E55,'Ouvertures pennes'!I55))</f>
        <v/>
      </c>
      <c r="R20" s="784" t="str">
        <f>IF('Ouvertures pennes'!J55="","",MAX('Ouvertures pennes'!F55,'Ouvertures pennes'!J55))</f>
        <v/>
      </c>
      <c r="S20" s="787">
        <f>IF('Ouvertures pennes'!K55="","",MAX('Ouvertures pennes'!G55,'Ouvertures pennes'!K55))</f>
        <v>1.7258125425604114</v>
      </c>
      <c r="T20" s="782">
        <f>IF('Sections rachis &amp; L pennes'!AH20="","",'Sections rachis &amp; L pennes'!AH20)</f>
        <v>40</v>
      </c>
      <c r="U20" s="783">
        <f>IF('Ouvertures pennes'!R55="","",MAX('Ouvertures pennes'!N55,'Ouvertures pennes'!R55))</f>
        <v>1.6929726268189027</v>
      </c>
      <c r="V20" s="784" t="str">
        <f>IF('Ouvertures pennes'!S55="","",MAX('Ouvertures pennes'!O55,'Ouvertures pennes'!S55))</f>
        <v/>
      </c>
      <c r="W20" s="784" t="str">
        <f>IF('Ouvertures pennes'!T55="","",MAX('Ouvertures pennes'!P55,'Ouvertures pennes'!T55))</f>
        <v/>
      </c>
      <c r="X20" s="787">
        <f>IF('Ouvertures pennes'!U55="","",MAX('Ouvertures pennes'!Q55,'Ouvertures pennes'!U55))</f>
        <v>1.7477058197214177</v>
      </c>
      <c r="Y20" s="781">
        <f t="shared" si="2"/>
        <v>1.755915798656795</v>
      </c>
    </row>
    <row r="21" spans="1:25" s="345" customFormat="1">
      <c r="A21" s="345">
        <f t="shared" si="0"/>
        <v>50</v>
      </c>
      <c r="C21" s="782">
        <f>IF('Sections rachis &amp; L pennes'!Q21="","",'Sections rachis &amp; L pennes'!Q21)</f>
        <v>50</v>
      </c>
      <c r="D21" s="783">
        <f>IF('Ouvertures pennes'!H22="","",MAX('Ouvertures pennes'!D22,'Ouvertures pennes'!H22))</f>
        <v>2.1193373428430964</v>
      </c>
      <c r="E21" s="784" t="str">
        <f>IF('Ouvertures pennes'!I22="","",MAX('Ouvertures pennes'!E22,'Ouvertures pennes'!I22))</f>
        <v/>
      </c>
      <c r="F21" s="784" t="str">
        <f>IF('Ouvertures pennes'!J22="","",MAX('Ouvertures pennes'!F22,'Ouvertures pennes'!J22))</f>
        <v/>
      </c>
      <c r="G21" s="787">
        <f>IF('Ouvertures pennes'!K22="","",MAX('Ouvertures pennes'!G22,'Ouvertures pennes'!K22))</f>
        <v>2.5128211389123614</v>
      </c>
      <c r="H21" s="782">
        <f>IF('Sections rachis &amp; L pennes'!V21="","",'Sections rachis &amp; L pennes'!V21)</f>
        <v>50</v>
      </c>
      <c r="I21" s="783">
        <f>IF('Ouvertures pennes'!R22="","",MAX('Ouvertures pennes'!N22,'Ouvertures pennes'!R22))</f>
        <v>2.1169717087985918</v>
      </c>
      <c r="J21" s="784" t="str">
        <f>IF('Ouvertures pennes'!S22="","",MAX('Ouvertures pennes'!O22,'Ouvertures pennes'!S22))</f>
        <v/>
      </c>
      <c r="K21" s="784" t="str">
        <f>IF('Ouvertures pennes'!T22="","",MAX('Ouvertures pennes'!P22,'Ouvertures pennes'!T22))</f>
        <v/>
      </c>
      <c r="L21" s="787" t="str">
        <f>IF('Ouvertures pennes'!U22="","",MAX('Ouvertures pennes'!Q22,'Ouvertures pennes'!U22))</f>
        <v/>
      </c>
      <c r="M21" s="781">
        <f t="shared" si="1"/>
        <v>2.5128211389123614</v>
      </c>
      <c r="O21" s="782">
        <f>IF('Sections rachis &amp; L pennes'!AC21="","",'Sections rachis &amp; L pennes'!AC21)</f>
        <v>50</v>
      </c>
      <c r="P21" s="783">
        <f>IF('Ouvertures pennes'!H56="","",MAX('Ouvertures pennes'!D56,'Ouvertures pennes'!H56))</f>
        <v>2.21296686454719</v>
      </c>
      <c r="Q21" s="784">
        <f>IF('Ouvertures pennes'!I56="","",MAX('Ouvertures pennes'!E56,'Ouvertures pennes'!I56))</f>
        <v>2.2071621582143304</v>
      </c>
      <c r="R21" s="784" t="str">
        <f>IF('Ouvertures pennes'!J56="","",MAX('Ouvertures pennes'!F56,'Ouvertures pennes'!J56))</f>
        <v/>
      </c>
      <c r="S21" s="787">
        <f>IF('Ouvertures pennes'!K56="","",MAX('Ouvertures pennes'!G56,'Ouvertures pennes'!K56))</f>
        <v>2.1988697205959595</v>
      </c>
      <c r="T21" s="782">
        <f>IF('Sections rachis &amp; L pennes'!AH21="","",'Sections rachis &amp; L pennes'!AH21)</f>
        <v>50</v>
      </c>
      <c r="U21" s="783">
        <f>IF('Ouvertures pennes'!R56="","",MAX('Ouvertures pennes'!N56,'Ouvertures pennes'!R56))</f>
        <v>2.1010189566991819</v>
      </c>
      <c r="V21" s="784" t="str">
        <f>IF('Ouvertures pennes'!S56="","",MAX('Ouvertures pennes'!O56,'Ouvertures pennes'!S56))</f>
        <v/>
      </c>
      <c r="W21" s="784" t="str">
        <f>IF('Ouvertures pennes'!T56="","",MAX('Ouvertures pennes'!P56,'Ouvertures pennes'!T56))</f>
        <v/>
      </c>
      <c r="X21" s="787">
        <f>IF('Ouvertures pennes'!U56="","",MAX('Ouvertures pennes'!Q56,'Ouvertures pennes'!U56))</f>
        <v>2.0836048377006033</v>
      </c>
      <c r="Y21" s="781">
        <f t="shared" si="2"/>
        <v>2.21296686454719</v>
      </c>
    </row>
    <row r="22" spans="1:25" s="345" customFormat="1">
      <c r="A22" s="345">
        <f t="shared" si="0"/>
        <v>60</v>
      </c>
      <c r="C22" s="782">
        <f>IF('Sections rachis &amp; L pennes'!Q22="","",'Sections rachis &amp; L pennes'!Q22)</f>
        <v>60</v>
      </c>
      <c r="D22" s="783">
        <f>IF('Ouvertures pennes'!H23="","",MAX('Ouvertures pennes'!D23,'Ouvertures pennes'!H23))</f>
        <v>2.393136279067912</v>
      </c>
      <c r="E22" s="784" t="str">
        <f>IF('Ouvertures pennes'!I23="","",MAX('Ouvertures pennes'!E23,'Ouvertures pennes'!I23))</f>
        <v/>
      </c>
      <c r="F22" s="784" t="str">
        <f>IF('Ouvertures pennes'!J23="","",MAX('Ouvertures pennes'!F23,'Ouvertures pennes'!J23))</f>
        <v/>
      </c>
      <c r="G22" s="787">
        <f>IF('Ouvertures pennes'!K23="","",MAX('Ouvertures pennes'!G23,'Ouvertures pennes'!K23))</f>
        <v>2.3880881242162699</v>
      </c>
      <c r="H22" s="782">
        <f>IF('Sections rachis &amp; L pennes'!V22="","",'Sections rachis &amp; L pennes'!V22)</f>
        <v>60</v>
      </c>
      <c r="I22" s="783">
        <f>IF('Ouvertures pennes'!R23="","",MAX('Ouvertures pennes'!N23,'Ouvertures pennes'!R23))</f>
        <v>2.4075595786440336</v>
      </c>
      <c r="J22" s="784">
        <f>IF('Ouvertures pennes'!S23="","",MAX('Ouvertures pennes'!O23,'Ouvertures pennes'!S23))</f>
        <v>2.3996267638771669</v>
      </c>
      <c r="K22" s="784" t="str">
        <f>IF('Ouvertures pennes'!T23="","",MAX('Ouvertures pennes'!P23,'Ouvertures pennes'!T23))</f>
        <v/>
      </c>
      <c r="L22" s="787">
        <f>IF('Ouvertures pennes'!U23="","",MAX('Ouvertures pennes'!Q23,'Ouvertures pennes'!U23))</f>
        <v>2.3938574440467182</v>
      </c>
      <c r="M22" s="781">
        <f t="shared" si="1"/>
        <v>2.4075595786440336</v>
      </c>
      <c r="O22" s="782">
        <f>IF('Sections rachis &amp; L pennes'!AC22="","",'Sections rachis &amp; L pennes'!AC22)</f>
        <v>60</v>
      </c>
      <c r="P22" s="783">
        <f>IF('Ouvertures pennes'!H57="","",MAX('Ouvertures pennes'!D57,'Ouvertures pennes'!H57))</f>
        <v>2.5113442854661421</v>
      </c>
      <c r="Q22" s="784" t="str">
        <f>IF('Ouvertures pennes'!I57="","",MAX('Ouvertures pennes'!E57,'Ouvertures pennes'!I57))</f>
        <v/>
      </c>
      <c r="R22" s="784" t="str">
        <f>IF('Ouvertures pennes'!J57="","",MAX('Ouvertures pennes'!F57,'Ouvertures pennes'!J57))</f>
        <v/>
      </c>
      <c r="S22" s="787">
        <f>IF('Ouvertures pennes'!K57="","",MAX('Ouvertures pennes'!G57,'Ouvertures pennes'!K57))</f>
        <v>2.4931430119365334</v>
      </c>
      <c r="T22" s="782">
        <f>IF('Sections rachis &amp; L pennes'!AH22="","",'Sections rachis &amp; L pennes'!AH22)</f>
        <v>60</v>
      </c>
      <c r="U22" s="783">
        <f>IF('Ouvertures pennes'!R57="","",MAX('Ouvertures pennes'!N57,'Ouvertures pennes'!R57))</f>
        <v>2.4483982145095795</v>
      </c>
      <c r="V22" s="784">
        <f>IF('Ouvertures pennes'!S57="","",MAX('Ouvertures pennes'!O57,'Ouvertures pennes'!S57))</f>
        <v>2.4696330336274559</v>
      </c>
      <c r="W22" s="784" t="str">
        <f>IF('Ouvertures pennes'!T57="","",MAX('Ouvertures pennes'!P57,'Ouvertures pennes'!T57))</f>
        <v/>
      </c>
      <c r="X22" s="787">
        <f>IF('Ouvertures pennes'!U57="","",MAX('Ouvertures pennes'!Q57,'Ouvertures pennes'!U57))</f>
        <v>2.4476398281125125</v>
      </c>
      <c r="Y22" s="781">
        <f t="shared" si="2"/>
        <v>2.5113442854661421</v>
      </c>
    </row>
    <row r="23" spans="1:25" s="345" customFormat="1">
      <c r="A23" s="345">
        <f t="shared" si="0"/>
        <v>70</v>
      </c>
      <c r="C23" s="782">
        <f>IF('Sections rachis &amp; L pennes'!Q23="","",'Sections rachis &amp; L pennes'!Q23)</f>
        <v>70</v>
      </c>
      <c r="D23" s="783">
        <f>IF('Ouvertures pennes'!H24="","",MAX('Ouvertures pennes'!D24,'Ouvertures pennes'!H24))</f>
        <v>2.561997016660738</v>
      </c>
      <c r="E23" s="784" t="str">
        <f>IF('Ouvertures pennes'!I24="","",MAX('Ouvertures pennes'!E24,'Ouvertures pennes'!I24))</f>
        <v/>
      </c>
      <c r="F23" s="784" t="str">
        <f>IF('Ouvertures pennes'!J24="","",MAX('Ouvertures pennes'!F24,'Ouvertures pennes'!J24))</f>
        <v/>
      </c>
      <c r="G23" s="787">
        <f>IF('Ouvertures pennes'!K24="","",MAX('Ouvertures pennes'!G24,'Ouvertures pennes'!K24))</f>
        <v>2.5600712849493057</v>
      </c>
      <c r="H23" s="782">
        <f>IF('Sections rachis &amp; L pennes'!V23="","",'Sections rachis &amp; L pennes'!V23)</f>
        <v>70</v>
      </c>
      <c r="I23" s="783">
        <f>IF('Ouvertures pennes'!R24="","",MAX('Ouvertures pennes'!N24,'Ouvertures pennes'!R24))</f>
        <v>2.536962504412116</v>
      </c>
      <c r="J23" s="784" t="str">
        <f>IF('Ouvertures pennes'!S24="","",MAX('Ouvertures pennes'!O24,'Ouvertures pennes'!S24))</f>
        <v/>
      </c>
      <c r="K23" s="784" t="str">
        <f>IF('Ouvertures pennes'!T24="","",MAX('Ouvertures pennes'!P24,'Ouvertures pennes'!T24))</f>
        <v/>
      </c>
      <c r="L23" s="787">
        <f>IF('Ouvertures pennes'!U24="","",MAX('Ouvertures pennes'!Q24,'Ouvertures pennes'!U24))</f>
        <v>2.5228404718616111</v>
      </c>
      <c r="M23" s="781">
        <f t="shared" si="1"/>
        <v>2.561997016660738</v>
      </c>
      <c r="O23" s="782">
        <f>IF('Sections rachis &amp; L pennes'!AC23="","",'Sections rachis &amp; L pennes'!AC23)</f>
        <v>70</v>
      </c>
      <c r="P23" s="783">
        <f>IF('Ouvertures pennes'!H58="","",MAX('Ouvertures pennes'!D58,'Ouvertures pennes'!H58))</f>
        <v>2.6550767173058456</v>
      </c>
      <c r="Q23" s="784" t="str">
        <f>IF('Ouvertures pennes'!I58="","",MAX('Ouvertures pennes'!E58,'Ouvertures pennes'!I58))</f>
        <v/>
      </c>
      <c r="R23" s="784" t="str">
        <f>IF('Ouvertures pennes'!J58="","",MAX('Ouvertures pennes'!F58,'Ouvertures pennes'!J58))</f>
        <v/>
      </c>
      <c r="S23" s="787">
        <f>IF('Ouvertures pennes'!K58="","",MAX('Ouvertures pennes'!G58,'Ouvertures pennes'!K58))</f>
        <v>2.6490013443581653</v>
      </c>
      <c r="T23" s="782">
        <f>IF('Sections rachis &amp; L pennes'!AH23="","",'Sections rachis &amp; L pennes'!AH23)</f>
        <v>70</v>
      </c>
      <c r="U23" s="783">
        <f>IF('Ouvertures pennes'!R58="","",MAX('Ouvertures pennes'!N58,'Ouvertures pennes'!R58))</f>
        <v>2.6436010128491154</v>
      </c>
      <c r="V23" s="784">
        <f>IF('Ouvertures pennes'!S58="","",MAX('Ouvertures pennes'!O58,'Ouvertures pennes'!S58))</f>
        <v>2.6415758885332217</v>
      </c>
      <c r="W23" s="784" t="str">
        <f>IF('Ouvertures pennes'!T58="","",MAX('Ouvertures pennes'!P58,'Ouvertures pennes'!T58))</f>
        <v/>
      </c>
      <c r="X23" s="787">
        <f>IF('Ouvertures pennes'!U58="","",MAX('Ouvertures pennes'!Q58,'Ouvertures pennes'!U58))</f>
        <v>2.6321253083923857</v>
      </c>
      <c r="Y23" s="781">
        <f t="shared" si="2"/>
        <v>2.6550767173058456</v>
      </c>
    </row>
    <row r="24" spans="1:25" s="345" customFormat="1">
      <c r="A24" s="345">
        <f t="shared" si="0"/>
        <v>80</v>
      </c>
      <c r="C24" s="782">
        <f>IF('Sections rachis &amp; L pennes'!Q24="","",'Sections rachis &amp; L pennes'!Q24)</f>
        <v>80</v>
      </c>
      <c r="D24" s="783">
        <f>IF('Ouvertures pennes'!H25="","",MAX('Ouvertures pennes'!D25,'Ouvertures pennes'!H25))</f>
        <v>2.5027060187564518</v>
      </c>
      <c r="E24" s="784" t="str">
        <f>IF('Ouvertures pennes'!I25="","",MAX('Ouvertures pennes'!E25,'Ouvertures pennes'!I25))</f>
        <v/>
      </c>
      <c r="F24" s="784" t="str">
        <f>IF('Ouvertures pennes'!J25="","",MAX('Ouvertures pennes'!F25,'Ouvertures pennes'!J25))</f>
        <v/>
      </c>
      <c r="G24" s="787">
        <f>IF('Ouvertures pennes'!K25="","",MAX('Ouvertures pennes'!G25,'Ouvertures pennes'!K25))</f>
        <v>2.4926079901780018</v>
      </c>
      <c r="H24" s="782">
        <f>IF('Sections rachis &amp; L pennes'!V24="","",'Sections rachis &amp; L pennes'!V24)</f>
        <v>80</v>
      </c>
      <c r="I24" s="783">
        <f>IF('Ouvertures pennes'!R25="","",MAX('Ouvertures pennes'!N25,'Ouvertures pennes'!R25))</f>
        <v>2.4617824292543129</v>
      </c>
      <c r="J24" s="784">
        <f>IF('Ouvertures pennes'!S25="","",MAX('Ouvertures pennes'!O25,'Ouvertures pennes'!S25))</f>
        <v>2.4686916067027256</v>
      </c>
      <c r="K24" s="784" t="str">
        <f>IF('Ouvertures pennes'!T25="","",MAX('Ouvertures pennes'!P25,'Ouvertures pennes'!T25))</f>
        <v/>
      </c>
      <c r="L24" s="787">
        <f>IF('Ouvertures pennes'!U25="","",MAX('Ouvertures pennes'!Q25,'Ouvertures pennes'!U25))</f>
        <v>2.4729434082094417</v>
      </c>
      <c r="M24" s="781">
        <f t="shared" si="1"/>
        <v>2.5027060187564518</v>
      </c>
      <c r="O24" s="782">
        <f>IF('Sections rachis &amp; L pennes'!AC24="","",'Sections rachis &amp; L pennes'!AC24)</f>
        <v>80</v>
      </c>
      <c r="P24" s="783">
        <f>IF('Ouvertures pennes'!H59="","",MAX('Ouvertures pennes'!D59,'Ouvertures pennes'!H59))</f>
        <v>2.5910777922016148</v>
      </c>
      <c r="Q24" s="784">
        <f>IF('Ouvertures pennes'!I59="","",MAX('Ouvertures pennes'!E59,'Ouvertures pennes'!I59))</f>
        <v>2.5916366983674175</v>
      </c>
      <c r="R24" s="784" t="str">
        <f>IF('Ouvertures pennes'!J59="","",MAX('Ouvertures pennes'!F59,'Ouvertures pennes'!J59))</f>
        <v/>
      </c>
      <c r="S24" s="787">
        <f>IF('Ouvertures pennes'!K59="","",MAX('Ouvertures pennes'!G59,'Ouvertures pennes'!K59))</f>
        <v>2.593872323030626</v>
      </c>
      <c r="T24" s="782">
        <f>IF('Sections rachis &amp; L pennes'!AH24="","",'Sections rachis &amp; L pennes'!AH24)</f>
        <v>80</v>
      </c>
      <c r="U24" s="783">
        <f>IF('Ouvertures pennes'!R59="","",MAX('Ouvertures pennes'!N59,'Ouvertures pennes'!R59))</f>
        <v>2.5731927948959465</v>
      </c>
      <c r="V24" s="784">
        <f>IF('Ouvertures pennes'!S59="","",MAX('Ouvertures pennes'!O59,'Ouvertures pennes'!S59))</f>
        <v>2.5692804517353314</v>
      </c>
      <c r="W24" s="784" t="str">
        <f>IF('Ouvertures pennes'!T59="","",MAX('Ouvertures pennes'!P59,'Ouvertures pennes'!T59))</f>
        <v/>
      </c>
      <c r="X24" s="787">
        <f>IF('Ouvertures pennes'!U59="","",MAX('Ouvertures pennes'!Q59,'Ouvertures pennes'!U59))</f>
        <v>2.5871654490409997</v>
      </c>
      <c r="Y24" s="781">
        <f t="shared" si="2"/>
        <v>2.593872323030626</v>
      </c>
    </row>
    <row r="25" spans="1:25" s="345" customFormat="1" ht="13.5" thickBot="1">
      <c r="A25" s="345">
        <f t="shared" si="0"/>
        <v>90</v>
      </c>
      <c r="C25" s="794">
        <f>IF('Sections rachis &amp; L pennes'!Q25="","",'Sections rachis &amp; L pennes'!Q25)</f>
        <v>90</v>
      </c>
      <c r="D25" s="783" t="str">
        <f>IF('Ouvertures pennes'!H26="","",MAX('Ouvertures pennes'!D26,'Ouvertures pennes'!H26))</f>
        <v/>
      </c>
      <c r="E25" s="784">
        <f>IF('Ouvertures pennes'!I26="","",MAX('Ouvertures pennes'!E26,'Ouvertures pennes'!I26))</f>
        <v>2.0336971660378977</v>
      </c>
      <c r="F25" s="784" t="str">
        <f>IF('Ouvertures pennes'!J26="","",MAX('Ouvertures pennes'!F26,'Ouvertures pennes'!J26))</f>
        <v/>
      </c>
      <c r="G25" s="787" t="str">
        <f>IF('Ouvertures pennes'!K26="","",MAX('Ouvertures pennes'!G26,'Ouvertures pennes'!K26))</f>
        <v/>
      </c>
      <c r="H25" s="794">
        <f>IF('Sections rachis &amp; L pennes'!V25="","",'Sections rachis &amp; L pennes'!V25)</f>
        <v>90</v>
      </c>
      <c r="I25" s="783" t="str">
        <f>IF('Ouvertures pennes'!R26="","",MAX('Ouvertures pennes'!N26,'Ouvertures pennes'!R26))</f>
        <v/>
      </c>
      <c r="J25" s="784">
        <f>IF('Ouvertures pennes'!S26="","",MAX('Ouvertures pennes'!O26,'Ouvertures pennes'!S26))</f>
        <v>2.0172140709569906</v>
      </c>
      <c r="K25" s="784" t="str">
        <f>IF('Ouvertures pennes'!T26="","",MAX('Ouvertures pennes'!P26,'Ouvertures pennes'!T26))</f>
        <v/>
      </c>
      <c r="L25" s="787" t="str">
        <f>IF('Ouvertures pennes'!U26="","",MAX('Ouvertures pennes'!Q26,'Ouvertures pennes'!U26))</f>
        <v/>
      </c>
      <c r="M25" s="781">
        <f t="shared" si="1"/>
        <v>2.0336971660378977</v>
      </c>
      <c r="O25" s="794">
        <f>IF('Sections rachis &amp; L pennes'!AC25="","",'Sections rachis &amp; L pennes'!AC25)</f>
        <v>90</v>
      </c>
      <c r="P25" s="783">
        <f>IF('Ouvertures pennes'!H60="","",MAX('Ouvertures pennes'!D60,'Ouvertures pennes'!H60))</f>
        <v>2.103206608502477</v>
      </c>
      <c r="Q25" s="784" t="str">
        <f>IF('Ouvertures pennes'!I60="","",MAX('Ouvertures pennes'!E60,'Ouvertures pennes'!I60))</f>
        <v/>
      </c>
      <c r="R25" s="784" t="str">
        <f>IF('Ouvertures pennes'!J60="","",MAX('Ouvertures pennes'!F60,'Ouvertures pennes'!J60))</f>
        <v/>
      </c>
      <c r="S25" s="787" t="str">
        <f>IF('Ouvertures pennes'!K60="","",MAX('Ouvertures pennes'!G60,'Ouvertures pennes'!K60))</f>
        <v/>
      </c>
      <c r="T25" s="788">
        <f>IF('Sections rachis &amp; L pennes'!AH25="","",'Sections rachis &amp; L pennes'!AH25)</f>
        <v>90</v>
      </c>
      <c r="U25" s="783">
        <f>IF('Ouvertures pennes'!R60="","",MAX('Ouvertures pennes'!N60,'Ouvertures pennes'!R60))</f>
        <v>2.089812281092156</v>
      </c>
      <c r="V25" s="784" t="str">
        <f>IF('Ouvertures pennes'!S60="","",MAX('Ouvertures pennes'!O60,'Ouvertures pennes'!S60))</f>
        <v/>
      </c>
      <c r="W25" s="784" t="str">
        <f>IF('Ouvertures pennes'!T60="","",MAX('Ouvertures pennes'!P60,'Ouvertures pennes'!T60))</f>
        <v/>
      </c>
      <c r="X25" s="787">
        <f>IF('Ouvertures pennes'!U60="","",MAX('Ouvertures pennes'!Q60,'Ouvertures pennes'!U60))</f>
        <v>2.0862667238364834</v>
      </c>
      <c r="Y25" s="781">
        <f t="shared" si="2"/>
        <v>2.103206608502477</v>
      </c>
    </row>
    <row r="26" spans="1:25" s="345" customFormat="1">
      <c r="A26" s="345">
        <f t="shared" si="0"/>
        <v>97.736572490101764</v>
      </c>
      <c r="B26" s="648" t="s">
        <v>1247</v>
      </c>
      <c r="C26" s="795">
        <f>IF('Sections rachis &amp; L pennes'!Q26="","",'Sections rachis &amp; L pennes'!Q26)</f>
        <v>97.59213759213759</v>
      </c>
      <c r="D26" s="776" t="str">
        <f>IF('Ouvertures pennes'!H27="","",MAX('Ouvertures pennes'!D27,'Ouvertures pennes'!H27))</f>
        <v/>
      </c>
      <c r="E26" s="777">
        <f>IF('Ouvertures pennes'!I27="","",MAX('Ouvertures pennes'!E27,'Ouvertures pennes'!I27))</f>
        <v>1.9</v>
      </c>
      <c r="F26" s="777" t="str">
        <f>IF('Ouvertures pennes'!J27="","",MAX('Ouvertures pennes'!F27,'Ouvertures pennes'!J27))</f>
        <v/>
      </c>
      <c r="G26" s="780" t="str">
        <f>IF('Ouvertures pennes'!K27="","",MAX('Ouvertures pennes'!G27,'Ouvertures pennes'!K27))</f>
        <v/>
      </c>
      <c r="H26" s="795">
        <f>IF('Sections rachis &amp; L pennes'!V26="","",'Sections rachis &amp; L pennes'!V26)</f>
        <v>97.54299754299754</v>
      </c>
      <c r="I26" s="776" t="str">
        <f>IF('Ouvertures pennes'!R27="","",MAX('Ouvertures pennes'!N27,'Ouvertures pennes'!R27))</f>
        <v/>
      </c>
      <c r="J26" s="777">
        <f>IF('Ouvertures pennes'!S27="","",MAX('Ouvertures pennes'!O27,'Ouvertures pennes'!S27))</f>
        <v>1.9</v>
      </c>
      <c r="K26" s="777" t="str">
        <f>IF('Ouvertures pennes'!T27="","",MAX('Ouvertures pennes'!P27,'Ouvertures pennes'!T27))</f>
        <v/>
      </c>
      <c r="L26" s="780" t="str">
        <f>IF('Ouvertures pennes'!U27="","",MAX('Ouvertures pennes'!Q27,'Ouvertures pennes'!U27))</f>
        <v/>
      </c>
      <c r="M26" s="781">
        <f t="shared" si="1"/>
        <v>1.9</v>
      </c>
      <c r="N26" s="648" t="s">
        <v>1247</v>
      </c>
      <c r="O26" s="795">
        <f>IF('Sections rachis &amp; L pennes'!AC26="","",'Sections rachis &amp; L pennes'!AC26)</f>
        <v>98.032862763249241</v>
      </c>
      <c r="P26" s="776" t="str">
        <f>IF('Ouvertures pennes'!H61="","",MAX('Ouvertures pennes'!D61,'Ouvertures pennes'!H61))</f>
        <v/>
      </c>
      <c r="Q26" s="777">
        <f>IF('Ouvertures pennes'!I61="","",MAX('Ouvertures pennes'!E61,'Ouvertures pennes'!I61))</f>
        <v>1.9</v>
      </c>
      <c r="R26" s="777" t="str">
        <f>IF('Ouvertures pennes'!J61="","",MAX('Ouvertures pennes'!F61,'Ouvertures pennes'!J61))</f>
        <v/>
      </c>
      <c r="S26" s="780" t="str">
        <f>IF('Ouvertures pennes'!K61="","",MAX('Ouvertures pennes'!G61,'Ouvertures pennes'!K61))</f>
        <v/>
      </c>
      <c r="T26" s="796">
        <f>IF('Sections rachis &amp; L pennes'!AH26="","",'Sections rachis &amp; L pennes'!AH26)</f>
        <v>97.778292062022672</v>
      </c>
      <c r="U26" s="776" t="str">
        <f>IF('Ouvertures pennes'!R61="","",MAX('Ouvertures pennes'!N61,'Ouvertures pennes'!R61))</f>
        <v/>
      </c>
      <c r="V26" s="777">
        <f>IF('Ouvertures pennes'!S61="","",MAX('Ouvertures pennes'!O61,'Ouvertures pennes'!S61))</f>
        <v>1.5</v>
      </c>
      <c r="W26" s="777" t="str">
        <f>IF('Ouvertures pennes'!T61="","",MAX('Ouvertures pennes'!P61,'Ouvertures pennes'!T61))</f>
        <v/>
      </c>
      <c r="X26" s="780" t="str">
        <f>IF('Ouvertures pennes'!U61="","",MAX('Ouvertures pennes'!Q61,'Ouvertures pennes'!U61))</f>
        <v/>
      </c>
      <c r="Y26" s="781">
        <f t="shared" si="2"/>
        <v>1.9</v>
      </c>
    </row>
    <row r="27" spans="1:25" s="345" customFormat="1">
      <c r="A27" s="345">
        <f t="shared" si="0"/>
        <v>98.474693898206965</v>
      </c>
      <c r="B27" s="653" t="s">
        <v>1248</v>
      </c>
      <c r="C27" s="797">
        <f>IF('Sections rachis &amp; L pennes'!Q27="","",'Sections rachis &amp; L pennes'!Q27)</f>
        <v>98.599508599508596</v>
      </c>
      <c r="D27" s="783" t="str">
        <f>IF('Ouvertures pennes'!H28="","",MAX('Ouvertures pennes'!D28,'Ouvertures pennes'!H28))</f>
        <v/>
      </c>
      <c r="E27" s="784">
        <f>IF('Ouvertures pennes'!I28="","",MAX('Ouvertures pennes'!E28,'Ouvertures pennes'!I28))</f>
        <v>1.5</v>
      </c>
      <c r="F27" s="784" t="str">
        <f>IF('Ouvertures pennes'!J28="","",MAX('Ouvertures pennes'!F28,'Ouvertures pennes'!J28))</f>
        <v/>
      </c>
      <c r="G27" s="787" t="str">
        <f>IF('Ouvertures pennes'!K28="","",MAX('Ouvertures pennes'!G28,'Ouvertures pennes'!K28))</f>
        <v/>
      </c>
      <c r="H27" s="797">
        <f>IF('Sections rachis &amp; L pennes'!V27="","",'Sections rachis &amp; L pennes'!V27)</f>
        <v>97.960687960687963</v>
      </c>
      <c r="I27" s="783" t="str">
        <f>IF('Ouvertures pennes'!R28="","",MAX('Ouvertures pennes'!N28,'Ouvertures pennes'!R28))</f>
        <v/>
      </c>
      <c r="J27" s="784">
        <f>IF('Ouvertures pennes'!S28="","",MAX('Ouvertures pennes'!O28,'Ouvertures pennes'!S28))</f>
        <v>1.5</v>
      </c>
      <c r="K27" s="784" t="str">
        <f>IF('Ouvertures pennes'!T28="","",MAX('Ouvertures pennes'!P28,'Ouvertures pennes'!T28))</f>
        <v/>
      </c>
      <c r="L27" s="787" t="str">
        <f>IF('Ouvertures pennes'!U28="","",MAX('Ouvertures pennes'!Q28,'Ouvertures pennes'!U28))</f>
        <v/>
      </c>
      <c r="M27" s="781">
        <f t="shared" si="1"/>
        <v>1.5</v>
      </c>
      <c r="N27" s="653" t="s">
        <v>1248</v>
      </c>
      <c r="O27" s="797">
        <f>IF('Sections rachis &amp; L pennes'!AC27="","",'Sections rachis &amp; L pennes'!AC27)</f>
        <v>98.704003702846563</v>
      </c>
      <c r="P27" s="783" t="str">
        <f>IF('Ouvertures pennes'!H62="","",MAX('Ouvertures pennes'!D62,'Ouvertures pennes'!H62))</f>
        <v/>
      </c>
      <c r="Q27" s="784">
        <f>IF('Ouvertures pennes'!I62="","",MAX('Ouvertures pennes'!E62,'Ouvertures pennes'!I62))</f>
        <v>1.5</v>
      </c>
      <c r="R27" s="784" t="str">
        <f>IF('Ouvertures pennes'!J62="","",MAX('Ouvertures pennes'!F62,'Ouvertures pennes'!J62))</f>
        <v/>
      </c>
      <c r="S27" s="787" t="str">
        <f>IF('Ouvertures pennes'!K62="","",MAX('Ouvertures pennes'!G62,'Ouvertures pennes'!K62))</f>
        <v/>
      </c>
      <c r="T27" s="797">
        <f>IF('Sections rachis &amp; L pennes'!AH27="","",'Sections rachis &amp; L pennes'!AH27)</f>
        <v>98.634575329784766</v>
      </c>
      <c r="U27" s="783" t="str">
        <f>IF('Ouvertures pennes'!R62="","",MAX('Ouvertures pennes'!N62,'Ouvertures pennes'!R62))</f>
        <v/>
      </c>
      <c r="V27" s="784">
        <f>IF('Ouvertures pennes'!S62="","",MAX('Ouvertures pennes'!O62,'Ouvertures pennes'!S62))</f>
        <v>1.5</v>
      </c>
      <c r="W27" s="784" t="str">
        <f>IF('Ouvertures pennes'!T62="","",MAX('Ouvertures pennes'!P62,'Ouvertures pennes'!T62))</f>
        <v/>
      </c>
      <c r="X27" s="787" t="str">
        <f>IF('Ouvertures pennes'!U62="","",MAX('Ouvertures pennes'!Q62,'Ouvertures pennes'!U62))</f>
        <v/>
      </c>
      <c r="Y27" s="781">
        <f t="shared" si="2"/>
        <v>1.5</v>
      </c>
    </row>
    <row r="28" spans="1:25" s="345" customFormat="1">
      <c r="A28" s="345">
        <f t="shared" si="0"/>
        <v>99.115172061249353</v>
      </c>
      <c r="B28" s="653" t="s">
        <v>1249</v>
      </c>
      <c r="C28" s="797">
        <f>IF('Sections rachis &amp; L pennes'!Q28="","",'Sections rachis &amp; L pennes'!Q28)</f>
        <v>99.017199017199019</v>
      </c>
      <c r="D28" s="783" t="str">
        <f>IF('Ouvertures pennes'!H29="","",MAX('Ouvertures pennes'!D29,'Ouvertures pennes'!H29))</f>
        <v/>
      </c>
      <c r="E28" s="784">
        <f>IF('Ouvertures pennes'!I29="","",MAX('Ouvertures pennes'!E29,'Ouvertures pennes'!I29))</f>
        <v>1.5</v>
      </c>
      <c r="F28" s="784" t="str">
        <f>IF('Ouvertures pennes'!J29="","",MAX('Ouvertures pennes'!F29,'Ouvertures pennes'!J29))</f>
        <v/>
      </c>
      <c r="G28" s="787" t="str">
        <f>IF('Ouvertures pennes'!K29="","",MAX('Ouvertures pennes'!G29,'Ouvertures pennes'!K29))</f>
        <v/>
      </c>
      <c r="H28" s="797">
        <f>IF('Sections rachis &amp; L pennes'!V28="","",'Sections rachis &amp; L pennes'!V28)</f>
        <v>99.017199017199019</v>
      </c>
      <c r="I28" s="783" t="str">
        <f>IF('Ouvertures pennes'!R29="","",MAX('Ouvertures pennes'!N29,'Ouvertures pennes'!R29))</f>
        <v/>
      </c>
      <c r="J28" s="784">
        <f>IF('Ouvertures pennes'!S29="","",MAX('Ouvertures pennes'!O29,'Ouvertures pennes'!S29))</f>
        <v>1.5</v>
      </c>
      <c r="K28" s="784" t="str">
        <f>IF('Ouvertures pennes'!T29="","",MAX('Ouvertures pennes'!P29,'Ouvertures pennes'!T29))</f>
        <v/>
      </c>
      <c r="L28" s="787" t="str">
        <f>IF('Ouvertures pennes'!U29="","",MAX('Ouvertures pennes'!Q29,'Ouvertures pennes'!U29))</f>
        <v/>
      </c>
      <c r="M28" s="781">
        <f t="shared" si="1"/>
        <v>1.5</v>
      </c>
      <c r="N28" s="653" t="s">
        <v>1249</v>
      </c>
      <c r="O28" s="797">
        <f>IF('Sections rachis &amp; L pennes'!AC28="","",'Sections rachis &amp; L pennes'!AC28)</f>
        <v>99.352001851423282</v>
      </c>
      <c r="P28" s="783" t="str">
        <f>IF('Ouvertures pennes'!H63="","",MAX('Ouvertures pennes'!D63,'Ouvertures pennes'!H63))</f>
        <v/>
      </c>
      <c r="Q28" s="784">
        <f>IF('Ouvertures pennes'!I63="","",MAX('Ouvertures pennes'!E63,'Ouvertures pennes'!I63))</f>
        <v>1.5</v>
      </c>
      <c r="R28" s="784" t="str">
        <f>IF('Ouvertures pennes'!J63="","",MAX('Ouvertures pennes'!F63,'Ouvertures pennes'!J63))</f>
        <v/>
      </c>
      <c r="S28" s="787" t="str">
        <f>IF('Ouvertures pennes'!K63="","",MAX('Ouvertures pennes'!G63,'Ouvertures pennes'!K63))</f>
        <v/>
      </c>
      <c r="T28" s="797">
        <f>IF('Sections rachis &amp; L pennes'!AH28="","",'Sections rachis &amp; L pennes'!AH28)</f>
        <v>99.074288359176109</v>
      </c>
      <c r="U28" s="783" t="str">
        <f>IF('Ouvertures pennes'!R63="","",MAX('Ouvertures pennes'!N63,'Ouvertures pennes'!R63))</f>
        <v/>
      </c>
      <c r="V28" s="784">
        <f>IF('Ouvertures pennes'!S63="","",MAX('Ouvertures pennes'!O63,'Ouvertures pennes'!S63))</f>
        <v>1.4</v>
      </c>
      <c r="W28" s="784" t="str">
        <f>IF('Ouvertures pennes'!T63="","",MAX('Ouvertures pennes'!P63,'Ouvertures pennes'!T63))</f>
        <v/>
      </c>
      <c r="X28" s="787" t="str">
        <f>IF('Ouvertures pennes'!U63="","",MAX('Ouvertures pennes'!Q63,'Ouvertures pennes'!U63))</f>
        <v/>
      </c>
      <c r="Y28" s="781">
        <f t="shared" si="2"/>
        <v>1.5</v>
      </c>
    </row>
    <row r="29" spans="1:25" s="345" customFormat="1">
      <c r="A29" s="345">
        <f t="shared" si="0"/>
        <v>99.665653482478291</v>
      </c>
      <c r="B29" s="653" t="s">
        <v>1251</v>
      </c>
      <c r="C29" s="797">
        <f>IF('Sections rachis &amp; L pennes'!Q29="","",'Sections rachis &amp; L pennes'!Q29)</f>
        <v>99.656019656019652</v>
      </c>
      <c r="D29" s="783" t="str">
        <f>IF('Ouvertures pennes'!H30="","",MAX('Ouvertures pennes'!D30,'Ouvertures pennes'!H30))</f>
        <v/>
      </c>
      <c r="E29" s="784">
        <f>IF('Ouvertures pennes'!I30="","",MAX('Ouvertures pennes'!E30,'Ouvertures pennes'!I30))</f>
        <v>1.4</v>
      </c>
      <c r="F29" s="784" t="str">
        <f>IF('Ouvertures pennes'!J30="","",MAX('Ouvertures pennes'!F30,'Ouvertures pennes'!J30))</f>
        <v/>
      </c>
      <c r="G29" s="787" t="str">
        <f>IF('Ouvertures pennes'!K30="","",MAX('Ouvertures pennes'!G30,'Ouvertures pennes'!K30))</f>
        <v/>
      </c>
      <c r="H29" s="797">
        <f>IF('Sections rachis &amp; L pennes'!V29="","",'Sections rachis &amp; L pennes'!V29)</f>
        <v>99.631449631449627</v>
      </c>
      <c r="I29" s="783" t="str">
        <f>IF('Ouvertures pennes'!R30="","",MAX('Ouvertures pennes'!N30,'Ouvertures pennes'!R30))</f>
        <v/>
      </c>
      <c r="J29" s="784">
        <f>IF('Ouvertures pennes'!S30="","",MAX('Ouvertures pennes'!O30,'Ouvertures pennes'!S30))</f>
        <v>1.4</v>
      </c>
      <c r="K29" s="784" t="str">
        <f>IF('Ouvertures pennes'!T30="","",MAX('Ouvertures pennes'!P30,'Ouvertures pennes'!T30))</f>
        <v/>
      </c>
      <c r="L29" s="787" t="str">
        <f>IF('Ouvertures pennes'!U30="","",MAX('Ouvertures pennes'!Q30,'Ouvertures pennes'!U30))</f>
        <v/>
      </c>
      <c r="M29" s="781">
        <f t="shared" si="1"/>
        <v>1.4</v>
      </c>
      <c r="N29" s="653" t="s">
        <v>1251</v>
      </c>
      <c r="O29" s="797">
        <f>IF('Sections rachis &amp; L pennes'!AC29="","",'Sections rachis &amp; L pennes'!AC29)</f>
        <v>99.745429298773431</v>
      </c>
      <c r="P29" s="783" t="str">
        <f>IF('Ouvertures pennes'!H64="","",MAX('Ouvertures pennes'!D64,'Ouvertures pennes'!H64))</f>
        <v/>
      </c>
      <c r="Q29" s="784">
        <f>IF('Ouvertures pennes'!I64="","",MAX('Ouvertures pennes'!E64,'Ouvertures pennes'!I64))</f>
        <v>1.2</v>
      </c>
      <c r="R29" s="784" t="str">
        <f>IF('Ouvertures pennes'!J64="","",MAX('Ouvertures pennes'!F64,'Ouvertures pennes'!J64))</f>
        <v/>
      </c>
      <c r="S29" s="787" t="str">
        <f>IF('Ouvertures pennes'!K64="","",MAX('Ouvertures pennes'!G64,'Ouvertures pennes'!K64))</f>
        <v/>
      </c>
      <c r="T29" s="797">
        <f>IF('Sections rachis &amp; L pennes'!AH29="","",'Sections rachis &amp; L pennes'!AH29)</f>
        <v>99.629715343670441</v>
      </c>
      <c r="U29" s="783" t="str">
        <f>IF('Ouvertures pennes'!R64="","",MAX('Ouvertures pennes'!N64,'Ouvertures pennes'!R64))</f>
        <v/>
      </c>
      <c r="V29" s="784">
        <f>IF('Ouvertures pennes'!S64="","",MAX('Ouvertures pennes'!O64,'Ouvertures pennes'!S64))</f>
        <v>1.2</v>
      </c>
      <c r="W29" s="784" t="str">
        <f>IF('Ouvertures pennes'!T64="","",MAX('Ouvertures pennes'!P64,'Ouvertures pennes'!T64))</f>
        <v/>
      </c>
      <c r="X29" s="787" t="str">
        <f>IF('Ouvertures pennes'!U64="","",MAX('Ouvertures pennes'!Q64,'Ouvertures pennes'!U64))</f>
        <v/>
      </c>
      <c r="Y29" s="781">
        <f t="shared" si="2"/>
        <v>1.2</v>
      </c>
    </row>
    <row r="30" spans="1:25" s="345" customFormat="1" ht="13.5" thickBot="1">
      <c r="A30" s="345">
        <f t="shared" si="0"/>
        <v>99.951573567634654</v>
      </c>
      <c r="B30" s="657" t="s">
        <v>1252</v>
      </c>
      <c r="C30" s="798">
        <f>IF('Sections rachis &amp; L pennes'!Q30="","",'Sections rachis &amp; L pennes'!Q30)</f>
        <v>99.877149877149876</v>
      </c>
      <c r="D30" s="789" t="str">
        <f>IF('Ouvertures pennes'!H31="","",MAX('Ouvertures pennes'!D31,'Ouvertures pennes'!H31))</f>
        <v/>
      </c>
      <c r="E30" s="790">
        <f>IF('Ouvertures pennes'!I31="","",MAX('Ouvertures pennes'!E31,'Ouvertures pennes'!I31))</f>
        <v>1.2</v>
      </c>
      <c r="F30" s="790" t="str">
        <f>IF('Ouvertures pennes'!J31="","",MAX('Ouvertures pennes'!F31,'Ouvertures pennes'!J31))</f>
        <v/>
      </c>
      <c r="G30" s="793" t="str">
        <f>IF('Ouvertures pennes'!K31="","",MAX('Ouvertures pennes'!G31,'Ouvertures pennes'!K31))</f>
        <v/>
      </c>
      <c r="H30" s="798">
        <f>IF('Sections rachis &amp; L pennes'!V30="","",'Sections rachis &amp; L pennes'!V30)</f>
        <v>99.975429975429975</v>
      </c>
      <c r="I30" s="789" t="str">
        <f>IF('Ouvertures pennes'!R31="","",MAX('Ouvertures pennes'!N31,'Ouvertures pennes'!R31))</f>
        <v/>
      </c>
      <c r="J30" s="790">
        <f>IF('Ouvertures pennes'!S31="","",MAX('Ouvertures pennes'!O31,'Ouvertures pennes'!S31))</f>
        <v>1.2</v>
      </c>
      <c r="K30" s="790" t="str">
        <f>IF('Ouvertures pennes'!T31="","",MAX('Ouvertures pennes'!P31,'Ouvertures pennes'!T31))</f>
        <v/>
      </c>
      <c r="L30" s="793" t="str">
        <f>IF('Ouvertures pennes'!U31="","",MAX('Ouvertures pennes'!Q31,'Ouvertures pennes'!U31))</f>
        <v/>
      </c>
      <c r="M30" s="781">
        <f t="shared" si="1"/>
        <v>1.2</v>
      </c>
      <c r="N30" s="799" t="s">
        <v>1252</v>
      </c>
      <c r="O30" s="798">
        <f>IF('Sections rachis &amp; L pennes'!AC30="","",'Sections rachis &amp; L pennes'!AC30)</f>
        <v>99.976857208979396</v>
      </c>
      <c r="P30" s="789" t="str">
        <f>IF('Ouvertures pennes'!H65="","",MAX('Ouvertures pennes'!D65,'Ouvertures pennes'!H65))</f>
        <v/>
      </c>
      <c r="Q30" s="790">
        <f>IF('Ouvertures pennes'!I65="","",MAX('Ouvertures pennes'!E65,'Ouvertures pennes'!I65))</f>
        <v>1</v>
      </c>
      <c r="R30" s="790" t="str">
        <f>IF('Ouvertures pennes'!J65="","",MAX('Ouvertures pennes'!F65,'Ouvertures pennes'!J65))</f>
        <v/>
      </c>
      <c r="S30" s="793" t="str">
        <f>IF('Ouvertures pennes'!K65="","",MAX('Ouvertures pennes'!G65,'Ouvertures pennes'!K65))</f>
        <v/>
      </c>
      <c r="T30" s="798">
        <f>IF('Sections rachis &amp; L pennes'!AH30="","",'Sections rachis &amp; L pennes'!AH30)</f>
        <v>99.976857208979396</v>
      </c>
      <c r="U30" s="789" t="str">
        <f>IF('Ouvertures pennes'!R65="","",MAX('Ouvertures pennes'!N65,'Ouvertures pennes'!R65))</f>
        <v/>
      </c>
      <c r="V30" s="790">
        <f>IF('Ouvertures pennes'!S65="","",MAX('Ouvertures pennes'!O65,'Ouvertures pennes'!S65))</f>
        <v>1</v>
      </c>
      <c r="W30" s="790" t="str">
        <f>IF('Ouvertures pennes'!T65="","",MAX('Ouvertures pennes'!P65,'Ouvertures pennes'!T65))</f>
        <v/>
      </c>
      <c r="X30" s="793" t="str">
        <f>IF('Ouvertures pennes'!U65="","",MAX('Ouvertures pennes'!Q65,'Ouvertures pennes'!U65))</f>
        <v/>
      </c>
      <c r="Y30" s="781">
        <f t="shared" si="2"/>
        <v>1</v>
      </c>
    </row>
    <row r="31" spans="1:25" s="345" customFormat="1" ht="13.5" thickBot="1">
      <c r="A31" s="345">
        <f t="shared" si="0"/>
        <v>100</v>
      </c>
      <c r="B31" s="660" t="s">
        <v>1254</v>
      </c>
      <c r="C31" s="800">
        <f>IF('Sections rachis &amp; L pennes'!Q31="","",'Sections rachis &amp; L pennes'!Q31)</f>
        <v>100</v>
      </c>
      <c r="D31" s="801" t="str">
        <f>IF('Ouvertures pennes'!H32="","",MAX('Ouvertures pennes'!D32,'Ouvertures pennes'!H32))</f>
        <v/>
      </c>
      <c r="E31" s="802">
        <f>IF('Ouvertures pennes'!I32="","",MAX('Ouvertures pennes'!E32,'Ouvertures pennes'!I32))</f>
        <v>0.9</v>
      </c>
      <c r="F31" s="802" t="str">
        <f>IF('Ouvertures pennes'!J32="","",MAX('Ouvertures pennes'!F32,'Ouvertures pennes'!J32))</f>
        <v/>
      </c>
      <c r="G31" s="803" t="str">
        <f>IF('Ouvertures pennes'!K32="","",MAX('Ouvertures pennes'!G32,'Ouvertures pennes'!K32))</f>
        <v/>
      </c>
      <c r="H31" s="800" t="str">
        <f>IF('Sections rachis &amp; L pennes'!V31="","",'Sections rachis &amp; L pennes'!V31)</f>
        <v>XXX</v>
      </c>
      <c r="I31" s="801" t="str">
        <f>IF('Ouvertures pennes'!R32="","",'Ouvertures pennes'!R32)</f>
        <v/>
      </c>
      <c r="J31" s="802" t="str">
        <f>IF('Ouvertures pennes'!S32="","",'Ouvertures pennes'!S32)</f>
        <v/>
      </c>
      <c r="K31" s="802" t="str">
        <f>IF('Ouvertures pennes'!T32="","",'Ouvertures pennes'!T32)</f>
        <v/>
      </c>
      <c r="L31" s="803" t="str">
        <f>IF('Ouvertures pennes'!U32="","",'Ouvertures pennes'!U32)</f>
        <v/>
      </c>
      <c r="M31" s="781">
        <f t="shared" si="1"/>
        <v>0.9</v>
      </c>
      <c r="N31" s="660" t="s">
        <v>1254</v>
      </c>
      <c r="O31" s="961">
        <f>IF('Sections rachis &amp; L pennes'!AC31="","",'Sections rachis &amp; L pennes'!AC31)</f>
        <v>100</v>
      </c>
      <c r="P31" s="801" t="str">
        <f>IF('Ouvertures pennes'!H66="","",MAX('Ouvertures pennes'!D66,'Ouvertures pennes'!H66))</f>
        <v/>
      </c>
      <c r="Q31" s="802">
        <f>IF('Ouvertures pennes'!I66="","",MAX('Ouvertures pennes'!E66,'Ouvertures pennes'!I66))</f>
        <v>0.6</v>
      </c>
      <c r="R31" s="802" t="str">
        <f>IF('Ouvertures pennes'!J66="","",MAX('Ouvertures pennes'!F66,'Ouvertures pennes'!J66))</f>
        <v/>
      </c>
      <c r="S31" s="803" t="str">
        <f>IF('Ouvertures pennes'!K66="","",MAX('Ouvertures pennes'!G66,'Ouvertures pennes'!K66))</f>
        <v/>
      </c>
      <c r="T31" s="961" t="str">
        <f>IF('Sections rachis &amp; L pennes'!AH31="","",'Sections rachis &amp; L pennes'!AH31)</f>
        <v>XXX</v>
      </c>
      <c r="U31" s="801" t="str">
        <f>IF('Ouvertures pennes'!R66="","",MAX('Ouvertures pennes'!N66,'Ouvertures pennes'!R66))</f>
        <v/>
      </c>
      <c r="V31" s="802" t="str">
        <f>IF('Ouvertures pennes'!S66="","",MAX('Ouvertures pennes'!O66,'Ouvertures pennes'!S66))</f>
        <v/>
      </c>
      <c r="W31" s="802" t="str">
        <f>IF('Ouvertures pennes'!T66="","",MAX('Ouvertures pennes'!P66,'Ouvertures pennes'!T66))</f>
        <v/>
      </c>
      <c r="X31" s="803" t="str">
        <f>IF('Ouvertures pennes'!U66="","",MAX('Ouvertures pennes'!Q66,'Ouvertures pennes'!U66))</f>
        <v/>
      </c>
      <c r="Y31" s="781">
        <f t="shared" si="2"/>
        <v>0.6</v>
      </c>
    </row>
    <row r="32" spans="1:25" s="345" customFormat="1">
      <c r="D32" s="805"/>
      <c r="E32" s="806"/>
      <c r="F32" s="807"/>
      <c r="G32" s="807"/>
      <c r="H32" s="807"/>
      <c r="I32" s="807"/>
      <c r="J32" s="807"/>
      <c r="K32" s="807"/>
      <c r="L32" s="807"/>
      <c r="M32" s="807"/>
      <c r="N32" s="807"/>
      <c r="O32" s="807"/>
      <c r="P32" s="807"/>
      <c r="Q32" s="807"/>
      <c r="R32" s="807"/>
      <c r="S32" s="808"/>
      <c r="T32" s="808"/>
      <c r="Y32" s="807"/>
    </row>
    <row r="33" spans="1:30" s="345" customFormat="1">
      <c r="B33" s="809"/>
      <c r="C33" s="809"/>
      <c r="D33" s="810"/>
      <c r="E33" s="811"/>
      <c r="F33" s="812"/>
      <c r="G33" s="476"/>
      <c r="H33" s="476"/>
      <c r="I33" s="476"/>
      <c r="J33" s="962"/>
      <c r="K33" s="476"/>
      <c r="L33" s="476"/>
      <c r="M33" s="806">
        <f>IF(MAX(M13:M31)=0,"",MAX(M13:M31))</f>
        <v>2.561997016660738</v>
      </c>
      <c r="N33" s="476"/>
      <c r="O33" s="476"/>
      <c r="P33" s="476"/>
      <c r="Q33" s="476"/>
      <c r="R33" s="817"/>
      <c r="S33" s="476"/>
      <c r="T33" s="476"/>
      <c r="U33" s="476"/>
      <c r="V33" s="476"/>
      <c r="W33" s="476"/>
      <c r="X33" s="476"/>
      <c r="Y33" s="806">
        <f>IF(MAX(Y13:Y31)=0,"",MAX(Y13:Y31))</f>
        <v>2.6550767173058456</v>
      </c>
      <c r="Z33" s="476"/>
      <c r="AA33" s="476"/>
      <c r="AB33" s="476"/>
      <c r="AC33" s="476"/>
      <c r="AD33" s="476"/>
    </row>
    <row r="34" spans="1:30" s="345" customFormat="1" ht="14.25" customHeight="1" thickBot="1">
      <c r="B34" s="694"/>
      <c r="C34" s="814"/>
      <c r="D34" s="815"/>
      <c r="E34" s="811"/>
      <c r="F34" s="816"/>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tr">
        <f>IF(C16="","",C16)</f>
        <v/>
      </c>
      <c r="C35" s="809">
        <f>SUMIF(D$35:D$54,A35,B$35:B$54)</f>
        <v>5.3605555861977985</v>
      </c>
      <c r="D35" s="809">
        <f>IF(B35="",0,RANK(B35,B$35:B$54,1))</f>
        <v>0</v>
      </c>
      <c r="E35" s="814"/>
      <c r="F35" s="819">
        <f>IF(MAX(M33,Y33)=0,"",MAX(M33,Y33))</f>
        <v>2.6550767173058456</v>
      </c>
      <c r="H35" s="1580" t="s">
        <v>1280</v>
      </c>
      <c r="I35" s="1581"/>
      <c r="J35" s="1581"/>
      <c r="K35" s="1581"/>
      <c r="L35" s="1581"/>
      <c r="M35" s="1581"/>
      <c r="N35" s="1581"/>
      <c r="O35" s="1581"/>
      <c r="P35" s="1581"/>
      <c r="Q35" s="1581"/>
      <c r="R35" s="1581"/>
      <c r="S35" s="1581"/>
      <c r="T35" s="1581"/>
      <c r="U35" s="1581"/>
      <c r="V35" s="1581"/>
      <c r="W35" s="1581"/>
      <c r="X35" s="1581"/>
      <c r="Y35" s="1581"/>
      <c r="Z35" s="1581"/>
      <c r="AA35" s="1582"/>
    </row>
    <row r="36" spans="1:30" s="345" customFormat="1" ht="15.75" customHeight="1" thickBot="1">
      <c r="A36" s="345">
        <v>2</v>
      </c>
      <c r="B36" s="818" t="str">
        <f>IF(O16="","",O16)</f>
        <v/>
      </c>
      <c r="C36" s="809">
        <f t="shared" ref="C36:C54" si="3">SUMIF(D$35:D$54,A36,B$35:B$54)</f>
        <v>10</v>
      </c>
      <c r="D36" s="809">
        <f t="shared" ref="D36:D54" si="4">IF(B36="",0,RANK(B36,B$35:B$54,1))</f>
        <v>0</v>
      </c>
      <c r="E36" s="1583" t="s">
        <v>1281</v>
      </c>
      <c r="F36" s="1584"/>
      <c r="G36" s="1585"/>
      <c r="H36" s="820">
        <f>IF($C35=0,"",$C35)</f>
        <v>5.3605555861977985</v>
      </c>
      <c r="I36" s="821">
        <f>IF($C36=0,"",$C36)</f>
        <v>10</v>
      </c>
      <c r="J36" s="821">
        <f>IF($C37=0,"",$C37)</f>
        <v>20</v>
      </c>
      <c r="K36" s="821">
        <f>IF($C38=0,"",$C38)</f>
        <v>26.922669813782981</v>
      </c>
      <c r="L36" s="821">
        <f>IF($C39=0,"",$C39)</f>
        <v>28.402760758696882</v>
      </c>
      <c r="M36" s="821">
        <f>IF($C40="",0,$C40)</f>
        <v>30</v>
      </c>
      <c r="N36" s="821">
        <f>IF($C41=0,"",$C41)</f>
        <v>40</v>
      </c>
      <c r="O36" s="821">
        <f>IF($C42=0,"",$C42)</f>
        <v>50</v>
      </c>
      <c r="P36" s="821">
        <f>IF($C43=0,"",$C43)</f>
        <v>60</v>
      </c>
      <c r="Q36" s="821">
        <f>IF($C44=0,"",$C44)</f>
        <v>70</v>
      </c>
      <c r="R36" s="821">
        <f>IF($C45=0,"",$C45)</f>
        <v>80</v>
      </c>
      <c r="S36" s="821">
        <f>IF($C46=0,"",$C46)</f>
        <v>90</v>
      </c>
      <c r="T36" s="821">
        <f>IF($C47=0,"",$C47)</f>
        <v>97.736572490101764</v>
      </c>
      <c r="U36" s="821">
        <f>IF($C48=0,"",$C48)</f>
        <v>98.474693898206965</v>
      </c>
      <c r="V36" s="821">
        <f>IF($C49=0,"",$C49)</f>
        <v>99.115172061249353</v>
      </c>
      <c r="W36" s="821">
        <f>IF($C50=0,"",$C50)</f>
        <v>99.665653482478291</v>
      </c>
      <c r="X36" s="821">
        <f>IF($C51=0,"",$C51)</f>
        <v>99.951573567634654</v>
      </c>
      <c r="Y36" s="821">
        <f>IF($C52=0,"",$C52)</f>
        <v>100</v>
      </c>
      <c r="Z36" s="821" t="str">
        <f>IF($C53=0,"",$C53)</f>
        <v/>
      </c>
      <c r="AA36" s="822" t="str">
        <f>IF($C54=0,"",$C54)</f>
        <v/>
      </c>
    </row>
    <row r="37" spans="1:30" s="345" customFormat="1" ht="13.5" customHeight="1">
      <c r="A37" s="345">
        <v>3</v>
      </c>
      <c r="B37" s="818">
        <f>IF(COUNTIF(C13,"")+COUNTIF(H13,"")+COUNTIF(O13,"")+COUNTIF(T13,"")=4,"",AVERAGE(C13,H13,O13,T13))</f>
        <v>5.3605555861977985</v>
      </c>
      <c r="C37" s="809">
        <f t="shared" si="3"/>
        <v>20</v>
      </c>
      <c r="D37" s="809">
        <f t="shared" si="4"/>
        <v>1</v>
      </c>
      <c r="E37" s="1571" t="s">
        <v>1282</v>
      </c>
      <c r="F37" s="1574" t="s">
        <v>1283</v>
      </c>
      <c r="G37" s="1575"/>
      <c r="H37" s="823">
        <f t="shared" ref="H37:AA37" si="5">IF(COUNTIF(H39:H42,"")=4,"",AVERAGE(H39:H42))</f>
        <v>6.2710052374287159E-2</v>
      </c>
      <c r="I37" s="824">
        <f t="shared" si="5"/>
        <v>0.41859318277465024</v>
      </c>
      <c r="J37" s="824">
        <f t="shared" si="5"/>
        <v>0.59307829645254317</v>
      </c>
      <c r="K37" s="824">
        <f t="shared" si="5"/>
        <v>0.13420062191705059</v>
      </c>
      <c r="L37" s="824">
        <f t="shared" si="5"/>
        <v>0.16853941196703937</v>
      </c>
      <c r="M37" s="824">
        <f t="shared" si="5"/>
        <v>0.54291670653441892</v>
      </c>
      <c r="N37" s="824">
        <f t="shared" si="5"/>
        <v>0.66610095896714083</v>
      </c>
      <c r="O37" s="824">
        <f t="shared" si="5"/>
        <v>0.81958120156791625</v>
      </c>
      <c r="P37" s="824">
        <f t="shared" si="5"/>
        <v>0.93545809571890615</v>
      </c>
      <c r="Q37" s="824">
        <f t="shared" si="5"/>
        <v>0.99647658547444706</v>
      </c>
      <c r="R37" s="824">
        <f t="shared" si="5"/>
        <v>0.97069920664085818</v>
      </c>
      <c r="S37" s="824">
        <f t="shared" si="5"/>
        <v>0.78962292544400847</v>
      </c>
      <c r="T37" s="824" t="str">
        <f t="shared" si="5"/>
        <v/>
      </c>
      <c r="U37" s="824" t="str">
        <f t="shared" si="5"/>
        <v/>
      </c>
      <c r="V37" s="824" t="str">
        <f t="shared" si="5"/>
        <v/>
      </c>
      <c r="W37" s="824" t="str">
        <f t="shared" si="5"/>
        <v/>
      </c>
      <c r="X37" s="824" t="str">
        <f t="shared" si="5"/>
        <v/>
      </c>
      <c r="Y37" s="824" t="str">
        <f t="shared" si="5"/>
        <v/>
      </c>
      <c r="Z37" s="824" t="str">
        <f t="shared" si="5"/>
        <v/>
      </c>
      <c r="AA37" s="825" t="str">
        <f t="shared" si="5"/>
        <v/>
      </c>
    </row>
    <row r="38" spans="1:30" s="345" customFormat="1" ht="12.75" customHeight="1" thickBot="1">
      <c r="A38" s="345">
        <v>4</v>
      </c>
      <c r="B38" s="818">
        <f>IF(COUNTIF(C14,"")+COUNTIF(H14,"")+COUNTIF(O14,"")+COUNTIF(T14,"")=4,"",AVERAGE(C14,H14,O14,T14))</f>
        <v>26.922669813782981</v>
      </c>
      <c r="C38" s="809">
        <f t="shared" si="3"/>
        <v>26.922669813782981</v>
      </c>
      <c r="D38" s="809">
        <f t="shared" si="4"/>
        <v>4</v>
      </c>
      <c r="E38" s="1572"/>
      <c r="F38" s="1576" t="s">
        <v>1284</v>
      </c>
      <c r="G38" s="1577"/>
      <c r="H38" s="823">
        <f t="shared" ref="H38:AA38" si="6">IF(COUNTIF(H39:H42,"")=4,"",IF(COUNTIF(H39:H42,"")=3,0,STDEV(H39:H42)*$F$35))</f>
        <v>4.9497474683058273E-3</v>
      </c>
      <c r="I38" s="824">
        <f t="shared" si="6"/>
        <v>1.6432116815632596E-2</v>
      </c>
      <c r="J38" s="824">
        <f t="shared" si="6"/>
        <v>2.4851252189374447E-2</v>
      </c>
      <c r="K38" s="824">
        <f t="shared" si="6"/>
        <v>3.4912765591992738E-2</v>
      </c>
      <c r="L38" s="824">
        <f t="shared" si="6"/>
        <v>0.10962266718447138</v>
      </c>
      <c r="M38" s="824">
        <f t="shared" si="6"/>
        <v>7.6698947385632127E-2</v>
      </c>
      <c r="N38" s="824">
        <f t="shared" si="6"/>
        <v>5.7186230066026883E-2</v>
      </c>
      <c r="O38" s="824">
        <f t="shared" si="6"/>
        <v>5.0734636723827907E-2</v>
      </c>
      <c r="P38" s="824">
        <f t="shared" si="6"/>
        <v>2.6782154881471426E-2</v>
      </c>
      <c r="Q38" s="824">
        <f t="shared" si="6"/>
        <v>1.2311588759993386E-2</v>
      </c>
      <c r="R38" s="824">
        <f t="shared" si="6"/>
        <v>1.9608830964602138E-2</v>
      </c>
      <c r="S38" s="824">
        <f t="shared" si="6"/>
        <v>9.4712197412708202E-3</v>
      </c>
      <c r="T38" s="824" t="str">
        <f t="shared" si="6"/>
        <v/>
      </c>
      <c r="U38" s="824" t="str">
        <f t="shared" si="6"/>
        <v/>
      </c>
      <c r="V38" s="824" t="str">
        <f t="shared" si="6"/>
        <v/>
      </c>
      <c r="W38" s="824" t="str">
        <f t="shared" si="6"/>
        <v/>
      </c>
      <c r="X38" s="824" t="str">
        <f t="shared" si="6"/>
        <v/>
      </c>
      <c r="Y38" s="824" t="str">
        <f t="shared" si="6"/>
        <v/>
      </c>
      <c r="Z38" s="824" t="str">
        <f t="shared" si="6"/>
        <v/>
      </c>
      <c r="AA38" s="825" t="str">
        <f t="shared" si="6"/>
        <v/>
      </c>
    </row>
    <row r="39" spans="1:30" s="345" customFormat="1" ht="12.75" customHeight="1">
      <c r="A39" s="345">
        <v>5</v>
      </c>
      <c r="B39" s="818">
        <f>IF(COUNTIF(C15,"")+COUNTIF(H15,"")+COUNTIF(O15,"")+COUNTIF(T15,"")=4,"",AVERAGE(C15,H15,O15,T15))</f>
        <v>28.402760758696882</v>
      </c>
      <c r="C39" s="809">
        <f t="shared" si="3"/>
        <v>28.402760758696882</v>
      </c>
      <c r="D39" s="809">
        <f t="shared" si="4"/>
        <v>5</v>
      </c>
      <c r="E39" s="1572"/>
      <c r="F39" s="1578">
        <f>G7</f>
        <v>57</v>
      </c>
      <c r="G39" s="826" t="s">
        <v>1285</v>
      </c>
      <c r="H39" s="827" t="str">
        <f>IF(H36="","",IF(SUMIF($A$13:$A$31,H36,$D$13:$D$31)=0,"",SUMIF($A$13:$A$31,H36,$D$13:$D$31)/$M$33))</f>
        <v/>
      </c>
      <c r="I39" s="828">
        <f t="shared" ref="I39:AA39" si="7">IF(I36="","",IF(SUMIF($A$13:$A$31,I36,$D$13:$D$31)=0,"",SUMIF($A$13:$A$31,I36,$D$13:$D$31)/$M$33))</f>
        <v>0.41421693964997941</v>
      </c>
      <c r="J39" s="828">
        <f t="shared" si="7"/>
        <v>0.58603270359451065</v>
      </c>
      <c r="K39" s="828" t="str">
        <f t="shared" si="7"/>
        <v/>
      </c>
      <c r="L39" s="828">
        <f t="shared" si="7"/>
        <v>0.13934442455569582</v>
      </c>
      <c r="M39" s="828">
        <f t="shared" si="7"/>
        <v>0.51297216262275458</v>
      </c>
      <c r="N39" s="828">
        <f t="shared" si="7"/>
        <v>0.68085030124517054</v>
      </c>
      <c r="O39" s="828">
        <f t="shared" si="7"/>
        <v>0.82722084727694323</v>
      </c>
      <c r="P39" s="828">
        <f t="shared" si="7"/>
        <v>0.93409018960805967</v>
      </c>
      <c r="Q39" s="828">
        <f t="shared" si="7"/>
        <v>1</v>
      </c>
      <c r="R39" s="828">
        <f t="shared" si="7"/>
        <v>0.97685750704676266</v>
      </c>
      <c r="S39" s="828" t="str">
        <f t="shared" si="7"/>
        <v/>
      </c>
      <c r="T39" s="828" t="str">
        <f t="shared" si="7"/>
        <v/>
      </c>
      <c r="U39" s="828" t="str">
        <f t="shared" si="7"/>
        <v/>
      </c>
      <c r="V39" s="828" t="str">
        <f t="shared" si="7"/>
        <v/>
      </c>
      <c r="W39" s="828" t="str">
        <f t="shared" si="7"/>
        <v/>
      </c>
      <c r="X39" s="828" t="str">
        <f t="shared" si="7"/>
        <v/>
      </c>
      <c r="Y39" s="828" t="str">
        <f t="shared" si="7"/>
        <v/>
      </c>
      <c r="Z39" s="828" t="str">
        <f t="shared" si="7"/>
        <v/>
      </c>
      <c r="AA39" s="829" t="str">
        <f t="shared" si="7"/>
        <v/>
      </c>
    </row>
    <row r="40" spans="1:30" s="345" customFormat="1" ht="12.75" customHeight="1" thickBot="1">
      <c r="A40" s="345">
        <v>6</v>
      </c>
      <c r="B40" s="818">
        <f t="shared" ref="B40:B48" si="8">IF(C17="","",C17)</f>
        <v>10</v>
      </c>
      <c r="C40" s="809">
        <f t="shared" si="3"/>
        <v>30</v>
      </c>
      <c r="D40" s="809">
        <f t="shared" si="4"/>
        <v>2</v>
      </c>
      <c r="E40" s="1572"/>
      <c r="F40" s="1579"/>
      <c r="G40" s="830" t="s">
        <v>1286</v>
      </c>
      <c r="H40" s="823" t="str">
        <f>IF(H36="","",IF(SUMIF($A$13:$A$31,H36,$I$13:$I$31)=0,"",SUMIF($A$13:$A$31,H36,$I$13:$I$31)/$M$33))</f>
        <v/>
      </c>
      <c r="I40" s="824">
        <f t="shared" ref="I40:AA40" si="9">IF(I36="","",IF(SUMIF($A$13:$A$31,I36,$I$13:$I$31)=0,"",SUMIF($A$13:$A$31,I36,$I$13:$I$31)/$M$33))</f>
        <v>0.42296942589932107</v>
      </c>
      <c r="J40" s="824">
        <f t="shared" si="9"/>
        <v>0.58463442827217416</v>
      </c>
      <c r="K40" s="824">
        <f t="shared" si="9"/>
        <v>0.12490256542807469</v>
      </c>
      <c r="L40" s="824" t="str">
        <f t="shared" si="9"/>
        <v/>
      </c>
      <c r="M40" s="824">
        <f t="shared" si="9"/>
        <v>0.52337721700364004</v>
      </c>
      <c r="N40" s="824">
        <f t="shared" si="9"/>
        <v>0.68457471303388062</v>
      </c>
      <c r="O40" s="824">
        <f t="shared" si="9"/>
        <v>0.82629749177374745</v>
      </c>
      <c r="P40" s="824">
        <f t="shared" si="9"/>
        <v>0.93971989935491984</v>
      </c>
      <c r="Q40" s="824">
        <f t="shared" si="9"/>
        <v>0.99022851623720798</v>
      </c>
      <c r="R40" s="824">
        <f t="shared" si="9"/>
        <v>0.96088419043631712</v>
      </c>
      <c r="S40" s="824" t="str">
        <f t="shared" si="9"/>
        <v/>
      </c>
      <c r="T40" s="824" t="str">
        <f t="shared" si="9"/>
        <v/>
      </c>
      <c r="U40" s="824" t="str">
        <f t="shared" si="9"/>
        <v/>
      </c>
      <c r="V40" s="824" t="str">
        <f t="shared" si="9"/>
        <v/>
      </c>
      <c r="W40" s="824" t="str">
        <f t="shared" si="9"/>
        <v/>
      </c>
      <c r="X40" s="824" t="str">
        <f t="shared" si="9"/>
        <v/>
      </c>
      <c r="Y40" s="824" t="str">
        <f t="shared" si="9"/>
        <v/>
      </c>
      <c r="Z40" s="824" t="str">
        <f t="shared" si="9"/>
        <v/>
      </c>
      <c r="AA40" s="825" t="str">
        <f t="shared" si="9"/>
        <v/>
      </c>
    </row>
    <row r="41" spans="1:30" s="345" customFormat="1" ht="12.75" customHeight="1">
      <c r="A41" s="345">
        <v>7</v>
      </c>
      <c r="B41" s="818">
        <f t="shared" si="8"/>
        <v>20</v>
      </c>
      <c r="C41" s="809">
        <f t="shared" si="3"/>
        <v>40</v>
      </c>
      <c r="D41" s="809">
        <f t="shared" si="4"/>
        <v>3</v>
      </c>
      <c r="E41" s="1572"/>
      <c r="F41" s="1578">
        <f>U7</f>
        <v>83</v>
      </c>
      <c r="G41" s="826" t="s">
        <v>1285</v>
      </c>
      <c r="H41" s="827">
        <f>IF(H36="","",IF(SUMIF($A$13:$A$31,H36,$P$13:$P$31)=0,"",SUMIF($A$13:$A$31,H36,$P$13:$P$31)/$Y$33))</f>
        <v>6.1391823045097944E-2</v>
      </c>
      <c r="I41" s="828" t="str">
        <f t="shared" ref="I41:AA41" si="10">IF(I36="","",IF(SUMIF($A$13:$A$31,I36,$P$13:$P$31)=0,"",SUMIF($A$13:$A$31,I36,$P$13:$P$31)/$Y$33))</f>
        <v/>
      </c>
      <c r="J41" s="828">
        <f t="shared" si="10"/>
        <v>0.60413378110475213</v>
      </c>
      <c r="K41" s="828">
        <f t="shared" si="10"/>
        <v>0.14349867840602648</v>
      </c>
      <c r="L41" s="828" t="str">
        <f t="shared" si="10"/>
        <v/>
      </c>
      <c r="M41" s="828">
        <f t="shared" si="10"/>
        <v>0.567072140487341</v>
      </c>
      <c r="N41" s="828">
        <f t="shared" si="10"/>
        <v>0.66134277296459987</v>
      </c>
      <c r="O41" s="828">
        <f t="shared" si="10"/>
        <v>0.83348509296286077</v>
      </c>
      <c r="P41" s="828">
        <f t="shared" si="10"/>
        <v>0.94586505508377494</v>
      </c>
      <c r="Q41" s="828">
        <f t="shared" si="10"/>
        <v>1</v>
      </c>
      <c r="R41" s="828">
        <f t="shared" si="10"/>
        <v>0.97589563996886253</v>
      </c>
      <c r="S41" s="828">
        <f t="shared" si="10"/>
        <v>0.79214532476358679</v>
      </c>
      <c r="T41" s="828" t="str">
        <f t="shared" si="10"/>
        <v/>
      </c>
      <c r="U41" s="828" t="str">
        <f t="shared" si="10"/>
        <v/>
      </c>
      <c r="V41" s="828" t="str">
        <f t="shared" si="10"/>
        <v/>
      </c>
      <c r="W41" s="828" t="str">
        <f t="shared" si="10"/>
        <v/>
      </c>
      <c r="X41" s="828" t="str">
        <f t="shared" si="10"/>
        <v/>
      </c>
      <c r="Y41" s="828" t="str">
        <f t="shared" si="10"/>
        <v/>
      </c>
      <c r="Z41" s="828" t="str">
        <f t="shared" si="10"/>
        <v/>
      </c>
      <c r="AA41" s="829" t="str">
        <f t="shared" si="10"/>
        <v/>
      </c>
    </row>
    <row r="42" spans="1:30" s="345" customFormat="1" ht="13.5" customHeight="1" thickBot="1">
      <c r="A42" s="345">
        <v>8</v>
      </c>
      <c r="B42" s="818">
        <f t="shared" si="8"/>
        <v>30</v>
      </c>
      <c r="C42" s="809">
        <f t="shared" si="3"/>
        <v>50</v>
      </c>
      <c r="D42" s="809">
        <f t="shared" si="4"/>
        <v>6</v>
      </c>
      <c r="E42" s="1573"/>
      <c r="F42" s="1579"/>
      <c r="G42" s="830" t="s">
        <v>1286</v>
      </c>
      <c r="H42" s="831">
        <f>IF(H36="","",IF(SUMIF($A$13:$A$31,H36,$U$13:$U$31)=0,"",SUMIF($A$13:$A$31,H36,$U$13:$U$31)/$Y$33))</f>
        <v>6.4028281703476381E-2</v>
      </c>
      <c r="I42" s="832" t="str">
        <f t="shared" ref="I42:AA42" si="11">IF(I36="","",IF(SUMIF($A$13:$A$31,I36,$U$13:$U$31)=0,"",SUMIF($A$13:$A$31,I36,$U$13:$U$31)/$Y$33))</f>
        <v/>
      </c>
      <c r="J42" s="832">
        <f t="shared" si="11"/>
        <v>0.59751227283873587</v>
      </c>
      <c r="K42" s="832" t="str">
        <f t="shared" si="11"/>
        <v/>
      </c>
      <c r="L42" s="832">
        <f t="shared" si="11"/>
        <v>0.19773439937838294</v>
      </c>
      <c r="M42" s="832">
        <f t="shared" si="11"/>
        <v>0.5682453060239403</v>
      </c>
      <c r="N42" s="832">
        <f t="shared" si="11"/>
        <v>0.6376360486249123</v>
      </c>
      <c r="O42" s="832">
        <f t="shared" si="11"/>
        <v>0.79132137425811333</v>
      </c>
      <c r="P42" s="832">
        <f t="shared" si="11"/>
        <v>0.92215723882887024</v>
      </c>
      <c r="Q42" s="832">
        <f t="shared" si="11"/>
        <v>0.99567782566058027</v>
      </c>
      <c r="R42" s="832">
        <f t="shared" si="11"/>
        <v>0.96915948911149052</v>
      </c>
      <c r="S42" s="832">
        <f t="shared" si="11"/>
        <v>0.78710052612443016</v>
      </c>
      <c r="T42" s="832" t="str">
        <f t="shared" si="11"/>
        <v/>
      </c>
      <c r="U42" s="832" t="str">
        <f t="shared" si="11"/>
        <v/>
      </c>
      <c r="V42" s="832" t="str">
        <f t="shared" si="11"/>
        <v/>
      </c>
      <c r="W42" s="832" t="str">
        <f t="shared" si="11"/>
        <v/>
      </c>
      <c r="X42" s="832" t="str">
        <f t="shared" si="11"/>
        <v/>
      </c>
      <c r="Y42" s="832" t="str">
        <f t="shared" si="11"/>
        <v/>
      </c>
      <c r="Z42" s="832" t="str">
        <f t="shared" si="11"/>
        <v/>
      </c>
      <c r="AA42" s="833" t="str">
        <f t="shared" si="11"/>
        <v/>
      </c>
    </row>
    <row r="43" spans="1:30" s="345" customFormat="1" ht="12.75" customHeight="1">
      <c r="A43" s="345">
        <v>9</v>
      </c>
      <c r="B43" s="818">
        <f t="shared" si="8"/>
        <v>40</v>
      </c>
      <c r="C43" s="809">
        <f t="shared" si="3"/>
        <v>60</v>
      </c>
      <c r="D43" s="809">
        <f t="shared" si="4"/>
        <v>7</v>
      </c>
      <c r="E43" s="1590">
        <v>0</v>
      </c>
      <c r="F43" s="1574" t="s">
        <v>1283</v>
      </c>
      <c r="G43" s="1593"/>
      <c r="H43" s="834" t="str">
        <f t="shared" ref="H43:AA43" si="12">IF(COUNTIF(H45:H52,"")=8,"",AVERAGE(H45:H52))</f>
        <v/>
      </c>
      <c r="I43" s="835">
        <f t="shared" si="12"/>
        <v>0.42000788452159465</v>
      </c>
      <c r="J43" s="835" t="str">
        <f t="shared" si="12"/>
        <v/>
      </c>
      <c r="K43" s="835" t="str">
        <f t="shared" si="12"/>
        <v/>
      </c>
      <c r="L43" s="835" t="str">
        <f t="shared" si="12"/>
        <v/>
      </c>
      <c r="M43" s="835" t="str">
        <f t="shared" si="12"/>
        <v/>
      </c>
      <c r="N43" s="835">
        <f t="shared" si="12"/>
        <v>0.67340147766774994</v>
      </c>
      <c r="O43" s="835">
        <f t="shared" si="12"/>
        <v>0.83129882606705907</v>
      </c>
      <c r="P43" s="835">
        <f t="shared" si="12"/>
        <v>0.93338930767739603</v>
      </c>
      <c r="Q43" s="835">
        <f t="shared" si="12"/>
        <v>0.9949150890124473</v>
      </c>
      <c r="R43" s="835">
        <f t="shared" si="12"/>
        <v>0.96912436164812155</v>
      </c>
      <c r="S43" s="835">
        <f t="shared" si="12"/>
        <v>0.79057688409699534</v>
      </c>
      <c r="T43" s="835">
        <f t="shared" si="12"/>
        <v>0.69094589963197861</v>
      </c>
      <c r="U43" s="835">
        <f t="shared" si="12"/>
        <v>0.57521810111973992</v>
      </c>
      <c r="V43" s="835">
        <f t="shared" si="12"/>
        <v>0.56580217733981697</v>
      </c>
      <c r="W43" s="835">
        <f t="shared" si="12"/>
        <v>0.49920653259206527</v>
      </c>
      <c r="X43" s="835">
        <f t="shared" si="12"/>
        <v>0.42251078577610002</v>
      </c>
      <c r="Y43" s="835">
        <f t="shared" si="12"/>
        <v>0.28863531799230602</v>
      </c>
      <c r="Z43" s="835" t="str">
        <f t="shared" si="12"/>
        <v/>
      </c>
      <c r="AA43" s="836" t="str">
        <f t="shared" si="12"/>
        <v/>
      </c>
    </row>
    <row r="44" spans="1:30" s="345" customFormat="1" ht="13.5" customHeight="1" thickBot="1">
      <c r="A44" s="345">
        <v>10</v>
      </c>
      <c r="B44" s="818">
        <f t="shared" si="8"/>
        <v>50</v>
      </c>
      <c r="C44" s="809">
        <f t="shared" si="3"/>
        <v>70</v>
      </c>
      <c r="D44" s="809">
        <f t="shared" si="4"/>
        <v>8</v>
      </c>
      <c r="E44" s="1591"/>
      <c r="F44" s="1576" t="s">
        <v>1284</v>
      </c>
      <c r="G44" s="1594"/>
      <c r="H44" s="834" t="str">
        <f t="shared" ref="H44:AA44" si="13">IF(COUNTIF(H45:H52,"")=8,"",IF(COUNTIF(H45:H52,"")=7,0,STDEV(H45:H52)*$F$35))</f>
        <v/>
      </c>
      <c r="I44" s="835">
        <f t="shared" si="13"/>
        <v>2.0247520666931754E-2</v>
      </c>
      <c r="J44" s="835" t="str">
        <f t="shared" si="13"/>
        <v/>
      </c>
      <c r="K44" s="835" t="str">
        <f t="shared" si="13"/>
        <v/>
      </c>
      <c r="L44" s="835" t="str">
        <f t="shared" si="13"/>
        <v/>
      </c>
      <c r="M44" s="835" t="str">
        <f t="shared" si="13"/>
        <v/>
      </c>
      <c r="N44" s="835">
        <f t="shared" si="13"/>
        <v>0</v>
      </c>
      <c r="O44" s="835">
        <f t="shared" si="13"/>
        <v>0</v>
      </c>
      <c r="P44" s="835">
        <f t="shared" si="13"/>
        <v>1.2144114011480901E-2</v>
      </c>
      <c r="Q44" s="835">
        <f t="shared" si="13"/>
        <v>0</v>
      </c>
      <c r="R44" s="835">
        <f t="shared" si="13"/>
        <v>1.6953380980927704E-2</v>
      </c>
      <c r="S44" s="835">
        <f t="shared" si="13"/>
        <v>1.2078756343888115E-2</v>
      </c>
      <c r="T44" s="835">
        <f t="shared" si="13"/>
        <v>0.22537114874154948</v>
      </c>
      <c r="U44" s="835">
        <f t="shared" si="13"/>
        <v>3.1463496956127997E-2</v>
      </c>
      <c r="V44" s="835">
        <f t="shared" si="13"/>
        <v>7.2845710130624922E-2</v>
      </c>
      <c r="W44" s="835">
        <f t="shared" si="13"/>
        <v>0.14483598433031117</v>
      </c>
      <c r="X44" s="835">
        <f t="shared" si="13"/>
        <v>0.14064085140282628</v>
      </c>
      <c r="Y44" s="835">
        <f t="shared" si="13"/>
        <v>0.23525288827580113</v>
      </c>
      <c r="Z44" s="835" t="str">
        <f t="shared" si="13"/>
        <v/>
      </c>
      <c r="AA44" s="836" t="str">
        <f t="shared" si="13"/>
        <v/>
      </c>
    </row>
    <row r="45" spans="1:30" s="345" customFormat="1">
      <c r="A45" s="345">
        <v>11</v>
      </c>
      <c r="B45" s="818">
        <f t="shared" si="8"/>
        <v>60</v>
      </c>
      <c r="C45" s="809">
        <f t="shared" si="3"/>
        <v>80</v>
      </c>
      <c r="D45" s="809">
        <f t="shared" si="4"/>
        <v>9</v>
      </c>
      <c r="E45" s="1591"/>
      <c r="F45" s="1578">
        <f>G7</f>
        <v>57</v>
      </c>
      <c r="G45" s="1596" t="s">
        <v>1285</v>
      </c>
      <c r="H45" s="837" t="str">
        <f>IF(H36="","",IF(SUMIF($A$13:$A$31,H36,$E$13:$E$31)=0,"",SUMIF($A$13:$A$31,H36,$E$13:$E$31)/$M$33))</f>
        <v/>
      </c>
      <c r="I45" s="838" t="str">
        <f t="shared" ref="I45:AA45" si="14">IF(I36="","",IF(SUMIF($A$13:$A$31,I36,$E$13:$E$31)=0,"",SUMIF($A$13:$A$31,I36,$E$13:$E$31)/$M$33))</f>
        <v/>
      </c>
      <c r="J45" s="838" t="str">
        <f t="shared" si="14"/>
        <v/>
      </c>
      <c r="K45" s="838" t="str">
        <f t="shared" si="14"/>
        <v/>
      </c>
      <c r="L45" s="838" t="str">
        <f t="shared" si="14"/>
        <v/>
      </c>
      <c r="M45" s="838" t="str">
        <f t="shared" si="14"/>
        <v/>
      </c>
      <c r="N45" s="838">
        <f t="shared" si="14"/>
        <v>0.67340147766774994</v>
      </c>
      <c r="O45" s="838" t="str">
        <f t="shared" si="14"/>
        <v/>
      </c>
      <c r="P45" s="838" t="str">
        <f t="shared" si="14"/>
        <v/>
      </c>
      <c r="Q45" s="838" t="str">
        <f t="shared" si="14"/>
        <v/>
      </c>
      <c r="R45" s="838" t="str">
        <f t="shared" si="14"/>
        <v/>
      </c>
      <c r="S45" s="838">
        <f t="shared" si="14"/>
        <v>0.79379372919355817</v>
      </c>
      <c r="T45" s="838">
        <f t="shared" si="14"/>
        <v>0.74160898222919347</v>
      </c>
      <c r="U45" s="838">
        <f t="shared" si="14"/>
        <v>0.58548077544410015</v>
      </c>
      <c r="V45" s="838">
        <f t="shared" si="14"/>
        <v>0.58548077544410015</v>
      </c>
      <c r="W45" s="838">
        <f t="shared" si="14"/>
        <v>0.54644872374782671</v>
      </c>
      <c r="X45" s="838">
        <f t="shared" si="14"/>
        <v>0.46838462035528011</v>
      </c>
      <c r="Y45" s="838">
        <f t="shared" si="14"/>
        <v>0.35128846526646007</v>
      </c>
      <c r="Z45" s="838" t="str">
        <f t="shared" si="14"/>
        <v/>
      </c>
      <c r="AA45" s="839" t="str">
        <f t="shared" si="14"/>
        <v/>
      </c>
    </row>
    <row r="46" spans="1:30" s="345" customFormat="1">
      <c r="A46" s="345">
        <v>12</v>
      </c>
      <c r="B46" s="818">
        <f t="shared" si="8"/>
        <v>70</v>
      </c>
      <c r="C46" s="809">
        <f t="shared" si="3"/>
        <v>90</v>
      </c>
      <c r="D46" s="809">
        <f t="shared" si="4"/>
        <v>10</v>
      </c>
      <c r="E46" s="1591"/>
      <c r="F46" s="1595"/>
      <c r="G46" s="1597"/>
      <c r="H46" s="834" t="str">
        <f>IF(H36="","",IF(SUMIF($A$13:$A$31,H36,$F$13:$F$31)=0,"",SUMIF($A$13:$A$31,H36,$F$13:$F$31)/$M$33))</f>
        <v/>
      </c>
      <c r="I46" s="835" t="str">
        <f t="shared" ref="I46:AA46" si="15">IF(I36="","",IF(SUMIF($A$13:$A$31,I36,$F$13:$F$31)=0,"",SUMIF($A$13:$A$31,I36,$F$13:$F$31)/$M$33))</f>
        <v/>
      </c>
      <c r="J46" s="835" t="str">
        <f t="shared" si="15"/>
        <v/>
      </c>
      <c r="K46" s="835" t="str">
        <f t="shared" si="15"/>
        <v/>
      </c>
      <c r="L46" s="835" t="str">
        <f t="shared" si="15"/>
        <v/>
      </c>
      <c r="M46" s="835" t="str">
        <f t="shared" si="15"/>
        <v/>
      </c>
      <c r="N46" s="835" t="str">
        <f t="shared" si="15"/>
        <v/>
      </c>
      <c r="O46" s="835" t="str">
        <f t="shared" si="15"/>
        <v/>
      </c>
      <c r="P46" s="835" t="str">
        <f t="shared" si="15"/>
        <v/>
      </c>
      <c r="Q46" s="835" t="str">
        <f t="shared" si="15"/>
        <v/>
      </c>
      <c r="R46" s="835" t="str">
        <f t="shared" si="15"/>
        <v/>
      </c>
      <c r="S46" s="835" t="str">
        <f t="shared" si="15"/>
        <v/>
      </c>
      <c r="T46" s="835" t="str">
        <f t="shared" si="15"/>
        <v/>
      </c>
      <c r="U46" s="835" t="str">
        <f t="shared" si="15"/>
        <v/>
      </c>
      <c r="V46" s="835" t="str">
        <f t="shared" si="15"/>
        <v/>
      </c>
      <c r="W46" s="835" t="str">
        <f t="shared" si="15"/>
        <v/>
      </c>
      <c r="X46" s="835" t="str">
        <f t="shared" si="15"/>
        <v/>
      </c>
      <c r="Y46" s="835" t="str">
        <f t="shared" si="15"/>
        <v/>
      </c>
      <c r="Z46" s="835" t="str">
        <f t="shared" si="15"/>
        <v/>
      </c>
      <c r="AA46" s="836" t="str">
        <f t="shared" si="15"/>
        <v/>
      </c>
    </row>
    <row r="47" spans="1:30" s="345" customFormat="1">
      <c r="A47" s="345">
        <v>13</v>
      </c>
      <c r="B47" s="818">
        <f t="shared" si="8"/>
        <v>80</v>
      </c>
      <c r="C47" s="809">
        <f t="shared" si="3"/>
        <v>97.736572490101764</v>
      </c>
      <c r="D47" s="809">
        <f t="shared" si="4"/>
        <v>11</v>
      </c>
      <c r="E47" s="1591"/>
      <c r="F47" s="1595"/>
      <c r="G47" s="1597" t="s">
        <v>1286</v>
      </c>
      <c r="H47" s="834" t="str">
        <f>IF(H36="","",IF(SUMIF($A$13:$A$31,H36,$J$13:$J$31)=0,"",SUMIF($A$13:$A$31,H36,$J$13:$J$31)/$M$33))</f>
        <v/>
      </c>
      <c r="I47" s="835" t="str">
        <f t="shared" ref="I47:AA47" si="16">IF(I36="","",IF(SUMIF($A$13:$A$31,I36,$J$13:$J$31)=0,"",SUMIF($A$13:$A$31,I36,$J$13:$J$31)/$M$33))</f>
        <v/>
      </c>
      <c r="J47" s="835" t="str">
        <f t="shared" si="16"/>
        <v/>
      </c>
      <c r="K47" s="835" t="str">
        <f t="shared" si="16"/>
        <v/>
      </c>
      <c r="L47" s="835" t="str">
        <f t="shared" si="16"/>
        <v/>
      </c>
      <c r="M47" s="835" t="str">
        <f t="shared" si="16"/>
        <v/>
      </c>
      <c r="N47" s="835" t="str">
        <f t="shared" si="16"/>
        <v/>
      </c>
      <c r="O47" s="835" t="str">
        <f t="shared" si="16"/>
        <v/>
      </c>
      <c r="P47" s="835">
        <f t="shared" si="16"/>
        <v>0.93662355899414684</v>
      </c>
      <c r="Q47" s="835" t="str">
        <f t="shared" si="16"/>
        <v/>
      </c>
      <c r="R47" s="835">
        <f t="shared" si="16"/>
        <v>0.96358098414976878</v>
      </c>
      <c r="S47" s="835">
        <f t="shared" si="16"/>
        <v>0.78736003900043261</v>
      </c>
      <c r="T47" s="835">
        <f t="shared" si="16"/>
        <v>0.74160898222919347</v>
      </c>
      <c r="U47" s="835">
        <f t="shared" si="16"/>
        <v>0.58548077544410015</v>
      </c>
      <c r="V47" s="835">
        <f t="shared" si="16"/>
        <v>0.58548077544410015</v>
      </c>
      <c r="W47" s="835">
        <f t="shared" si="16"/>
        <v>0.54644872374782671</v>
      </c>
      <c r="X47" s="835">
        <f t="shared" si="16"/>
        <v>0.46838462035528011</v>
      </c>
      <c r="Y47" s="835" t="str">
        <f t="shared" si="16"/>
        <v/>
      </c>
      <c r="Z47" s="835" t="str">
        <f t="shared" si="16"/>
        <v/>
      </c>
      <c r="AA47" s="836" t="str">
        <f t="shared" si="16"/>
        <v/>
      </c>
    </row>
    <row r="48" spans="1:30" s="345" customFormat="1" ht="13.5" thickBot="1">
      <c r="A48" s="345">
        <v>14</v>
      </c>
      <c r="B48" s="818">
        <f t="shared" si="8"/>
        <v>90</v>
      </c>
      <c r="C48" s="809">
        <f t="shared" si="3"/>
        <v>98.474693898206965</v>
      </c>
      <c r="D48" s="809">
        <f t="shared" si="4"/>
        <v>12</v>
      </c>
      <c r="E48" s="1591"/>
      <c r="F48" s="1579"/>
      <c r="G48" s="1598"/>
      <c r="H48" s="834" t="str">
        <f>IF(H36="","",IF(SUMIF($A$13:$A$31,H36,$K$13:$K$31)=0,"",SUMIF($A$13:$A$31,H36,$K$13:$K$31)/$M$33))</f>
        <v/>
      </c>
      <c r="I48" s="835" t="str">
        <f t="shared" ref="I48:AA48" si="17">IF(I36="","",IF(SUMIF($A$13:$A$31,I36,$K$13:$K$31)=0,"",SUMIF($A$13:$A$31,I36,$K$13:$K$31)/$M$33))</f>
        <v/>
      </c>
      <c r="J48" s="835" t="str">
        <f t="shared" si="17"/>
        <v/>
      </c>
      <c r="K48" s="835" t="str">
        <f t="shared" si="17"/>
        <v/>
      </c>
      <c r="L48" s="835" t="str">
        <f t="shared" si="17"/>
        <v/>
      </c>
      <c r="M48" s="835" t="str">
        <f t="shared" si="17"/>
        <v/>
      </c>
      <c r="N48" s="835" t="str">
        <f t="shared" si="17"/>
        <v/>
      </c>
      <c r="O48" s="835" t="str">
        <f t="shared" si="17"/>
        <v/>
      </c>
      <c r="P48" s="835" t="str">
        <f t="shared" si="17"/>
        <v/>
      </c>
      <c r="Q48" s="835" t="str">
        <f t="shared" si="17"/>
        <v/>
      </c>
      <c r="R48" s="835" t="str">
        <f t="shared" si="17"/>
        <v/>
      </c>
      <c r="S48" s="835" t="str">
        <f t="shared" si="17"/>
        <v/>
      </c>
      <c r="T48" s="835" t="str">
        <f t="shared" si="17"/>
        <v/>
      </c>
      <c r="U48" s="835" t="str">
        <f t="shared" si="17"/>
        <v/>
      </c>
      <c r="V48" s="835" t="str">
        <f t="shared" si="17"/>
        <v/>
      </c>
      <c r="W48" s="835" t="str">
        <f t="shared" si="17"/>
        <v/>
      </c>
      <c r="X48" s="835" t="str">
        <f t="shared" si="17"/>
        <v/>
      </c>
      <c r="Y48" s="835" t="str">
        <f t="shared" si="17"/>
        <v/>
      </c>
      <c r="Z48" s="835" t="str">
        <f t="shared" si="17"/>
        <v/>
      </c>
      <c r="AA48" s="836" t="str">
        <f t="shared" si="17"/>
        <v/>
      </c>
    </row>
    <row r="49" spans="1:28" s="345" customFormat="1">
      <c r="A49" s="345">
        <v>15</v>
      </c>
      <c r="B49" s="818">
        <f t="shared" ref="B49:B54" si="18">IF(COUNTIF(C26,"")+COUNTIF(H26,"")+COUNTIF(O26,"")+COUNTIF(T26,"")=4,"",AVERAGE(C26,H26,O26,T26))</f>
        <v>97.736572490101764</v>
      </c>
      <c r="C49" s="809">
        <f t="shared" si="3"/>
        <v>99.115172061249353</v>
      </c>
      <c r="D49" s="809">
        <f t="shared" si="4"/>
        <v>13</v>
      </c>
      <c r="E49" s="1591"/>
      <c r="F49" s="1578">
        <f>U7</f>
        <v>83</v>
      </c>
      <c r="G49" s="1596" t="s">
        <v>1285</v>
      </c>
      <c r="H49" s="840" t="str">
        <f>IF(H36="","",IF(SUMIF($A$13:$A$31,H36,$Q$13:$Q$31)=0,"",SUMIF($A$13:$A$31,H36,$Q$13:$Q$31)/$Y$33))</f>
        <v/>
      </c>
      <c r="I49" s="841">
        <f t="shared" ref="I49:AA49" si="19">IF(I36="","",IF(SUMIF($A$13:$A$31,I36,$Q$13:$Q$31)=0,"",SUMIF($A$13:$A$31,I36,$Q$13:$Q$31)/$Y$33))</f>
        <v>0.42540025569960344</v>
      </c>
      <c r="J49" s="841" t="str">
        <f t="shared" si="19"/>
        <v/>
      </c>
      <c r="K49" s="841" t="str">
        <f t="shared" si="19"/>
        <v/>
      </c>
      <c r="L49" s="841" t="str">
        <f t="shared" si="19"/>
        <v/>
      </c>
      <c r="M49" s="841" t="str">
        <f t="shared" si="19"/>
        <v/>
      </c>
      <c r="N49" s="841" t="str">
        <f t="shared" si="19"/>
        <v/>
      </c>
      <c r="O49" s="841">
        <f t="shared" si="19"/>
        <v>0.83129882606705907</v>
      </c>
      <c r="P49" s="841" t="str">
        <f t="shared" si="19"/>
        <v/>
      </c>
      <c r="Q49" s="841" t="str">
        <f t="shared" si="19"/>
        <v/>
      </c>
      <c r="R49" s="841">
        <f t="shared" si="19"/>
        <v>0.9761061446831556</v>
      </c>
      <c r="S49" s="841" t="str">
        <f t="shared" si="19"/>
        <v/>
      </c>
      <c r="T49" s="841">
        <f t="shared" si="19"/>
        <v>0.7156102072741477</v>
      </c>
      <c r="U49" s="841">
        <f t="shared" si="19"/>
        <v>0.5649554267953798</v>
      </c>
      <c r="V49" s="841">
        <f t="shared" si="19"/>
        <v>0.5649554267953798</v>
      </c>
      <c r="W49" s="841">
        <f t="shared" si="19"/>
        <v>0.45196434143630382</v>
      </c>
      <c r="X49" s="841">
        <f t="shared" si="19"/>
        <v>0.37663695119691987</v>
      </c>
      <c r="Y49" s="841">
        <f t="shared" si="19"/>
        <v>0.22598217071815191</v>
      </c>
      <c r="Z49" s="841" t="str">
        <f t="shared" si="19"/>
        <v/>
      </c>
      <c r="AA49" s="842" t="str">
        <f t="shared" si="19"/>
        <v/>
      </c>
    </row>
    <row r="50" spans="1:28" s="345" customFormat="1">
      <c r="A50" s="345">
        <v>16</v>
      </c>
      <c r="B50" s="818">
        <f t="shared" si="18"/>
        <v>98.474693898206965</v>
      </c>
      <c r="C50" s="809">
        <f t="shared" si="3"/>
        <v>99.665653482478291</v>
      </c>
      <c r="D50" s="809">
        <f t="shared" si="4"/>
        <v>14</v>
      </c>
      <c r="E50" s="1591"/>
      <c r="F50" s="1595"/>
      <c r="G50" s="1597"/>
      <c r="H50" s="843" t="str">
        <f>IF(H36="","",IF(SUMIF($A$13:$A$31,H36,$R$13:$R$31)=0,"",SUMIF($A$13:$A$31,H36,$R$13:$R$31)/$Y$33))</f>
        <v/>
      </c>
      <c r="I50" s="844" t="str">
        <f t="shared" ref="I50:AA50" si="20">IF(I36="","",IF(SUMIF($A$13:$A$31,I36,$R$13:$R$31)=0,"",SUMIF($A$13:$A$31,I36,$R$13:$R$31)/$Y$33))</f>
        <v/>
      </c>
      <c r="J50" s="844" t="str">
        <f t="shared" si="20"/>
        <v/>
      </c>
      <c r="K50" s="844" t="str">
        <f t="shared" si="20"/>
        <v/>
      </c>
      <c r="L50" s="844" t="str">
        <f t="shared" si="20"/>
        <v/>
      </c>
      <c r="M50" s="844" t="str">
        <f t="shared" si="20"/>
        <v/>
      </c>
      <c r="N50" s="844" t="str">
        <f t="shared" si="20"/>
        <v/>
      </c>
      <c r="O50" s="844" t="str">
        <f t="shared" si="20"/>
        <v/>
      </c>
      <c r="P50" s="844" t="str">
        <f t="shared" si="20"/>
        <v/>
      </c>
      <c r="Q50" s="844" t="str">
        <f t="shared" si="20"/>
        <v/>
      </c>
      <c r="R50" s="844" t="str">
        <f t="shared" si="20"/>
        <v/>
      </c>
      <c r="S50" s="844" t="str">
        <f t="shared" si="20"/>
        <v/>
      </c>
      <c r="T50" s="844" t="str">
        <f t="shared" si="20"/>
        <v/>
      </c>
      <c r="U50" s="844" t="str">
        <f t="shared" si="20"/>
        <v/>
      </c>
      <c r="V50" s="844" t="str">
        <f t="shared" si="20"/>
        <v/>
      </c>
      <c r="W50" s="844" t="str">
        <f t="shared" si="20"/>
        <v/>
      </c>
      <c r="X50" s="844" t="str">
        <f t="shared" si="20"/>
        <v/>
      </c>
      <c r="Y50" s="844" t="str">
        <f t="shared" si="20"/>
        <v/>
      </c>
      <c r="Z50" s="844" t="str">
        <f t="shared" si="20"/>
        <v/>
      </c>
      <c r="AA50" s="845" t="str">
        <f t="shared" si="20"/>
        <v/>
      </c>
    </row>
    <row r="51" spans="1:28" s="345" customFormat="1">
      <c r="A51" s="345">
        <v>17</v>
      </c>
      <c r="B51" s="818">
        <f t="shared" si="18"/>
        <v>99.115172061249353</v>
      </c>
      <c r="C51" s="809">
        <f t="shared" si="3"/>
        <v>99.951573567634654</v>
      </c>
      <c r="D51" s="809">
        <f t="shared" si="4"/>
        <v>15</v>
      </c>
      <c r="E51" s="1591"/>
      <c r="F51" s="1595"/>
      <c r="G51" s="1597" t="s">
        <v>1286</v>
      </c>
      <c r="H51" s="843" t="str">
        <f>IF(H36="","",IF(SUMIF($A$13:$A$31,H36,$V$13:$V$31)=0,"",SUMIF($A$13:$A$31,H36,$V$13:$V$31)/$Y$33))</f>
        <v/>
      </c>
      <c r="I51" s="844">
        <f t="shared" ref="I51:AA51" si="21">IF(I36="","",IF(SUMIF($A$13:$A$31,I36,$V$13:$V$31)=0,"",SUMIF($A$13:$A$31,I36,$V$13:$V$31)/$Y$33))</f>
        <v>0.41461551334358587</v>
      </c>
      <c r="J51" s="844" t="str">
        <f t="shared" si="21"/>
        <v/>
      </c>
      <c r="K51" s="844" t="str">
        <f t="shared" si="21"/>
        <v/>
      </c>
      <c r="L51" s="844" t="str">
        <f t="shared" si="21"/>
        <v/>
      </c>
      <c r="M51" s="844" t="str">
        <f t="shared" si="21"/>
        <v/>
      </c>
      <c r="N51" s="844" t="str">
        <f t="shared" si="21"/>
        <v/>
      </c>
      <c r="O51" s="844" t="str">
        <f t="shared" si="21"/>
        <v/>
      </c>
      <c r="P51" s="844">
        <f t="shared" si="21"/>
        <v>0.93015505636064533</v>
      </c>
      <c r="Q51" s="844">
        <f t="shared" si="21"/>
        <v>0.9949150890124473</v>
      </c>
      <c r="R51" s="844">
        <f t="shared" si="21"/>
        <v>0.96768595611144026</v>
      </c>
      <c r="S51" s="844" t="str">
        <f t="shared" si="21"/>
        <v/>
      </c>
      <c r="T51" s="844">
        <f t="shared" si="21"/>
        <v>0.5649554267953798</v>
      </c>
      <c r="U51" s="844">
        <f t="shared" si="21"/>
        <v>0.5649554267953798</v>
      </c>
      <c r="V51" s="844">
        <f t="shared" si="21"/>
        <v>0.52729173167568777</v>
      </c>
      <c r="W51" s="844">
        <f t="shared" si="21"/>
        <v>0.45196434143630382</v>
      </c>
      <c r="X51" s="844">
        <f t="shared" si="21"/>
        <v>0.37663695119691987</v>
      </c>
      <c r="Y51" s="844" t="str">
        <f t="shared" si="21"/>
        <v/>
      </c>
      <c r="Z51" s="844" t="str">
        <f t="shared" si="21"/>
        <v/>
      </c>
      <c r="AA51" s="845" t="str">
        <f t="shared" si="21"/>
        <v/>
      </c>
    </row>
    <row r="52" spans="1:28" s="345" customFormat="1" ht="13.5" thickBot="1">
      <c r="A52" s="345">
        <v>18</v>
      </c>
      <c r="B52" s="818">
        <f t="shared" si="18"/>
        <v>99.665653482478291</v>
      </c>
      <c r="C52" s="809">
        <f t="shared" si="3"/>
        <v>100</v>
      </c>
      <c r="D52" s="809">
        <f t="shared" si="4"/>
        <v>16</v>
      </c>
      <c r="E52" s="1592"/>
      <c r="F52" s="1579"/>
      <c r="G52" s="1598"/>
      <c r="H52" s="846" t="str">
        <f>IF(H36="","",IF(SUMIF($A$13:$A$31,H36,$W$13:$W$31)=0,"",SUMIF($A$13:$A$31,H36,$W$13:$W$31)/$Y$33))</f>
        <v/>
      </c>
      <c r="I52" s="847" t="str">
        <f t="shared" ref="I52:AA52" si="22">IF(I36="","",IF(SUMIF($A$13:$A$31,I36,$W$13:$W$31)=0,"",SUMIF($A$13:$A$31,I36,$W$13:$W$31)/$Y$33))</f>
        <v/>
      </c>
      <c r="J52" s="847" t="str">
        <f t="shared" si="22"/>
        <v/>
      </c>
      <c r="K52" s="847" t="str">
        <f t="shared" si="22"/>
        <v/>
      </c>
      <c r="L52" s="847" t="str">
        <f t="shared" si="22"/>
        <v/>
      </c>
      <c r="M52" s="847" t="str">
        <f t="shared" si="22"/>
        <v/>
      </c>
      <c r="N52" s="847" t="str">
        <f t="shared" si="22"/>
        <v/>
      </c>
      <c r="O52" s="847" t="str">
        <f t="shared" si="22"/>
        <v/>
      </c>
      <c r="P52" s="847" t="str">
        <f t="shared" si="22"/>
        <v/>
      </c>
      <c r="Q52" s="847" t="str">
        <f t="shared" si="22"/>
        <v/>
      </c>
      <c r="R52" s="847" t="str">
        <f t="shared" si="22"/>
        <v/>
      </c>
      <c r="S52" s="847" t="str">
        <f t="shared" si="22"/>
        <v/>
      </c>
      <c r="T52" s="847" t="str">
        <f t="shared" si="22"/>
        <v/>
      </c>
      <c r="U52" s="847" t="str">
        <f t="shared" si="22"/>
        <v/>
      </c>
      <c r="V52" s="847" t="str">
        <f t="shared" si="22"/>
        <v/>
      </c>
      <c r="W52" s="847" t="str">
        <f t="shared" si="22"/>
        <v/>
      </c>
      <c r="X52" s="847" t="str">
        <f t="shared" si="22"/>
        <v/>
      </c>
      <c r="Y52" s="847" t="str">
        <f t="shared" si="22"/>
        <v/>
      </c>
      <c r="Z52" s="847" t="str">
        <f t="shared" si="22"/>
        <v/>
      </c>
      <c r="AA52" s="848" t="str">
        <f t="shared" si="22"/>
        <v/>
      </c>
    </row>
    <row r="53" spans="1:28" s="345" customFormat="1">
      <c r="A53" s="345">
        <v>19</v>
      </c>
      <c r="B53" s="818">
        <f t="shared" si="18"/>
        <v>99.951573567634654</v>
      </c>
      <c r="C53" s="809">
        <f t="shared" si="3"/>
        <v>0</v>
      </c>
      <c r="D53" s="809">
        <f t="shared" si="4"/>
        <v>17</v>
      </c>
      <c r="E53" s="1571" t="s">
        <v>1287</v>
      </c>
      <c r="F53" s="1574" t="s">
        <v>1283</v>
      </c>
      <c r="G53" s="1593"/>
      <c r="H53" s="834">
        <f t="shared" ref="H53:AA53" si="23">IF(COUNTIF(H55:H58,"")=4,"",AVERAGE(H55:H58))</f>
        <v>5.7572276252003181E-2</v>
      </c>
      <c r="I53" s="835">
        <f t="shared" si="23"/>
        <v>0.40733998616835376</v>
      </c>
      <c r="J53" s="835">
        <f t="shared" si="23"/>
        <v>0.58332332655441554</v>
      </c>
      <c r="K53" s="835">
        <f t="shared" si="23"/>
        <v>0.14019260422178675</v>
      </c>
      <c r="L53" s="835">
        <f t="shared" si="23"/>
        <v>0.15222771275656244</v>
      </c>
      <c r="M53" s="835">
        <f t="shared" si="23"/>
        <v>0.51330732743116103</v>
      </c>
      <c r="N53" s="835">
        <f t="shared" si="23"/>
        <v>0.66461950210491549</v>
      </c>
      <c r="O53" s="835">
        <f t="shared" si="23"/>
        <v>0.86458126906345045</v>
      </c>
      <c r="P53" s="835">
        <f t="shared" si="23"/>
        <v>0.93184321292354833</v>
      </c>
      <c r="Q53" s="835">
        <f t="shared" si="23"/>
        <v>0.99325804649278859</v>
      </c>
      <c r="R53" s="835">
        <f t="shared" si="23"/>
        <v>0.97238171483318758</v>
      </c>
      <c r="S53" s="835">
        <f t="shared" si="23"/>
        <v>0.78576513824935945</v>
      </c>
      <c r="T53" s="835" t="str">
        <f t="shared" si="23"/>
        <v/>
      </c>
      <c r="U53" s="835" t="str">
        <f t="shared" si="23"/>
        <v/>
      </c>
      <c r="V53" s="835" t="str">
        <f t="shared" si="23"/>
        <v/>
      </c>
      <c r="W53" s="835" t="str">
        <f t="shared" si="23"/>
        <v/>
      </c>
      <c r="X53" s="835" t="str">
        <f t="shared" si="23"/>
        <v/>
      </c>
      <c r="Y53" s="835" t="str">
        <f t="shared" si="23"/>
        <v/>
      </c>
      <c r="Z53" s="835" t="str">
        <f t="shared" si="23"/>
        <v/>
      </c>
      <c r="AA53" s="836" t="str">
        <f t="shared" si="23"/>
        <v/>
      </c>
    </row>
    <row r="54" spans="1:28" s="345" customFormat="1" ht="13.5" thickBot="1">
      <c r="A54" s="345">
        <v>20</v>
      </c>
      <c r="B54" s="818">
        <f t="shared" si="18"/>
        <v>100</v>
      </c>
      <c r="C54" s="809">
        <f t="shared" si="3"/>
        <v>0</v>
      </c>
      <c r="D54" s="809">
        <f t="shared" si="4"/>
        <v>18</v>
      </c>
      <c r="E54" s="1572"/>
      <c r="F54" s="1576" t="s">
        <v>1284</v>
      </c>
      <c r="G54" s="1594"/>
      <c r="H54" s="834">
        <f t="shared" ref="H54:AA54" si="24">IF(COUNTIF(H55:H58,"")=4,"",IF(COUNTIF(H55:H58,"")=3,0,STDEV(H55:H58)*$F$35))</f>
        <v>1.3923135758629851E-2</v>
      </c>
      <c r="I54" s="835">
        <f t="shared" si="24"/>
        <v>0</v>
      </c>
      <c r="J54" s="835">
        <f t="shared" si="24"/>
        <v>1.5983190343353368E-2</v>
      </c>
      <c r="K54" s="835">
        <f t="shared" si="24"/>
        <v>6.4739699590271205E-2</v>
      </c>
      <c r="L54" s="835">
        <f t="shared" si="24"/>
        <v>7.3289841803477918E-2</v>
      </c>
      <c r="M54" s="835">
        <f t="shared" si="24"/>
        <v>3.4801516025543551E-2</v>
      </c>
      <c r="N54" s="835">
        <f t="shared" si="24"/>
        <v>3.5164870992437591E-2</v>
      </c>
      <c r="O54" s="835">
        <f t="shared" si="24"/>
        <v>0.27338591223368952</v>
      </c>
      <c r="P54" s="835">
        <f t="shared" si="24"/>
        <v>1.9223339528371578E-2</v>
      </c>
      <c r="Q54" s="835">
        <f t="shared" si="24"/>
        <v>1.7631683065485803E-2</v>
      </c>
      <c r="R54" s="835">
        <f t="shared" si="24"/>
        <v>1.3389714363400715E-2</v>
      </c>
      <c r="S54" s="835">
        <f t="shared" si="24"/>
        <v>0</v>
      </c>
      <c r="T54" s="835" t="str">
        <f t="shared" si="24"/>
        <v/>
      </c>
      <c r="U54" s="835" t="str">
        <f t="shared" si="24"/>
        <v/>
      </c>
      <c r="V54" s="835" t="str">
        <f t="shared" si="24"/>
        <v/>
      </c>
      <c r="W54" s="835" t="str">
        <f t="shared" si="24"/>
        <v/>
      </c>
      <c r="X54" s="835" t="str">
        <f t="shared" si="24"/>
        <v/>
      </c>
      <c r="Y54" s="835" t="str">
        <f t="shared" si="24"/>
        <v/>
      </c>
      <c r="Z54" s="835" t="str">
        <f t="shared" si="24"/>
        <v/>
      </c>
      <c r="AA54" s="836" t="str">
        <f t="shared" si="24"/>
        <v/>
      </c>
    </row>
    <row r="55" spans="1:28" s="345" customFormat="1">
      <c r="E55" s="1572"/>
      <c r="F55" s="1578">
        <f>G7</f>
        <v>57</v>
      </c>
      <c r="G55" s="982" t="s">
        <v>1285</v>
      </c>
      <c r="H55" s="827">
        <f>IF(H36="","",IF(SUMIF($A$13:$A$31,H36,$G$13:$G$31)=0,"",SUMIF($A$13:$A$31,H36,$G$13:$G$31)/$M$33))</f>
        <v>5.3864231340857216E-2</v>
      </c>
      <c r="I55" s="828" t="str">
        <f t="shared" ref="I55:AA55" si="25">IF(I36="","",IF(SUMIF($A$13:$A$31,I36,$G$13:$G$31)=0,"",SUMIF($A$13:$A$31,I36,$G$13:$G$31)/$M$33))</f>
        <v/>
      </c>
      <c r="J55" s="828" t="str">
        <f t="shared" si="25"/>
        <v/>
      </c>
      <c r="K55" s="828">
        <f t="shared" si="25"/>
        <v>0.12295096284326103</v>
      </c>
      <c r="L55" s="828" t="str">
        <f t="shared" si="25"/>
        <v/>
      </c>
      <c r="M55" s="828">
        <f t="shared" si="25"/>
        <v>0.49601577770575617</v>
      </c>
      <c r="N55" s="828">
        <f t="shared" si="25"/>
        <v>0.67001564876892261</v>
      </c>
      <c r="O55" s="828">
        <f t="shared" si="25"/>
        <v>0.98080564597515751</v>
      </c>
      <c r="P55" s="828">
        <f t="shared" si="25"/>
        <v>0.93211979119665878</v>
      </c>
      <c r="Q55" s="828">
        <f t="shared" si="25"/>
        <v>0.99924834740286217</v>
      </c>
      <c r="R55" s="828">
        <f t="shared" si="25"/>
        <v>0.97291603931171766</v>
      </c>
      <c r="S55" s="828" t="str">
        <f t="shared" si="25"/>
        <v/>
      </c>
      <c r="T55" s="828" t="str">
        <f t="shared" si="25"/>
        <v/>
      </c>
      <c r="U55" s="828" t="str">
        <f t="shared" si="25"/>
        <v/>
      </c>
      <c r="V55" s="828" t="str">
        <f t="shared" si="25"/>
        <v/>
      </c>
      <c r="W55" s="828" t="str">
        <f t="shared" si="25"/>
        <v/>
      </c>
      <c r="X55" s="828" t="str">
        <f t="shared" si="25"/>
        <v/>
      </c>
      <c r="Y55" s="828" t="str">
        <f t="shared" si="25"/>
        <v/>
      </c>
      <c r="Z55" s="828" t="str">
        <f t="shared" si="25"/>
        <v/>
      </c>
      <c r="AA55" s="829" t="str">
        <f t="shared" si="25"/>
        <v/>
      </c>
    </row>
    <row r="56" spans="1:28" s="345" customFormat="1" ht="13.5" thickBot="1">
      <c r="E56" s="1572"/>
      <c r="F56" s="1579"/>
      <c r="G56" s="983" t="s">
        <v>1286</v>
      </c>
      <c r="H56" s="823">
        <f>IF(H36="","",IF(SUMIF($A$13:$A$31,H36,$L$13:$L$31)=0,"",SUMIF($A$13:$A$31,H36,$L$13:$L$31)/$M$33))</f>
        <v>6.1280321163149146E-2</v>
      </c>
      <c r="I56" s="824">
        <f t="shared" ref="I56:AA56" si="26">IF(I36="","",IF(SUMIF($A$13:$A$31,I36,$L$13:$L$31)=0,"",SUMIF($A$13:$A$31,I36,$L$13:$L$31)/$M$33))</f>
        <v>0.40733998616835376</v>
      </c>
      <c r="J56" s="824" t="str">
        <f t="shared" si="26"/>
        <v/>
      </c>
      <c r="K56" s="824" t="str">
        <f t="shared" si="26"/>
        <v/>
      </c>
      <c r="L56" s="824">
        <f t="shared" si="26"/>
        <v>0.13270897576732937</v>
      </c>
      <c r="M56" s="824">
        <f t="shared" si="26"/>
        <v>0.51027455593141402</v>
      </c>
      <c r="N56" s="824">
        <f t="shared" si="26"/>
        <v>0.68020699375439309</v>
      </c>
      <c r="O56" s="824" t="str">
        <f t="shared" si="26"/>
        <v/>
      </c>
      <c r="P56" s="824">
        <f t="shared" si="26"/>
        <v>0.93437167509540275</v>
      </c>
      <c r="Q56" s="824">
        <f t="shared" si="26"/>
        <v>0.98471639719153037</v>
      </c>
      <c r="R56" s="824">
        <f t="shared" si="26"/>
        <v>0.9652405495118932</v>
      </c>
      <c r="S56" s="824" t="str">
        <f t="shared" si="26"/>
        <v/>
      </c>
      <c r="T56" s="824" t="str">
        <f t="shared" si="26"/>
        <v/>
      </c>
      <c r="U56" s="824" t="str">
        <f t="shared" si="26"/>
        <v/>
      </c>
      <c r="V56" s="824" t="str">
        <f t="shared" si="26"/>
        <v/>
      </c>
      <c r="W56" s="824" t="str">
        <f t="shared" si="26"/>
        <v/>
      </c>
      <c r="X56" s="824" t="str">
        <f t="shared" si="26"/>
        <v/>
      </c>
      <c r="Y56" s="824" t="str">
        <f t="shared" si="26"/>
        <v/>
      </c>
      <c r="Z56" s="824" t="str">
        <f t="shared" si="26"/>
        <v/>
      </c>
      <c r="AA56" s="825" t="str">
        <f t="shared" si="26"/>
        <v/>
      </c>
    </row>
    <row r="57" spans="1:28" s="345" customFormat="1">
      <c r="E57" s="1572"/>
      <c r="F57" s="1578">
        <f>U7</f>
        <v>83</v>
      </c>
      <c r="G57" s="982" t="s">
        <v>1285</v>
      </c>
      <c r="H57" s="823" t="str">
        <f>IF(H36="","",IF(SUMIF($A$13:$A$31,H36,$S$13:$S$31)=0,"",SUMIF($A$13:$A$31,H36,$S$13:$S$31)/$Y$33))</f>
        <v/>
      </c>
      <c r="I57" s="824" t="str">
        <f t="shared" ref="I57:AA57" si="27">IF(I36="","",IF(SUMIF($A$13:$A$31,I36,$S$13:$S$31)=0,"",SUMIF($A$13:$A$31,I36,$S$13:$S$31)/$Y$33))</f>
        <v/>
      </c>
      <c r="J57" s="824">
        <f t="shared" si="27"/>
        <v>0.58758001043971164</v>
      </c>
      <c r="K57" s="824" t="str">
        <f t="shared" si="27"/>
        <v/>
      </c>
      <c r="L57" s="824">
        <f t="shared" si="27"/>
        <v>0.17174644974579548</v>
      </c>
      <c r="M57" s="824">
        <f t="shared" si="27"/>
        <v>0.52405607081203653</v>
      </c>
      <c r="N57" s="824">
        <f t="shared" si="27"/>
        <v>0.65000477436735782</v>
      </c>
      <c r="O57" s="824">
        <f t="shared" si="27"/>
        <v>0.82817558764448529</v>
      </c>
      <c r="P57" s="824">
        <f t="shared" si="27"/>
        <v>0.93900978291368198</v>
      </c>
      <c r="Q57" s="824">
        <f t="shared" si="27"/>
        <v>0.9977117900556014</v>
      </c>
      <c r="R57" s="824">
        <f t="shared" si="27"/>
        <v>0.9769481635403271</v>
      </c>
      <c r="S57" s="824" t="str">
        <f t="shared" si="27"/>
        <v/>
      </c>
      <c r="T57" s="824" t="str">
        <f t="shared" si="27"/>
        <v/>
      </c>
      <c r="U57" s="824" t="str">
        <f t="shared" si="27"/>
        <v/>
      </c>
      <c r="V57" s="824" t="str">
        <f t="shared" si="27"/>
        <v/>
      </c>
      <c r="W57" s="824" t="str">
        <f t="shared" si="27"/>
        <v/>
      </c>
      <c r="X57" s="824" t="str">
        <f t="shared" si="27"/>
        <v/>
      </c>
      <c r="Y57" s="824" t="str">
        <f t="shared" si="27"/>
        <v/>
      </c>
      <c r="Z57" s="824" t="str">
        <f t="shared" si="27"/>
        <v/>
      </c>
      <c r="AA57" s="825" t="str">
        <f t="shared" si="27"/>
        <v/>
      </c>
    </row>
    <row r="58" spans="1:28" s="345" customFormat="1" ht="13.5" thickBot="1">
      <c r="E58" s="1573"/>
      <c r="F58" s="1579"/>
      <c r="G58" s="983" t="s">
        <v>1286</v>
      </c>
      <c r="H58" s="831" t="str">
        <f>IF(H36="","",IF(SUMIF($A$13:$A$31,H36,$X$13:$X$31)=0,"",SUMIF($A$13:$A$31,H36,$X$13:$X$31)/$Y$33))</f>
        <v/>
      </c>
      <c r="I58" s="832" t="str">
        <f t="shared" ref="I58:AA58" si="28">IF(I36="","",IF(SUMIF($A$13:$A$31,I36,$X$13:$X$31)=0,"",SUMIF($A$13:$A$31,I36,$X$13:$X$31)/$Y$33))</f>
        <v/>
      </c>
      <c r="J58" s="832">
        <f t="shared" si="28"/>
        <v>0.57906664266911956</v>
      </c>
      <c r="K58" s="832">
        <f t="shared" si="28"/>
        <v>0.15743424560031249</v>
      </c>
      <c r="L58" s="832" t="str">
        <f t="shared" si="28"/>
        <v/>
      </c>
      <c r="M58" s="832">
        <f t="shared" si="28"/>
        <v>0.52288290527543713</v>
      </c>
      <c r="N58" s="832">
        <f t="shared" si="28"/>
        <v>0.65825059152898846</v>
      </c>
      <c r="O58" s="832">
        <f t="shared" si="28"/>
        <v>0.78476257357070833</v>
      </c>
      <c r="P58" s="832">
        <f t="shared" si="28"/>
        <v>0.92187160248844968</v>
      </c>
      <c r="Q58" s="832">
        <f t="shared" si="28"/>
        <v>0.99135565132116066</v>
      </c>
      <c r="R58" s="832">
        <f t="shared" si="28"/>
        <v>0.97442210696881226</v>
      </c>
      <c r="S58" s="832">
        <f t="shared" si="28"/>
        <v>0.78576513824935945</v>
      </c>
      <c r="T58" s="832" t="str">
        <f t="shared" si="28"/>
        <v/>
      </c>
      <c r="U58" s="832" t="str">
        <f t="shared" si="28"/>
        <v/>
      </c>
      <c r="V58" s="832" t="str">
        <f t="shared" si="28"/>
        <v/>
      </c>
      <c r="W58" s="832" t="str">
        <f t="shared" si="28"/>
        <v/>
      </c>
      <c r="X58" s="832" t="str">
        <f t="shared" si="28"/>
        <v/>
      </c>
      <c r="Y58" s="832" t="str">
        <f t="shared" si="28"/>
        <v/>
      </c>
      <c r="Z58" s="832" t="str">
        <f t="shared" si="28"/>
        <v/>
      </c>
      <c r="AA58" s="833" t="str">
        <f t="shared" si="28"/>
        <v/>
      </c>
    </row>
    <row r="59" spans="1:28" s="345" customFormat="1">
      <c r="E59" s="1586" t="s">
        <v>1283</v>
      </c>
      <c r="F59" s="1587"/>
      <c r="G59" s="1587"/>
      <c r="H59" s="834">
        <f t="shared" ref="H59:AA59" si="29">IF(COUNTIF(H39:H42,"")+COUNTIF(H45:H52,"")+COUNTIF(H55:H58,"")=16,"",AVERAGE(H39:H42,H45:H52,H55:H58))</f>
        <v>6.0141164313145173E-2</v>
      </c>
      <c r="I59" s="835">
        <f t="shared" si="29"/>
        <v>0.41690842415216867</v>
      </c>
      <c r="J59" s="835">
        <f t="shared" si="29"/>
        <v>0.58982663981983396</v>
      </c>
      <c r="K59" s="835">
        <f t="shared" si="29"/>
        <v>0.13719661306941866</v>
      </c>
      <c r="L59" s="835">
        <f t="shared" si="29"/>
        <v>0.1603835623618009</v>
      </c>
      <c r="M59" s="835">
        <f t="shared" si="29"/>
        <v>0.52811201698278998</v>
      </c>
      <c r="N59" s="835">
        <f t="shared" si="29"/>
        <v>0.66625370243955284</v>
      </c>
      <c r="O59" s="835">
        <f t="shared" si="29"/>
        <v>0.83792092994113443</v>
      </c>
      <c r="P59" s="835">
        <f t="shared" si="29"/>
        <v>0.93359838499246095</v>
      </c>
      <c r="Q59" s="835">
        <f t="shared" si="29"/>
        <v>0.99487262409793209</v>
      </c>
      <c r="R59" s="835">
        <f t="shared" si="29"/>
        <v>0.97088152462186805</v>
      </c>
      <c r="S59" s="835">
        <f t="shared" si="29"/>
        <v>0.78923295146627348</v>
      </c>
      <c r="T59" s="835">
        <f t="shared" si="29"/>
        <v>0.69094589963197861</v>
      </c>
      <c r="U59" s="835">
        <f t="shared" si="29"/>
        <v>0.57521810111973992</v>
      </c>
      <c r="V59" s="835">
        <f t="shared" si="29"/>
        <v>0.56580217733981697</v>
      </c>
      <c r="W59" s="835">
        <f t="shared" si="29"/>
        <v>0.49920653259206527</v>
      </c>
      <c r="X59" s="835">
        <f t="shared" si="29"/>
        <v>0.42251078577610002</v>
      </c>
      <c r="Y59" s="835">
        <f t="shared" si="29"/>
        <v>0.28863531799230602</v>
      </c>
      <c r="Z59" s="835" t="str">
        <f t="shared" si="29"/>
        <v/>
      </c>
      <c r="AA59" s="836" t="str">
        <f t="shared" si="29"/>
        <v/>
      </c>
      <c r="AB59" s="851">
        <f>IF(MAX(H59:AA59)=0,"",MAX(H59:AA59))</f>
        <v>0.99487262409793209</v>
      </c>
    </row>
    <row r="60" spans="1:28" s="345" customFormat="1" ht="13.5" thickBot="1">
      <c r="E60" s="1588" t="s">
        <v>1284</v>
      </c>
      <c r="F60" s="1589"/>
      <c r="G60" s="1589"/>
      <c r="H60" s="831">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1.1610853650055411E-2</v>
      </c>
      <c r="I60" s="832">
        <f t="shared" si="30"/>
        <v>1.9370394167477593E-2</v>
      </c>
      <c r="J60" s="832">
        <f t="shared" si="30"/>
        <v>2.4505686174171294E-2</v>
      </c>
      <c r="K60" s="832">
        <f t="shared" si="30"/>
        <v>4.3448174800817592E-2</v>
      </c>
      <c r="L60" s="832">
        <f t="shared" si="30"/>
        <v>8.0133603724848207E-2</v>
      </c>
      <c r="M60" s="832">
        <f t="shared" si="30"/>
        <v>6.9325642562751741E-2</v>
      </c>
      <c r="N60" s="832">
        <f t="shared" si="30"/>
        <v>4.1768143633219144E-2</v>
      </c>
      <c r="O60" s="832">
        <f t="shared" si="30"/>
        <v>0.16125697944936046</v>
      </c>
      <c r="P60" s="832">
        <f t="shared" si="30"/>
        <v>1.9980398417590379E-2</v>
      </c>
      <c r="Q60" s="832">
        <f t="shared" si="30"/>
        <v>1.3844758671211524E-2</v>
      </c>
      <c r="R60" s="832">
        <f t="shared" si="30"/>
        <v>1.5478703348779906E-2</v>
      </c>
      <c r="S60" s="832">
        <f t="shared" si="30"/>
        <v>9.3271619895507144E-3</v>
      </c>
      <c r="T60" s="832">
        <f t="shared" si="30"/>
        <v>0.22537114874154948</v>
      </c>
      <c r="U60" s="832">
        <f t="shared" si="30"/>
        <v>3.1463496956127997E-2</v>
      </c>
      <c r="V60" s="832">
        <f t="shared" si="30"/>
        <v>7.2845710130624922E-2</v>
      </c>
      <c r="W60" s="832">
        <f t="shared" si="30"/>
        <v>0.14483598433031117</v>
      </c>
      <c r="X60" s="832">
        <f t="shared" si="30"/>
        <v>0.14064085140282628</v>
      </c>
      <c r="Y60" s="832">
        <f t="shared" si="30"/>
        <v>0.23525288827580113</v>
      </c>
      <c r="Z60" s="832" t="str">
        <f t="shared" si="30"/>
        <v/>
      </c>
      <c r="AA60" s="833" t="str">
        <f t="shared" si="30"/>
        <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99" t="s">
        <v>1295</v>
      </c>
      <c r="I65" s="1600"/>
      <c r="J65" s="1600"/>
      <c r="K65" s="1600"/>
      <c r="L65" s="1600"/>
      <c r="M65" s="1600"/>
      <c r="N65" s="1600"/>
      <c r="O65" s="1600"/>
      <c r="P65" s="1600"/>
      <c r="Q65" s="1600"/>
      <c r="R65" s="1600"/>
      <c r="S65" s="1600"/>
      <c r="T65" s="1600"/>
      <c r="U65" s="1600"/>
      <c r="V65" s="1600"/>
      <c r="W65" s="1600"/>
      <c r="X65" s="1600"/>
      <c r="Y65" s="1600"/>
      <c r="Z65" s="1600"/>
      <c r="AA65" s="1601"/>
    </row>
    <row r="66" spans="5:27" s="345" customFormat="1" ht="13.5" thickBot="1">
      <c r="F66" s="854"/>
      <c r="G66" s="855"/>
      <c r="H66" s="1602"/>
      <c r="I66" s="1603"/>
      <c r="J66" s="1603"/>
      <c r="K66" s="1603"/>
      <c r="L66" s="1603"/>
      <c r="M66" s="1603"/>
      <c r="N66" s="1603"/>
      <c r="O66" s="1603"/>
      <c r="P66" s="1603"/>
      <c r="Q66" s="1603"/>
      <c r="R66" s="1603"/>
      <c r="S66" s="1603"/>
      <c r="T66" s="1603"/>
      <c r="U66" s="1603"/>
      <c r="V66" s="1603"/>
      <c r="W66" s="1603"/>
      <c r="X66" s="1603"/>
      <c r="Y66" s="1603"/>
      <c r="Z66" s="1603"/>
      <c r="AA66" s="1604"/>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1">IF(H37="","",RANK(H36,$H$36:$AA$36,1))</f>
        <v>1</v>
      </c>
      <c r="I68" s="860">
        <f t="shared" si="31"/>
        <v>2</v>
      </c>
      <c r="J68" s="860">
        <f t="shared" si="31"/>
        <v>3</v>
      </c>
      <c r="K68" s="860">
        <f t="shared" si="31"/>
        <v>4</v>
      </c>
      <c r="L68" s="860">
        <f t="shared" si="31"/>
        <v>5</v>
      </c>
      <c r="M68" s="860">
        <f t="shared" si="31"/>
        <v>6</v>
      </c>
      <c r="N68" s="860">
        <f t="shared" si="31"/>
        <v>7</v>
      </c>
      <c r="O68" s="860">
        <f t="shared" si="31"/>
        <v>8</v>
      </c>
      <c r="P68" s="860">
        <f t="shared" si="31"/>
        <v>9</v>
      </c>
      <c r="Q68" s="860">
        <f t="shared" si="31"/>
        <v>10</v>
      </c>
      <c r="R68" s="860">
        <f t="shared" si="31"/>
        <v>11</v>
      </c>
      <c r="S68" s="860">
        <f t="shared" si="31"/>
        <v>12</v>
      </c>
      <c r="T68" s="860" t="str">
        <f t="shared" si="31"/>
        <v/>
      </c>
      <c r="U68" s="860" t="str">
        <f t="shared" si="31"/>
        <v/>
      </c>
      <c r="V68" s="860" t="str">
        <f t="shared" si="31"/>
        <v/>
      </c>
      <c r="W68" s="860" t="str">
        <f t="shared" si="31"/>
        <v/>
      </c>
      <c r="X68" s="860" t="str">
        <f t="shared" si="31"/>
        <v/>
      </c>
      <c r="Y68" s="860" t="str">
        <f t="shared" si="31"/>
        <v/>
      </c>
      <c r="Z68" s="860" t="str">
        <f t="shared" si="31"/>
        <v/>
      </c>
      <c r="AA68" s="861" t="str">
        <f t="shared" si="31"/>
        <v/>
      </c>
    </row>
    <row r="69" spans="5:27" s="345" customFormat="1" ht="13.5" thickBot="1">
      <c r="F69" s="854"/>
      <c r="G69" s="855"/>
      <c r="H69" s="859">
        <f t="shared" ref="H69:AA69" si="32">IF(H68="","",RANK(H68,$H$68:$AA$68,1))</f>
        <v>1</v>
      </c>
      <c r="I69" s="860">
        <f t="shared" si="32"/>
        <v>2</v>
      </c>
      <c r="J69" s="860">
        <f t="shared" si="32"/>
        <v>3</v>
      </c>
      <c r="K69" s="860">
        <f t="shared" si="32"/>
        <v>4</v>
      </c>
      <c r="L69" s="860">
        <f t="shared" si="32"/>
        <v>5</v>
      </c>
      <c r="M69" s="860">
        <f t="shared" si="32"/>
        <v>6</v>
      </c>
      <c r="N69" s="860">
        <f t="shared" si="32"/>
        <v>7</v>
      </c>
      <c r="O69" s="860">
        <f t="shared" si="32"/>
        <v>8</v>
      </c>
      <c r="P69" s="860">
        <f t="shared" si="32"/>
        <v>9</v>
      </c>
      <c r="Q69" s="860">
        <f t="shared" si="32"/>
        <v>10</v>
      </c>
      <c r="R69" s="860">
        <f t="shared" si="32"/>
        <v>11</v>
      </c>
      <c r="S69" s="860">
        <f t="shared" si="32"/>
        <v>12</v>
      </c>
      <c r="T69" s="860" t="str">
        <f t="shared" si="32"/>
        <v/>
      </c>
      <c r="U69" s="860" t="str">
        <f t="shared" si="32"/>
        <v/>
      </c>
      <c r="V69" s="860" t="str">
        <f t="shared" si="32"/>
        <v/>
      </c>
      <c r="W69" s="860" t="str">
        <f t="shared" si="32"/>
        <v/>
      </c>
      <c r="X69" s="860" t="str">
        <f t="shared" si="32"/>
        <v/>
      </c>
      <c r="Y69" s="860" t="str">
        <f t="shared" si="32"/>
        <v/>
      </c>
      <c r="Z69" s="860" t="str">
        <f t="shared" si="32"/>
        <v/>
      </c>
      <c r="AA69" s="861" t="str">
        <f t="shared" si="32"/>
        <v/>
      </c>
    </row>
    <row r="70" spans="5:27" s="345" customFormat="1" ht="13.5" thickBot="1">
      <c r="E70" s="1605" t="s">
        <v>1281</v>
      </c>
      <c r="F70" s="1606"/>
      <c r="G70" s="1606"/>
      <c r="H70" s="862">
        <f>IF(SUMIF($H$69:$AA$69,H$67,$H$36:$AA$36)=0,"",SUMIF($H$69:$AA$69,H$67,$H$36:$AA$36))</f>
        <v>5.3605555861977985</v>
      </c>
      <c r="I70" s="863">
        <f>IF(SUMIF($H$69:$AA$69,I$67,$H$36:$AA$36)=0,"",SUMIF($H$69:$AA$69,I$67,$H$36:$AA$36))</f>
        <v>10</v>
      </c>
      <c r="J70" s="863">
        <f t="shared" ref="J70:AA70" si="33">IF(SUMIF($H$69:$AA$69,J$67,$H$36:$AA$36)=0,"",SUMIF($H$69:$AA$69,J$67,$H$36:$AA$36))</f>
        <v>20</v>
      </c>
      <c r="K70" s="863">
        <f t="shared" si="33"/>
        <v>26.922669813782981</v>
      </c>
      <c r="L70" s="863">
        <f t="shared" si="33"/>
        <v>28.402760758696882</v>
      </c>
      <c r="M70" s="863">
        <f t="shared" si="33"/>
        <v>30</v>
      </c>
      <c r="N70" s="863">
        <f t="shared" si="33"/>
        <v>40</v>
      </c>
      <c r="O70" s="863">
        <f t="shared" si="33"/>
        <v>50</v>
      </c>
      <c r="P70" s="863">
        <f t="shared" si="33"/>
        <v>60</v>
      </c>
      <c r="Q70" s="863">
        <f t="shared" si="33"/>
        <v>70</v>
      </c>
      <c r="R70" s="863">
        <f t="shared" si="33"/>
        <v>80</v>
      </c>
      <c r="S70" s="863">
        <f t="shared" si="33"/>
        <v>90</v>
      </c>
      <c r="T70" s="863" t="str">
        <f t="shared" si="33"/>
        <v/>
      </c>
      <c r="U70" s="863" t="str">
        <f t="shared" si="33"/>
        <v/>
      </c>
      <c r="V70" s="863" t="str">
        <f t="shared" si="33"/>
        <v/>
      </c>
      <c r="W70" s="863" t="str">
        <f t="shared" si="33"/>
        <v/>
      </c>
      <c r="X70" s="863" t="str">
        <f t="shared" si="33"/>
        <v/>
      </c>
      <c r="Y70" s="863" t="str">
        <f t="shared" si="33"/>
        <v/>
      </c>
      <c r="Z70" s="863" t="str">
        <f t="shared" si="33"/>
        <v/>
      </c>
      <c r="AA70" s="864" t="str">
        <f t="shared" si="33"/>
        <v/>
      </c>
    </row>
    <row r="71" spans="5:27" s="345" customFormat="1">
      <c r="E71" s="1574" t="s">
        <v>1283</v>
      </c>
      <c r="F71" s="1593"/>
      <c r="G71" s="1575"/>
      <c r="H71" s="865">
        <f>IF(SUMIF($H$36:$AA$36,H$70,$H37:$AA37)=0,"",SUMIF($H$36:$AA$36,H$70,$H37:$AA37)/$AB$59)</f>
        <v>6.3033247528694866E-2</v>
      </c>
      <c r="I71" s="866">
        <f t="shared" ref="I71:AA71" si="34">IF(SUMIF($H$36:$AA$36,I$70,$H37:$AA37)=0,"",SUMIF($H$36:$AA$36,I$70,$H37:$AA37)/$AB$59)</f>
        <v>0.42075052889730058</v>
      </c>
      <c r="J71" s="866">
        <f t="shared" si="34"/>
        <v>0.59613490419469262</v>
      </c>
      <c r="K71" s="866">
        <f t="shared" si="34"/>
        <v>0.13489226526735779</v>
      </c>
      <c r="L71" s="866">
        <f t="shared" si="34"/>
        <v>0.16940803062086154</v>
      </c>
      <c r="M71" s="866">
        <f t="shared" si="34"/>
        <v>0.54571479140527235</v>
      </c>
      <c r="N71" s="866">
        <f t="shared" si="34"/>
        <v>0.66953391100806081</v>
      </c>
      <c r="O71" s="866">
        <f t="shared" si="34"/>
        <v>0.8238051602948111</v>
      </c>
      <c r="P71" s="866">
        <f t="shared" si="34"/>
        <v>0.94027926094267789</v>
      </c>
      <c r="Q71" s="866">
        <f t="shared" si="34"/>
        <v>1.0016122278748691</v>
      </c>
      <c r="R71" s="866">
        <f t="shared" si="34"/>
        <v>0.9757019975506992</v>
      </c>
      <c r="S71" s="866">
        <f t="shared" si="34"/>
        <v>0.79369248516610158</v>
      </c>
      <c r="T71" s="866" t="str">
        <f t="shared" si="34"/>
        <v/>
      </c>
      <c r="U71" s="866" t="str">
        <f t="shared" si="34"/>
        <v/>
      </c>
      <c r="V71" s="866" t="str">
        <f t="shared" si="34"/>
        <v/>
      </c>
      <c r="W71" s="866" t="str">
        <f t="shared" si="34"/>
        <v/>
      </c>
      <c r="X71" s="866" t="str">
        <f t="shared" si="34"/>
        <v/>
      </c>
      <c r="Y71" s="866" t="str">
        <f t="shared" si="34"/>
        <v/>
      </c>
      <c r="Z71" s="866" t="str">
        <f t="shared" si="34"/>
        <v/>
      </c>
      <c r="AA71" s="867" t="str">
        <f t="shared" si="34"/>
        <v/>
      </c>
    </row>
    <row r="72" spans="5:27" s="345" customFormat="1" ht="13.5" thickBot="1">
      <c r="E72" s="1576" t="s">
        <v>1284</v>
      </c>
      <c r="F72" s="1594"/>
      <c r="G72" s="1577"/>
      <c r="H72" s="868">
        <f>IF(SUMIF($H$36:$AA$36,H$70,$H37:$AA37)=0,"",SUMIF($H$36:$AA$36,H$70,$H38:$AA38)/$AB$59)</f>
        <v>4.9752574836339951E-3</v>
      </c>
      <c r="I72" s="869">
        <f t="shared" ref="I72:AA72" si="35">IF(SUMIF($H$36:$AA$36,I$70,$H37:$AA37)=0,"",SUMIF($H$36:$AA$36,I$70,$H38:$AA38)/$AB$59)</f>
        <v>1.6516804681937926E-2</v>
      </c>
      <c r="J72" s="869">
        <f t="shared" si="35"/>
        <v>2.4979330607179488E-2</v>
      </c>
      <c r="K72" s="869">
        <f t="shared" si="35"/>
        <v>3.509269905144765E-2</v>
      </c>
      <c r="L72" s="869">
        <f t="shared" si="35"/>
        <v>0.11018764063778326</v>
      </c>
      <c r="M72" s="869">
        <f t="shared" si="35"/>
        <v>7.7094238526440872E-2</v>
      </c>
      <c r="N72" s="869">
        <f t="shared" si="35"/>
        <v>5.7480956537404586E-2</v>
      </c>
      <c r="O72" s="869">
        <f t="shared" si="35"/>
        <v>5.0996112964541429E-2</v>
      </c>
      <c r="P72" s="869">
        <f t="shared" si="35"/>
        <v>2.6920184788233832E-2</v>
      </c>
      <c r="Q72" s="869">
        <f t="shared" si="35"/>
        <v>1.2375040243123097E-2</v>
      </c>
      <c r="R72" s="869">
        <f t="shared" si="35"/>
        <v>1.9709890984669319E-2</v>
      </c>
      <c r="S72" s="869">
        <f t="shared" si="35"/>
        <v>9.5200325266347908E-3</v>
      </c>
      <c r="T72" s="869" t="str">
        <f t="shared" si="35"/>
        <v/>
      </c>
      <c r="U72" s="869" t="str">
        <f t="shared" si="35"/>
        <v/>
      </c>
      <c r="V72" s="869" t="str">
        <f t="shared" si="35"/>
        <v/>
      </c>
      <c r="W72" s="869" t="str">
        <f t="shared" si="35"/>
        <v/>
      </c>
      <c r="X72" s="869" t="str">
        <f t="shared" si="35"/>
        <v/>
      </c>
      <c r="Y72" s="869" t="str">
        <f t="shared" si="35"/>
        <v/>
      </c>
      <c r="Z72" s="869" t="str">
        <f t="shared" si="35"/>
        <v/>
      </c>
      <c r="AA72" s="870" t="str">
        <f t="shared" si="35"/>
        <v/>
      </c>
    </row>
    <row r="73" spans="5:27" s="345" customFormat="1">
      <c r="F73" s="854"/>
      <c r="H73" s="871" t="str">
        <f t="shared" ref="H73:AA73" si="36">IF(H43="","",RANK(H36,$H$36:$AA$36,1))</f>
        <v/>
      </c>
      <c r="I73" s="872">
        <f t="shared" si="36"/>
        <v>2</v>
      </c>
      <c r="J73" s="872" t="str">
        <f t="shared" si="36"/>
        <v/>
      </c>
      <c r="K73" s="872" t="str">
        <f t="shared" si="36"/>
        <v/>
      </c>
      <c r="L73" s="872" t="str">
        <f t="shared" si="36"/>
        <v/>
      </c>
      <c r="M73" s="872" t="str">
        <f t="shared" si="36"/>
        <v/>
      </c>
      <c r="N73" s="872">
        <f t="shared" si="36"/>
        <v>7</v>
      </c>
      <c r="O73" s="872">
        <f t="shared" si="36"/>
        <v>8</v>
      </c>
      <c r="P73" s="872">
        <f t="shared" si="36"/>
        <v>9</v>
      </c>
      <c r="Q73" s="872">
        <f t="shared" si="36"/>
        <v>10</v>
      </c>
      <c r="R73" s="872">
        <f t="shared" si="36"/>
        <v>11</v>
      </c>
      <c r="S73" s="872">
        <f t="shared" si="36"/>
        <v>12</v>
      </c>
      <c r="T73" s="872">
        <f t="shared" si="36"/>
        <v>13</v>
      </c>
      <c r="U73" s="872">
        <f t="shared" si="36"/>
        <v>14</v>
      </c>
      <c r="V73" s="872">
        <f t="shared" si="36"/>
        <v>15</v>
      </c>
      <c r="W73" s="872">
        <f t="shared" si="36"/>
        <v>16</v>
      </c>
      <c r="X73" s="872">
        <f t="shared" si="36"/>
        <v>17</v>
      </c>
      <c r="Y73" s="872">
        <f t="shared" si="36"/>
        <v>18</v>
      </c>
      <c r="Z73" s="872" t="str">
        <f t="shared" si="36"/>
        <v/>
      </c>
      <c r="AA73" s="873" t="str">
        <f t="shared" si="36"/>
        <v/>
      </c>
    </row>
    <row r="74" spans="5:27" s="345" customFormat="1" ht="13.5" thickBot="1">
      <c r="F74" s="854"/>
      <c r="H74" s="874" t="str">
        <f t="shared" ref="H74:AA74" si="37">IF(H73="","",RANK(H73,$H$73:$AA$73,1))</f>
        <v/>
      </c>
      <c r="I74" s="875">
        <f t="shared" si="37"/>
        <v>1</v>
      </c>
      <c r="J74" s="875" t="str">
        <f t="shared" si="37"/>
        <v/>
      </c>
      <c r="K74" s="875" t="str">
        <f t="shared" si="37"/>
        <v/>
      </c>
      <c r="L74" s="875" t="str">
        <f t="shared" si="37"/>
        <v/>
      </c>
      <c r="M74" s="875" t="str">
        <f t="shared" si="37"/>
        <v/>
      </c>
      <c r="N74" s="875">
        <f t="shared" si="37"/>
        <v>2</v>
      </c>
      <c r="O74" s="875">
        <f t="shared" si="37"/>
        <v>3</v>
      </c>
      <c r="P74" s="875">
        <f t="shared" si="37"/>
        <v>4</v>
      </c>
      <c r="Q74" s="875">
        <f t="shared" si="37"/>
        <v>5</v>
      </c>
      <c r="R74" s="875">
        <f t="shared" si="37"/>
        <v>6</v>
      </c>
      <c r="S74" s="875">
        <f t="shared" si="37"/>
        <v>7</v>
      </c>
      <c r="T74" s="875">
        <f t="shared" si="37"/>
        <v>8</v>
      </c>
      <c r="U74" s="875">
        <f t="shared" si="37"/>
        <v>9</v>
      </c>
      <c r="V74" s="875">
        <f t="shared" si="37"/>
        <v>10</v>
      </c>
      <c r="W74" s="875">
        <f t="shared" si="37"/>
        <v>11</v>
      </c>
      <c r="X74" s="875">
        <f t="shared" si="37"/>
        <v>12</v>
      </c>
      <c r="Y74" s="875">
        <f t="shared" si="37"/>
        <v>13</v>
      </c>
      <c r="Z74" s="875" t="str">
        <f t="shared" si="37"/>
        <v/>
      </c>
      <c r="AA74" s="876" t="str">
        <f t="shared" si="37"/>
        <v/>
      </c>
    </row>
    <row r="75" spans="5:27" s="345" customFormat="1" ht="13.5" thickBot="1">
      <c r="E75" s="1605" t="s">
        <v>1281</v>
      </c>
      <c r="F75" s="1606"/>
      <c r="G75" s="1607"/>
      <c r="H75" s="877">
        <f>IF(SUMIF($H$74:$AA$74,H$67,$H$36:$AA$36)=0,"",SUMIF($H$74:$AA$74,H$67,$H$36:$AA$36))</f>
        <v>10</v>
      </c>
      <c r="I75" s="878">
        <f>IF(SUMIF($H$74:$AA$74,I$67,$H$36:$AA$36)=0,"",SUMIF($H$74:$AA$74,I$67,$H$36:$AA$36))</f>
        <v>40</v>
      </c>
      <c r="J75" s="878">
        <f t="shared" ref="J75:AA75" si="38">IF(SUMIF($H$74:$AA$74,J$67,$H$36:$AA$36)=0,"",SUMIF($H$74:$AA$74,J$67,$H$36:$AA$36))</f>
        <v>50</v>
      </c>
      <c r="K75" s="878">
        <f t="shared" si="38"/>
        <v>60</v>
      </c>
      <c r="L75" s="878">
        <f t="shared" si="38"/>
        <v>70</v>
      </c>
      <c r="M75" s="878">
        <f t="shared" si="38"/>
        <v>80</v>
      </c>
      <c r="N75" s="878">
        <f t="shared" si="38"/>
        <v>90</v>
      </c>
      <c r="O75" s="878">
        <f t="shared" si="38"/>
        <v>97.736572490101764</v>
      </c>
      <c r="P75" s="878">
        <f t="shared" si="38"/>
        <v>98.474693898206965</v>
      </c>
      <c r="Q75" s="878">
        <f t="shared" si="38"/>
        <v>99.115172061249353</v>
      </c>
      <c r="R75" s="878">
        <f t="shared" si="38"/>
        <v>99.665653482478291</v>
      </c>
      <c r="S75" s="878">
        <f t="shared" si="38"/>
        <v>99.951573567634654</v>
      </c>
      <c r="T75" s="878">
        <f t="shared" si="38"/>
        <v>100</v>
      </c>
      <c r="U75" s="878" t="str">
        <f t="shared" si="38"/>
        <v/>
      </c>
      <c r="V75" s="878" t="str">
        <f t="shared" si="38"/>
        <v/>
      </c>
      <c r="W75" s="878" t="str">
        <f t="shared" si="38"/>
        <v/>
      </c>
      <c r="X75" s="878" t="str">
        <f t="shared" si="38"/>
        <v/>
      </c>
      <c r="Y75" s="878" t="str">
        <f t="shared" si="38"/>
        <v/>
      </c>
      <c r="Z75" s="878" t="str">
        <f t="shared" si="38"/>
        <v/>
      </c>
      <c r="AA75" s="879" t="str">
        <f t="shared" si="38"/>
        <v/>
      </c>
    </row>
    <row r="76" spans="5:27" s="345" customFormat="1">
      <c r="E76" s="1574" t="s">
        <v>1283</v>
      </c>
      <c r="F76" s="1593"/>
      <c r="G76" s="1575"/>
      <c r="H76" s="880">
        <f>IF(SUMIF($H$36:$AA$36,H$75,$H43:$AA43)=0,"",SUMIF($H$36:$AA$36,H$75,$H43:$AA43)/$AB$59)</f>
        <v>0.42217252173605935</v>
      </c>
      <c r="I76" s="881">
        <f t="shared" ref="I76:AA76" si="39">IF(SUMIF($H$36:$AA$36,I$75,$H43:$AA43)=0,"",SUMIF($H$36:$AA$36,I$75,$H43:$AA43)/$AB$59)</f>
        <v>0.67687205513201698</v>
      </c>
      <c r="J76" s="881">
        <f t="shared" si="39"/>
        <v>0.83558317510325686</v>
      </c>
      <c r="K76" s="881">
        <f t="shared" si="39"/>
        <v>0.93819981077850645</v>
      </c>
      <c r="L76" s="881">
        <f t="shared" si="39"/>
        <v>1.0000426837702503</v>
      </c>
      <c r="M76" s="881">
        <f t="shared" si="39"/>
        <v>0.9741190361196671</v>
      </c>
      <c r="N76" s="881">
        <f t="shared" si="39"/>
        <v>0.79465136033250972</v>
      </c>
      <c r="O76" s="881">
        <f t="shared" si="39"/>
        <v>0.69450689756235984</v>
      </c>
      <c r="P76" s="881">
        <f t="shared" si="39"/>
        <v>0.57818266096255277</v>
      </c>
      <c r="Q76" s="881">
        <f t="shared" si="39"/>
        <v>0.56871820938166773</v>
      </c>
      <c r="R76" s="881">
        <f t="shared" si="39"/>
        <v>0.50177934390817547</v>
      </c>
      <c r="S76" s="881">
        <f t="shared" si="39"/>
        <v>0.42468832244650184</v>
      </c>
      <c r="T76" s="881">
        <f t="shared" si="39"/>
        <v>0.29012288709222106</v>
      </c>
      <c r="U76" s="881" t="str">
        <f t="shared" si="39"/>
        <v/>
      </c>
      <c r="V76" s="881" t="str">
        <f t="shared" si="39"/>
        <v/>
      </c>
      <c r="W76" s="881" t="str">
        <f t="shared" si="39"/>
        <v/>
      </c>
      <c r="X76" s="881" t="str">
        <f t="shared" si="39"/>
        <v/>
      </c>
      <c r="Y76" s="881" t="str">
        <f t="shared" si="39"/>
        <v/>
      </c>
      <c r="Z76" s="881" t="str">
        <f t="shared" si="39"/>
        <v/>
      </c>
      <c r="AA76" s="882" t="str">
        <f t="shared" si="39"/>
        <v/>
      </c>
    </row>
    <row r="77" spans="5:27" s="345" customFormat="1" ht="13.5" thickBot="1">
      <c r="E77" s="1576" t="s">
        <v>1284</v>
      </c>
      <c r="F77" s="1594"/>
      <c r="G77" s="1577"/>
      <c r="H77" s="883">
        <f>IF(SUMIF($H$36:$AA$36,H$75,$H43:$AA43)=0,"",SUMIF($H$36:$AA$36,H$75,$H44:$AA44)/$AB$59)</f>
        <v>2.0351872366867592E-2</v>
      </c>
      <c r="I77" s="884">
        <f t="shared" ref="I77:AA77" si="40">IF(SUMIF($H$36:$AA$36,I$75,$H43:$AA43)=0,"",SUMIF($H$36:$AA$36,I$75,$H44:$AA44)/$AB$59)</f>
        <v>0</v>
      </c>
      <c r="J77" s="884">
        <f t="shared" si="40"/>
        <v>0</v>
      </c>
      <c r="K77" s="884">
        <f t="shared" si="40"/>
        <v>1.2206702363020768E-2</v>
      </c>
      <c r="L77" s="884">
        <f t="shared" si="40"/>
        <v>0</v>
      </c>
      <c r="M77" s="884">
        <f t="shared" si="40"/>
        <v>1.704075533920699E-2</v>
      </c>
      <c r="N77" s="884">
        <f t="shared" si="40"/>
        <v>1.2141007854990612E-2</v>
      </c>
      <c r="O77" s="884">
        <f t="shared" si="40"/>
        <v>0.22653266687873469</v>
      </c>
      <c r="P77" s="884">
        <f t="shared" si="40"/>
        <v>3.1625653570130634E-2</v>
      </c>
      <c r="Q77" s="884">
        <f t="shared" si="40"/>
        <v>7.3221142451954963E-2</v>
      </c>
      <c r="R77" s="884">
        <f t="shared" si="40"/>
        <v>0.14558244022609065</v>
      </c>
      <c r="S77" s="884">
        <f t="shared" si="40"/>
        <v>0.14136568641673875</v>
      </c>
      <c r="T77" s="884">
        <f t="shared" si="40"/>
        <v>0.2364653349358255</v>
      </c>
      <c r="U77" s="884" t="str">
        <f t="shared" si="40"/>
        <v/>
      </c>
      <c r="V77" s="884" t="str">
        <f t="shared" si="40"/>
        <v/>
      </c>
      <c r="W77" s="884" t="str">
        <f t="shared" si="40"/>
        <v/>
      </c>
      <c r="X77" s="884" t="str">
        <f t="shared" si="40"/>
        <v/>
      </c>
      <c r="Y77" s="884" t="str">
        <f t="shared" si="40"/>
        <v/>
      </c>
      <c r="Z77" s="884" t="str">
        <f t="shared" si="40"/>
        <v/>
      </c>
      <c r="AA77" s="885" t="str">
        <f t="shared" si="40"/>
        <v/>
      </c>
    </row>
    <row r="78" spans="5:27" s="345" customFormat="1">
      <c r="F78" s="854"/>
      <c r="H78" s="886">
        <f t="shared" ref="H78:AA78" si="41">IF(H53="","",RANK(H36,$H$36:$AA$36,1))</f>
        <v>1</v>
      </c>
      <c r="I78" s="887">
        <f t="shared" si="41"/>
        <v>2</v>
      </c>
      <c r="J78" s="887">
        <f t="shared" si="41"/>
        <v>3</v>
      </c>
      <c r="K78" s="887">
        <f t="shared" si="41"/>
        <v>4</v>
      </c>
      <c r="L78" s="887">
        <f t="shared" si="41"/>
        <v>5</v>
      </c>
      <c r="M78" s="887">
        <f t="shared" si="41"/>
        <v>6</v>
      </c>
      <c r="N78" s="887">
        <f t="shared" si="41"/>
        <v>7</v>
      </c>
      <c r="O78" s="887">
        <f t="shared" si="41"/>
        <v>8</v>
      </c>
      <c r="P78" s="887">
        <f t="shared" si="41"/>
        <v>9</v>
      </c>
      <c r="Q78" s="887">
        <f t="shared" si="41"/>
        <v>10</v>
      </c>
      <c r="R78" s="887">
        <f t="shared" si="41"/>
        <v>11</v>
      </c>
      <c r="S78" s="887">
        <f t="shared" si="41"/>
        <v>12</v>
      </c>
      <c r="T78" s="887" t="str">
        <f t="shared" si="41"/>
        <v/>
      </c>
      <c r="U78" s="887" t="str">
        <f t="shared" si="41"/>
        <v/>
      </c>
      <c r="V78" s="887" t="str">
        <f t="shared" si="41"/>
        <v/>
      </c>
      <c r="W78" s="887" t="str">
        <f t="shared" si="41"/>
        <v/>
      </c>
      <c r="X78" s="887" t="str">
        <f t="shared" si="41"/>
        <v/>
      </c>
      <c r="Y78" s="887" t="str">
        <f t="shared" si="41"/>
        <v/>
      </c>
      <c r="Z78" s="887" t="str">
        <f t="shared" si="41"/>
        <v/>
      </c>
      <c r="AA78" s="888" t="str">
        <f t="shared" si="41"/>
        <v/>
      </c>
    </row>
    <row r="79" spans="5:27" s="345" customFormat="1" ht="13.5" thickBot="1">
      <c r="F79" s="854"/>
      <c r="H79" s="859">
        <f t="shared" ref="H79:AA79" si="42">IF(H78="","",RANK(H78,$H$78:$AA$78,1))</f>
        <v>1</v>
      </c>
      <c r="I79" s="860">
        <f t="shared" si="42"/>
        <v>2</v>
      </c>
      <c r="J79" s="860">
        <f t="shared" si="42"/>
        <v>3</v>
      </c>
      <c r="K79" s="860">
        <f t="shared" si="42"/>
        <v>4</v>
      </c>
      <c r="L79" s="860">
        <f t="shared" si="42"/>
        <v>5</v>
      </c>
      <c r="M79" s="860">
        <f t="shared" si="42"/>
        <v>6</v>
      </c>
      <c r="N79" s="860">
        <f t="shared" si="42"/>
        <v>7</v>
      </c>
      <c r="O79" s="860">
        <f t="shared" si="42"/>
        <v>8</v>
      </c>
      <c r="P79" s="860">
        <f t="shared" si="42"/>
        <v>9</v>
      </c>
      <c r="Q79" s="860">
        <f t="shared" si="42"/>
        <v>10</v>
      </c>
      <c r="R79" s="860">
        <f t="shared" si="42"/>
        <v>11</v>
      </c>
      <c r="S79" s="860">
        <f t="shared" si="42"/>
        <v>12</v>
      </c>
      <c r="T79" s="860" t="str">
        <f t="shared" si="42"/>
        <v/>
      </c>
      <c r="U79" s="860" t="str">
        <f t="shared" si="42"/>
        <v/>
      </c>
      <c r="V79" s="860" t="str">
        <f t="shared" si="42"/>
        <v/>
      </c>
      <c r="W79" s="860" t="str">
        <f t="shared" si="42"/>
        <v/>
      </c>
      <c r="X79" s="860" t="str">
        <f t="shared" si="42"/>
        <v/>
      </c>
      <c r="Y79" s="860" t="str">
        <f t="shared" si="42"/>
        <v/>
      </c>
      <c r="Z79" s="860" t="str">
        <f t="shared" si="42"/>
        <v/>
      </c>
      <c r="AA79" s="861" t="str">
        <f t="shared" si="42"/>
        <v/>
      </c>
    </row>
    <row r="80" spans="5:27" s="345" customFormat="1" ht="13.5" thickBot="1">
      <c r="E80" s="1605" t="s">
        <v>1281</v>
      </c>
      <c r="F80" s="1606"/>
      <c r="G80" s="1607"/>
      <c r="H80" s="862">
        <f>IF(SUMIF($H$79:$AA$79,H$67,$H$36:$AA$36)=0,"",SUMIF($H$79:$AA$79,H$67,$H$36:$AA$36))</f>
        <v>5.3605555861977985</v>
      </c>
      <c r="I80" s="863">
        <f>IF(SUMIF($H$79:$AA$79,I$67,$H$36:$AA$36)=0,"",SUMIF($H$79:$AA$79,I$67,$H$36:$AA$36))</f>
        <v>10</v>
      </c>
      <c r="J80" s="863">
        <f t="shared" ref="J80:AA80" si="43">IF(SUMIF($H$79:$AA$79,J$67,$H$36:$AA$36)=0,"",SUMIF($H$79:$AA$79,J$67,$H$36:$AA$36))</f>
        <v>20</v>
      </c>
      <c r="K80" s="863">
        <f t="shared" si="43"/>
        <v>26.922669813782981</v>
      </c>
      <c r="L80" s="863">
        <f t="shared" si="43"/>
        <v>28.402760758696882</v>
      </c>
      <c r="M80" s="863">
        <f t="shared" si="43"/>
        <v>30</v>
      </c>
      <c r="N80" s="863">
        <f t="shared" si="43"/>
        <v>40</v>
      </c>
      <c r="O80" s="863">
        <f t="shared" si="43"/>
        <v>50</v>
      </c>
      <c r="P80" s="863">
        <f t="shared" si="43"/>
        <v>60</v>
      </c>
      <c r="Q80" s="863">
        <f t="shared" si="43"/>
        <v>70</v>
      </c>
      <c r="R80" s="863">
        <f t="shared" si="43"/>
        <v>80</v>
      </c>
      <c r="S80" s="863">
        <f t="shared" si="43"/>
        <v>90</v>
      </c>
      <c r="T80" s="863" t="str">
        <f t="shared" si="43"/>
        <v/>
      </c>
      <c r="U80" s="863" t="str">
        <f t="shared" si="43"/>
        <v/>
      </c>
      <c r="V80" s="863" t="str">
        <f t="shared" si="43"/>
        <v/>
      </c>
      <c r="W80" s="863" t="str">
        <f t="shared" si="43"/>
        <v/>
      </c>
      <c r="X80" s="863" t="str">
        <f t="shared" si="43"/>
        <v/>
      </c>
      <c r="Y80" s="863" t="str">
        <f t="shared" si="43"/>
        <v/>
      </c>
      <c r="Z80" s="863" t="str">
        <f t="shared" si="43"/>
        <v/>
      </c>
      <c r="AA80" s="864" t="str">
        <f t="shared" si="43"/>
        <v/>
      </c>
    </row>
    <row r="81" spans="2:28" s="345" customFormat="1">
      <c r="E81" s="1574" t="s">
        <v>1283</v>
      </c>
      <c r="F81" s="1593"/>
      <c r="G81" s="1575"/>
      <c r="H81" s="865">
        <f>IF(SUMIF($H$36:$AA$36,H$80,$H53:$AA53)=0,"",SUMIF($H$36:$AA$36,H$80,$H53:$AA53)/$AB$59)</f>
        <v>5.7868992328746552E-2</v>
      </c>
      <c r="I81" s="866">
        <f t="shared" ref="I81:AA81" si="44">IF(SUMIF($H$36:$AA$36,I$80,$H53:$AA53)=0,"",SUMIF($H$36:$AA$36,I$80,$H53:$AA53)/$AB$59)</f>
        <v>0.40943933555081569</v>
      </c>
      <c r="J81" s="866">
        <f t="shared" si="44"/>
        <v>0.58632965911925128</v>
      </c>
      <c r="K81" s="866">
        <f t="shared" si="44"/>
        <v>0.14091512905875941</v>
      </c>
      <c r="L81" s="866">
        <f t="shared" si="44"/>
        <v>0.1530122641524988</v>
      </c>
      <c r="M81" s="866">
        <f t="shared" si="44"/>
        <v>0.51595281144315885</v>
      </c>
      <c r="N81" s="866">
        <f t="shared" si="44"/>
        <v>0.66804481901141599</v>
      </c>
      <c r="O81" s="866">
        <f t="shared" si="44"/>
        <v>0.86903714920026165</v>
      </c>
      <c r="P81" s="866">
        <f t="shared" si="44"/>
        <v>0.93664574775938414</v>
      </c>
      <c r="Q81" s="866">
        <f t="shared" si="44"/>
        <v>0.9983771011825685</v>
      </c>
      <c r="R81" s="866">
        <f t="shared" si="44"/>
        <v>0.97739317705607043</v>
      </c>
      <c r="S81" s="866">
        <f t="shared" si="44"/>
        <v>0.78981481570248857</v>
      </c>
      <c r="T81" s="866" t="str">
        <f t="shared" si="44"/>
        <v/>
      </c>
      <c r="U81" s="866" t="str">
        <f t="shared" si="44"/>
        <v/>
      </c>
      <c r="V81" s="866" t="str">
        <f t="shared" si="44"/>
        <v/>
      </c>
      <c r="W81" s="866" t="str">
        <f t="shared" si="44"/>
        <v/>
      </c>
      <c r="X81" s="866" t="str">
        <f t="shared" si="44"/>
        <v/>
      </c>
      <c r="Y81" s="866" t="str">
        <f t="shared" si="44"/>
        <v/>
      </c>
      <c r="Z81" s="866" t="str">
        <f t="shared" si="44"/>
        <v/>
      </c>
      <c r="AA81" s="867" t="str">
        <f t="shared" si="44"/>
        <v/>
      </c>
    </row>
    <row r="82" spans="2:28" s="345" customFormat="1" ht="13.5" thickBot="1">
      <c r="E82" s="1576" t="s">
        <v>1284</v>
      </c>
      <c r="F82" s="1594"/>
      <c r="G82" s="1577"/>
      <c r="H82" s="868">
        <f>IF(SUMIF($H$36:$AA$36,H$80,$H53:$AA53)=0,"",SUMIF($H$36:$AA$36,H$80,$H54:$AA54)/$AB$59)</f>
        <v>1.3994892834903558E-2</v>
      </c>
      <c r="I82" s="869">
        <f t="shared" ref="I82:AA82" si="45">IF(SUMIF($H$36:$AA$36,I$80,$H53:$AA53)=0,"",SUMIF($H$36:$AA$36,I$80,$H54:$AA54)/$AB$59)</f>
        <v>0</v>
      </c>
      <c r="J82" s="869">
        <f t="shared" si="45"/>
        <v>1.6065564531786768E-2</v>
      </c>
      <c r="K82" s="869">
        <f t="shared" si="45"/>
        <v>6.5073355143299663E-2</v>
      </c>
      <c r="L82" s="869">
        <f t="shared" si="45"/>
        <v>7.3667563091235982E-2</v>
      </c>
      <c r="M82" s="869">
        <f t="shared" si="45"/>
        <v>3.4980876126829479E-2</v>
      </c>
      <c r="N82" s="869">
        <f t="shared" si="45"/>
        <v>3.5346103753052985E-2</v>
      </c>
      <c r="O82" s="869">
        <f t="shared" si="45"/>
        <v>0.2747948889251759</v>
      </c>
      <c r="P82" s="869">
        <f t="shared" si="45"/>
        <v>1.9322412802143096E-2</v>
      </c>
      <c r="Q82" s="869">
        <f t="shared" si="45"/>
        <v>1.7722553257983904E-2</v>
      </c>
      <c r="R82" s="869">
        <f t="shared" si="45"/>
        <v>1.3458722291752068E-2</v>
      </c>
      <c r="S82" s="869">
        <f t="shared" si="45"/>
        <v>0</v>
      </c>
      <c r="T82" s="869" t="str">
        <f t="shared" si="45"/>
        <v/>
      </c>
      <c r="U82" s="869" t="str">
        <f t="shared" si="45"/>
        <v/>
      </c>
      <c r="V82" s="869" t="str">
        <f t="shared" si="45"/>
        <v/>
      </c>
      <c r="W82" s="869" t="str">
        <f t="shared" si="45"/>
        <v/>
      </c>
      <c r="X82" s="869" t="str">
        <f t="shared" si="45"/>
        <v/>
      </c>
      <c r="Y82" s="869" t="str">
        <f t="shared" si="45"/>
        <v/>
      </c>
      <c r="Z82" s="869" t="str">
        <f t="shared" si="45"/>
        <v/>
      </c>
      <c r="AA82" s="870" t="str">
        <f t="shared" si="45"/>
        <v/>
      </c>
    </row>
    <row r="83" spans="2:28" s="345" customFormat="1">
      <c r="F83" s="889"/>
      <c r="H83" s="871">
        <f t="shared" ref="H83:AA83" si="46">IF(H59="","",RANK(H36,$H$36:$AA$36,1))</f>
        <v>1</v>
      </c>
      <c r="I83" s="872">
        <f t="shared" si="46"/>
        <v>2</v>
      </c>
      <c r="J83" s="872">
        <f t="shared" si="46"/>
        <v>3</v>
      </c>
      <c r="K83" s="872">
        <f t="shared" si="46"/>
        <v>4</v>
      </c>
      <c r="L83" s="872">
        <f t="shared" si="46"/>
        <v>5</v>
      </c>
      <c r="M83" s="872">
        <f t="shared" si="46"/>
        <v>6</v>
      </c>
      <c r="N83" s="872">
        <f t="shared" si="46"/>
        <v>7</v>
      </c>
      <c r="O83" s="872">
        <f t="shared" si="46"/>
        <v>8</v>
      </c>
      <c r="P83" s="872">
        <f t="shared" si="46"/>
        <v>9</v>
      </c>
      <c r="Q83" s="872">
        <f t="shared" si="46"/>
        <v>10</v>
      </c>
      <c r="R83" s="872">
        <f t="shared" si="46"/>
        <v>11</v>
      </c>
      <c r="S83" s="872">
        <f t="shared" si="46"/>
        <v>12</v>
      </c>
      <c r="T83" s="872">
        <f t="shared" si="46"/>
        <v>13</v>
      </c>
      <c r="U83" s="872">
        <f t="shared" si="46"/>
        <v>14</v>
      </c>
      <c r="V83" s="872">
        <f t="shared" si="46"/>
        <v>15</v>
      </c>
      <c r="W83" s="872">
        <f t="shared" si="46"/>
        <v>16</v>
      </c>
      <c r="X83" s="872">
        <f t="shared" si="46"/>
        <v>17</v>
      </c>
      <c r="Y83" s="872">
        <f t="shared" si="46"/>
        <v>18</v>
      </c>
      <c r="Z83" s="872" t="str">
        <f t="shared" si="46"/>
        <v/>
      </c>
      <c r="AA83" s="873" t="str">
        <f t="shared" si="46"/>
        <v/>
      </c>
    </row>
    <row r="84" spans="2:28" s="345" customFormat="1" ht="13.5" thickBot="1">
      <c r="F84" s="889"/>
      <c r="H84" s="874">
        <f t="shared" ref="H84:AA84" si="47">IF(H83="","",RANK(H83,$H$83:$AA$83,1))</f>
        <v>1</v>
      </c>
      <c r="I84" s="875">
        <f t="shared" si="47"/>
        <v>2</v>
      </c>
      <c r="J84" s="875">
        <f t="shared" si="47"/>
        <v>3</v>
      </c>
      <c r="K84" s="875">
        <f t="shared" si="47"/>
        <v>4</v>
      </c>
      <c r="L84" s="875">
        <f t="shared" si="47"/>
        <v>5</v>
      </c>
      <c r="M84" s="875">
        <f t="shared" si="47"/>
        <v>6</v>
      </c>
      <c r="N84" s="875">
        <f t="shared" si="47"/>
        <v>7</v>
      </c>
      <c r="O84" s="875">
        <f t="shared" si="47"/>
        <v>8</v>
      </c>
      <c r="P84" s="875">
        <f t="shared" si="47"/>
        <v>9</v>
      </c>
      <c r="Q84" s="875">
        <f t="shared" si="47"/>
        <v>10</v>
      </c>
      <c r="R84" s="875">
        <f t="shared" si="47"/>
        <v>11</v>
      </c>
      <c r="S84" s="875">
        <f t="shared" si="47"/>
        <v>12</v>
      </c>
      <c r="T84" s="875">
        <f t="shared" si="47"/>
        <v>13</v>
      </c>
      <c r="U84" s="875">
        <f t="shared" si="47"/>
        <v>14</v>
      </c>
      <c r="V84" s="875">
        <f t="shared" si="47"/>
        <v>15</v>
      </c>
      <c r="W84" s="875">
        <f t="shared" si="47"/>
        <v>16</v>
      </c>
      <c r="X84" s="875">
        <f t="shared" si="47"/>
        <v>17</v>
      </c>
      <c r="Y84" s="875">
        <f t="shared" si="47"/>
        <v>18</v>
      </c>
      <c r="Z84" s="875" t="str">
        <f t="shared" si="47"/>
        <v/>
      </c>
      <c r="AA84" s="876" t="str">
        <f t="shared" si="47"/>
        <v/>
      </c>
    </row>
    <row r="85" spans="2:28" s="345" customFormat="1" ht="13.5" thickBot="1">
      <c r="E85" s="1605" t="s">
        <v>1281</v>
      </c>
      <c r="F85" s="1606"/>
      <c r="G85" s="1607"/>
      <c r="H85" s="877">
        <f>IF(SUMIF($H$84:$AA$84,H$67,$H$36:$AA$36)=0,"",SUMIF($H$84:$AA$84,H$67,$H$36:$AA$36))</f>
        <v>5.3605555861977985</v>
      </c>
      <c r="I85" s="878">
        <f>IF(SUMIF($H$84:$AA$84,I$67,$H$36:$AA$36)=0,"",SUMIF($H$84:$AA$84,I$67,$H$36:$AA$36))</f>
        <v>10</v>
      </c>
      <c r="J85" s="878">
        <f t="shared" ref="J85:AA85" si="48">IF(SUMIF($H$84:$AA$84,J$67,$H$36:$AA$36)=0,"",SUMIF($H$84:$AA$84,J$67,$H$36:$AA$36))</f>
        <v>20</v>
      </c>
      <c r="K85" s="878">
        <f t="shared" si="48"/>
        <v>26.922669813782981</v>
      </c>
      <c r="L85" s="878">
        <f t="shared" si="48"/>
        <v>28.402760758696882</v>
      </c>
      <c r="M85" s="878">
        <f t="shared" si="48"/>
        <v>30</v>
      </c>
      <c r="N85" s="878">
        <f t="shared" si="48"/>
        <v>40</v>
      </c>
      <c r="O85" s="878">
        <f t="shared" si="48"/>
        <v>50</v>
      </c>
      <c r="P85" s="878">
        <f t="shared" si="48"/>
        <v>60</v>
      </c>
      <c r="Q85" s="878">
        <f t="shared" si="48"/>
        <v>70</v>
      </c>
      <c r="R85" s="878">
        <f t="shared" si="48"/>
        <v>80</v>
      </c>
      <c r="S85" s="878">
        <f t="shared" si="48"/>
        <v>90</v>
      </c>
      <c r="T85" s="878">
        <f t="shared" si="48"/>
        <v>97.736572490101764</v>
      </c>
      <c r="U85" s="878">
        <f t="shared" si="48"/>
        <v>98.474693898206965</v>
      </c>
      <c r="V85" s="878">
        <f t="shared" si="48"/>
        <v>99.115172061249353</v>
      </c>
      <c r="W85" s="878">
        <f t="shared" si="48"/>
        <v>99.665653482478291</v>
      </c>
      <c r="X85" s="878">
        <f t="shared" si="48"/>
        <v>99.951573567634654</v>
      </c>
      <c r="Y85" s="878">
        <f t="shared" si="48"/>
        <v>100</v>
      </c>
      <c r="Z85" s="878" t="str">
        <f t="shared" si="48"/>
        <v/>
      </c>
      <c r="AA85" s="879" t="str">
        <f t="shared" si="48"/>
        <v/>
      </c>
    </row>
    <row r="86" spans="2:28" s="345" customFormat="1">
      <c r="E86" s="1574" t="s">
        <v>1283</v>
      </c>
      <c r="F86" s="1593"/>
      <c r="G86" s="1575"/>
      <c r="H86" s="880">
        <f>IF(SUMIF($H$36:$AA$36,H$85,$H59:$AA59)=0,"",SUMIF($H$36:$AA$36,H$85,$H59:$AA59)/$AB$59)</f>
        <v>6.0451119928720716E-2</v>
      </c>
      <c r="I86" s="881">
        <f t="shared" ref="I86:AA86" si="49">IF(SUMIF($H$36:$AA$36,I$85,$H59:$AA59)=0,"",SUMIF($H$36:$AA$36,I$85,$H59:$AA59)/$AB$59)</f>
        <v>0.41905708736350705</v>
      </c>
      <c r="J86" s="881">
        <f t="shared" si="49"/>
        <v>0.59286648916954554</v>
      </c>
      <c r="K86" s="881">
        <f t="shared" si="49"/>
        <v>0.13790369716305859</v>
      </c>
      <c r="L86" s="881">
        <f t="shared" si="49"/>
        <v>0.16121014738668019</v>
      </c>
      <c r="M86" s="881">
        <f t="shared" si="49"/>
        <v>0.53083380142421566</v>
      </c>
      <c r="N86" s="881">
        <f t="shared" si="49"/>
        <v>0.66968744168999161</v>
      </c>
      <c r="O86" s="881">
        <f t="shared" si="49"/>
        <v>0.84223940798541075</v>
      </c>
      <c r="P86" s="881">
        <f t="shared" si="49"/>
        <v>0.93840996563652601</v>
      </c>
      <c r="Q86" s="881">
        <f t="shared" si="49"/>
        <v>1</v>
      </c>
      <c r="R86" s="881">
        <f t="shared" si="49"/>
        <v>0.97588525516237101</v>
      </c>
      <c r="S86" s="881">
        <f t="shared" si="49"/>
        <v>0.79330050133994234</v>
      </c>
      <c r="T86" s="881">
        <f t="shared" si="49"/>
        <v>0.69450689756235984</v>
      </c>
      <c r="U86" s="881">
        <f t="shared" si="49"/>
        <v>0.57818266096255277</v>
      </c>
      <c r="V86" s="881">
        <f t="shared" si="49"/>
        <v>0.56871820938166773</v>
      </c>
      <c r="W86" s="881">
        <f t="shared" si="49"/>
        <v>0.50177934390817547</v>
      </c>
      <c r="X86" s="881">
        <f t="shared" si="49"/>
        <v>0.42468832244650184</v>
      </c>
      <c r="Y86" s="881">
        <f t="shared" si="49"/>
        <v>0.29012288709222106</v>
      </c>
      <c r="Z86" s="881" t="str">
        <f t="shared" si="49"/>
        <v/>
      </c>
      <c r="AA86" s="882" t="str">
        <f t="shared" si="49"/>
        <v/>
      </c>
      <c r="AB86" s="851">
        <v>1</v>
      </c>
    </row>
    <row r="87" spans="2:28" s="345" customFormat="1" ht="13.5" thickBot="1">
      <c r="E87" s="1576" t="s">
        <v>1284</v>
      </c>
      <c r="F87" s="1594"/>
      <c r="G87" s="1577"/>
      <c r="H87" s="883">
        <f>IF(SUMIF($H$36:$AA$36,H$85,$H59:$AA59)=0,"",SUMIF($H$36:$AA$36,H$85,$H60:$AA60)/$AB$59)</f>
        <v>1.1670693683609165E-2</v>
      </c>
      <c r="I87" s="884">
        <f t="shared" ref="I87:AA87" si="50">IF(SUMIF($H$36:$AA$36,I$85,$H59:$AA59)=0,"",SUMIF($H$36:$AA$36,I$85,$H60:$AA60)/$AB$59)</f>
        <v>1.9470225331650933E-2</v>
      </c>
      <c r="J87" s="884">
        <f t="shared" si="50"/>
        <v>2.4631983613370621E-2</v>
      </c>
      <c r="K87" s="884">
        <f t="shared" si="50"/>
        <v>4.3672098064023814E-2</v>
      </c>
      <c r="L87" s="884">
        <f t="shared" si="50"/>
        <v>8.0546596402234619E-2</v>
      </c>
      <c r="M87" s="884">
        <f t="shared" si="50"/>
        <v>6.9682933154996074E-2</v>
      </c>
      <c r="N87" s="884">
        <f t="shared" si="50"/>
        <v>4.1983408349476926E-2</v>
      </c>
      <c r="O87" s="884">
        <f t="shared" si="50"/>
        <v>0.16208806589243011</v>
      </c>
      <c r="P87" s="884">
        <f t="shared" si="50"/>
        <v>2.0083373422509182E-2</v>
      </c>
      <c r="Q87" s="884">
        <f t="shared" si="50"/>
        <v>1.3916111807544007E-2</v>
      </c>
      <c r="R87" s="884">
        <f t="shared" si="50"/>
        <v>1.5558477511444953E-2</v>
      </c>
      <c r="S87" s="884">
        <f t="shared" si="50"/>
        <v>9.3752323298752042E-3</v>
      </c>
      <c r="T87" s="884">
        <f t="shared" si="50"/>
        <v>0.22653266687873469</v>
      </c>
      <c r="U87" s="884">
        <f t="shared" si="50"/>
        <v>3.1625653570130634E-2</v>
      </c>
      <c r="V87" s="884">
        <f t="shared" si="50"/>
        <v>7.3221142451954963E-2</v>
      </c>
      <c r="W87" s="884">
        <f t="shared" si="50"/>
        <v>0.14558244022609065</v>
      </c>
      <c r="X87" s="884">
        <f t="shared" si="50"/>
        <v>0.14136568641673875</v>
      </c>
      <c r="Y87" s="884">
        <f t="shared" si="50"/>
        <v>0.2364653349358255</v>
      </c>
      <c r="Z87" s="884" t="str">
        <f t="shared" si="50"/>
        <v/>
      </c>
      <c r="AA87" s="885" t="str">
        <f t="shared" si="50"/>
        <v/>
      </c>
    </row>
    <row r="88" spans="2:28" s="345" customFormat="1">
      <c r="F88" s="889"/>
      <c r="R88" s="694"/>
    </row>
    <row r="89" spans="2:28" s="345" customFormat="1">
      <c r="F89" s="889"/>
      <c r="R89" s="694"/>
    </row>
    <row r="90" spans="2:28" s="345" customFormat="1">
      <c r="B90" s="963"/>
      <c r="C90" s="809"/>
      <c r="D90" s="809"/>
      <c r="R90" s="694"/>
    </row>
    <row r="91" spans="2:28" s="345" customFormat="1">
      <c r="B91" s="963"/>
      <c r="C91" s="809"/>
      <c r="D91" s="809"/>
      <c r="Q91" s="694"/>
    </row>
    <row r="92" spans="2:28" s="345" customFormat="1">
      <c r="B92" s="963"/>
      <c r="C92" s="809"/>
      <c r="D92" s="809"/>
      <c r="R92" s="694"/>
    </row>
    <row r="93" spans="2:28" s="345" customFormat="1">
      <c r="B93" s="963"/>
      <c r="C93" s="809"/>
      <c r="D93" s="809"/>
      <c r="R93" s="694"/>
    </row>
    <row r="94" spans="2:28" s="345" customFormat="1">
      <c r="B94" s="963"/>
      <c r="C94" s="809"/>
      <c r="D94" s="809"/>
    </row>
    <row r="95" spans="2:28" s="345" customFormat="1">
      <c r="B95" s="963"/>
      <c r="C95" s="809"/>
      <c r="D95" s="809"/>
    </row>
    <row r="96" spans="2:28" s="345" customFormat="1">
      <c r="B96" s="963"/>
      <c r="C96" s="809"/>
      <c r="D96" s="809"/>
      <c r="R96" s="694"/>
    </row>
    <row r="97" spans="2:18" s="345" customFormat="1">
      <c r="B97" s="963"/>
      <c r="C97" s="809"/>
      <c r="D97" s="809"/>
      <c r="R97" s="694"/>
    </row>
    <row r="98" spans="2:18" s="345" customFormat="1">
      <c r="B98" s="963"/>
      <c r="C98" s="809"/>
      <c r="D98" s="809"/>
      <c r="R98" s="694"/>
    </row>
    <row r="99" spans="2:18" s="345" customFormat="1">
      <c r="B99" s="963"/>
      <c r="C99" s="809"/>
      <c r="D99" s="809"/>
      <c r="R99" s="694"/>
    </row>
    <row r="100" spans="2:18" s="345" customFormat="1">
      <c r="B100" s="963"/>
      <c r="C100" s="809"/>
      <c r="D100" s="809"/>
      <c r="R100" s="694"/>
    </row>
    <row r="101" spans="2:18" s="345" customFormat="1">
      <c r="B101" s="964"/>
      <c r="C101" s="965"/>
      <c r="D101" s="964"/>
      <c r="R101" s="694"/>
    </row>
    <row r="102" spans="2:18" s="345" customFormat="1">
      <c r="C102" s="694"/>
      <c r="R102" s="694"/>
    </row>
    <row r="103" spans="2:18" s="345" customFormat="1">
      <c r="C103" s="694"/>
      <c r="R103" s="694"/>
    </row>
    <row r="104" spans="2:18" s="345" customFormat="1">
      <c r="C104" s="694"/>
      <c r="R104" s="694"/>
    </row>
    <row r="105" spans="2:18" s="345" customFormat="1">
      <c r="C105" s="694"/>
      <c r="R105" s="694"/>
    </row>
    <row r="106" spans="2:18" s="345" customFormat="1">
      <c r="R106" s="694"/>
    </row>
    <row r="107" spans="2:18" s="345" customFormat="1">
      <c r="R107" s="694"/>
    </row>
    <row r="108" spans="2:18" s="345" customFormat="1">
      <c r="R108" s="694"/>
    </row>
    <row r="109" spans="2:18" s="345" customFormat="1">
      <c r="R109" s="694"/>
    </row>
    <row r="110" spans="2:18" s="345" customFormat="1">
      <c r="R110" s="694"/>
    </row>
    <row r="111" spans="2:18" s="345" customFormat="1">
      <c r="R111" s="694"/>
    </row>
    <row r="112" spans="2:18" s="345" customFormat="1">
      <c r="R112" s="694"/>
    </row>
    <row r="113" spans="18:18" s="345" customFormat="1">
      <c r="R113" s="694"/>
    </row>
    <row r="114" spans="18:18" s="345" customFormat="1">
      <c r="R114" s="694"/>
    </row>
    <row r="115" spans="18:18" s="345" customFormat="1">
      <c r="R115" s="694"/>
    </row>
    <row r="116" spans="18:18" s="345" customFormat="1">
      <c r="R116" s="694"/>
    </row>
    <row r="117" spans="18:18" s="345" customFormat="1">
      <c r="R117" s="694"/>
    </row>
    <row r="118" spans="18:18" s="345" customFormat="1">
      <c r="R118" s="694"/>
    </row>
    <row r="119" spans="18:18" s="345" customFormat="1">
      <c r="R119" s="694"/>
    </row>
    <row r="120" spans="18:18" s="345" customFormat="1">
      <c r="R120" s="694"/>
    </row>
    <row r="121" spans="18:18" s="345" customFormat="1">
      <c r="R121" s="694"/>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120"/>
  <sheetViews>
    <sheetView topLeftCell="A43" workbookViewId="0">
      <selection activeCell="R61" sqref="R61:AC65"/>
    </sheetView>
  </sheetViews>
  <sheetFormatPr baseColWidth="10" defaultRowHeight="12.75"/>
  <sheetData>
    <row r="1" spans="1:29" s="345" customFormat="1" ht="18">
      <c r="A1" s="975"/>
      <c r="C1" s="1228" t="s">
        <v>1101</v>
      </c>
      <c r="D1" s="1228"/>
      <c r="J1" s="1320">
        <f>IF('Stipe=phyllotaxie&amp;croissance'!E9&gt;0,'Stipe=phyllotaxie&amp;croissance'!E9,"")</f>
        <v>40826</v>
      </c>
      <c r="K1" s="1320"/>
      <c r="L1" s="975"/>
    </row>
    <row r="2" spans="1:29" s="345" customFormat="1" ht="18">
      <c r="C2" s="974"/>
      <c r="D2" s="974"/>
    </row>
    <row r="3" spans="1:29" s="345" customFormat="1" ht="15.75">
      <c r="A3" s="576"/>
      <c r="B3" s="1323" t="s">
        <v>1102</v>
      </c>
      <c r="C3" s="1323"/>
      <c r="D3" s="1323"/>
      <c r="E3" s="1323"/>
      <c r="F3" s="1323"/>
      <c r="G3" s="1322" t="str">
        <f>IF('Stipe=phyllotaxie&amp;croissance'!$E$11&gt;0,'Stipe=phyllotaxie&amp;croissance'!$E$11,"")</f>
        <v>Rochdi</v>
      </c>
      <c r="H3" s="1322"/>
      <c r="I3" s="1323" t="s">
        <v>1103</v>
      </c>
      <c r="J3" s="1323"/>
      <c r="K3" s="1323"/>
      <c r="L3" s="1323"/>
      <c r="M3" s="1512" t="str">
        <f>IF('Stipe=phyllotaxie&amp;croissance'!$E$10&gt;0,'Stipe=phyllotaxie&amp;croissance'!$E$10,"")</f>
        <v>01</v>
      </c>
      <c r="N3" s="1512"/>
    </row>
    <row r="4" spans="1:29" s="345" customFormat="1" ht="18">
      <c r="C4" s="974"/>
      <c r="D4" s="974"/>
    </row>
    <row r="5" spans="1:29" s="345" customFormat="1" ht="18">
      <c r="A5" s="976"/>
      <c r="C5" s="1319" t="s">
        <v>1367</v>
      </c>
      <c r="D5" s="1319"/>
      <c r="E5" s="1319"/>
      <c r="F5" s="1319"/>
      <c r="G5" s="1319"/>
      <c r="H5" s="1319"/>
      <c r="I5" s="1319"/>
      <c r="J5" s="446"/>
      <c r="K5" s="446"/>
      <c r="L5" s="976"/>
    </row>
    <row r="6" spans="1:29" s="345" customFormat="1" ht="13.5" thickBot="1"/>
    <row r="7" spans="1:29" s="345" customFormat="1" ht="15.75" thickBot="1">
      <c r="C7" s="1496" t="s">
        <v>1229</v>
      </c>
      <c r="D7" s="1497"/>
      <c r="E7" s="1497"/>
      <c r="F7" s="577">
        <f>IF('Folioles=disposition&amp;groupes'!$D$7&gt;0,'Folioles=disposition&amp;groupes'!$D$7,"")</f>
        <v>57</v>
      </c>
    </row>
    <row r="8" spans="1:29" s="345" customFormat="1" ht="15.75" customHeight="1"/>
    <row r="9" spans="1:29" s="345" customFormat="1" ht="15">
      <c r="B9" s="582"/>
      <c r="C9" s="1514" t="s">
        <v>1299</v>
      </c>
      <c r="D9" s="1514"/>
      <c r="E9" s="1514"/>
    </row>
    <row r="10" spans="1:29" s="345" customFormat="1" ht="15.75" thickBot="1">
      <c r="B10" s="582"/>
      <c r="C10" s="981"/>
      <c r="D10" s="981"/>
      <c r="E10" s="981"/>
    </row>
    <row r="11" spans="1:29" s="345" customFormat="1" ht="12" customHeight="1" thickBot="1">
      <c r="C11" s="1515" t="s">
        <v>1234</v>
      </c>
      <c r="D11" s="1609" t="s">
        <v>1237</v>
      </c>
      <c r="E11" s="1610"/>
      <c r="F11" s="1610"/>
      <c r="G11" s="1610"/>
      <c r="H11" s="1610"/>
      <c r="I11" s="1610"/>
      <c r="J11" s="1610"/>
      <c r="K11" s="1610"/>
      <c r="L11" s="1610"/>
      <c r="M11" s="1610"/>
      <c r="N11" s="1610"/>
      <c r="O11" s="1262"/>
      <c r="Q11" s="1515" t="s">
        <v>1234</v>
      </c>
      <c r="R11" s="1609" t="s">
        <v>1238</v>
      </c>
      <c r="S11" s="1610"/>
      <c r="T11" s="1610"/>
      <c r="U11" s="1610"/>
      <c r="V11" s="1610"/>
      <c r="W11" s="1610"/>
      <c r="X11" s="1610"/>
      <c r="Y11" s="1610"/>
      <c r="Z11" s="1610"/>
      <c r="AA11" s="1610"/>
      <c r="AB11" s="1610"/>
      <c r="AC11" s="1262"/>
    </row>
    <row r="12" spans="1:29" s="345" customFormat="1" ht="13.5" customHeight="1" thickBot="1">
      <c r="C12" s="1608"/>
      <c r="D12" s="1611" t="s">
        <v>1300</v>
      </c>
      <c r="E12" s="1521"/>
      <c r="F12" s="1521"/>
      <c r="G12" s="1522"/>
      <c r="H12" s="1611" t="s">
        <v>1290</v>
      </c>
      <c r="I12" s="1521"/>
      <c r="J12" s="1521"/>
      <c r="K12" s="1522"/>
      <c r="L12" s="1520" t="s">
        <v>1291</v>
      </c>
      <c r="M12" s="1521"/>
      <c r="N12" s="1521"/>
      <c r="O12" s="1522"/>
      <c r="Q12" s="1608"/>
      <c r="R12" s="1611" t="s">
        <v>1300</v>
      </c>
      <c r="S12" s="1521"/>
      <c r="T12" s="1521"/>
      <c r="U12" s="1522"/>
      <c r="V12" s="1611" t="s">
        <v>1290</v>
      </c>
      <c r="W12" s="1521"/>
      <c r="X12" s="1521"/>
      <c r="Y12" s="1522"/>
      <c r="Z12" s="1520" t="s">
        <v>1291</v>
      </c>
      <c r="AA12" s="1521"/>
      <c r="AB12" s="1521"/>
      <c r="AC12" s="1522"/>
    </row>
    <row r="13" spans="1:29" s="345" customFormat="1" ht="13.5" customHeight="1" thickBot="1">
      <c r="C13" s="1608"/>
      <c r="D13" s="584" t="s">
        <v>1239</v>
      </c>
      <c r="E13" s="585" t="s">
        <v>1240</v>
      </c>
      <c r="F13" s="585" t="s">
        <v>1240</v>
      </c>
      <c r="G13" s="586" t="s">
        <v>1241</v>
      </c>
      <c r="H13" s="584" t="s">
        <v>1239</v>
      </c>
      <c r="I13" s="585" t="s">
        <v>1240</v>
      </c>
      <c r="J13" s="585" t="s">
        <v>1240</v>
      </c>
      <c r="K13" s="586" t="s">
        <v>1241</v>
      </c>
      <c r="L13" s="584" t="s">
        <v>1239</v>
      </c>
      <c r="M13" s="585" t="s">
        <v>1240</v>
      </c>
      <c r="N13" s="585" t="s">
        <v>1240</v>
      </c>
      <c r="O13" s="586" t="s">
        <v>1241</v>
      </c>
      <c r="Q13" s="1608"/>
      <c r="R13" s="584" t="s">
        <v>1239</v>
      </c>
      <c r="S13" s="585" t="s">
        <v>1240</v>
      </c>
      <c r="T13" s="585" t="s">
        <v>1240</v>
      </c>
      <c r="U13" s="586" t="s">
        <v>1241</v>
      </c>
      <c r="V13" s="584" t="s">
        <v>1239</v>
      </c>
      <c r="W13" s="585" t="s">
        <v>1240</v>
      </c>
      <c r="X13" s="585" t="s">
        <v>1240</v>
      </c>
      <c r="Y13" s="586" t="s">
        <v>1241</v>
      </c>
      <c r="Z13" s="584" t="s">
        <v>1239</v>
      </c>
      <c r="AA13" s="585" t="s">
        <v>1240</v>
      </c>
      <c r="AB13" s="585" t="s">
        <v>1240</v>
      </c>
      <c r="AC13" s="586" t="s">
        <v>1241</v>
      </c>
    </row>
    <row r="14" spans="1:29" s="345" customFormat="1" ht="13.5" customHeight="1">
      <c r="B14" s="595" t="s">
        <v>1243</v>
      </c>
      <c r="C14" s="890">
        <f>IF('Sections rachis &amp; L pennes'!Q13="","",'Sections rachis &amp; L pennes'!Q13)</f>
        <v>5.15970515970516</v>
      </c>
      <c r="D14" s="598"/>
      <c r="E14" s="598"/>
      <c r="F14" s="598"/>
      <c r="G14" s="985">
        <v>0.29899999999999999</v>
      </c>
      <c r="H14" s="597"/>
      <c r="I14" s="598"/>
      <c r="J14" s="598"/>
      <c r="K14" s="599">
        <v>0.16300000000000001</v>
      </c>
      <c r="L14" s="597"/>
      <c r="M14" s="598"/>
      <c r="N14" s="598"/>
      <c r="O14" s="599">
        <v>0.115</v>
      </c>
      <c r="P14" s="931" t="s">
        <v>1243</v>
      </c>
      <c r="Q14" s="892">
        <f>IF('Sections rachis &amp; L pennes'!V13="","",'Sections rachis &amp; L pennes'!V13)</f>
        <v>5.4054054054054053</v>
      </c>
      <c r="R14" s="597"/>
      <c r="S14" s="598"/>
      <c r="T14" s="893"/>
      <c r="U14" s="599">
        <v>0.215</v>
      </c>
      <c r="V14" s="597"/>
      <c r="W14" s="598"/>
      <c r="X14" s="893"/>
      <c r="Y14" s="599">
        <v>0.13</v>
      </c>
      <c r="Z14" s="597"/>
      <c r="AA14" s="598"/>
      <c r="AB14" s="893"/>
      <c r="AC14" s="599">
        <v>0.129</v>
      </c>
    </row>
    <row r="15" spans="1:29" s="345" customFormat="1" ht="13.5" customHeight="1" thickBot="1">
      <c r="B15" s="609" t="s">
        <v>1244</v>
      </c>
      <c r="C15" s="894">
        <f>IF('Sections rachis &amp; L pennes'!Q14="","",'Sections rachis &amp; L pennes'!Q14)</f>
        <v>27.346437346437348</v>
      </c>
      <c r="D15" s="612"/>
      <c r="E15" s="612"/>
      <c r="F15" s="612"/>
      <c r="G15" s="986">
        <v>0.48799999999999999</v>
      </c>
      <c r="H15" s="611"/>
      <c r="I15" s="612"/>
      <c r="J15" s="612"/>
      <c r="K15" s="613">
        <v>0.314</v>
      </c>
      <c r="L15" s="611"/>
      <c r="M15" s="612"/>
      <c r="N15" s="612"/>
      <c r="O15" s="613">
        <v>0.24199999999999999</v>
      </c>
      <c r="P15" s="367" t="s">
        <v>1244</v>
      </c>
      <c r="Q15" s="899">
        <f>IF('Sections rachis &amp; L pennes'!V14="","",'Sections rachis &amp; L pennes'!V14)</f>
        <v>28.157248157248159</v>
      </c>
      <c r="R15" s="611">
        <v>0.379</v>
      </c>
      <c r="S15" s="612"/>
      <c r="T15" s="615"/>
      <c r="U15" s="613"/>
      <c r="V15" s="611">
        <v>0.27400000000000002</v>
      </c>
      <c r="W15" s="612"/>
      <c r="X15" s="615"/>
      <c r="Y15" s="613"/>
      <c r="Z15" s="611">
        <v>0.23799999999999999</v>
      </c>
      <c r="AA15" s="612"/>
      <c r="AB15" s="615"/>
      <c r="AC15" s="613"/>
    </row>
    <row r="16" spans="1:29" s="345" customFormat="1" ht="13.5" customHeight="1" thickBot="1">
      <c r="B16" s="620" t="s">
        <v>1245</v>
      </c>
      <c r="C16" s="897">
        <f>IF('Sections rachis &amp; L pennes'!Q15="","",'Sections rachis &amp; L pennes'!Q15)</f>
        <v>30.466830466830466</v>
      </c>
      <c r="D16" s="623">
        <v>0.44700000000000001</v>
      </c>
      <c r="E16" s="623"/>
      <c r="F16" s="623"/>
      <c r="G16" s="987"/>
      <c r="H16" s="622">
        <v>0.32900000000000001</v>
      </c>
      <c r="I16" s="623"/>
      <c r="J16" s="623"/>
      <c r="K16" s="624"/>
      <c r="L16" s="626">
        <v>0.247</v>
      </c>
      <c r="M16" s="627"/>
      <c r="N16" s="627"/>
      <c r="O16" s="629"/>
      <c r="P16" s="932" t="s">
        <v>1245</v>
      </c>
      <c r="Q16" s="988">
        <f>IF('Sections rachis &amp; L pennes'!V15="","",'Sections rachis &amp; L pennes'!V15)</f>
        <v>28.55036855036855</v>
      </c>
      <c r="R16" s="626"/>
      <c r="S16" s="627"/>
      <c r="T16" s="628"/>
      <c r="U16" s="629">
        <v>0.54100000000000004</v>
      </c>
      <c r="V16" s="626"/>
      <c r="W16" s="627"/>
      <c r="X16" s="628"/>
      <c r="Y16" s="629">
        <v>0.35699999999999998</v>
      </c>
      <c r="Z16" s="626"/>
      <c r="AA16" s="627"/>
      <c r="AB16" s="628"/>
      <c r="AC16" s="629">
        <v>0.29599999999999999</v>
      </c>
    </row>
    <row r="17" spans="2:29" s="345" customFormat="1" ht="13.5" customHeight="1">
      <c r="C17" s="933" t="str">
        <f>IF('Sections rachis &amp; L pennes'!Q16="","",'Sections rachis &amp; L pennes'!Q16)</f>
        <v/>
      </c>
      <c r="D17" s="989"/>
      <c r="E17" s="990"/>
      <c r="F17" s="990"/>
      <c r="G17" s="991"/>
      <c r="H17" s="989"/>
      <c r="I17" s="990"/>
      <c r="J17" s="990"/>
      <c r="K17" s="991"/>
      <c r="L17" s="989"/>
      <c r="M17" s="990"/>
      <c r="N17" s="990"/>
      <c r="O17" s="992"/>
      <c r="P17" s="694"/>
      <c r="Q17" s="905" t="str">
        <f>IF('Sections rachis &amp; L pennes'!V16="","",'Sections rachis &amp; L pennes'!V16)</f>
        <v/>
      </c>
      <c r="R17" s="989"/>
      <c r="S17" s="990"/>
      <c r="T17" s="990"/>
      <c r="U17" s="991"/>
      <c r="V17" s="989"/>
      <c r="W17" s="990"/>
      <c r="X17" s="990"/>
      <c r="Y17" s="991"/>
      <c r="Z17" s="989"/>
      <c r="AA17" s="990"/>
      <c r="AB17" s="990"/>
      <c r="AC17" s="992"/>
    </row>
    <row r="18" spans="2:29" s="345" customFormat="1" ht="13.5" customHeight="1">
      <c r="C18" s="937">
        <f>IF('Sections rachis &amp; L pennes'!Q17="","",'Sections rachis &amp; L pennes'!Q17)</f>
        <v>10</v>
      </c>
      <c r="D18" s="907">
        <f>IF('Sections rachis &amp; L pennes'!R17="","",($E$70+$E$71*$C18+$E$72*100*'Sections rachis &amp; L pennes'!R17/'Sections rachis &amp; L pennes'!$P$40)*'Sections rachis &amp; L pennes'!$L45*$F$70/100)</f>
        <v>0.67308843294836695</v>
      </c>
      <c r="E18" s="908" t="str">
        <f>IF('Sections rachis &amp; L pennes'!S17="","",($E$70+$E$71*$C18+$E$72*100*'Sections rachis &amp; L pennes'!S17/'Sections rachis &amp; L pennes'!$P$40)*'Sections rachis &amp; L pennes'!$L45*$F$70/100)</f>
        <v/>
      </c>
      <c r="F18" s="908" t="str">
        <f>IF('Sections rachis &amp; L pennes'!T17="","",($E$70+$E$71*$C18+$E$72*100*'Sections rachis &amp; L pennes'!T17/'Sections rachis &amp; L pennes'!$P$40)*'Sections rachis &amp; L pennes'!$L45*$F$70/100)</f>
        <v/>
      </c>
      <c r="G18" s="909" t="str">
        <f>IF('Sections rachis &amp; L pennes'!U17="","",($E$70+$E$71*$C18+$E$72*100*'Sections rachis &amp; L pennes'!U17/'Sections rachis &amp; L pennes'!$P$40)*'Sections rachis &amp; L pennes'!$L45*$F$70/100)</f>
        <v/>
      </c>
      <c r="H18" s="907">
        <f>IF('Sections rachis &amp; L pennes'!R17="","",($I$70+$I$71*$C18+$I$72*100*'Sections rachis &amp; L pennes'!R17/'Sections rachis &amp; L pennes'!$P$40)*'Sections rachis &amp; L pennes'!$L45*$J$70/100)</f>
        <v>0.73289380400238213</v>
      </c>
      <c r="I18" s="908" t="str">
        <f>IF('Sections rachis &amp; L pennes'!S17="","",($I$70+$I$71*$C18+$I$72*100*'Sections rachis &amp; L pennes'!S17/'Sections rachis &amp; L pennes'!$P$40)*'Sections rachis &amp; L pennes'!$L45*$J$70/100)</f>
        <v/>
      </c>
      <c r="J18" s="908" t="str">
        <f>IF('Sections rachis &amp; L pennes'!T17="","",($I$70+$I$71*$C18+$I$72*100*'Sections rachis &amp; L pennes'!T17/'Sections rachis &amp; L pennes'!$P$40)*'Sections rachis &amp; L pennes'!$L45*$J$70/100)</f>
        <v/>
      </c>
      <c r="K18" s="909" t="str">
        <f>IF('Sections rachis &amp; L pennes'!U17="","",($I$70+$I$71*$C18+$I$72*100*'Sections rachis &amp; L pennes'!U17/'Sections rachis &amp; L pennes'!$P$40)*'Sections rachis &amp; L pennes'!$L45*$J$70/100)</f>
        <v/>
      </c>
      <c r="L18" s="907">
        <f>IF('Sections rachis &amp; L pennes'!R17="","",($M$70+$M$71*$C18+$M$72*100*'Sections rachis &amp; L pennes'!R17/'Sections rachis &amp; L pennes'!$P$40)*'Sections rachis &amp; L pennes'!$L45*$N$70/100)</f>
        <v>0.58163181452387602</v>
      </c>
      <c r="M18" s="908" t="str">
        <f>IF('Sections rachis &amp; L pennes'!S17="","",($M$70+$M$71*$C18+$M$72*100*'Sections rachis &amp; L pennes'!S17/'Sections rachis &amp; L pennes'!$P$40)*'Sections rachis &amp; L pennes'!$L45*$N$70/100)</f>
        <v/>
      </c>
      <c r="N18" s="908" t="str">
        <f>IF('Sections rachis &amp; L pennes'!T17="","",($M$70+$M$71*$C18+$M$72*100*'Sections rachis &amp; L pennes'!T17/'Sections rachis &amp; L pennes'!$P$40)*'Sections rachis &amp; L pennes'!$L45*$N$70/100)</f>
        <v/>
      </c>
      <c r="O18" s="910" t="str">
        <f>IF('Sections rachis &amp; L pennes'!U17="","",($M$70+$M$71*$C18+$M$72*100*'Sections rachis &amp; L pennes'!U17/'Sections rachis &amp; L pennes'!$P$40)*'Sections rachis &amp; L pennes'!$L45*$N$70/100)</f>
        <v/>
      </c>
      <c r="P18" s="694"/>
      <c r="Q18" s="911">
        <f>IF('Sections rachis &amp; L pennes'!V17="","",'Sections rachis &amp; L pennes'!V17)</f>
        <v>10</v>
      </c>
      <c r="R18" s="907">
        <f>IF('Sections rachis &amp; L pennes'!W17="","",($E$70+$E$71*$Q18+$E$72*100*'Sections rachis &amp; L pennes'!W17/'Sections rachis &amp; L pennes'!$P$40)*'Sections rachis &amp; L pennes'!$L45*$F$70/100)</f>
        <v>0.67657883182619893</v>
      </c>
      <c r="S18" s="908" t="str">
        <f>IF('Sections rachis &amp; L pennes'!X17="","",($E$70+$E$71*$Q18+$E$72*100*'Sections rachis &amp; L pennes'!X17/'Sections rachis &amp; L pennes'!$P$40)*'Sections rachis &amp; L pennes'!$L45*$F$70/100)</f>
        <v/>
      </c>
      <c r="T18" s="908" t="str">
        <f>IF('Sections rachis &amp; L pennes'!Y17="","",($E$70+$E$71*$Q18+$E$72*100*'Sections rachis &amp; L pennes'!Y17/'Sections rachis &amp; L pennes'!$P$40)*'Sections rachis &amp; L pennes'!$L45*$F$70/100)</f>
        <v/>
      </c>
      <c r="U18" s="909">
        <f>IF('Sections rachis &amp; L pennes'!Z17="","",($E$70+$E$71*$Q18+$E$72*100*'Sections rachis &amp; L pennes'!Z17/'Sections rachis &amp; L pennes'!$P$40)*'Sections rachis &amp; L pennes'!$L45*$F$70/100)</f>
        <v>0.67034597668721307</v>
      </c>
      <c r="V18" s="907">
        <f>IF('Sections rachis &amp; L pennes'!W17="","",($I$70+$I$71*$Q18+$I$72*100*'Sections rachis &amp; L pennes'!W17/'Sections rachis &amp; L pennes'!$P$40)*'Sections rachis &amp; L pennes'!$L45*$J$70/100)</f>
        <v>0.74844496547029238</v>
      </c>
      <c r="W18" s="908" t="str">
        <f>IF('Sections rachis &amp; L pennes'!X17="","",($I$70+$I$71*$Q18+$I$72*100*'Sections rachis &amp; L pennes'!X17/'Sections rachis &amp; L pennes'!$P$40)*'Sections rachis &amp; L pennes'!$L45*$J$70/100)</f>
        <v/>
      </c>
      <c r="X18" s="908" t="str">
        <f>IF('Sections rachis &amp; L pennes'!Y17="","",($I$70+$I$71*$Q18+$I$72*100*'Sections rachis &amp; L pennes'!Y17/'Sections rachis &amp; L pennes'!$P$40)*'Sections rachis &amp; L pennes'!$L45*$J$70/100)</f>
        <v/>
      </c>
      <c r="Y18" s="909">
        <f>IF('Sections rachis &amp; L pennes'!Z17="","",($I$70+$I$71*$Q18+$I$72*100*'Sections rachis &amp; L pennes'!Z17/'Sections rachis &amp; L pennes'!$P$40)*'Sections rachis &amp; L pennes'!$L45*$J$70/100)</f>
        <v>0.72067503427759561</v>
      </c>
      <c r="Z18" s="907">
        <f>IF('Sections rachis &amp; L pennes'!W17="","",($M$70+$M$71*$Q18+$M$72*100*'Sections rachis &amp; L pennes'!W17/'Sections rachis &amp; L pennes'!$P$40)*'Sections rachis &amp; L pennes'!$L45*$N$70/100)</f>
        <v>0.6034146058276747</v>
      </c>
      <c r="AA18" s="908" t="str">
        <f>IF('Sections rachis &amp; L pennes'!X17="","",($M$70+$M$71*$Q18+$M$72*100*'Sections rachis &amp; L pennes'!X17/'Sections rachis &amp; L pennes'!$P$40)*'Sections rachis &amp; L pennes'!$L45*$N$70/100)</f>
        <v/>
      </c>
      <c r="AB18" s="908" t="str">
        <f>IF('Sections rachis &amp; L pennes'!Y17="","",($M$70+$M$71*$Q18+$M$72*100*'Sections rachis &amp; L pennes'!Y17/'Sections rachis &amp; L pennes'!$P$40)*'Sections rachis &amp; L pennes'!$L45*$N$70/100)</f>
        <v/>
      </c>
      <c r="AC18" s="910">
        <f>IF('Sections rachis &amp; L pennes'!Z17="","",($M$70+$M$71*$Q18+$M$72*100*'Sections rachis &amp; L pennes'!Z17/'Sections rachis &amp; L pennes'!$P$40)*'Sections rachis &amp; L pennes'!$L45*$N$70/100)</f>
        <v>0.56451676421374863</v>
      </c>
    </row>
    <row r="19" spans="2:29" s="345" customFormat="1">
      <c r="C19" s="937">
        <f>IF('Sections rachis &amp; L pennes'!Q18="","",'Sections rachis &amp; L pennes'!Q18)</f>
        <v>20</v>
      </c>
      <c r="D19" s="907">
        <f>IF('Sections rachis &amp; L pennes'!R18="","",($E$70+$E$71*$C19+$E$72*100*'Sections rachis &amp; L pennes'!R18/'Sections rachis &amp; L pennes'!$P$40)*'Sections rachis &amp; L pennes'!$L46*$F$70/100)</f>
        <v>0.82267840796526348</v>
      </c>
      <c r="E19" s="908" t="str">
        <f>IF('Sections rachis &amp; L pennes'!S18="","",($E$70+$E$71*$C19+$E$72*100*'Sections rachis &amp; L pennes'!S18/'Sections rachis &amp; L pennes'!$P$40)*'Sections rachis &amp; L pennes'!$L46*$F$70/100)</f>
        <v/>
      </c>
      <c r="F19" s="908" t="str">
        <f>IF('Sections rachis &amp; L pennes'!T18="","",($E$70+$E$71*$C19+$E$72*100*'Sections rachis &amp; L pennes'!T18/'Sections rachis &amp; L pennes'!$P$40)*'Sections rachis &amp; L pennes'!$L46*$F$70/100)</f>
        <v/>
      </c>
      <c r="G19" s="909" t="str">
        <f>IF('Sections rachis &amp; L pennes'!U18="","",($E$70+$E$71*$C19+$E$72*100*'Sections rachis &amp; L pennes'!U18/'Sections rachis &amp; L pennes'!$P$40)*'Sections rachis &amp; L pennes'!$L46*$F$70/100)</f>
        <v/>
      </c>
      <c r="H19" s="907">
        <f>IF('Sections rachis &amp; L pennes'!R18="","",($I$70+$I$71*$C19+$I$72*100*'Sections rachis &amp; L pennes'!R18/'Sections rachis &amp; L pennes'!$P$40)*'Sections rachis &amp; L pennes'!$L46*$J$70/100)</f>
        <v>1.0038307193656588</v>
      </c>
      <c r="I19" s="908" t="str">
        <f>IF('Sections rachis &amp; L pennes'!S18="","",($I$70+$I$71*$C19+$I$72*100*'Sections rachis &amp; L pennes'!S18/'Sections rachis &amp; L pennes'!$P$40)*'Sections rachis &amp; L pennes'!$L46*$J$70/100)</f>
        <v/>
      </c>
      <c r="J19" s="908" t="str">
        <f>IF('Sections rachis &amp; L pennes'!T18="","",($I$70+$I$71*$C19+$I$72*100*'Sections rachis &amp; L pennes'!T18/'Sections rachis &amp; L pennes'!$P$40)*'Sections rachis &amp; L pennes'!$L46*$J$70/100)</f>
        <v/>
      </c>
      <c r="K19" s="909" t="str">
        <f>IF('Sections rachis &amp; L pennes'!U18="","",($I$70+$I$71*$C19+$I$72*100*'Sections rachis &amp; L pennes'!U18/'Sections rachis &amp; L pennes'!$P$40)*'Sections rachis &amp; L pennes'!$L46*$J$70/100)</f>
        <v/>
      </c>
      <c r="L19" s="907">
        <f>IF('Sections rachis &amp; L pennes'!R18="","",($M$70+$M$71*$C19+$M$72*100*'Sections rachis &amp; L pennes'!R18/'Sections rachis &amp; L pennes'!$P$40)*'Sections rachis &amp; L pennes'!$L46*$N$70/100)</f>
        <v>0.75128174045242868</v>
      </c>
      <c r="M19" s="908" t="str">
        <f>IF('Sections rachis &amp; L pennes'!S18="","",($M$70+$M$71*$C19+$M$72*100*'Sections rachis &amp; L pennes'!S18/'Sections rachis &amp; L pennes'!$P$40)*'Sections rachis &amp; L pennes'!$L46*$N$70/100)</f>
        <v/>
      </c>
      <c r="N19" s="908" t="str">
        <f>IF('Sections rachis &amp; L pennes'!T18="","",($M$70+$M$71*$C19+$M$72*100*'Sections rachis &amp; L pennes'!T18/'Sections rachis &amp; L pennes'!$P$40)*'Sections rachis &amp; L pennes'!$L46*$N$70/100)</f>
        <v/>
      </c>
      <c r="O19" s="910" t="str">
        <f>IF('Sections rachis &amp; L pennes'!U18="","",($M$70+$M$71*$C19+$M$72*100*'Sections rachis &amp; L pennes'!U18/'Sections rachis &amp; L pennes'!$P$40)*'Sections rachis &amp; L pennes'!$L46*$N$70/100)</f>
        <v/>
      </c>
      <c r="P19" s="694"/>
      <c r="Q19" s="911">
        <f>IF('Sections rachis &amp; L pennes'!V18="","",'Sections rachis &amp; L pennes'!V18)</f>
        <v>20</v>
      </c>
      <c r="R19" s="907">
        <f>IF('Sections rachis &amp; L pennes'!W18="","",($E$70+$E$71*$Q19+$E$72*100*'Sections rachis &amp; L pennes'!W18/'Sections rachis &amp; L pennes'!$P$40)*'Sections rachis &amp; L pennes'!$L46*$F$70/100)</f>
        <v>0.82212079056639542</v>
      </c>
      <c r="S19" s="908" t="str">
        <f>IF('Sections rachis &amp; L pennes'!X18="","",($E$70+$E$71*$Q19+$E$72*100*'Sections rachis &amp; L pennes'!X18/'Sections rachis &amp; L pennes'!$P$40)*'Sections rachis &amp; L pennes'!$L46*$F$70/100)</f>
        <v/>
      </c>
      <c r="T19" s="908" t="str">
        <f>IF('Sections rachis &amp; L pennes'!Y18="","",($E$70+$E$71*$Q19+$E$72*100*'Sections rachis &amp; L pennes'!Y18/'Sections rachis &amp; L pennes'!$P$40)*'Sections rachis &amp; L pennes'!$L46*$F$70/100)</f>
        <v/>
      </c>
      <c r="U19" s="909" t="str">
        <f>IF('Sections rachis &amp; L pennes'!Z18="","",($E$70+$E$71*$Q19+$E$72*100*'Sections rachis &amp; L pennes'!Z18/'Sections rachis &amp; L pennes'!$P$40)*'Sections rachis &amp; L pennes'!$L46*$F$70/100)</f>
        <v/>
      </c>
      <c r="V19" s="907">
        <f>IF('Sections rachis &amp; L pennes'!W18="","",($I$70+$I$71*$Q19+$I$72*100*'Sections rachis &amp; L pennes'!W18/'Sections rachis &amp; L pennes'!$P$40)*'Sections rachis &amp; L pennes'!$L46*$J$70/100)</f>
        <v>1.0013463046868143</v>
      </c>
      <c r="W19" s="908" t="str">
        <f>IF('Sections rachis &amp; L pennes'!X18="","",($I$70+$I$71*$Q19+$I$72*100*'Sections rachis &amp; L pennes'!X18/'Sections rachis &amp; L pennes'!$P$40)*'Sections rachis &amp; L pennes'!$L46*$J$70/100)</f>
        <v/>
      </c>
      <c r="X19" s="908" t="str">
        <f>IF('Sections rachis &amp; L pennes'!Y18="","",($I$70+$I$71*$Q19+$I$72*100*'Sections rachis &amp; L pennes'!Y18/'Sections rachis &amp; L pennes'!$P$40)*'Sections rachis &amp; L pennes'!$L46*$J$70/100)</f>
        <v/>
      </c>
      <c r="Y19" s="909" t="str">
        <f>IF('Sections rachis &amp; L pennes'!Z18="","",($I$70+$I$71*$Q19+$I$72*100*'Sections rachis &amp; L pennes'!Z18/'Sections rachis &amp; L pennes'!$P$40)*'Sections rachis &amp; L pennes'!$L46*$J$70/100)</f>
        <v/>
      </c>
      <c r="Z19" s="907">
        <f>IF('Sections rachis &amp; L pennes'!W18="","",($M$70+$M$71*$Q19+$M$72*100*'Sections rachis &amp; L pennes'!W18/'Sections rachis &amp; L pennes'!$P$40)*'Sections rachis &amp; L pennes'!$L46*$N$70/100)</f>
        <v>0.74780177616982302</v>
      </c>
      <c r="AA19" s="908" t="str">
        <f>IF('Sections rachis &amp; L pennes'!X18="","",($M$70+$M$71*$Q19+$M$72*100*'Sections rachis &amp; L pennes'!X18/'Sections rachis &amp; L pennes'!$P$40)*'Sections rachis &amp; L pennes'!$L46*$N$70/100)</f>
        <v/>
      </c>
      <c r="AB19" s="908" t="str">
        <f>IF('Sections rachis &amp; L pennes'!Y18="","",($M$70+$M$71*$Q19+$M$72*100*'Sections rachis &amp; L pennes'!Y18/'Sections rachis &amp; L pennes'!$P$40)*'Sections rachis &amp; L pennes'!$L46*$N$70/100)</f>
        <v/>
      </c>
      <c r="AC19" s="910" t="str">
        <f>IF('Sections rachis &amp; L pennes'!Z18="","",($M$70+$M$71*$Q19+$M$72*100*'Sections rachis &amp; L pennes'!Z18/'Sections rachis &amp; L pennes'!$P$40)*'Sections rachis &amp; L pennes'!$L46*$N$70/100)</f>
        <v/>
      </c>
    </row>
    <row r="20" spans="2:29" s="345" customFormat="1" ht="13.5" customHeight="1">
      <c r="C20" s="937">
        <f>IF('Sections rachis &amp; L pennes'!Q19="","",'Sections rachis &amp; L pennes'!Q19)</f>
        <v>30</v>
      </c>
      <c r="D20" s="907">
        <f>IF('Sections rachis &amp; L pennes'!R19="","",($E$70+$E$71*$C20+$E$72*100*'Sections rachis &amp; L pennes'!R19/'Sections rachis &amp; L pennes'!$P$40)*'Sections rachis &amp; L pennes'!$L47*$F$70/100)</f>
        <v>0.86543405362736547</v>
      </c>
      <c r="E20" s="908" t="str">
        <f>IF('Sections rachis &amp; L pennes'!S19="","",($E$70+$E$71*$C20+$E$72*100*'Sections rachis &amp; L pennes'!S19/'Sections rachis &amp; L pennes'!$P$40)*'Sections rachis &amp; L pennes'!$L47*$F$70/100)</f>
        <v/>
      </c>
      <c r="F20" s="908" t="str">
        <f>IF('Sections rachis &amp; L pennes'!T19="","",($E$70+$E$71*$C20+$E$72*100*'Sections rachis &amp; L pennes'!T19/'Sections rachis &amp; L pennes'!$P$40)*'Sections rachis &amp; L pennes'!$L47*$F$70/100)</f>
        <v/>
      </c>
      <c r="G20" s="909">
        <f>IF('Sections rachis &amp; L pennes'!U19="","",($E$70+$E$71*$C20+$E$72*100*'Sections rachis &amp; L pennes'!U19/'Sections rachis &amp; L pennes'!$P$40)*'Sections rachis &amp; L pennes'!$L47*$F$70/100)</f>
        <v>0.85867202679289534</v>
      </c>
      <c r="H20" s="907">
        <f>IF('Sections rachis &amp; L pennes'!R19="","",($I$70+$I$71*$C20+$I$72*100*'Sections rachis &amp; L pennes'!R19/'Sections rachis &amp; L pennes'!$P$40)*'Sections rachis &amp; L pennes'!$L47*$J$70/100)</f>
        <v>0.85145850981100268</v>
      </c>
      <c r="I20" s="908" t="str">
        <f>IF('Sections rachis &amp; L pennes'!S19="","",($I$70+$I$71*$C20+$I$72*100*'Sections rachis &amp; L pennes'!S19/'Sections rachis &amp; L pennes'!$P$40)*'Sections rachis &amp; L pennes'!$L47*$J$70/100)</f>
        <v/>
      </c>
      <c r="J20" s="908" t="str">
        <f>IF('Sections rachis &amp; L pennes'!T19="","",($I$70+$I$71*$C20+$I$72*100*'Sections rachis &amp; L pennes'!T19/'Sections rachis &amp; L pennes'!$P$40)*'Sections rachis &amp; L pennes'!$L47*$J$70/100)</f>
        <v/>
      </c>
      <c r="K20" s="909">
        <f>IF('Sections rachis &amp; L pennes'!U19="","",($I$70+$I$71*$C20+$I$72*100*'Sections rachis &amp; L pennes'!U19/'Sections rachis &amp; L pennes'!$P$40)*'Sections rachis &amp; L pennes'!$L47*$J$70/100)</f>
        <v>0.8213309012385116</v>
      </c>
      <c r="L20" s="907">
        <f>IF('Sections rachis &amp; L pennes'!R19="","",($M$70+$M$71*$C20+$M$72*100*'Sections rachis &amp; L pennes'!R19/'Sections rachis &amp; L pennes'!$P$40)*'Sections rachis &amp; L pennes'!$L47*$N$70/100)</f>
        <v>0.38412474707121985</v>
      </c>
      <c r="M20" s="908" t="str">
        <f>IF('Sections rachis &amp; L pennes'!S19="","",($M$70+$M$71*$C20+$M$72*100*'Sections rachis &amp; L pennes'!S19/'Sections rachis &amp; L pennes'!$P$40)*'Sections rachis &amp; L pennes'!$L47*$N$70/100)</f>
        <v/>
      </c>
      <c r="N20" s="908" t="str">
        <f>IF('Sections rachis &amp; L pennes'!T19="","",($M$70+$M$71*$C20+$M$72*100*'Sections rachis &amp; L pennes'!T19/'Sections rachis &amp; L pennes'!$P$40)*'Sections rachis &amp; L pennes'!$L47*$N$70/100)</f>
        <v/>
      </c>
      <c r="O20" s="910">
        <f>IF('Sections rachis &amp; L pennes'!U19="","",($M$70+$M$71*$C20+$M$72*100*'Sections rachis &amp; L pennes'!U19/'Sections rachis &amp; L pennes'!$P$40)*'Sections rachis &amp; L pennes'!$L47*$N$70/100)</f>
        <v>0.34192446438678464</v>
      </c>
      <c r="P20" s="694"/>
      <c r="Q20" s="911">
        <f>IF('Sections rachis &amp; L pennes'!V19="","",'Sections rachis &amp; L pennes'!V19)</f>
        <v>30</v>
      </c>
      <c r="R20" s="907">
        <f>IF('Sections rachis &amp; L pennes'!W19="","",($E$70+$E$71*$Q20+$E$72*100*'Sections rachis &amp; L pennes'!W19/'Sections rachis &amp; L pennes'!$P$40)*'Sections rachis &amp; L pennes'!$L47*$F$70/100)</f>
        <v>0.86958347918488144</v>
      </c>
      <c r="S20" s="908" t="str">
        <f>IF('Sections rachis &amp; L pennes'!X19="","",($E$70+$E$71*$Q20+$E$72*100*'Sections rachis &amp; L pennes'!X19/'Sections rachis &amp; L pennes'!$P$40)*'Sections rachis &amp; L pennes'!$L47*$F$70/100)</f>
        <v/>
      </c>
      <c r="T20" s="908" t="str">
        <f>IF('Sections rachis &amp; L pennes'!Y19="","",($E$70+$E$71*$Q20+$E$72*100*'Sections rachis &amp; L pennes'!Y19/'Sections rachis &amp; L pennes'!$P$40)*'Sections rachis &amp; L pennes'!$L47*$F$70/100)</f>
        <v/>
      </c>
      <c r="U20" s="909">
        <f>IF('Sections rachis &amp; L pennes'!Z19="","",($E$70+$E$71*$Q20+$E$72*100*'Sections rachis &amp; L pennes'!Z19/'Sections rachis &amp; L pennes'!$P$40)*'Sections rachis &amp; L pennes'!$L47*$F$70/100)</f>
        <v>0.86435827663097253</v>
      </c>
      <c r="V20" s="907">
        <f>IF('Sections rachis &amp; L pennes'!W19="","",($I$70+$I$71*$Q20+$I$72*100*'Sections rachis &amp; L pennes'!W19/'Sections rachis &amp; L pennes'!$P$40)*'Sections rachis &amp; L pennes'!$L47*$J$70/100)</f>
        <v>0.86994590598048593</v>
      </c>
      <c r="W20" s="908" t="str">
        <f>IF('Sections rachis &amp; L pennes'!X19="","",($I$70+$I$71*$Q20+$I$72*100*'Sections rachis &amp; L pennes'!X19/'Sections rachis &amp; L pennes'!$P$40)*'Sections rachis &amp; L pennes'!$L47*$J$70/100)</f>
        <v/>
      </c>
      <c r="X20" s="908" t="str">
        <f>IF('Sections rachis &amp; L pennes'!Y19="","",($I$70+$I$71*$Q20+$I$72*100*'Sections rachis &amp; L pennes'!Y19/'Sections rachis &amp; L pennes'!$P$40)*'Sections rachis &amp; L pennes'!$L47*$J$70/100)</f>
        <v/>
      </c>
      <c r="Y20" s="909">
        <f>IF('Sections rachis &amp; L pennes'!Z19="","",($I$70+$I$71*$Q20+$I$72*100*'Sections rachis &amp; L pennes'!Z19/'Sections rachis &amp; L pennes'!$P$40)*'Sections rachis &amp; L pennes'!$L47*$J$70/100)</f>
        <v>0.84666548117447005</v>
      </c>
      <c r="Z20" s="907">
        <f>IF('Sections rachis &amp; L pennes'!W19="","",($M$70+$M$71*$Q20+$M$72*100*'Sections rachis &amp; L pennes'!W19/'Sections rachis &amp; L pennes'!$P$40)*'Sections rachis &amp; L pennes'!$L47*$N$70/100)</f>
        <v>0.41002037508212341</v>
      </c>
      <c r="AA20" s="908" t="str">
        <f>IF('Sections rachis &amp; L pennes'!X19="","",($M$70+$M$71*$Q20+$M$72*100*'Sections rachis &amp; L pennes'!X19/'Sections rachis &amp; L pennes'!$P$40)*'Sections rachis &amp; L pennes'!$L47*$N$70/100)</f>
        <v/>
      </c>
      <c r="AB20" s="908" t="str">
        <f>IF('Sections rachis &amp; L pennes'!Y19="","",($M$70+$M$71*$Q20+$M$72*100*'Sections rachis &amp; L pennes'!Y19/'Sections rachis &amp; L pennes'!$P$40)*'Sections rachis &amp; L pennes'!$L47*$N$70/100)</f>
        <v/>
      </c>
      <c r="AC20" s="910">
        <f>IF('Sections rachis &amp; L pennes'!Z19="","",($M$70+$M$71*$Q20+$M$72*100*'Sections rachis &amp; L pennes'!Z19/'Sections rachis &amp; L pennes'!$P$40)*'Sections rachis &amp; L pennes'!$L47*$N$70/100)</f>
        <v>0.37741106573505989</v>
      </c>
    </row>
    <row r="21" spans="2:29" s="345" customFormat="1">
      <c r="C21" s="937">
        <f>IF('Sections rachis &amp; L pennes'!Q20="","",'Sections rachis &amp; L pennes'!Q20)</f>
        <v>40</v>
      </c>
      <c r="D21" s="907">
        <f>IF('Sections rachis &amp; L pennes'!R20="","",($E$70+$E$71*$C21+$E$72*100*'Sections rachis &amp; L pennes'!R20/'Sections rachis &amp; L pennes'!$P$40)*'Sections rachis &amp; L pennes'!$L48*$F$70/100)</f>
        <v>1.0049230779698031</v>
      </c>
      <c r="E21" s="908">
        <f>IF('Sections rachis &amp; L pennes'!S20="","",($E$70+$E$71*$C21+$E$72*100*'Sections rachis &amp; L pennes'!S20/'Sections rachis &amp; L pennes'!$P$40)*'Sections rachis &amp; L pennes'!$L48*$F$70/100)</f>
        <v>1.0019525659672561</v>
      </c>
      <c r="F21" s="908" t="str">
        <f>IF('Sections rachis &amp; L pennes'!T20="","",($E$70+$E$71*$C21+$E$72*100*'Sections rachis &amp; L pennes'!T20/'Sections rachis &amp; L pennes'!$P$40)*'Sections rachis &amp; L pennes'!$L48*$F$70/100)</f>
        <v/>
      </c>
      <c r="G21" s="909">
        <f>IF('Sections rachis &amp; L pennes'!U20="","",($E$70+$E$71*$C21+$E$72*100*'Sections rachis &amp; L pennes'!U20/'Sections rachis &amp; L pennes'!$P$40)*'Sections rachis &amp; L pennes'!$L48*$F$70/100)</f>
        <v>1.0006023332388256</v>
      </c>
      <c r="H21" s="907">
        <f>IF('Sections rachis &amp; L pennes'!R20="","",($I$70+$I$71*$C21+$I$72*100*'Sections rachis &amp; L pennes'!R20/'Sections rachis &amp; L pennes'!$P$40)*'Sections rachis &amp; L pennes'!$L48*$J$70/100)</f>
        <v>1.1315071282498144</v>
      </c>
      <c r="I21" s="908">
        <f>IF('Sections rachis &amp; L pennes'!S20="","",($I$70+$I$71*$C21+$I$72*100*'Sections rachis &amp; L pennes'!S20/'Sections rachis &amp; L pennes'!$P$40)*'Sections rachis &amp; L pennes'!$L48*$J$70/100)</f>
        <v>1.1182722764718809</v>
      </c>
      <c r="J21" s="908" t="str">
        <f>IF('Sections rachis &amp; L pennes'!T20="","",($I$70+$I$71*$C21+$I$72*100*'Sections rachis &amp; L pennes'!T20/'Sections rachis &amp; L pennes'!$P$40)*'Sections rachis &amp; L pennes'!$L48*$J$70/100)</f>
        <v/>
      </c>
      <c r="K21" s="909">
        <f>IF('Sections rachis &amp; L pennes'!U20="","",($I$70+$I$71*$C21+$I$72*100*'Sections rachis &amp; L pennes'!U20/'Sections rachis &amp; L pennes'!$P$40)*'Sections rachis &amp; L pennes'!$L48*$J$70/100)</f>
        <v>1.1122564347546382</v>
      </c>
      <c r="L21" s="907">
        <f>IF('Sections rachis &amp; L pennes'!R20="","",($M$70+$M$71*$C21+$M$72*100*'Sections rachis &amp; L pennes'!R20/'Sections rachis &amp; L pennes'!$P$40)*'Sections rachis &amp; L pennes'!$L48*$N$70/100)</f>
        <v>0.63986587884303958</v>
      </c>
      <c r="M21" s="908">
        <f>IF('Sections rachis &amp; L pennes'!S20="","",($M$70+$M$71*$C21+$M$72*100*'Sections rachis &amp; L pennes'!S20/'Sections rachis &amp; L pennes'!$P$40)*'Sections rachis &amp; L pennes'!$L48*$N$70/100)</f>
        <v>0.62132758414329459</v>
      </c>
      <c r="N21" s="908" t="str">
        <f>IF('Sections rachis &amp; L pennes'!T20="","",($M$70+$M$71*$C21+$M$72*100*'Sections rachis &amp; L pennes'!T20/'Sections rachis &amp; L pennes'!$P$40)*'Sections rachis &amp; L pennes'!$L48*$N$70/100)</f>
        <v/>
      </c>
      <c r="O21" s="910">
        <f>IF('Sections rachis &amp; L pennes'!U20="","",($M$70+$M$71*$C21+$M$72*100*'Sections rachis &amp; L pennes'!U20/'Sections rachis &amp; L pennes'!$P$40)*'Sections rachis &amp; L pennes'!$L48*$N$70/100)</f>
        <v>0.61290108655250153</v>
      </c>
      <c r="P21" s="694"/>
      <c r="Q21" s="911">
        <f>IF('Sections rachis &amp; L pennes'!V20="","",'Sections rachis &amp; L pennes'!V20)</f>
        <v>40</v>
      </c>
      <c r="R21" s="907">
        <f>IF('Sections rachis &amp; L pennes'!W20="","",($E$70+$E$71*$Q21+$E$72*100*'Sections rachis &amp; L pennes'!W20/'Sections rachis &amp; L pennes'!$P$40)*'Sections rachis &amp; L pennes'!$L48*$F$70/100)</f>
        <v>1.0064083339710765</v>
      </c>
      <c r="S21" s="908" t="str">
        <f>IF('Sections rachis &amp; L pennes'!X20="","",($E$70+$E$71*$Q21+$E$72*100*'Sections rachis &amp; L pennes'!X20/'Sections rachis &amp; L pennes'!$P$40)*'Sections rachis &amp; L pennes'!$L48*$F$70/100)</f>
        <v/>
      </c>
      <c r="T21" s="908" t="str">
        <f>IF('Sections rachis &amp; L pennes'!Y20="","",($E$70+$E$71*$Q21+$E$72*100*'Sections rachis &amp; L pennes'!Y20/'Sections rachis &amp; L pennes'!$P$40)*'Sections rachis &amp; L pennes'!$L48*$F$70/100)</f>
        <v/>
      </c>
      <c r="U21" s="909">
        <f>IF('Sections rachis &amp; L pennes'!Z20="","",($E$70+$E$71*$Q21+$E$72*100*'Sections rachis &amp; L pennes'!Z20/'Sections rachis &amp; L pennes'!$P$40)*'Sections rachis &amp; L pennes'!$L48*$F$70/100)</f>
        <v>1.0046665337514014</v>
      </c>
      <c r="V21" s="907">
        <f>IF('Sections rachis &amp; L pennes'!W20="","",($I$70+$I$71*$Q21+$I$72*100*'Sections rachis &amp; L pennes'!W20/'Sections rachis &amp; L pennes'!$P$40)*'Sections rachis &amp; L pennes'!$L48*$J$70/100)</f>
        <v>1.1381245541387814</v>
      </c>
      <c r="W21" s="908" t="str">
        <f>IF('Sections rachis &amp; L pennes'!X20="","",($I$70+$I$71*$Q21+$I$72*100*'Sections rachis &amp; L pennes'!X20/'Sections rachis &amp; L pennes'!$P$40)*'Sections rachis &amp; L pennes'!$L48*$J$70/100)</f>
        <v/>
      </c>
      <c r="X21" s="908" t="str">
        <f>IF('Sections rachis &amp; L pennes'!Y20="","",($I$70+$I$71*$Q21+$I$72*100*'Sections rachis &amp; L pennes'!Y20/'Sections rachis &amp; L pennes'!$P$40)*'Sections rachis &amp; L pennes'!$L48*$J$70/100)</f>
        <v/>
      </c>
      <c r="Y21" s="909">
        <f>IF('Sections rachis &amp; L pennes'!Z20="","",($I$70+$I$71*$Q21+$I$72*100*'Sections rachis &amp; L pennes'!Z20/'Sections rachis &amp; L pennes'!$P$40)*'Sections rachis &amp; L pennes'!$L48*$J$70/100)</f>
        <v>1.1303641183235384</v>
      </c>
      <c r="Z21" s="907">
        <f>IF('Sections rachis &amp; L pennes'!W20="","",($M$70+$M$71*$Q21+$M$72*100*'Sections rachis &amp; L pennes'!W20/'Sections rachis &amp; L pennes'!$P$40)*'Sections rachis &amp; L pennes'!$L48*$N$70/100)</f>
        <v>0.64913502619291208</v>
      </c>
      <c r="AA21" s="908" t="str">
        <f>IF('Sections rachis &amp; L pennes'!X20="","",($M$70+$M$71*$Q21+$M$72*100*'Sections rachis &amp; L pennes'!X20/'Sections rachis &amp; L pennes'!$P$40)*'Sections rachis &amp; L pennes'!$L48*$N$70/100)</f>
        <v/>
      </c>
      <c r="AB21" s="908" t="str">
        <f>IF('Sections rachis &amp; L pennes'!Y20="","",($M$70+$M$71*$Q21+$M$72*100*'Sections rachis &amp; L pennes'!Y20/'Sections rachis &amp; L pennes'!$P$40)*'Sections rachis &amp; L pennes'!$L48*$N$70/100)</f>
        <v/>
      </c>
      <c r="AC21" s="910">
        <f>IF('Sections rachis &amp; L pennes'!Z20="","",($M$70+$M$71*$Q21+$M$72*100*'Sections rachis &amp; L pennes'!Z20/'Sections rachis &amp; L pennes'!$P$40)*'Sections rachis &amp; L pennes'!$L48*$N$70/100)</f>
        <v>0.63826484430078889</v>
      </c>
    </row>
    <row r="22" spans="2:29" s="345" customFormat="1">
      <c r="C22" s="937">
        <f>IF('Sections rachis &amp; L pennes'!Q21="","",'Sections rachis &amp; L pennes'!Q21)</f>
        <v>50</v>
      </c>
      <c r="D22" s="907">
        <f>IF('Sections rachis &amp; L pennes'!R21="","",($E$70+$E$71*$C22+$E$72*100*'Sections rachis &amp; L pennes'!R21/'Sections rachis &amp; L pennes'!$P$40)*'Sections rachis &amp; L pennes'!$L49*$F$70/100)</f>
        <v>1.1354652258543589</v>
      </c>
      <c r="E22" s="908" t="str">
        <f>IF('Sections rachis &amp; L pennes'!S21="","",($E$70+$E$71*$C22+$E$72*100*'Sections rachis &amp; L pennes'!S21/'Sections rachis &amp; L pennes'!$P$40)*'Sections rachis &amp; L pennes'!$L49*$F$70/100)</f>
        <v/>
      </c>
      <c r="F22" s="908" t="str">
        <f>IF('Sections rachis &amp; L pennes'!T21="","",($E$70+$E$71*$C22+$E$72*100*'Sections rachis &amp; L pennes'!T21/'Sections rachis &amp; L pennes'!$P$40)*'Sections rachis &amp; L pennes'!$L49*$F$70/100)</f>
        <v/>
      </c>
      <c r="G22" s="909">
        <f>IF('Sections rachis &amp; L pennes'!U21="","",($E$70+$E$71*$C22+$E$72*100*'Sections rachis &amp; L pennes'!U21/'Sections rachis &amp; L pennes'!$P$40)*'Sections rachis &amp; L pennes'!$L49*$F$70/100)</f>
        <v>1.1967132179970073</v>
      </c>
      <c r="H22" s="907">
        <f>IF('Sections rachis &amp; L pennes'!R21="","",($I$70+$I$71*$C22+$I$72*100*'Sections rachis &amp; L pennes'!R21/'Sections rachis &amp; L pennes'!$P$40)*'Sections rachis &amp; L pennes'!$L49*$J$70/100)</f>
        <v>1.3754944635120752</v>
      </c>
      <c r="I22" s="908" t="str">
        <f>IF('Sections rachis &amp; L pennes'!S21="","",($I$70+$I$71*$C22+$I$72*100*'Sections rachis &amp; L pennes'!S21/'Sections rachis &amp; L pennes'!$P$40)*'Sections rachis &amp; L pennes'!$L49*$J$70/100)</f>
        <v/>
      </c>
      <c r="J22" s="908" t="str">
        <f>IF('Sections rachis &amp; L pennes'!T21="","",($I$70+$I$71*$C22+$I$72*100*'Sections rachis &amp; L pennes'!T21/'Sections rachis &amp; L pennes'!$P$40)*'Sections rachis &amp; L pennes'!$L49*$J$70/100)</f>
        <v/>
      </c>
      <c r="K22" s="909">
        <f>IF('Sections rachis &amp; L pennes'!U21="","",($I$70+$I$71*$C22+$I$72*100*'Sections rachis &amp; L pennes'!U21/'Sections rachis &amp; L pennes'!$P$40)*'Sections rachis &amp; L pennes'!$L49*$J$70/100)</f>
        <v>1.6483794399097276</v>
      </c>
      <c r="L22" s="907">
        <f>IF('Sections rachis &amp; L pennes'!R21="","",($M$70+$M$71*$C22+$M$72*100*'Sections rachis &amp; L pennes'!R21/'Sections rachis &amp; L pennes'!$P$40)*'Sections rachis &amp; L pennes'!$L49*$N$70/100)</f>
        <v>0.85423979293434815</v>
      </c>
      <c r="M22" s="908" t="str">
        <f>IF('Sections rachis &amp; L pennes'!S21="","",($M$70+$M$71*$C22+$M$72*100*'Sections rachis &amp; L pennes'!S21/'Sections rachis &amp; L pennes'!$P$40)*'Sections rachis &amp; L pennes'!$L49*$N$70/100)</f>
        <v/>
      </c>
      <c r="N22" s="908" t="str">
        <f>IF('Sections rachis &amp; L pennes'!T21="","",($M$70+$M$71*$C22+$M$72*100*'Sections rachis &amp; L pennes'!T21/'Sections rachis &amp; L pennes'!$P$40)*'Sections rachis &amp; L pennes'!$L49*$N$70/100)</f>
        <v/>
      </c>
      <c r="O22" s="910">
        <f>IF('Sections rachis &amp; L pennes'!U21="","",($M$70+$M$71*$C22+$M$72*100*'Sections rachis &amp; L pennes'!U21/'Sections rachis &amp; L pennes'!$P$40)*'Sections rachis &amp; L pennes'!$L49*$N$70/100)</f>
        <v>1.2364746827898709</v>
      </c>
      <c r="P22" s="694"/>
      <c r="Q22" s="911">
        <f>IF('Sections rachis &amp; L pennes'!V21="","",'Sections rachis &amp; L pennes'!V21)</f>
        <v>50</v>
      </c>
      <c r="R22" s="907">
        <f>IF('Sections rachis &amp; L pennes'!W21="","",($E$70+$E$71*$Q22+$E$72*100*'Sections rachis &amp; L pennes'!W21/'Sections rachis &amp; L pennes'!$P$40)*'Sections rachis &amp; L pennes'!$L49*$F$70/100)</f>
        <v>1.1350970014526998</v>
      </c>
      <c r="S22" s="908" t="str">
        <f>IF('Sections rachis &amp; L pennes'!X21="","",($E$70+$E$71*$Q22+$E$72*100*'Sections rachis &amp; L pennes'!X21/'Sections rachis &amp; L pennes'!$P$40)*'Sections rachis &amp; L pennes'!$L49*$F$70/100)</f>
        <v/>
      </c>
      <c r="T22" s="908" t="str">
        <f>IF('Sections rachis &amp; L pennes'!Y21="","",($E$70+$E$71*$Q22+$E$72*100*'Sections rachis &amp; L pennes'!Y21/'Sections rachis &amp; L pennes'!$P$40)*'Sections rachis &amp; L pennes'!$L49*$F$70/100)</f>
        <v/>
      </c>
      <c r="U22" s="909" t="str">
        <f>IF('Sections rachis &amp; L pennes'!Z21="","",($E$70+$E$71*$Q22+$E$72*100*'Sections rachis &amp; L pennes'!Z21/'Sections rachis &amp; L pennes'!$P$40)*'Sections rachis &amp; L pennes'!$L49*$F$70/100)</f>
        <v/>
      </c>
      <c r="V22" s="907">
        <f>IF('Sections rachis &amp; L pennes'!W21="","",($I$70+$I$71*$Q22+$I$72*100*'Sections rachis &amp; L pennes'!W21/'Sections rachis &amp; L pennes'!$P$40)*'Sections rachis &amp; L pennes'!$L49*$J$70/100)</f>
        <v>1.3738538724716085</v>
      </c>
      <c r="W22" s="908" t="str">
        <f>IF('Sections rachis &amp; L pennes'!X21="","",($I$70+$I$71*$Q22+$I$72*100*'Sections rachis &amp; L pennes'!X21/'Sections rachis &amp; L pennes'!$P$40)*'Sections rachis &amp; L pennes'!$L49*$J$70/100)</f>
        <v/>
      </c>
      <c r="X22" s="908" t="str">
        <f>IF('Sections rachis &amp; L pennes'!Y21="","",($I$70+$I$71*$Q22+$I$72*100*'Sections rachis &amp; L pennes'!Y21/'Sections rachis &amp; L pennes'!$P$40)*'Sections rachis &amp; L pennes'!$L49*$J$70/100)</f>
        <v/>
      </c>
      <c r="Y22" s="909" t="str">
        <f>IF('Sections rachis &amp; L pennes'!Z21="","",($I$70+$I$71*$Q22+$I$72*100*'Sections rachis &amp; L pennes'!Z21/'Sections rachis &amp; L pennes'!$P$40)*'Sections rachis &amp; L pennes'!$L49*$J$70/100)</f>
        <v/>
      </c>
      <c r="Z22" s="907">
        <f>IF('Sections rachis &amp; L pennes'!W21="","",($M$70+$M$71*$Q22+$M$72*100*'Sections rachis &amp; L pennes'!W21/'Sections rachis &amp; L pennes'!$P$40)*'Sections rachis &amp; L pennes'!$L49*$N$70/100)</f>
        <v>0.85194178758451533</v>
      </c>
      <c r="AA22" s="908" t="str">
        <f>IF('Sections rachis &amp; L pennes'!X21="","",($M$70+$M$71*$Q22+$M$72*100*'Sections rachis &amp; L pennes'!X21/'Sections rachis &amp; L pennes'!$P$40)*'Sections rachis &amp; L pennes'!$L49*$N$70/100)</f>
        <v/>
      </c>
      <c r="AB22" s="908" t="str">
        <f>IF('Sections rachis &amp; L pennes'!Y21="","",($M$70+$M$71*$Q22+$M$72*100*'Sections rachis &amp; L pennes'!Y21/'Sections rachis &amp; L pennes'!$P$40)*'Sections rachis &amp; L pennes'!$L49*$N$70/100)</f>
        <v/>
      </c>
      <c r="AC22" s="910" t="str">
        <f>IF('Sections rachis &amp; L pennes'!Z21="","",($M$70+$M$71*$Q22+$M$72*100*'Sections rachis &amp; L pennes'!Z21/'Sections rachis &amp; L pennes'!$P$40)*'Sections rachis &amp; L pennes'!$L49*$N$70/100)</f>
        <v/>
      </c>
    </row>
    <row r="23" spans="2:29" s="345" customFormat="1">
      <c r="C23" s="937">
        <f>IF('Sections rachis &amp; L pennes'!Q22="","",'Sections rachis &amp; L pennes'!Q22)</f>
        <v>60</v>
      </c>
      <c r="D23" s="907">
        <f>IF('Sections rachis &amp; L pennes'!R22="","",($E$70+$E$71*$C23+$E$72*100*'Sections rachis &amp; L pennes'!R22/'Sections rachis &amp; L pennes'!$P$40)*'Sections rachis &amp; L pennes'!$L50*$F$70/100)</f>
        <v>1.2362634754717419</v>
      </c>
      <c r="E23" s="908" t="str">
        <f>IF('Sections rachis &amp; L pennes'!S22="","",($E$70+$E$71*$C23+$E$72*100*'Sections rachis &amp; L pennes'!S22/'Sections rachis &amp; L pennes'!$P$40)*'Sections rachis &amp; L pennes'!$L50*$F$70/100)</f>
        <v/>
      </c>
      <c r="F23" s="908" t="str">
        <f>IF('Sections rachis &amp; L pennes'!T22="","",($E$70+$E$71*$C23+$E$72*100*'Sections rachis &amp; L pennes'!T22/'Sections rachis &amp; L pennes'!$P$40)*'Sections rachis &amp; L pennes'!$L50*$F$70/100)</f>
        <v/>
      </c>
      <c r="G23" s="909">
        <f>IF('Sections rachis &amp; L pennes'!U22="","",($E$70+$E$71*$C23+$E$72*100*'Sections rachis &amp; L pennes'!U22/'Sections rachis &amp; L pennes'!$P$40)*'Sections rachis &amp; L pennes'!$L50*$F$70/100)</f>
        <v>1.2354777014404426</v>
      </c>
      <c r="H23" s="907">
        <f>IF('Sections rachis &amp; L pennes'!R22="","",($I$70+$I$71*$C23+$I$72*100*'Sections rachis &amp; L pennes'!R22/'Sections rachis &amp; L pennes'!$P$40)*'Sections rachis &amp; L pennes'!$L50*$J$70/100)</f>
        <v>1.5522219000239508</v>
      </c>
      <c r="I23" s="908" t="str">
        <f>IF('Sections rachis &amp; L pennes'!S22="","",($I$70+$I$71*$C23+$I$72*100*'Sections rachis &amp; L pennes'!S22/'Sections rachis &amp; L pennes'!$P$40)*'Sections rachis &amp; L pennes'!$L50*$J$70/100)</f>
        <v/>
      </c>
      <c r="J23" s="908" t="str">
        <f>IF('Sections rachis &amp; L pennes'!T22="","",($I$70+$I$71*$C23+$I$72*100*'Sections rachis &amp; L pennes'!T22/'Sections rachis &amp; L pennes'!$P$40)*'Sections rachis &amp; L pennes'!$L50*$J$70/100)</f>
        <v/>
      </c>
      <c r="K23" s="909">
        <f>IF('Sections rachis &amp; L pennes'!U22="","",($I$70+$I$71*$C23+$I$72*100*'Sections rachis &amp; L pennes'!U22/'Sections rachis &amp; L pennes'!$P$40)*'Sections rachis &amp; L pennes'!$L50*$J$70/100)</f>
        <v>1.5487209537809203</v>
      </c>
      <c r="L23" s="907">
        <f>IF('Sections rachis &amp; L pennes'!R22="","",($M$70+$M$71*$C23+$M$72*100*'Sections rachis &amp; L pennes'!R22/'Sections rachis &amp; L pennes'!$P$40)*'Sections rachis &amp; L pennes'!$L50*$N$70/100)</f>
        <v>0.99830670765207175</v>
      </c>
      <c r="M23" s="908" t="str">
        <f>IF('Sections rachis &amp; L pennes'!S22="","",($M$70+$M$71*$C23+$M$72*100*'Sections rachis &amp; L pennes'!S22/'Sections rachis &amp; L pennes'!$P$40)*'Sections rachis &amp; L pennes'!$L50*$N$70/100)</f>
        <v/>
      </c>
      <c r="N23" s="908" t="str">
        <f>IF('Sections rachis &amp; L pennes'!T22="","",($M$70+$M$71*$C23+$M$72*100*'Sections rachis &amp; L pennes'!T22/'Sections rachis &amp; L pennes'!$P$40)*'Sections rachis &amp; L pennes'!$L50*$N$70/100)</f>
        <v/>
      </c>
      <c r="O23" s="910">
        <f>IF('Sections rachis &amp; L pennes'!U22="","",($M$70+$M$71*$C23+$M$72*100*'Sections rachis &amp; L pennes'!U22/'Sections rachis &amp; L pennes'!$P$40)*'Sections rachis &amp; L pennes'!$L50*$N$70/100)</f>
        <v>0.993402869341659</v>
      </c>
      <c r="P23" s="694"/>
      <c r="Q23" s="911">
        <f>IF('Sections rachis &amp; L pennes'!V22="","",'Sections rachis &amp; L pennes'!V22)</f>
        <v>60</v>
      </c>
      <c r="R23" s="907">
        <f>IF('Sections rachis &amp; L pennes'!W22="","",($E$70+$E$71*$Q23+$E$72*100*'Sections rachis &amp; L pennes'!W22/'Sections rachis &amp; L pennes'!$P$40)*'Sections rachis &amp; L pennes'!$L50*$F$70/100)</f>
        <v>1.2385085441325967</v>
      </c>
      <c r="S23" s="908">
        <f>IF('Sections rachis &amp; L pennes'!X22="","",($E$70+$E$71*$Q23+$E$72*100*'Sections rachis &amp; L pennes'!X22/'Sections rachis &amp; L pennes'!$P$40)*'Sections rachis &amp; L pennes'!$L50*$F$70/100)</f>
        <v>1.2372737563691265</v>
      </c>
      <c r="T23" s="908" t="str">
        <f>IF('Sections rachis &amp; L pennes'!Y22="","",($E$70+$E$71*$Q23+$E$72*100*'Sections rachis &amp; L pennes'!Y22/'Sections rachis &amp; L pennes'!$P$40)*'Sections rachis &amp; L pennes'!$L50*$F$70/100)</f>
        <v/>
      </c>
      <c r="U23" s="909">
        <f>IF('Sections rachis &amp; L pennes'!Z22="","",($E$70+$E$71*$Q23+$E$72*100*'Sections rachis &amp; L pennes'!Z22/'Sections rachis &amp; L pennes'!$P$40)*'Sections rachis &amp; L pennes'!$L50*$F$70/100)</f>
        <v>1.2363757289047845</v>
      </c>
      <c r="V23" s="907">
        <f>IF('Sections rachis &amp; L pennes'!W22="","",($I$70+$I$71*$Q23+$I$72*100*'Sections rachis &amp; L pennes'!W22/'Sections rachis &amp; L pennes'!$P$40)*'Sections rachis &amp; L pennes'!$L50*$J$70/100)</f>
        <v>1.562224603575467</v>
      </c>
      <c r="W23" s="908">
        <f>IF('Sections rachis &amp; L pennes'!X22="","",($I$70+$I$71*$Q23+$I$72*100*'Sections rachis &amp; L pennes'!X22/'Sections rachis &amp; L pennes'!$P$40)*'Sections rachis &amp; L pennes'!$L50*$J$70/100)</f>
        <v>1.5567231166221334</v>
      </c>
      <c r="X23" s="908" t="str">
        <f>IF('Sections rachis &amp; L pennes'!Y22="","",($I$70+$I$71*$Q23+$I$72*100*'Sections rachis &amp; L pennes'!Y22/'Sections rachis &amp; L pennes'!$P$40)*'Sections rachis &amp; L pennes'!$L50*$J$70/100)</f>
        <v/>
      </c>
      <c r="Y23" s="909">
        <f>IF('Sections rachis &amp; L pennes'!Z22="","",($I$70+$I$71*$Q23+$I$72*100*'Sections rachis &amp; L pennes'!Z22/'Sections rachis &amp; L pennes'!$P$40)*'Sections rachis &amp; L pennes'!$L50*$J$70/100)</f>
        <v>1.552722035201527</v>
      </c>
      <c r="Z23" s="907">
        <f>IF('Sections rachis &amp; L pennes'!W22="","",($M$70+$M$71*$Q23+$M$72*100*'Sections rachis &amp; L pennes'!W22/'Sections rachis &amp; L pennes'!$P$40)*'Sections rachis &amp; L pennes'!$L50*$N$70/100)</f>
        <v>1.0123176742532514</v>
      </c>
      <c r="AA23" s="908">
        <f>IF('Sections rachis &amp; L pennes'!X22="","",($M$70+$M$71*$Q23+$M$72*100*'Sections rachis &amp; L pennes'!X22/'Sections rachis &amp; L pennes'!$P$40)*'Sections rachis &amp; L pennes'!$L50*$N$70/100)</f>
        <v>1.0046116426226026</v>
      </c>
      <c r="AB23" s="908" t="str">
        <f>IF('Sections rachis &amp; L pennes'!Y22="","",($M$70+$M$71*$Q23+$M$72*100*'Sections rachis &amp; L pennes'!Y22/'Sections rachis &amp; L pennes'!$P$40)*'Sections rachis &amp; L pennes'!$L50*$N$70/100)</f>
        <v/>
      </c>
      <c r="AC23" s="910">
        <f>IF('Sections rachis &amp; L pennes'!Z22="","",($M$70+$M$71*$Q23+$M$72*100*'Sections rachis &amp; L pennes'!Z22/'Sections rachis &amp; L pennes'!$P$40)*'Sections rachis &amp; L pennes'!$L50*$N$70/100)</f>
        <v>0.99900725598213069</v>
      </c>
    </row>
    <row r="24" spans="2:29" s="345" customFormat="1">
      <c r="C24" s="937">
        <f>IF('Sections rachis &amp; L pennes'!Q23="","",'Sections rachis &amp; L pennes'!Q23)</f>
        <v>70</v>
      </c>
      <c r="D24" s="907">
        <f>IF('Sections rachis &amp; L pennes'!R23="","",($E$70+$E$71*$C24+$E$72*100*'Sections rachis &amp; L pennes'!R23/'Sections rachis &amp; L pennes'!$P$40)*'Sections rachis &amp; L pennes'!$L51*$F$70/100)</f>
        <v>1.2806789386610304</v>
      </c>
      <c r="E24" s="908" t="str">
        <f>IF('Sections rachis &amp; L pennes'!S23="","",($E$70+$E$71*$C24+$E$72*100*'Sections rachis &amp; L pennes'!S23/'Sections rachis &amp; L pennes'!$P$40)*'Sections rachis &amp; L pennes'!$L51*$F$70/100)</f>
        <v/>
      </c>
      <c r="F24" s="908" t="str">
        <f>IF('Sections rachis &amp; L pennes'!T23="","",($E$70+$E$71*$C24+$E$72*100*'Sections rachis &amp; L pennes'!T23/'Sections rachis &amp; L pennes'!$P$40)*'Sections rachis &amp; L pennes'!$L51*$F$70/100)</f>
        <v/>
      </c>
      <c r="G24" s="909">
        <f>IF('Sections rachis &amp; L pennes'!U23="","",($E$70+$E$71*$C24+$E$72*100*'Sections rachis &amp; L pennes'!U23/'Sections rachis &amp; L pennes'!$P$40)*'Sections rachis &amp; L pennes'!$L51*$F$70/100)</f>
        <v>1.2803791875609625</v>
      </c>
      <c r="H24" s="907">
        <f>IF('Sections rachis &amp; L pennes'!R23="","",($I$70+$I$71*$C24+$I$72*100*'Sections rachis &amp; L pennes'!R23/'Sections rachis &amp; L pennes'!$P$40)*'Sections rachis &amp; L pennes'!$L51*$J$70/100)</f>
        <v>1.6622557193444458</v>
      </c>
      <c r="I24" s="908" t="str">
        <f>IF('Sections rachis &amp; L pennes'!S23="","",($I$70+$I$71*$C24+$I$72*100*'Sections rachis &amp; L pennes'!S23/'Sections rachis &amp; L pennes'!$P$40)*'Sections rachis &amp; L pennes'!$L51*$J$70/100)</f>
        <v/>
      </c>
      <c r="J24" s="908" t="str">
        <f>IF('Sections rachis &amp; L pennes'!T23="","",($I$70+$I$71*$C24+$I$72*100*'Sections rachis &amp; L pennes'!T23/'Sections rachis &amp; L pennes'!$P$40)*'Sections rachis &amp; L pennes'!$L51*$J$70/100)</f>
        <v/>
      </c>
      <c r="K24" s="909">
        <f>IF('Sections rachis &amp; L pennes'!U23="","",($I$70+$I$71*$C24+$I$72*100*'Sections rachis &amp; L pennes'!U23/'Sections rachis &amp; L pennes'!$P$40)*'Sections rachis &amp; L pennes'!$L51*$J$70/100)</f>
        <v>1.6609202050033931</v>
      </c>
      <c r="L24" s="907">
        <f>IF('Sections rachis &amp; L pennes'!R23="","",($M$70+$M$71*$C24+$M$72*100*'Sections rachis &amp; L pennes'!R23/'Sections rachis &amp; L pennes'!$P$40)*'Sections rachis &amp; L pennes'!$L51*$N$70/100)</f>
        <v>1.1079902753070927</v>
      </c>
      <c r="M24" s="908" t="str">
        <f>IF('Sections rachis &amp; L pennes'!S23="","",($M$70+$M$71*$C24+$M$72*100*'Sections rachis &amp; L pennes'!S23/'Sections rachis &amp; L pennes'!$P$40)*'Sections rachis &amp; L pennes'!$L51*$N$70/100)</f>
        <v/>
      </c>
      <c r="N24" s="908" t="str">
        <f>IF('Sections rachis &amp; L pennes'!T23="","",($M$70+$M$71*$C24+$M$72*100*'Sections rachis &amp; L pennes'!T23/'Sections rachis &amp; L pennes'!$P$40)*'Sections rachis &amp; L pennes'!$L51*$N$70/100)</f>
        <v/>
      </c>
      <c r="O24" s="910">
        <f>IF('Sections rachis &amp; L pennes'!U23="","",($M$70+$M$71*$C24+$M$72*100*'Sections rachis &amp; L pennes'!U23/'Sections rachis &amp; L pennes'!$P$40)*'Sections rachis &amp; L pennes'!$L51*$N$70/100)</f>
        <v>1.1061195963719905</v>
      </c>
      <c r="P24" s="694"/>
      <c r="Q24" s="911">
        <f>IF('Sections rachis &amp; L pennes'!V23="","",'Sections rachis &amp; L pennes'!V23)</f>
        <v>70</v>
      </c>
      <c r="R24" s="907">
        <f>IF('Sections rachis &amp; L pennes'!W23="","",($E$70+$E$71*$Q24+$E$72*100*'Sections rachis &amp; L pennes'!W23/'Sections rachis &amp; L pennes'!$P$40)*'Sections rachis &amp; L pennes'!$L51*$F$70/100)</f>
        <v>1.2767821743601475</v>
      </c>
      <c r="S24" s="908" t="str">
        <f>IF('Sections rachis &amp; L pennes'!X23="","",($E$70+$E$71*$Q24+$E$72*100*'Sections rachis &amp; L pennes'!X23/'Sections rachis &amp; L pennes'!$P$40)*'Sections rachis &amp; L pennes'!$L51*$F$70/100)</f>
        <v/>
      </c>
      <c r="T24" s="908" t="str">
        <f>IF('Sections rachis &amp; L pennes'!Y23="","",($E$70+$E$71*$Q24+$E$72*100*'Sections rachis &amp; L pennes'!Y23/'Sections rachis &amp; L pennes'!$P$40)*'Sections rachis &amp; L pennes'!$L51*$F$70/100)</f>
        <v/>
      </c>
      <c r="U24" s="909">
        <f>IF('Sections rachis &amp; L pennes'!Z23="","",($E$70+$E$71*$Q24+$E$72*100*'Sections rachis &amp; L pennes'!Z23/'Sections rachis &amp; L pennes'!$P$40)*'Sections rachis &amp; L pennes'!$L51*$F$70/100)</f>
        <v>1.274583999626316</v>
      </c>
      <c r="V24" s="907">
        <f>IF('Sections rachis &amp; L pennes'!W23="","",($I$70+$I$71*$Q24+$I$72*100*'Sections rachis &amp; L pennes'!W23/'Sections rachis &amp; L pennes'!$P$40)*'Sections rachis &amp; L pennes'!$L51*$J$70/100)</f>
        <v>1.6448940329107575</v>
      </c>
      <c r="W24" s="908" t="str">
        <f>IF('Sections rachis &amp; L pennes'!X23="","",($I$70+$I$71*$Q24+$I$72*100*'Sections rachis &amp; L pennes'!X23/'Sections rachis &amp; L pennes'!$P$40)*'Sections rachis &amp; L pennes'!$L51*$J$70/100)</f>
        <v/>
      </c>
      <c r="X24" s="908" t="str">
        <f>IF('Sections rachis &amp; L pennes'!Y23="","",($I$70+$I$71*$Q24+$I$72*100*'Sections rachis &amp; L pennes'!Y23/'Sections rachis &amp; L pennes'!$P$40)*'Sections rachis &amp; L pennes'!$L51*$J$70/100)</f>
        <v/>
      </c>
      <c r="Y24" s="909">
        <f>IF('Sections rachis &amp; L pennes'!Z23="","",($I$70+$I$71*$Q24+$I$72*100*'Sections rachis &amp; L pennes'!Z23/'Sections rachis &amp; L pennes'!$P$40)*'Sections rachis &amp; L pennes'!$L51*$J$70/100)</f>
        <v>1.6351002610763692</v>
      </c>
      <c r="Z24" s="907">
        <f>IF('Sections rachis &amp; L pennes'!W23="","",($M$70+$M$71*$Q24+$M$72*100*'Sections rachis &amp; L pennes'!W23/'Sections rachis &amp; L pennes'!$P$40)*'Sections rachis &amp; L pennes'!$L51*$N$70/100)</f>
        <v>1.0836714491507684</v>
      </c>
      <c r="AA24" s="908" t="str">
        <f>IF('Sections rachis &amp; L pennes'!X23="","",($M$70+$M$71*$Q24+$M$72*100*'Sections rachis &amp; L pennes'!X23/'Sections rachis &amp; L pennes'!$P$40)*'Sections rachis &amp; L pennes'!$L51*$N$70/100)</f>
        <v/>
      </c>
      <c r="AB24" s="908" t="str">
        <f>IF('Sections rachis &amp; L pennes'!Y23="","",($M$70+$M$71*$Q24+$M$72*100*'Sections rachis &amp; L pennes'!Y23/'Sections rachis &amp; L pennes'!$P$40)*'Sections rachis &amp; L pennes'!$L51*$N$70/100)</f>
        <v/>
      </c>
      <c r="AC24" s="910">
        <f>IF('Sections rachis &amp; L pennes'!Z23="","",($M$70+$M$71*$Q24+$M$72*100*'Sections rachis &amp; L pennes'!Z23/'Sections rachis &amp; L pennes'!$P$40)*'Sections rachis &amp; L pennes'!$L51*$N$70/100)</f>
        <v>1.0699531369600219</v>
      </c>
    </row>
    <row r="25" spans="2:29" s="345" customFormat="1">
      <c r="C25" s="937">
        <f>IF('Sections rachis &amp; L pennes'!Q24="","",'Sections rachis &amp; L pennes'!Q24)</f>
        <v>80</v>
      </c>
      <c r="D25" s="907">
        <f>IF('Sections rachis &amp; L pennes'!R24="","",($E$70+$E$71*$C25+$E$72*100*'Sections rachis &amp; L pennes'!R24/'Sections rachis &amp; L pennes'!$P$40)*'Sections rachis &amp; L pennes'!$L52*$F$70/100)</f>
        <v>1.2133341835962723</v>
      </c>
      <c r="E25" s="908" t="str">
        <f>IF('Sections rachis &amp; L pennes'!S24="","",($E$70+$E$71*$C25+$E$72*100*'Sections rachis &amp; L pennes'!S24/'Sections rachis &amp; L pennes'!$P$40)*'Sections rachis &amp; L pennes'!$L52*$F$70/100)</f>
        <v/>
      </c>
      <c r="F25" s="908" t="str">
        <f>IF('Sections rachis &amp; L pennes'!T24="","",($E$70+$E$71*$C25+$E$72*100*'Sections rachis &amp; L pennes'!T24/'Sections rachis &amp; L pennes'!$P$40)*'Sections rachis &amp; L pennes'!$L52*$F$70/100)</f>
        <v/>
      </c>
      <c r="G25" s="909">
        <f>IF('Sections rachis &amp; L pennes'!U24="","",($E$70+$E$71*$C25+$E$72*100*'Sections rachis &amp; L pennes'!U24/'Sections rachis &amp; L pennes'!$P$40)*'Sections rachis &amp; L pennes'!$L52*$F$70/100)</f>
        <v>1.2117623679809726</v>
      </c>
      <c r="H25" s="907">
        <f>IF('Sections rachis &amp; L pennes'!R24="","",($I$70+$I$71*$C25+$I$72*100*'Sections rachis &amp; L pennes'!R24/'Sections rachis &amp; L pennes'!$P$40)*'Sections rachis &amp; L pennes'!$L52*$J$70/100)</f>
        <v>1.6252059385429323</v>
      </c>
      <c r="I25" s="908" t="str">
        <f>IF('Sections rachis &amp; L pennes'!S24="","",($I$70+$I$71*$C25+$I$72*100*'Sections rachis &amp; L pennes'!S24/'Sections rachis &amp; L pennes'!$P$40)*'Sections rachis &amp; L pennes'!$L52*$J$70/100)</f>
        <v/>
      </c>
      <c r="J25" s="908" t="str">
        <f>IF('Sections rachis &amp; L pennes'!T24="","",($I$70+$I$71*$C25+$I$72*100*'Sections rachis &amp; L pennes'!T24/'Sections rachis &amp; L pennes'!$P$40)*'Sections rachis &amp; L pennes'!$L52*$J$70/100)</f>
        <v/>
      </c>
      <c r="K25" s="909">
        <f>IF('Sections rachis &amp; L pennes'!U24="","",($I$70+$I$71*$C25+$I$72*100*'Sections rachis &amp; L pennes'!U24/'Sections rachis &amp; L pennes'!$P$40)*'Sections rachis &amp; L pennes'!$L52*$J$70/100)</f>
        <v>1.6182028539996287</v>
      </c>
      <c r="L25" s="907">
        <f>IF('Sections rachis &amp; L pennes'!R24="","",($M$70+$M$71*$C25+$M$72*100*'Sections rachis &amp; L pennes'!R24/'Sections rachis &amp; L pennes'!$P$40)*'Sections rachis &amp; L pennes'!$L52*$N$70/100)</f>
        <v>1.1222525150178353</v>
      </c>
      <c r="M25" s="908" t="str">
        <f>IF('Sections rachis &amp; L pennes'!S24="","",($M$70+$M$71*$C25+$M$72*100*'Sections rachis &amp; L pennes'!S24/'Sections rachis &amp; L pennes'!$P$40)*'Sections rachis &amp; L pennes'!$L52*$N$70/100)</f>
        <v/>
      </c>
      <c r="N25" s="908" t="str">
        <f>IF('Sections rachis &amp; L pennes'!T24="","",($M$70+$M$71*$C25+$M$72*100*'Sections rachis &amp; L pennes'!T24/'Sections rachis &amp; L pennes'!$P$40)*'Sections rachis &amp; L pennes'!$L52*$N$70/100)</f>
        <v/>
      </c>
      <c r="O25" s="910">
        <f>IF('Sections rachis &amp; L pennes'!U24="","",($M$70+$M$71*$C25+$M$72*100*'Sections rachis &amp; L pennes'!U24/'Sections rachis &amp; L pennes'!$P$40)*'Sections rachis &amp; L pennes'!$L52*$N$70/100)</f>
        <v>1.1124431686610101</v>
      </c>
      <c r="P25" s="694"/>
      <c r="Q25" s="911">
        <f>IF('Sections rachis &amp; L pennes'!V24="","",'Sections rachis &amp; L pennes'!V24)</f>
        <v>80</v>
      </c>
      <c r="R25" s="907">
        <f>IF('Sections rachis &amp; L pennes'!W24="","",($E$70+$E$71*$Q25+$E$72*100*'Sections rachis &amp; L pennes'!W24/'Sections rachis &amp; L pennes'!$P$40)*'Sections rachis &amp; L pennes'!$L52*$F$70/100)</f>
        <v>1.2069641939974256</v>
      </c>
      <c r="S25" s="908">
        <f>IF('Sections rachis &amp; L pennes'!X24="","",($E$70+$E$71*$Q25+$E$72*100*'Sections rachis &amp; L pennes'!X24/'Sections rachis &amp; L pennes'!$P$40)*'Sections rachis &amp; L pennes'!$L52*$F$70/100)</f>
        <v>1.2080396467868413</v>
      </c>
      <c r="T25" s="908" t="str">
        <f>IF('Sections rachis &amp; L pennes'!Y24="","",($E$70+$E$71*$Q25+$E$72*100*'Sections rachis &amp; L pennes'!Y24/'Sections rachis &amp; L pennes'!$P$40)*'Sections rachis &amp; L pennes'!$L52*$F$70/100)</f>
        <v/>
      </c>
      <c r="U25" s="909">
        <f>IF('Sections rachis &amp; L pennes'!Z24="","",($E$70+$E$71*$Q25+$E$72*100*'Sections rachis &amp; L pennes'!Z24/'Sections rachis &amp; L pennes'!$P$40)*'Sections rachis &amp; L pennes'!$L52*$F$70/100)</f>
        <v>1.2087014638880202</v>
      </c>
      <c r="V25" s="907">
        <f>IF('Sections rachis &amp; L pennes'!W24="","",($I$70+$I$71*$Q25+$I$72*100*'Sections rachis &amp; L pennes'!W24/'Sections rachis &amp; L pennes'!$P$40)*'Sections rachis &amp; L pennes'!$L52*$J$70/100)</f>
        <v>1.5968250169727021</v>
      </c>
      <c r="W25" s="908">
        <f>IF('Sections rachis &amp; L pennes'!X24="","",($I$70+$I$71*$Q25+$I$72*100*'Sections rachis &amp; L pennes'!X24/'Sections rachis &amp; L pennes'!$P$40)*'Sections rachis &amp; L pennes'!$L52*$J$70/100)</f>
        <v>1.6016166011339095</v>
      </c>
      <c r="X25" s="908" t="str">
        <f>IF('Sections rachis &amp; L pennes'!Y24="","",($I$70+$I$71*$Q25+$I$72*100*'Sections rachis &amp; L pennes'!Y24/'Sections rachis &amp; L pennes'!$P$40)*'Sections rachis &amp; L pennes'!$L52*$J$70/100)</f>
        <v/>
      </c>
      <c r="Y25" s="909">
        <f>IF('Sections rachis &amp; L pennes'!Z24="","",($I$70+$I$71*$Q25+$I$72*100*'Sections rachis &amp; L pennes'!Z24/'Sections rachis &amp; L pennes'!$P$40)*'Sections rachis &amp; L pennes'!$L52*$J$70/100)</f>
        <v>1.6045652683100373</v>
      </c>
      <c r="Z25" s="907">
        <f>IF('Sections rachis &amp; L pennes'!W24="","",($M$70+$M$71*$Q25+$M$72*100*'Sections rachis &amp; L pennes'!W24/'Sections rachis &amp; L pennes'!$P$40)*'Sections rachis &amp; L pennes'!$L52*$N$70/100)</f>
        <v>1.0824988482033342</v>
      </c>
      <c r="AA25" s="908">
        <f>IF('Sections rachis &amp; L pennes'!X24="","",($M$70+$M$71*$Q25+$M$72*100*'Sections rachis &amp; L pennes'!X24/'Sections rachis &amp; L pennes'!$P$40)*'Sections rachis &amp; L pennes'!$L52*$N$70/100)</f>
        <v>1.0892105062369513</v>
      </c>
      <c r="AB25" s="908" t="str">
        <f>IF('Sections rachis &amp; L pennes'!Y24="","",($M$70+$M$71*$Q25+$M$72*100*'Sections rachis &amp; L pennes'!Y24/'Sections rachis &amp; L pennes'!$P$40)*'Sections rachis &amp; L pennes'!$L52*$N$70/100)</f>
        <v/>
      </c>
      <c r="AC25" s="910">
        <f>IF('Sections rachis &amp; L pennes'!Z24="","",($M$70+$M$71*$Q25+$M$72*100*'Sections rachis &amp; L pennes'!Z24/'Sections rachis &amp; L pennes'!$P$40)*'Sections rachis &amp; L pennes'!$L52*$N$70/100)</f>
        <v>1.0933407573345617</v>
      </c>
    </row>
    <row r="26" spans="2:29" s="345" customFormat="1" ht="13.5" thickBot="1">
      <c r="C26" s="941">
        <f>IF('Sections rachis &amp; L pennes'!Q25="","",'Sections rachis &amp; L pennes'!Q25)</f>
        <v>90</v>
      </c>
      <c r="D26" s="913" t="str">
        <f>IF('Sections rachis &amp; L pennes'!R25="","",($E$70+$E$71*$C26+$E$72*100*'Sections rachis &amp; L pennes'!R25/'Sections rachis &amp; L pennes'!$P$40)*'Sections rachis &amp; L pennes'!$L53*$F$70/100)</f>
        <v/>
      </c>
      <c r="E26" s="914">
        <f>IF('Sections rachis &amp; L pennes'!S25="","",($E$70+$E$71*$C26+$E$72*100*'Sections rachis &amp; L pennes'!S25/'Sections rachis &amp; L pennes'!$P$40)*'Sections rachis &amp; L pennes'!$L53*$F$70/100)</f>
        <v>0.96318116151466127</v>
      </c>
      <c r="F26" s="914" t="str">
        <f>IF('Sections rachis &amp; L pennes'!T25="","",($E$70+$E$71*$C26+$E$72*100*'Sections rachis &amp; L pennes'!T25/'Sections rachis &amp; L pennes'!$P$40)*'Sections rachis &amp; L pennes'!$L53*$F$70/100)</f>
        <v/>
      </c>
      <c r="G26" s="915" t="str">
        <f>IF('Sections rachis &amp; L pennes'!U25="","",($E$70+$E$71*$C26+$E$72*100*'Sections rachis &amp; L pennes'!U25/'Sections rachis &amp; L pennes'!$P$40)*'Sections rachis &amp; L pennes'!$L53*$F$70/100)</f>
        <v/>
      </c>
      <c r="H26" s="913" t="str">
        <f>IF('Sections rachis &amp; L pennes'!R25="","",($I$70+$I$71*$C26+$I$72*100*'Sections rachis &amp; L pennes'!R25/'Sections rachis &amp; L pennes'!$P$40)*'Sections rachis &amp; L pennes'!$L53*$J$70/100)</f>
        <v/>
      </c>
      <c r="I26" s="914">
        <f>IF('Sections rachis &amp; L pennes'!S25="","",($I$70+$I$71*$C26+$I$72*100*'Sections rachis &amp; L pennes'!S25/'Sections rachis &amp; L pennes'!$P$40)*'Sections rachis &amp; L pennes'!$L53*$J$70/100)</f>
        <v>1.3215219931577906</v>
      </c>
      <c r="J26" s="914" t="str">
        <f>IF('Sections rachis &amp; L pennes'!T25="","",($I$70+$I$71*$C26+$I$72*100*'Sections rachis &amp; L pennes'!T25/'Sections rachis &amp; L pennes'!$P$40)*'Sections rachis &amp; L pennes'!$L53*$J$70/100)</f>
        <v/>
      </c>
      <c r="K26" s="915" t="str">
        <f>IF('Sections rachis &amp; L pennes'!U25="","",($I$70+$I$71*$C26+$I$72*100*'Sections rachis &amp; L pennes'!U25/'Sections rachis &amp; L pennes'!$P$40)*'Sections rachis &amp; L pennes'!$L53*$J$70/100)</f>
        <v/>
      </c>
      <c r="L26" s="913" t="str">
        <f>IF('Sections rachis &amp; L pennes'!R25="","",($M$70+$M$71*$C26+$M$72*100*'Sections rachis &amp; L pennes'!R25/'Sections rachis &amp; L pennes'!$P$40)*'Sections rachis &amp; L pennes'!$L53*$N$70/100)</f>
        <v/>
      </c>
      <c r="M26" s="914">
        <f>IF('Sections rachis &amp; L pennes'!S25="","",($M$70+$M$71*$C26+$M$72*100*'Sections rachis &amp; L pennes'!S25/'Sections rachis &amp; L pennes'!$P$40)*'Sections rachis &amp; L pennes'!$L53*$N$70/100)</f>
        <v>0.93617287483913847</v>
      </c>
      <c r="N26" s="914" t="str">
        <f>IF('Sections rachis &amp; L pennes'!T25="","",($M$70+$M$71*$C26+$M$72*100*'Sections rachis &amp; L pennes'!T25/'Sections rachis &amp; L pennes'!$P$40)*'Sections rachis &amp; L pennes'!$L53*$N$70/100)</f>
        <v/>
      </c>
      <c r="O26" s="916" t="str">
        <f>IF('Sections rachis &amp; L pennes'!U25="","",($M$70+$M$71*$C26+$M$72*100*'Sections rachis &amp; L pennes'!U25/'Sections rachis &amp; L pennes'!$P$40)*'Sections rachis &amp; L pennes'!$L53*$N$70/100)</f>
        <v/>
      </c>
      <c r="P26" s="694"/>
      <c r="Q26" s="917">
        <f>IF('Sections rachis &amp; L pennes'!V25="","",'Sections rachis &amp; L pennes'!V25)</f>
        <v>90</v>
      </c>
      <c r="R26" s="913" t="str">
        <f>IF('Sections rachis &amp; L pennes'!W25="","",($E$70+$E$71*$Q26+$E$72*100*'Sections rachis &amp; L pennes'!W25/'Sections rachis &amp; L pennes'!$P$40)*'Sections rachis &amp; L pennes'!$L53*$F$70/100)</f>
        <v/>
      </c>
      <c r="S26" s="914">
        <f>IF('Sections rachis &amp; L pennes'!X25="","",($E$70+$E$71*$Q26+$E$72*100*'Sections rachis &amp; L pennes'!X25/'Sections rachis &amp; L pennes'!$P$40)*'Sections rachis &amp; L pennes'!$L53*$F$70/100)</f>
        <v>0.96061547396135682</v>
      </c>
      <c r="T26" s="914" t="str">
        <f>IF('Sections rachis &amp; L pennes'!Y25="","",($E$70+$E$71*$Q26+$E$72*100*'Sections rachis &amp; L pennes'!Y25/'Sections rachis &amp; L pennes'!$P$40)*'Sections rachis &amp; L pennes'!$L53*$F$70/100)</f>
        <v/>
      </c>
      <c r="U26" s="915" t="str">
        <f>IF('Sections rachis &amp; L pennes'!Z25="","",($E$70+$E$71*$Q26+$E$72*100*'Sections rachis &amp; L pennes'!Z25/'Sections rachis &amp; L pennes'!$P$40)*'Sections rachis &amp; L pennes'!$L53*$F$70/100)</f>
        <v/>
      </c>
      <c r="V26" s="913" t="str">
        <f>IF('Sections rachis &amp; L pennes'!W25="","",($I$70+$I$71*$Q26+$I$72*100*'Sections rachis &amp; L pennes'!W25/'Sections rachis &amp; L pennes'!$P$40)*'Sections rachis &amp; L pennes'!$L53*$J$70/100)</f>
        <v/>
      </c>
      <c r="W26" s="914">
        <f>IF('Sections rachis &amp; L pennes'!X25="","",($I$70+$I$71*$Q26+$I$72*100*'Sections rachis &amp; L pennes'!X25/'Sections rachis &amp; L pennes'!$P$40)*'Sections rachis &amp; L pennes'!$L53*$J$70/100)</f>
        <v>1.3100908006740173</v>
      </c>
      <c r="X26" s="914" t="str">
        <f>IF('Sections rachis &amp; L pennes'!Y25="","",($I$70+$I$71*$Q26+$I$72*100*'Sections rachis &amp; L pennes'!Y25/'Sections rachis &amp; L pennes'!$P$40)*'Sections rachis &amp; L pennes'!$L53*$J$70/100)</f>
        <v/>
      </c>
      <c r="Y26" s="915" t="str">
        <f>IF('Sections rachis &amp; L pennes'!Z25="","",($I$70+$I$71*$Q26+$I$72*100*'Sections rachis &amp; L pennes'!Z25/'Sections rachis &amp; L pennes'!$P$40)*'Sections rachis &amp; L pennes'!$L53*$J$70/100)</f>
        <v/>
      </c>
      <c r="Z26" s="913" t="str">
        <f>IF('Sections rachis &amp; L pennes'!W25="","",($M$70+$M$71*$Q26+$M$72*100*'Sections rachis &amp; L pennes'!W25/'Sections rachis &amp; L pennes'!$P$40)*'Sections rachis &amp; L pennes'!$L53*$N$70/100)</f>
        <v/>
      </c>
      <c r="AA26" s="914">
        <f>IF('Sections rachis &amp; L pennes'!X25="","",($M$70+$M$71*$Q26+$M$72*100*'Sections rachis &amp; L pennes'!X25/'Sections rachis &amp; L pennes'!$P$40)*'Sections rachis &amp; L pennes'!$L53*$N$70/100)</f>
        <v>0.92016099812231511</v>
      </c>
      <c r="AB26" s="914" t="str">
        <f>IF('Sections rachis &amp; L pennes'!Y25="","",($M$70+$M$71*$Q26+$M$72*100*'Sections rachis &amp; L pennes'!Y25/'Sections rachis &amp; L pennes'!$P$40)*'Sections rachis &amp; L pennes'!$L53*$N$70/100)</f>
        <v/>
      </c>
      <c r="AC26" s="916" t="str">
        <f>IF('Sections rachis &amp; L pennes'!Z25="","",($M$70+$M$71*$Q26+$M$72*100*'Sections rachis &amp; L pennes'!Z25/'Sections rachis &amp; L pennes'!$P$40)*'Sections rachis &amp; L pennes'!$L53*$N$70/100)</f>
        <v/>
      </c>
    </row>
    <row r="27" spans="2:29" s="345" customFormat="1" ht="13.5" customHeight="1">
      <c r="B27" s="648" t="s">
        <v>1247</v>
      </c>
      <c r="C27" s="933">
        <f>IF('Sections rachis &amp; L pennes'!Q26="","",'Sections rachis &amp; L pennes'!Q26)</f>
        <v>97.59213759213759</v>
      </c>
      <c r="D27" s="630"/>
      <c r="E27" s="630"/>
      <c r="F27" s="630"/>
      <c r="G27" s="993">
        <v>0.51500000000000001</v>
      </c>
      <c r="H27" s="651"/>
      <c r="I27" s="630"/>
      <c r="J27" s="630"/>
      <c r="K27" s="652">
        <v>0.85099999999999998</v>
      </c>
      <c r="L27" s="651"/>
      <c r="M27" s="630"/>
      <c r="N27" s="630"/>
      <c r="O27" s="652">
        <v>0.75</v>
      </c>
      <c r="P27" s="994" t="s">
        <v>1247</v>
      </c>
      <c r="Q27" s="995">
        <f>IF('Sections rachis &amp; L pennes'!V26="","",'Sections rachis &amp; L pennes'!V26)</f>
        <v>97.54299754299754</v>
      </c>
      <c r="R27" s="651">
        <v>0.48599999999999999</v>
      </c>
      <c r="S27" s="630"/>
      <c r="T27" s="630"/>
      <c r="U27" s="652"/>
      <c r="V27" s="651">
        <v>0.626</v>
      </c>
      <c r="W27" s="630"/>
      <c r="X27" s="630"/>
      <c r="Y27" s="652"/>
      <c r="Z27" s="651">
        <v>0.57599999999999996</v>
      </c>
      <c r="AA27" s="630"/>
      <c r="AB27" s="630"/>
      <c r="AC27" s="652"/>
    </row>
    <row r="28" spans="2:29" s="345" customFormat="1" ht="13.5" customHeight="1">
      <c r="B28" s="653" t="s">
        <v>1248</v>
      </c>
      <c r="C28" s="937">
        <f>IF('Sections rachis &amp; L pennes'!Q27="","",'Sections rachis &amp; L pennes'!Q27)</f>
        <v>98.599508599508596</v>
      </c>
      <c r="D28" s="632">
        <v>0.52200000000000002</v>
      </c>
      <c r="E28" s="632"/>
      <c r="F28" s="632"/>
      <c r="G28" s="996"/>
      <c r="H28" s="397">
        <v>0.80800000000000005</v>
      </c>
      <c r="I28" s="632"/>
      <c r="J28" s="632"/>
      <c r="K28" s="398"/>
      <c r="L28" s="397">
        <v>0.67100000000000004</v>
      </c>
      <c r="M28" s="632"/>
      <c r="N28" s="632"/>
      <c r="O28" s="398"/>
      <c r="P28" s="997" t="s">
        <v>1248</v>
      </c>
      <c r="Q28" s="998">
        <f>IF('Sections rachis &amp; L pennes'!V27="","",'Sections rachis &amp; L pennes'!V27)</f>
        <v>97.960687960687963</v>
      </c>
      <c r="R28" s="397"/>
      <c r="S28" s="632"/>
      <c r="T28" s="632"/>
      <c r="U28" s="398">
        <v>0.40899999999999997</v>
      </c>
      <c r="V28" s="397"/>
      <c r="W28" s="632"/>
      <c r="X28" s="632"/>
      <c r="Y28" s="398">
        <v>0.64200000000000002</v>
      </c>
      <c r="Z28" s="397"/>
      <c r="AA28" s="632"/>
      <c r="AB28" s="632"/>
      <c r="AC28" s="398">
        <v>0.59499999999999997</v>
      </c>
    </row>
    <row r="29" spans="2:29" s="345" customFormat="1" ht="13.5" customHeight="1">
      <c r="B29" s="653" t="s">
        <v>1249</v>
      </c>
      <c r="C29" s="937">
        <f>IF('Sections rachis &amp; L pennes'!Q28="","",'Sections rachis &amp; L pennes'!Q28)</f>
        <v>99.017199017199019</v>
      </c>
      <c r="D29" s="632"/>
      <c r="E29" s="632"/>
      <c r="F29" s="632"/>
      <c r="G29" s="996">
        <v>0.48099999999999998</v>
      </c>
      <c r="H29" s="397"/>
      <c r="I29" s="632"/>
      <c r="J29" s="632"/>
      <c r="K29" s="398">
        <v>0.80600000000000005</v>
      </c>
      <c r="L29" s="397"/>
      <c r="M29" s="632"/>
      <c r="N29" s="632"/>
      <c r="O29" s="398">
        <v>0.66500000000000004</v>
      </c>
      <c r="P29" s="997" t="s">
        <v>1249</v>
      </c>
      <c r="Q29" s="998">
        <f>IF('Sections rachis &amp; L pennes'!V28="","",'Sections rachis &amp; L pennes'!V28)</f>
        <v>99.017199017199019</v>
      </c>
      <c r="R29" s="397">
        <v>0.48499999999999999</v>
      </c>
      <c r="S29" s="632"/>
      <c r="T29" s="632"/>
      <c r="U29" s="398"/>
      <c r="V29" s="397">
        <v>0.58799999999999997</v>
      </c>
      <c r="W29" s="632"/>
      <c r="X29" s="632"/>
      <c r="Y29" s="398"/>
      <c r="Z29" s="397">
        <v>0.60799999999999998</v>
      </c>
      <c r="AA29" s="632"/>
      <c r="AB29" s="632"/>
      <c r="AC29" s="398"/>
    </row>
    <row r="30" spans="2:29" s="345" customFormat="1" ht="13.5" customHeight="1">
      <c r="B30" s="653" t="s">
        <v>1251</v>
      </c>
      <c r="C30" s="937">
        <f>IF('Sections rachis &amp; L pennes'!Q29="","",'Sections rachis &amp; L pennes'!Q29)</f>
        <v>99.656019656019652</v>
      </c>
      <c r="D30" s="632"/>
      <c r="E30" s="632">
        <v>0.49299999999999999</v>
      </c>
      <c r="F30" s="632"/>
      <c r="G30" s="996"/>
      <c r="H30" s="397"/>
      <c r="I30" s="632">
        <v>0.85099999999999998</v>
      </c>
      <c r="J30" s="632"/>
      <c r="K30" s="398"/>
      <c r="L30" s="397"/>
      <c r="M30" s="632">
        <v>0.64800000000000002</v>
      </c>
      <c r="N30" s="632"/>
      <c r="O30" s="398"/>
      <c r="P30" s="997" t="s">
        <v>1251</v>
      </c>
      <c r="Q30" s="998">
        <f>IF('Sections rachis &amp; L pennes'!V29="","",'Sections rachis &amp; L pennes'!V29)</f>
        <v>99.631449631449627</v>
      </c>
      <c r="R30" s="397"/>
      <c r="S30" s="632"/>
      <c r="T30" s="632"/>
      <c r="U30" s="398">
        <v>0.496</v>
      </c>
      <c r="V30" s="397"/>
      <c r="W30" s="632"/>
      <c r="X30" s="632"/>
      <c r="Y30" s="398">
        <v>0.66800000000000004</v>
      </c>
      <c r="Z30" s="397"/>
      <c r="AA30" s="632"/>
      <c r="AB30" s="632"/>
      <c r="AC30" s="398">
        <v>0.57599999999999996</v>
      </c>
    </row>
    <row r="31" spans="2:29" s="345" customFormat="1" ht="13.5" customHeight="1" thickBot="1">
      <c r="B31" s="799" t="s">
        <v>1252</v>
      </c>
      <c r="C31" s="659">
        <f>IF('Sections rachis &amp; L pennes'!Q30="","",'Sections rachis &amp; L pennes'!Q30)</f>
        <v>99.877149877149876</v>
      </c>
      <c r="D31" s="642"/>
      <c r="E31" s="642">
        <v>0.498</v>
      </c>
      <c r="F31" s="999"/>
      <c r="G31" s="1000"/>
      <c r="H31" s="387"/>
      <c r="I31" s="642">
        <v>0.82899999999999996</v>
      </c>
      <c r="J31" s="999"/>
      <c r="K31" s="388"/>
      <c r="L31" s="387"/>
      <c r="M31" s="642">
        <v>0.71</v>
      </c>
      <c r="N31" s="999"/>
      <c r="O31" s="388"/>
      <c r="P31" s="1001" t="s">
        <v>1252</v>
      </c>
      <c r="Q31" s="659">
        <f>IF('Sections rachis &amp; L pennes'!V30="","",'Sections rachis &amp; L pennes'!V30)</f>
        <v>99.975429975429975</v>
      </c>
      <c r="R31" s="387"/>
      <c r="S31" s="642">
        <v>0.498</v>
      </c>
      <c r="T31" s="642"/>
      <c r="U31" s="388"/>
      <c r="V31" s="387"/>
      <c r="W31" s="642">
        <v>0.62</v>
      </c>
      <c r="X31" s="642"/>
      <c r="Y31" s="388"/>
      <c r="Z31" s="387"/>
      <c r="AA31" s="642">
        <v>0.57999999999999996</v>
      </c>
      <c r="AB31" s="642"/>
      <c r="AC31" s="388"/>
    </row>
    <row r="32" spans="2:29" s="345" customFormat="1" ht="13.5" customHeight="1" thickBot="1">
      <c r="B32" s="660" t="s">
        <v>1254</v>
      </c>
      <c r="C32" s="925">
        <f>IF('Sections rachis &amp; L pennes'!Q31="","",'Sections rachis &amp; L pennes'!Q31)</f>
        <v>100</v>
      </c>
      <c r="D32" s="662"/>
      <c r="E32" s="662">
        <v>0.498</v>
      </c>
      <c r="F32" s="664"/>
      <c r="G32" s="926"/>
      <c r="H32" s="663"/>
      <c r="I32" s="662">
        <v>0.78200000000000003</v>
      </c>
      <c r="J32" s="664"/>
      <c r="K32" s="665"/>
      <c r="L32" s="663"/>
      <c r="M32" s="662">
        <v>0.77200000000000002</v>
      </c>
      <c r="N32" s="664"/>
      <c r="O32" s="665"/>
      <c r="P32" s="1002" t="s">
        <v>1254</v>
      </c>
      <c r="Q32" s="929" t="str">
        <f>IF('Sections rachis &amp; L pennes'!V31="","",'Sections rachis &amp; L pennes'!V31)</f>
        <v>XXX</v>
      </c>
      <c r="R32" s="663"/>
      <c r="S32" s="662"/>
      <c r="T32" s="664"/>
      <c r="U32" s="665"/>
      <c r="V32" s="663"/>
      <c r="W32" s="662"/>
      <c r="X32" s="664"/>
      <c r="Y32" s="665"/>
      <c r="Z32" s="663"/>
      <c r="AA32" s="662"/>
      <c r="AB32" s="664"/>
      <c r="AC32" s="665"/>
    </row>
    <row r="33" spans="1:29" s="345" customFormat="1" ht="13.5" customHeight="1"/>
    <row r="34" spans="1:29" s="345" customFormat="1" ht="13.5" customHeight="1"/>
    <row r="35" spans="1:29" s="345" customFormat="1" ht="13.5" customHeight="1"/>
    <row r="36" spans="1:29" s="345" customFormat="1" ht="13.5" customHeight="1"/>
    <row r="37" spans="1:29" s="345" customFormat="1" ht="13.5" customHeight="1">
      <c r="B37" s="1323" t="s">
        <v>1102</v>
      </c>
      <c r="C37" s="1323"/>
      <c r="D37" s="1323"/>
      <c r="E37" s="1323"/>
      <c r="F37" s="1323"/>
      <c r="G37" s="1322" t="str">
        <f>IF('Stipe=phyllotaxie&amp;croissance'!$E$11&gt;0,'Stipe=phyllotaxie&amp;croissance'!$E$11,"")</f>
        <v>Rochdi</v>
      </c>
      <c r="H37" s="1322"/>
      <c r="I37" s="1323" t="s">
        <v>1103</v>
      </c>
      <c r="J37" s="1323"/>
      <c r="K37" s="1323"/>
      <c r="L37" s="1323"/>
      <c r="M37" s="1512" t="str">
        <f>IF('Stipe=phyllotaxie&amp;croissance'!$E$10&gt;0,'Stipe=phyllotaxie&amp;croissance'!$E$10,"")</f>
        <v>01</v>
      </c>
      <c r="N37" s="1512"/>
    </row>
    <row r="38" spans="1:29" s="345" customFormat="1" ht="13.5" customHeight="1"/>
    <row r="39" spans="1:29" s="345" customFormat="1" ht="13.5" customHeight="1">
      <c r="A39" s="976"/>
      <c r="C39" s="1319" t="s">
        <v>1367</v>
      </c>
      <c r="D39" s="1319"/>
      <c r="E39" s="1319"/>
      <c r="F39" s="1319"/>
      <c r="G39" s="1319"/>
      <c r="H39" s="1319"/>
      <c r="I39" s="1319"/>
      <c r="J39" s="446"/>
      <c r="K39" s="446"/>
      <c r="L39" s="976"/>
    </row>
    <row r="40" spans="1:29" s="345" customFormat="1" ht="13.5" customHeight="1" thickBot="1"/>
    <row r="41" spans="1:29" s="345" customFormat="1" ht="13.5" customHeight="1" thickBot="1">
      <c r="C41" s="1498" t="s">
        <v>1229</v>
      </c>
      <c r="D41" s="1499"/>
      <c r="E41" s="1513"/>
      <c r="F41" s="577">
        <f>IF('Folioles=disposition&amp;groupes'!$P$7&gt;0,'Folioles=disposition&amp;groupes'!$P$7,"")</f>
        <v>83</v>
      </c>
    </row>
    <row r="42" spans="1:29" s="345" customFormat="1" ht="13.5" customHeight="1"/>
    <row r="43" spans="1:29" s="345" customFormat="1" ht="13.5" customHeight="1">
      <c r="B43" s="582"/>
      <c r="C43" s="1514" t="s">
        <v>1299</v>
      </c>
      <c r="D43" s="1514"/>
      <c r="E43" s="1514"/>
    </row>
    <row r="44" spans="1:29" s="345" customFormat="1" ht="13.5" customHeight="1" thickBot="1">
      <c r="B44" s="582"/>
      <c r="C44" s="981"/>
      <c r="D44" s="981"/>
      <c r="E44" s="981"/>
    </row>
    <row r="45" spans="1:29" s="345" customFormat="1" ht="13.5" customHeight="1" thickBot="1">
      <c r="C45" s="1612" t="s">
        <v>1234</v>
      </c>
      <c r="D45" s="1609" t="s">
        <v>1237</v>
      </c>
      <c r="E45" s="1610"/>
      <c r="F45" s="1610"/>
      <c r="G45" s="1610"/>
      <c r="H45" s="1610"/>
      <c r="I45" s="1610"/>
      <c r="J45" s="1610"/>
      <c r="K45" s="1610"/>
      <c r="L45" s="1610"/>
      <c r="M45" s="1610"/>
      <c r="N45" s="1610"/>
      <c r="O45" s="1262"/>
      <c r="Q45" s="1515" t="s">
        <v>1234</v>
      </c>
      <c r="R45" s="1609" t="s">
        <v>1238</v>
      </c>
      <c r="S45" s="1610"/>
      <c r="T45" s="1610"/>
      <c r="U45" s="1610"/>
      <c r="V45" s="1610"/>
      <c r="W45" s="1610"/>
      <c r="X45" s="1610"/>
      <c r="Y45" s="1610"/>
      <c r="Z45" s="1610"/>
      <c r="AA45" s="1610"/>
      <c r="AB45" s="1610"/>
      <c r="AC45" s="1262"/>
    </row>
    <row r="46" spans="1:29" s="345" customFormat="1" ht="13.5" customHeight="1" thickBot="1">
      <c r="C46" s="1613"/>
      <c r="D46" s="1611" t="s">
        <v>1300</v>
      </c>
      <c r="E46" s="1521"/>
      <c r="F46" s="1521"/>
      <c r="G46" s="1522"/>
      <c r="H46" s="1611" t="s">
        <v>1290</v>
      </c>
      <c r="I46" s="1521"/>
      <c r="J46" s="1521"/>
      <c r="K46" s="1522"/>
      <c r="L46" s="1520" t="s">
        <v>1291</v>
      </c>
      <c r="M46" s="1521"/>
      <c r="N46" s="1521"/>
      <c r="O46" s="1522"/>
      <c r="Q46" s="1608"/>
      <c r="R46" s="1611" t="s">
        <v>1300</v>
      </c>
      <c r="S46" s="1521"/>
      <c r="T46" s="1521"/>
      <c r="U46" s="1522"/>
      <c r="V46" s="1611" t="s">
        <v>1290</v>
      </c>
      <c r="W46" s="1521"/>
      <c r="X46" s="1521"/>
      <c r="Y46" s="1522"/>
      <c r="Z46" s="1520" t="s">
        <v>1291</v>
      </c>
      <c r="AA46" s="1521"/>
      <c r="AB46" s="1521"/>
      <c r="AC46" s="1522"/>
    </row>
    <row r="47" spans="1:29" s="345" customFormat="1" ht="13.5" customHeight="1" thickBot="1">
      <c r="C47" s="1613"/>
      <c r="D47" s="584" t="s">
        <v>1239</v>
      </c>
      <c r="E47" s="585" t="s">
        <v>1240</v>
      </c>
      <c r="F47" s="585" t="s">
        <v>1240</v>
      </c>
      <c r="G47" s="586" t="s">
        <v>1241</v>
      </c>
      <c r="H47" s="584" t="s">
        <v>1239</v>
      </c>
      <c r="I47" s="585" t="s">
        <v>1240</v>
      </c>
      <c r="J47" s="585" t="s">
        <v>1240</v>
      </c>
      <c r="K47" s="586" t="s">
        <v>1241</v>
      </c>
      <c r="L47" s="584" t="s">
        <v>1239</v>
      </c>
      <c r="M47" s="585" t="s">
        <v>1240</v>
      </c>
      <c r="N47" s="585" t="s">
        <v>1240</v>
      </c>
      <c r="O47" s="586" t="s">
        <v>1241</v>
      </c>
      <c r="Q47" s="1608"/>
      <c r="R47" s="584" t="s">
        <v>1239</v>
      </c>
      <c r="S47" s="585" t="s">
        <v>1240</v>
      </c>
      <c r="T47" s="585" t="s">
        <v>1240</v>
      </c>
      <c r="U47" s="586" t="s">
        <v>1241</v>
      </c>
      <c r="V47" s="584" t="s">
        <v>1239</v>
      </c>
      <c r="W47" s="585" t="s">
        <v>1240</v>
      </c>
      <c r="X47" s="585" t="s">
        <v>1240</v>
      </c>
      <c r="Y47" s="586" t="s">
        <v>1241</v>
      </c>
      <c r="Z47" s="584" t="s">
        <v>1239</v>
      </c>
      <c r="AA47" s="585" t="s">
        <v>1240</v>
      </c>
      <c r="AB47" s="585" t="s">
        <v>1240</v>
      </c>
      <c r="AC47" s="586" t="s">
        <v>1241</v>
      </c>
    </row>
    <row r="48" spans="1:29" s="345" customFormat="1" ht="13.5" customHeight="1">
      <c r="B48" s="595" t="s">
        <v>1243</v>
      </c>
      <c r="C48" s="890">
        <f>IF('Sections rachis &amp; L pennes'!AC13="","",'Sections rachis &amp; L pennes'!AC13)</f>
        <v>5.3228419347373288</v>
      </c>
      <c r="D48" s="597">
        <v>0.35</v>
      </c>
      <c r="E48" s="598"/>
      <c r="F48" s="598"/>
      <c r="G48" s="599"/>
      <c r="H48" s="597">
        <v>0.216</v>
      </c>
      <c r="I48" s="598"/>
      <c r="J48" s="598"/>
      <c r="K48" s="599"/>
      <c r="L48" s="597">
        <v>0.15</v>
      </c>
      <c r="M48" s="598"/>
      <c r="N48" s="598"/>
      <c r="O48" s="599"/>
      <c r="P48" s="931" t="s">
        <v>1243</v>
      </c>
      <c r="Q48" s="890">
        <f>IF('Sections rachis &amp; L pennes'!AH13="","",'Sections rachis &amp; L pennes'!AH13)</f>
        <v>5.5542698449432999</v>
      </c>
      <c r="R48" s="597">
        <v>0.19600000000000001</v>
      </c>
      <c r="S48" s="598"/>
      <c r="T48" s="598"/>
      <c r="U48" s="599"/>
      <c r="V48" s="597">
        <v>0.17299999999999999</v>
      </c>
      <c r="W48" s="598"/>
      <c r="X48" s="598"/>
      <c r="Y48" s="599"/>
      <c r="Z48" s="597">
        <v>0.126</v>
      </c>
      <c r="AA48" s="598"/>
      <c r="AB48" s="598"/>
      <c r="AC48" s="599"/>
    </row>
    <row r="49" spans="2:29" s="345" customFormat="1" ht="13.5" customHeight="1">
      <c r="B49" s="609" t="s">
        <v>1244</v>
      </c>
      <c r="C49" s="894">
        <f>IF('Sections rachis &amp; L pennes'!AC14="","",'Sections rachis &amp; L pennes'!AC14)</f>
        <v>26.429067345521869</v>
      </c>
      <c r="D49" s="611">
        <v>0.43</v>
      </c>
      <c r="E49" s="612"/>
      <c r="F49" s="612"/>
      <c r="G49" s="613"/>
      <c r="H49" s="611">
        <v>0.32400000000000001</v>
      </c>
      <c r="I49" s="612"/>
      <c r="J49" s="612"/>
      <c r="K49" s="613"/>
      <c r="L49" s="611">
        <v>0.254</v>
      </c>
      <c r="M49" s="612"/>
      <c r="N49" s="612"/>
      <c r="O49" s="613"/>
      <c r="P49" s="367" t="s">
        <v>1244</v>
      </c>
      <c r="Q49" s="894">
        <f>IF('Sections rachis &amp; L pennes'!AH14="","",'Sections rachis &amp; L pennes'!AH14)</f>
        <v>25.757926405924554</v>
      </c>
      <c r="R49" s="611"/>
      <c r="S49" s="612"/>
      <c r="T49" s="612"/>
      <c r="U49" s="613">
        <v>0.48699999999999999</v>
      </c>
      <c r="V49" s="611"/>
      <c r="W49" s="612"/>
      <c r="X49" s="612"/>
      <c r="Y49" s="613">
        <v>0.39</v>
      </c>
      <c r="Z49" s="611"/>
      <c r="AA49" s="612"/>
      <c r="AB49" s="612"/>
      <c r="AC49" s="613">
        <v>0.26600000000000001</v>
      </c>
    </row>
    <row r="50" spans="2:29" s="345" customFormat="1" ht="13.5" customHeight="1" thickBot="1">
      <c r="B50" s="620" t="s">
        <v>1245</v>
      </c>
      <c r="C50" s="897">
        <f>IF('Sections rachis &amp; L pennes'!AC15="","",'Sections rachis &amp; L pennes'!AC15)</f>
        <v>26.799352001851421</v>
      </c>
      <c r="D50" s="622"/>
      <c r="E50" s="623"/>
      <c r="F50" s="623"/>
      <c r="G50" s="624">
        <v>0.435</v>
      </c>
      <c r="H50" s="622"/>
      <c r="I50" s="623"/>
      <c r="J50" s="623"/>
      <c r="K50" s="624">
        <v>0.32600000000000001</v>
      </c>
      <c r="L50" s="626"/>
      <c r="M50" s="627"/>
      <c r="N50" s="627"/>
      <c r="O50" s="629">
        <v>0.248</v>
      </c>
      <c r="P50" s="932" t="s">
        <v>1245</v>
      </c>
      <c r="Q50" s="897">
        <f>IF('Sections rachis &amp; L pennes'!AH15="","",'Sections rachis &amp; L pennes'!AH15)</f>
        <v>27.794492015737095</v>
      </c>
      <c r="R50" s="626">
        <v>0.53</v>
      </c>
      <c r="S50" s="627"/>
      <c r="T50" s="627"/>
      <c r="U50" s="629"/>
      <c r="V50" s="626">
        <v>0.377</v>
      </c>
      <c r="W50" s="627"/>
      <c r="X50" s="627"/>
      <c r="Y50" s="629"/>
      <c r="Z50" s="626">
        <v>0.216</v>
      </c>
      <c r="AA50" s="627"/>
      <c r="AB50" s="627"/>
      <c r="AC50" s="629"/>
    </row>
    <row r="51" spans="2:29" s="345" customFormat="1" ht="13.5" customHeight="1">
      <c r="C51" s="933" t="str">
        <f>IF('Sections rachis &amp; L pennes'!AC16="","",'Sections rachis &amp; L pennes'!AC16)</f>
        <v/>
      </c>
      <c r="D51" s="901"/>
      <c r="E51" s="902"/>
      <c r="F51" s="902"/>
      <c r="G51" s="904"/>
      <c r="H51" s="901"/>
      <c r="I51" s="902"/>
      <c r="J51" s="902"/>
      <c r="K51" s="903"/>
      <c r="L51" s="901"/>
      <c r="M51" s="902"/>
      <c r="N51" s="902"/>
      <c r="O51" s="904"/>
      <c r="P51" s="694"/>
      <c r="Q51" s="900" t="str">
        <f>IF('Sections rachis &amp; L pennes'!AH16="","",'Sections rachis &amp; L pennes'!AH16)</f>
        <v/>
      </c>
      <c r="R51" s="901"/>
      <c r="S51" s="902"/>
      <c r="T51" s="902"/>
      <c r="U51" s="903"/>
      <c r="V51" s="901"/>
      <c r="W51" s="902"/>
      <c r="X51" s="902"/>
      <c r="Y51" s="903"/>
      <c r="Z51" s="901"/>
      <c r="AA51" s="902"/>
      <c r="AB51" s="902"/>
      <c r="AC51" s="904"/>
    </row>
    <row r="52" spans="2:29" s="345" customFormat="1" ht="13.5" customHeight="1">
      <c r="C52" s="937">
        <f>IF('Sections rachis &amp; L pennes'!AC17="","",'Sections rachis &amp; L pennes'!AC17)</f>
        <v>10</v>
      </c>
      <c r="D52" s="907" t="str">
        <f>IF('Sections rachis &amp; L pennes'!AD17="","",($E$70+$E$71*$C52+$E$72*100*'Sections rachis &amp; L pennes'!AD17/'Sections rachis &amp; L pennes'!$P$40)*'Sections rachis &amp; L pennes'!$L45*$F$71/100)</f>
        <v/>
      </c>
      <c r="E52" s="908">
        <f>IF('Sections rachis &amp; L pennes'!AE17="","",($E$70+$E$71*$C52+$E$72*100*'Sections rachis &amp; L pennes'!AE17/'Sections rachis &amp; L pennes'!$P$40)*'Sections rachis &amp; L pennes'!$L45*$F$71/100)</f>
        <v>0.70992593738473087</v>
      </c>
      <c r="F52" s="908" t="str">
        <f>IF('Sections rachis &amp; L pennes'!AF17="","",($E$70+$E$71*$C52+$E$72*100*'Sections rachis &amp; L pennes'!AF17/'Sections rachis &amp; L pennes'!$P$40)*'Sections rachis &amp; L pennes'!$L45*$F$71/100)</f>
        <v/>
      </c>
      <c r="G52" s="910" t="str">
        <f>IF('Sections rachis &amp; L pennes'!AG17="","",($E$70+$E$71*$C52+$E$72*100*'Sections rachis &amp; L pennes'!AG17/'Sections rachis &amp; L pennes'!$P$40)*'Sections rachis &amp; L pennes'!$L45*$F$71/100)</f>
        <v/>
      </c>
      <c r="H52" s="907" t="str">
        <f>IF('Sections rachis &amp; L pennes'!AD17="","",($I$70+$I$71*$C52+$I$72*100*'Sections rachis &amp; L pennes'!AD17/'Sections rachis &amp; L pennes'!$P$40)*'Sections rachis &amp; L pennes'!$L45*$J$71/100)</f>
        <v/>
      </c>
      <c r="I52" s="908">
        <f>IF('Sections rachis &amp; L pennes'!AE17="","",($I$70+$I$71*$C52+$I$72*100*'Sections rachis &amp; L pennes'!AE17/'Sections rachis &amp; L pennes'!$P$40)*'Sections rachis &amp; L pennes'!$L45*$J$71/100)</f>
        <v>0.78006561073160863</v>
      </c>
      <c r="J52" s="908" t="str">
        <f>IF('Sections rachis &amp; L pennes'!AF17="","",($I$70+$I$71*$C52+$I$72*100*'Sections rachis &amp; L pennes'!AF17/'Sections rachis &amp; L pennes'!$P$40)*'Sections rachis &amp; L pennes'!$L45*$J$71/100)</f>
        <v/>
      </c>
      <c r="K52" s="909" t="str">
        <f>IF('Sections rachis &amp; L pennes'!AG17="","",($I$70+$I$71*$C52+$I$72*100*'Sections rachis &amp; L pennes'!AG17/'Sections rachis &amp; L pennes'!$P$40)*'Sections rachis &amp; L pennes'!$L45*$J$71/100)</f>
        <v/>
      </c>
      <c r="L52" s="907" t="str">
        <f>IF('Sections rachis &amp; L pennes'!AD17="","",($M$70+$M$71*$C52+$M$72*100*'Sections rachis &amp; L pennes'!AD17/'Sections rachis &amp; L pennes'!$P$40)*'Sections rachis &amp; L pennes'!$L45*$N$71/100)</f>
        <v/>
      </c>
      <c r="M52" s="908">
        <f>IF('Sections rachis &amp; L pennes'!AE17="","",($M$70+$M$71*$C52+$M$72*100*'Sections rachis &amp; L pennes'!AE17/'Sections rachis &amp; L pennes'!$P$40)*'Sections rachis &amp; L pennes'!$L45*$N$71/100)</f>
        <v>0.62474127216757547</v>
      </c>
      <c r="N52" s="908" t="str">
        <f>IF('Sections rachis &amp; L pennes'!AF17="","",($M$70+$M$71*$C52+$M$72*100*'Sections rachis &amp; L pennes'!AF17/'Sections rachis &amp; L pennes'!$P$40)*'Sections rachis &amp; L pennes'!$L45*$N$71/100)</f>
        <v/>
      </c>
      <c r="O52" s="910" t="str">
        <f>IF('Sections rachis &amp; L pennes'!AG17="","",($M$70+$M$71*$C52+$M$72*100*'Sections rachis &amp; L pennes'!AG17/'Sections rachis &amp; L pennes'!$P$40)*'Sections rachis &amp; L pennes'!$L45*$N$71/100)</f>
        <v/>
      </c>
      <c r="P52" s="694"/>
      <c r="Q52" s="906">
        <f>IF('Sections rachis &amp; L pennes'!AH17="","",'Sections rachis &amp; L pennes'!AH17)</f>
        <v>10</v>
      </c>
      <c r="R52" s="907" t="str">
        <f>IF('Sections rachis &amp; L pennes'!AI17="","",($E$70+$E$71*$Q52+$E$72*100*'Sections rachis &amp; L pennes'!AI17/'Sections rachis &amp; L pennes'!$P$40)*'Sections rachis &amp; L pennes'!$L45*$F$71/100)</f>
        <v/>
      </c>
      <c r="S52" s="908">
        <f>IF('Sections rachis &amp; L pennes'!AJ17="","",($E$70+$E$71*$Q52+$E$72*100*'Sections rachis &amp; L pennes'!AJ17/'Sections rachis &amp; L pennes'!$P$40)*'Sections rachis &amp; L pennes'!$L45*$F$71/100)</f>
        <v>0.70546884278082644</v>
      </c>
      <c r="T52" s="908" t="str">
        <f>IF('Sections rachis &amp; L pennes'!AK17="","",($E$70+$E$71*$Q52+$E$72*100*'Sections rachis &amp; L pennes'!AK17/'Sections rachis &amp; L pennes'!$P$40)*'Sections rachis &amp; L pennes'!$L45*$F$71/100)</f>
        <v/>
      </c>
      <c r="U52" s="909" t="str">
        <f>IF('Sections rachis &amp; L pennes'!AL17="","",($E$70+$E$71*$Q52+$E$72*100*'Sections rachis &amp; L pennes'!AL17/'Sections rachis &amp; L pennes'!$P$40)*'Sections rachis &amp; L pennes'!$L45*$F$71/100)</f>
        <v/>
      </c>
      <c r="V52" s="907" t="str">
        <f>IF('Sections rachis &amp; L pennes'!AI17="","",($I$70+$I$71*$Q52+$I$72*100*'Sections rachis &amp; L pennes'!AI17/'Sections rachis &amp; L pennes'!$P$40)*'Sections rachis &amp; L pennes'!$L45*$J$71/100)</f>
        <v/>
      </c>
      <c r="W52" s="908">
        <f>IF('Sections rachis &amp; L pennes'!AJ17="","",($I$70+$I$71*$Q52+$I$72*100*'Sections rachis &amp; L pennes'!AJ17/'Sections rachis &amp; L pennes'!$P$40)*'Sections rachis &amp; L pennes'!$L45*$J$71/100)</f>
        <v>0.7602074225161346</v>
      </c>
      <c r="X52" s="908" t="str">
        <f>IF('Sections rachis &amp; L pennes'!AK17="","",($I$70+$I$71*$Q52+$I$72*100*'Sections rachis &amp; L pennes'!AK17/'Sections rachis &amp; L pennes'!$P$40)*'Sections rachis &amp; L pennes'!$L45*$J$71/100)</f>
        <v/>
      </c>
      <c r="Y52" s="909" t="str">
        <f>IF('Sections rachis &amp; L pennes'!AL17="","",($I$70+$I$71*$Q52+$I$72*100*'Sections rachis &amp; L pennes'!AL17/'Sections rachis &amp; L pennes'!$P$40)*'Sections rachis &amp; L pennes'!$L45*$J$71/100)</f>
        <v/>
      </c>
      <c r="Z52" s="907" t="str">
        <f>IF('Sections rachis &amp; L pennes'!AI17="","",($M$70+$M$71*$Q52+$M$72*100*'Sections rachis &amp; L pennes'!AI17/'Sections rachis &amp; L pennes'!$P$40)*'Sections rachis &amp; L pennes'!$L45*$N$71/100)</f>
        <v/>
      </c>
      <c r="AA52" s="908">
        <f>IF('Sections rachis &amp; L pennes'!AJ17="","",($M$70+$M$71*$Q52+$M$72*100*'Sections rachis &amp; L pennes'!AJ17/'Sections rachis &amp; L pennes'!$P$40)*'Sections rachis &amp; L pennes'!$L45*$N$71/100)</f>
        <v>0.59692555110636514</v>
      </c>
      <c r="AB52" s="908" t="str">
        <f>IF('Sections rachis &amp; L pennes'!AK17="","",($M$70+$M$71*$Q52+$M$72*100*'Sections rachis &amp; L pennes'!AK17/'Sections rachis &amp; L pennes'!$P$40)*'Sections rachis &amp; L pennes'!$L45*$N$71/100)</f>
        <v/>
      </c>
      <c r="AC52" s="910" t="str">
        <f>IF('Sections rachis &amp; L pennes'!AL17="","",($M$70+$M$71*$Q52+$M$72*100*'Sections rachis &amp; L pennes'!AL17/'Sections rachis &amp; L pennes'!$P$40)*'Sections rachis &amp; L pennes'!$L45*$N$71/100)</f>
        <v/>
      </c>
    </row>
    <row r="53" spans="2:29" s="345" customFormat="1" ht="13.5" customHeight="1">
      <c r="C53" s="937">
        <f>IF('Sections rachis &amp; L pennes'!AC18="","",'Sections rachis &amp; L pennes'!AC18)</f>
        <v>20</v>
      </c>
      <c r="D53" s="907">
        <f>IF('Sections rachis &amp; L pennes'!AD18="","",($E$70+$E$71*$C53+$E$72*100*'Sections rachis &amp; L pennes'!AD18/'Sections rachis &amp; L pennes'!$P$40)*'Sections rachis &amp; L pennes'!$L46*$F$71/100)</f>
        <v>0.86904854669961851</v>
      </c>
      <c r="E53" s="908" t="str">
        <f>IF('Sections rachis &amp; L pennes'!AE18="","",($E$70+$E$71*$C53+$E$72*100*'Sections rachis &amp; L pennes'!AE18/'Sections rachis &amp; L pennes'!$P$40)*'Sections rachis &amp; L pennes'!$L46*$F$71/100)</f>
        <v/>
      </c>
      <c r="F53" s="908" t="str">
        <f>IF('Sections rachis &amp; L pennes'!AF18="","",($E$70+$E$71*$C53+$E$72*100*'Sections rachis &amp; L pennes'!AF18/'Sections rachis &amp; L pennes'!$P$40)*'Sections rachis &amp; L pennes'!$L46*$F$71/100)</f>
        <v/>
      </c>
      <c r="G53" s="910">
        <f>IF('Sections rachis &amp; L pennes'!AG18="","",($E$70+$E$71*$C53+$E$72*100*'Sections rachis &amp; L pennes'!AG18/'Sections rachis &amp; L pennes'!$P$40)*'Sections rachis &amp; L pennes'!$L46*$F$71/100)</f>
        <v>0.86220724076297217</v>
      </c>
      <c r="H53" s="907">
        <f>IF('Sections rachis &amp; L pennes'!AD18="","",($I$70+$I$71*$C53+$I$72*100*'Sections rachis &amp; L pennes'!AD18/'Sections rachis &amp; L pennes'!$P$40)*'Sections rachis &amp; L pennes'!$L46*$J$71/100)</f>
        <v>1.0730589540276136</v>
      </c>
      <c r="I53" s="908" t="str">
        <f>IF('Sections rachis &amp; L pennes'!AE18="","",($I$70+$I$71*$C53+$I$72*100*'Sections rachis &amp; L pennes'!AE18/'Sections rachis &amp; L pennes'!$P$40)*'Sections rachis &amp; L pennes'!$L46*$J$71/100)</f>
        <v/>
      </c>
      <c r="J53" s="908" t="str">
        <f>IF('Sections rachis &amp; L pennes'!AF18="","",($I$70+$I$71*$C53+$I$72*100*'Sections rachis &amp; L pennes'!AF18/'Sections rachis &amp; L pennes'!$P$40)*'Sections rachis &amp; L pennes'!$L46*$J$71/100)</f>
        <v/>
      </c>
      <c r="K53" s="909">
        <f>IF('Sections rachis &amp; L pennes'!AG18="","",($I$70+$I$71*$C53+$I$72*100*'Sections rachis &amp; L pennes'!AG18/'Sections rachis &amp; L pennes'!$P$40)*'Sections rachis &amp; L pennes'!$L46*$J$71/100)</f>
        <v>1.0425781244731878</v>
      </c>
      <c r="L53" s="907">
        <f>IF('Sections rachis &amp; L pennes'!AD18="","",($M$70+$M$71*$C53+$M$72*100*'Sections rachis &amp; L pennes'!AD18/'Sections rachis &amp; L pennes'!$P$40)*'Sections rachis &amp; L pennes'!$L46*$N$71/100)</f>
        <v>0.81445474116673722</v>
      </c>
      <c r="M53" s="908" t="str">
        <f>IF('Sections rachis &amp; L pennes'!AE18="","",($M$70+$M$71*$C53+$M$72*100*'Sections rachis &amp; L pennes'!AE18/'Sections rachis &amp; L pennes'!$P$40)*'Sections rachis &amp; L pennes'!$L46*$N$71/100)</f>
        <v/>
      </c>
      <c r="N53" s="908" t="str">
        <f>IF('Sections rachis &amp; L pennes'!AF18="","",($M$70+$M$71*$C53+$M$72*100*'Sections rachis &amp; L pennes'!AF18/'Sections rachis &amp; L pennes'!$P$40)*'Sections rachis &amp; L pennes'!$L46*$N$71/100)</f>
        <v/>
      </c>
      <c r="O53" s="910">
        <f>IF('Sections rachis &amp; L pennes'!AG18="","",($M$70+$M$71*$C53+$M$72*100*'Sections rachis &amp; L pennes'!AG18/'Sections rachis &amp; L pennes'!$P$40)*'Sections rachis &amp; L pennes'!$L46*$N$71/100)</f>
        <v>0.77175969550594881</v>
      </c>
      <c r="P53" s="694"/>
      <c r="Q53" s="906">
        <f>IF('Sections rachis &amp; L pennes'!AH18="","",'Sections rachis &amp; L pennes'!AH18)</f>
        <v>20</v>
      </c>
      <c r="R53" s="907">
        <f>IF('Sections rachis &amp; L pennes'!AI18="","",($E$70+$E$71*$Q53+$E$72*100*'Sections rachis &amp; L pennes'!AI18/'Sections rachis &amp; L pennes'!$P$40)*'Sections rachis &amp; L pennes'!$L46*$F$71/100)</f>
        <v>0.86631202432496002</v>
      </c>
      <c r="S53" s="908" t="str">
        <f>IF('Sections rachis &amp; L pennes'!AJ18="","",($E$70+$E$71*$Q53+$E$72*100*'Sections rachis &amp; L pennes'!AJ18/'Sections rachis &amp; L pennes'!$P$40)*'Sections rachis &amp; L pennes'!$L46*$F$71/100)</f>
        <v/>
      </c>
      <c r="T53" s="908" t="str">
        <f>IF('Sections rachis &amp; L pennes'!AK18="","",($E$70+$E$71*$Q53+$E$72*100*'Sections rachis &amp; L pennes'!AK18/'Sections rachis &amp; L pennes'!$P$40)*'Sections rachis &amp; L pennes'!$L46*$F$71/100)</f>
        <v/>
      </c>
      <c r="U53" s="909">
        <f>IF('Sections rachis &amp; L pennes'!AL18="","",($E$70+$E$71*$Q53+$E$72*100*'Sections rachis &amp; L pennes'!AL18/'Sections rachis &amp; L pennes'!$P$40)*'Sections rachis &amp; L pennes'!$L46*$F$71/100)</f>
        <v>0.85868885485269686</v>
      </c>
      <c r="V53" s="907">
        <f>IF('Sections rachis &amp; L pennes'!AI18="","",($I$70+$I$71*$Q53+$I$72*100*'Sections rachis &amp; L pennes'!AI18/'Sections rachis &amp; L pennes'!$P$40)*'Sections rachis &amp; L pennes'!$L46*$J$71/100)</f>
        <v>1.0608666222058434</v>
      </c>
      <c r="W53" s="908" t="str">
        <f>IF('Sections rachis &amp; L pennes'!AJ18="","",($I$70+$I$71*$Q53+$I$72*100*'Sections rachis &amp; L pennes'!AJ18/'Sections rachis &amp; L pennes'!$P$40)*'Sections rachis &amp; L pennes'!$L46*$J$71/100)</f>
        <v/>
      </c>
      <c r="X53" s="908" t="str">
        <f>IF('Sections rachis &amp; L pennes'!AK18="","",($I$70+$I$71*$Q53+$I$72*100*'Sections rachis &amp; L pennes'!AK18/'Sections rachis &amp; L pennes'!$P$40)*'Sections rachis &amp; L pennes'!$L46*$J$71/100)</f>
        <v/>
      </c>
      <c r="Y53" s="909">
        <f>IF('Sections rachis &amp; L pennes'!AL18="","",($I$70+$I$71*$Q53+$I$72*100*'Sections rachis &amp; L pennes'!AL18/'Sections rachis &amp; L pennes'!$P$40)*'Sections rachis &amp; L pennes'!$L46*$J$71/100)</f>
        <v>1.0269022692737686</v>
      </c>
      <c r="Z53" s="907">
        <f>IF('Sections rachis &amp; L pennes'!AI18="","",($M$70+$M$71*$Q53+$M$72*100*'Sections rachis &amp; L pennes'!AI18/'Sections rachis &amp; L pennes'!$P$40)*'Sections rachis &amp; L pennes'!$L46*$N$71/100)</f>
        <v>0.7973767229024219</v>
      </c>
      <c r="AA53" s="908" t="str">
        <f>IF('Sections rachis &amp; L pennes'!AJ18="","",($M$70+$M$71*$Q53+$M$72*100*'Sections rachis &amp; L pennes'!AJ18/'Sections rachis &amp; L pennes'!$P$40)*'Sections rachis &amp; L pennes'!$L46*$N$71/100)</f>
        <v/>
      </c>
      <c r="AB53" s="908" t="str">
        <f>IF('Sections rachis &amp; L pennes'!AK18="","",($M$70+$M$71*$Q53+$M$72*100*'Sections rachis &amp; L pennes'!AK18/'Sections rachis &amp; L pennes'!$P$40)*'Sections rachis &amp; L pennes'!$L46*$N$71/100)</f>
        <v/>
      </c>
      <c r="AC53" s="910">
        <f>IF('Sections rachis &amp; L pennes'!AL18="","",($M$70+$M$71*$Q53+$M$72*100*'Sections rachis &amp; L pennes'!AL18/'Sections rachis &amp; L pennes'!$P$40)*'Sections rachis &amp; L pennes'!$L46*$N$71/100)</f>
        <v>0.74980224345182922</v>
      </c>
    </row>
    <row r="54" spans="2:29" s="345" customFormat="1" ht="13.5" customHeight="1">
      <c r="C54" s="937">
        <f>IF('Sections rachis &amp; L pennes'!AC19="","",'Sections rachis &amp; L pennes'!AC19)</f>
        <v>30</v>
      </c>
      <c r="D54" s="907">
        <f>IF('Sections rachis &amp; L pennes'!AD19="","",($E$70+$E$71*$C54+$E$72*100*'Sections rachis &amp; L pennes'!AD19/'Sections rachis &amp; L pennes'!$P$40)*'Sections rachis &amp; L pennes'!$L47*$F$71/100)</f>
        <v>0.92933373418235843</v>
      </c>
      <c r="E54" s="908" t="str">
        <f>IF('Sections rachis &amp; L pennes'!AE19="","",($E$70+$E$71*$C54+$E$72*100*'Sections rachis &amp; L pennes'!AE19/'Sections rachis &amp; L pennes'!$P$40)*'Sections rachis &amp; L pennes'!$L47*$F$71/100)</f>
        <v/>
      </c>
      <c r="F54" s="908" t="str">
        <f>IF('Sections rachis &amp; L pennes'!AF19="","",($E$70+$E$71*$C54+$E$72*100*'Sections rachis &amp; L pennes'!AF19/'Sections rachis &amp; L pennes'!$P$40)*'Sections rachis &amp; L pennes'!$L47*$F$71/100)</f>
        <v/>
      </c>
      <c r="G54" s="910">
        <f>IF('Sections rachis &amp; L pennes'!AG19="","",($E$70+$E$71*$C54+$E$72*100*'Sections rachis &amp; L pennes'!AG19/'Sections rachis &amp; L pennes'!$P$40)*'Sections rachis &amp; L pennes'!$L47*$F$71/100)</f>
        <v>0.91155614750463843</v>
      </c>
      <c r="H54" s="907">
        <f>IF('Sections rachis &amp; L pennes'!AD19="","",($I$70+$I$71*$C54+$I$72*100*'Sections rachis &amp; L pennes'!AD19/'Sections rachis &amp; L pennes'!$P$40)*'Sections rachis &amp; L pennes'!$L47*$J$71/100)</f>
        <v>0.98109173839371211</v>
      </c>
      <c r="I54" s="908" t="str">
        <f>IF('Sections rachis &amp; L pennes'!AE19="","",($I$70+$I$71*$C54+$I$72*100*'Sections rachis &amp; L pennes'!AE19/'Sections rachis &amp; L pennes'!$P$40)*'Sections rachis &amp; L pennes'!$L47*$J$71/100)</f>
        <v/>
      </c>
      <c r="J54" s="908" t="str">
        <f>IF('Sections rachis &amp; L pennes'!AF19="","",($I$70+$I$71*$C54+$I$72*100*'Sections rachis &amp; L pennes'!AF19/'Sections rachis &amp; L pennes'!$P$40)*'Sections rachis &amp; L pennes'!$L47*$J$71/100)</f>
        <v/>
      </c>
      <c r="K54" s="909">
        <f>IF('Sections rachis &amp; L pennes'!AG19="","",($I$70+$I$71*$C54+$I$72*100*'Sections rachis &amp; L pennes'!AG19/'Sections rachis &amp; L pennes'!$P$40)*'Sections rachis &amp; L pennes'!$L47*$J$71/100)</f>
        <v>0.90188528359829268</v>
      </c>
      <c r="L54" s="907">
        <f>IF('Sections rachis &amp; L pennes'!AD19="","",($M$70+$M$71*$C54+$M$72*100*'Sections rachis &amp; L pennes'!AD19/'Sections rachis &amp; L pennes'!$P$40)*'Sections rachis &amp; L pennes'!$L47*$N$71/100)</f>
        <v>0.52397383712973322</v>
      </c>
      <c r="M54" s="908" t="str">
        <f>IF('Sections rachis &amp; L pennes'!AE19="","",($M$70+$M$71*$C54+$M$72*100*'Sections rachis &amp; L pennes'!AE19/'Sections rachis &amp; L pennes'!$P$40)*'Sections rachis &amp; L pennes'!$L47*$N$71/100)</f>
        <v/>
      </c>
      <c r="N54" s="908" t="str">
        <f>IF('Sections rachis &amp; L pennes'!AF19="","",($M$70+$M$71*$C54+$M$72*100*'Sections rachis &amp; L pennes'!AF19/'Sections rachis &amp; L pennes'!$P$40)*'Sections rachis &amp; L pennes'!$L47*$N$71/100)</f>
        <v/>
      </c>
      <c r="O54" s="910">
        <f>IF('Sections rachis &amp; L pennes'!AG19="","",($M$70+$M$71*$C54+$M$72*100*'Sections rachis &amp; L pennes'!AG19/'Sections rachis &amp; L pennes'!$P$40)*'Sections rachis &amp; L pennes'!$L47*$N$71/100)</f>
        <v>0.41302793265291138</v>
      </c>
      <c r="P54" s="694"/>
      <c r="Q54" s="906">
        <f>IF('Sections rachis &amp; L pennes'!AH19="","",'Sections rachis &amp; L pennes'!AH19)</f>
        <v>30</v>
      </c>
      <c r="R54" s="907">
        <f>IF('Sections rachis &amp; L pennes'!AI19="","",($E$70+$E$71*$Q54+$E$72*100*'Sections rachis &amp; L pennes'!AI19/'Sections rachis &amp; L pennes'!$P$40)*'Sections rachis &amp; L pennes'!$L47*$F$71/100)</f>
        <v>0.92981857745538732</v>
      </c>
      <c r="S54" s="908" t="str">
        <f>IF('Sections rachis &amp; L pennes'!AJ19="","",($E$70+$E$71*$Q54+$E$72*100*'Sections rachis &amp; L pennes'!AJ19/'Sections rachis &amp; L pennes'!$P$40)*'Sections rachis &amp; L pennes'!$L47*$F$71/100)</f>
        <v/>
      </c>
      <c r="T54" s="908" t="str">
        <f>IF('Sections rachis &amp; L pennes'!AK19="","",($E$70+$E$71*$Q54+$E$72*100*'Sections rachis &amp; L pennes'!AK19/'Sections rachis &amp; L pennes'!$P$40)*'Sections rachis &amp; L pennes'!$L47*$F$71/100)</f>
        <v/>
      </c>
      <c r="U54" s="909">
        <f>IF('Sections rachis &amp; L pennes'!AL19="","",($E$70+$E$71*$Q54+$E$72*100*'Sections rachis &amp; L pennes'!AL19/'Sections rachis &amp; L pennes'!$P$40)*'Sections rachis &amp; L pennes'!$L47*$F$71/100)</f>
        <v>0.91107130423160954</v>
      </c>
      <c r="V54" s="907">
        <f>IF('Sections rachis &amp; L pennes'!AI19="","",($I$70+$I$71*$Q54+$I$72*100*'Sections rachis &amp; L pennes'!AI19/'Sections rachis &amp; L pennes'!$P$40)*'Sections rachis &amp; L pennes'!$L47*$J$71/100)</f>
        <v>0.98325191443358717</v>
      </c>
      <c r="W54" s="908" t="str">
        <f>IF('Sections rachis &amp; L pennes'!AJ19="","",($I$70+$I$71*$Q54+$I$72*100*'Sections rachis &amp; L pennes'!AJ19/'Sections rachis &amp; L pennes'!$P$40)*'Sections rachis &amp; L pennes'!$L47*$J$71/100)</f>
        <v/>
      </c>
      <c r="X54" s="908" t="str">
        <f>IF('Sections rachis &amp; L pennes'!AK19="","",($I$70+$I$71*$Q54+$I$72*100*'Sections rachis &amp; L pennes'!AK19/'Sections rachis &amp; L pennes'!$P$40)*'Sections rachis &amp; L pennes'!$L47*$J$71/100)</f>
        <v/>
      </c>
      <c r="Y54" s="909">
        <f>IF('Sections rachis &amp; L pennes'!AL19="","",($I$70+$I$71*$Q54+$I$72*100*'Sections rachis &amp; L pennes'!AL19/'Sections rachis &amp; L pennes'!$P$40)*'Sections rachis &amp; L pennes'!$L47*$J$71/100)</f>
        <v>0.89972510755841739</v>
      </c>
      <c r="Z54" s="907">
        <f>IF('Sections rachis &amp; L pennes'!AI19="","",($M$70+$M$71*$Q54+$M$72*100*'Sections rachis &amp; L pennes'!AI19/'Sections rachis &amp; L pennes'!$P$40)*'Sections rachis &amp; L pennes'!$L47*$N$71/100)</f>
        <v>0.52699963452455556</v>
      </c>
      <c r="AA54" s="908" t="str">
        <f>IF('Sections rachis &amp; L pennes'!AJ19="","",($M$70+$M$71*$Q54+$M$72*100*'Sections rachis &amp; L pennes'!AJ19/'Sections rachis &amp; L pennes'!$P$40)*'Sections rachis &amp; L pennes'!$L47*$N$71/100)</f>
        <v/>
      </c>
      <c r="AB54" s="908" t="str">
        <f>IF('Sections rachis &amp; L pennes'!AK19="","",($M$70+$M$71*$Q54+$M$72*100*'Sections rachis &amp; L pennes'!AK19/'Sections rachis &amp; L pennes'!$P$40)*'Sections rachis &amp; L pennes'!$L47*$N$71/100)</f>
        <v/>
      </c>
      <c r="AC54" s="910">
        <f>IF('Sections rachis &amp; L pennes'!AL19="","",($M$70+$M$71*$Q54+$M$72*100*'Sections rachis &amp; L pennes'!AL19/'Sections rachis &amp; L pennes'!$P$40)*'Sections rachis &amp; L pennes'!$L47*$N$71/100)</f>
        <v>0.41000213525808904</v>
      </c>
    </row>
    <row r="55" spans="2:29" s="345" customFormat="1" ht="13.5" customHeight="1">
      <c r="C55" s="937">
        <f>IF('Sections rachis &amp; L pennes'!AC20="","",'Sections rachis &amp; L pennes'!AC20)</f>
        <v>40</v>
      </c>
      <c r="D55" s="907">
        <f>IF('Sections rachis &amp; L pennes'!AD20="","",($E$70+$E$71*$C55+$E$72*100*'Sections rachis &amp; L pennes'!AD20/'Sections rachis &amp; L pennes'!$P$40)*'Sections rachis &amp; L pennes'!$L48*$F$71/100)</f>
        <v>1.0445787449700907</v>
      </c>
      <c r="E55" s="908" t="str">
        <f>IF('Sections rachis &amp; L pennes'!AE20="","",($E$70+$E$71*$C55+$E$72*100*'Sections rachis &amp; L pennes'!AE20/'Sections rachis &amp; L pennes'!$P$40)*'Sections rachis &amp; L pennes'!$L48*$F$71/100)</f>
        <v/>
      </c>
      <c r="F55" s="908" t="str">
        <f>IF('Sections rachis &amp; L pennes'!AF20="","",($E$70+$E$71*$C55+$E$72*100*'Sections rachis &amp; L pennes'!AF20/'Sections rachis &amp; L pennes'!$P$40)*'Sections rachis &amp; L pennes'!$L48*$F$71/100)</f>
        <v/>
      </c>
      <c r="G55" s="910">
        <f>IF('Sections rachis &amp; L pennes'!AG20="","",($E$70+$E$71*$C55+$E$72*100*'Sections rachis &amp; L pennes'!AG20/'Sections rachis &amp; L pennes'!$P$40)*'Sections rachis &amp; L pennes'!$L48*$F$71/100)</f>
        <v>1.0398930018434924</v>
      </c>
      <c r="H55" s="907">
        <f>IF('Sections rachis &amp; L pennes'!AD20="","",($I$70+$I$71*$C55+$I$72*100*'Sections rachis &amp; L pennes'!AD20/'Sections rachis &amp; L pennes'!$P$40)*'Sections rachis &amp; L pennes'!$L48*$J$71/100)</f>
        <v>1.1355009999063814</v>
      </c>
      <c r="I55" s="908" t="str">
        <f>IF('Sections rachis &amp; L pennes'!AE20="","",($I$70+$I$71*$C55+$I$72*100*'Sections rachis &amp; L pennes'!AE20/'Sections rachis &amp; L pennes'!$P$40)*'Sections rachis &amp; L pennes'!$L48*$J$71/100)</f>
        <v/>
      </c>
      <c r="J55" s="908" t="str">
        <f>IF('Sections rachis &amp; L pennes'!AF20="","",($I$70+$I$71*$C55+$I$72*100*'Sections rachis &amp; L pennes'!AF20/'Sections rachis &amp; L pennes'!$P$40)*'Sections rachis &amp; L pennes'!$L48*$J$71/100)</f>
        <v/>
      </c>
      <c r="K55" s="909">
        <f>IF('Sections rachis &amp; L pennes'!AG20="","",($I$70+$I$71*$C55+$I$72*100*'Sections rachis &amp; L pennes'!AG20/'Sections rachis &amp; L pennes'!$P$40)*'Sections rachis &amp; L pennes'!$L48*$J$71/100)</f>
        <v>1.1146240885534473</v>
      </c>
      <c r="L55" s="907">
        <f>IF('Sections rachis &amp; L pennes'!AD20="","",($M$70+$M$71*$C55+$M$72*100*'Sections rachis &amp; L pennes'!AD20/'Sections rachis &amp; L pennes'!$P$40)*'Sections rachis &amp; L pennes'!$L48*$N$71/100)</f>
        <v>0.59668305760413898</v>
      </c>
      <c r="M55" s="908" t="str">
        <f>IF('Sections rachis &amp; L pennes'!AE20="","",($M$70+$M$71*$C55+$M$72*100*'Sections rachis &amp; L pennes'!AE20/'Sections rachis &amp; L pennes'!$P$40)*'Sections rachis &amp; L pennes'!$L48*$N$71/100)</f>
        <v/>
      </c>
      <c r="N55" s="908" t="str">
        <f>IF('Sections rachis &amp; L pennes'!AF20="","",($M$70+$M$71*$C55+$M$72*100*'Sections rachis &amp; L pennes'!AF20/'Sections rachis &amp; L pennes'!$P$40)*'Sections rachis &amp; L pennes'!$L48*$N$71/100)</f>
        <v/>
      </c>
      <c r="O55" s="910">
        <f>IF('Sections rachis &amp; L pennes'!AG20="","",($M$70+$M$71*$C55+$M$72*100*'Sections rachis &amp; L pennes'!AG20/'Sections rachis &amp; L pennes'!$P$40)*'Sections rachis &amp; L pennes'!$L48*$N$71/100)</f>
        <v>0.56744039273905733</v>
      </c>
      <c r="P55" s="694"/>
      <c r="Q55" s="906">
        <f>IF('Sections rachis &amp; L pennes'!AH20="","",'Sections rachis &amp; L pennes'!AH20)</f>
        <v>40</v>
      </c>
      <c r="R55" s="907">
        <f>IF('Sections rachis &amp; L pennes'!AI20="","",($E$70+$E$71*$Q55+$E$72*100*'Sections rachis &amp; L pennes'!AI20/'Sections rachis &amp; L pennes'!$P$40)*'Sections rachis &amp; L pennes'!$L48*$F$71/100)</f>
        <v>1.0347812820690214</v>
      </c>
      <c r="S55" s="908" t="str">
        <f>IF('Sections rachis &amp; L pennes'!AJ20="","",($E$70+$E$71*$Q55+$E$72*100*'Sections rachis &amp; L pennes'!AJ20/'Sections rachis &amp; L pennes'!$P$40)*'Sections rachis &amp; L pennes'!$L48*$F$71/100)</f>
        <v/>
      </c>
      <c r="T55" s="908" t="str">
        <f>IF('Sections rachis &amp; L pennes'!AK20="","",($E$70+$E$71*$Q55+$E$72*100*'Sections rachis &amp; L pennes'!AK20/'Sections rachis &amp; L pennes'!$P$40)*'Sections rachis &amp; L pennes'!$L48*$F$71/100)</f>
        <v/>
      </c>
      <c r="U55" s="909">
        <f>IF('Sections rachis &amp; L pennes'!AL20="","",($E$70+$E$71*$Q55+$E$72*100*'Sections rachis &amp; L pennes'!AL20/'Sections rachis &amp; L pennes'!$P$40)*'Sections rachis &amp; L pennes'!$L48*$F$71/100)</f>
        <v>1.0433008150264729</v>
      </c>
      <c r="V55" s="907">
        <f>IF('Sections rachis &amp; L pennes'!AI20="","",($I$70+$I$71*$Q55+$I$72*100*'Sections rachis &amp; L pennes'!AI20/'Sections rachis &amp; L pennes'!$P$40)*'Sections rachis &amp; L pennes'!$L48*$J$71/100)</f>
        <v>1.0918492761684284</v>
      </c>
      <c r="W55" s="908" t="str">
        <f>IF('Sections rachis &amp; L pennes'!AJ20="","",($I$70+$I$71*$Q55+$I$72*100*'Sections rachis &amp; L pennes'!AJ20/'Sections rachis &amp; L pennes'!$P$40)*'Sections rachis &amp; L pennes'!$L48*$J$71/100)</f>
        <v/>
      </c>
      <c r="X55" s="908" t="str">
        <f>IF('Sections rachis &amp; L pennes'!AK20="","",($I$70+$I$71*$Q55+$I$72*100*'Sections rachis &amp; L pennes'!AK20/'Sections rachis &amp; L pennes'!$P$40)*'Sections rachis &amp; L pennes'!$L48*$J$71/100)</f>
        <v/>
      </c>
      <c r="Y55" s="909">
        <f>IF('Sections rachis &amp; L pennes'!AL20="","",($I$70+$I$71*$Q55+$I$72*100*'Sections rachis &amp; L pennes'!AL20/'Sections rachis &amp; L pennes'!$P$40)*'Sections rachis &amp; L pennes'!$L48*$J$71/100)</f>
        <v>1.1298072968101267</v>
      </c>
      <c r="Z55" s="907">
        <f>IF('Sections rachis &amp; L pennes'!AI20="","",($M$70+$M$71*$Q55+$M$72*100*'Sections rachis &amp; L pennes'!AI20/'Sections rachis &amp; L pennes'!$P$40)*'Sections rachis &amp; L pennes'!$L48*$N$71/100)</f>
        <v>0.53553930379533188</v>
      </c>
      <c r="AA55" s="908" t="str">
        <f>IF('Sections rachis &amp; L pennes'!AJ20="","",($M$70+$M$71*$Q55+$M$72*100*'Sections rachis &amp; L pennes'!AJ20/'Sections rachis &amp; L pennes'!$P$40)*'Sections rachis &amp; L pennes'!$L48*$N$71/100)</f>
        <v/>
      </c>
      <c r="AB55" s="908" t="str">
        <f>IF('Sections rachis &amp; L pennes'!AK20="","",($M$70+$M$71*$Q55+$M$72*100*'Sections rachis &amp; L pennes'!AK20/'Sections rachis &amp; L pennes'!$P$40)*'Sections rachis &amp; L pennes'!$L48*$N$71/100)</f>
        <v/>
      </c>
      <c r="AC55" s="910">
        <f>IF('Sections rachis &amp; L pennes'!AL20="","",($M$70+$M$71*$Q55+$M$72*100*'Sections rachis &amp; L pennes'!AL20/'Sections rachis &amp; L pennes'!$P$40)*'Sections rachis &amp; L pennes'!$L48*$N$71/100)</f>
        <v>0.58870778536820767</v>
      </c>
    </row>
    <row r="56" spans="2:29" s="345" customFormat="1" ht="13.5" customHeight="1">
      <c r="C56" s="937">
        <f>IF('Sections rachis &amp; L pennes'!AC21="","",'Sections rachis &amp; L pennes'!AC21)</f>
        <v>50</v>
      </c>
      <c r="D56" s="907">
        <f>IF('Sections rachis &amp; L pennes'!AD21="","",($E$70+$E$71*$C56+$E$72*100*'Sections rachis &amp; L pennes'!AD21/'Sections rachis &amp; L pennes'!$P$40)*'Sections rachis &amp; L pennes'!$L49*$F$71/100)</f>
        <v>1.1916174289695547</v>
      </c>
      <c r="E56" s="908">
        <f>IF('Sections rachis &amp; L pennes'!AE21="","",($E$70+$E$71*$C56+$E$72*100*'Sections rachis &amp; L pennes'!AE21/'Sections rachis &amp; L pennes'!$P$40)*'Sections rachis &amp; L pennes'!$L49*$F$71/100)</f>
        <v>1.1907138933947308</v>
      </c>
      <c r="F56" s="908" t="str">
        <f>IF('Sections rachis &amp; L pennes'!AF21="","",($E$70+$E$71*$C56+$E$72*100*'Sections rachis &amp; L pennes'!AF21/'Sections rachis &amp; L pennes'!$P$40)*'Sections rachis &amp; L pennes'!$L49*$F$71/100)</f>
        <v/>
      </c>
      <c r="G56" s="910">
        <f>IF('Sections rachis &amp; L pennes'!AG21="","",($E$70+$E$71*$C56+$E$72*100*'Sections rachis &amp; L pennes'!AG21/'Sections rachis &amp; L pennes'!$P$40)*'Sections rachis &amp; L pennes'!$L49*$F$71/100)</f>
        <v>1.1894231282878391</v>
      </c>
      <c r="H56" s="907">
        <f>IF('Sections rachis &amp; L pennes'!AD21="","",($I$70+$I$71*$C56+$I$72*100*'Sections rachis &amp; L pennes'!AD21/'Sections rachis &amp; L pennes'!$P$40)*'Sections rachis &amp; L pennes'!$L49*$J$71/100)</f>
        <v>1.4355610370001699</v>
      </c>
      <c r="I56" s="908">
        <f>IF('Sections rachis &amp; L pennes'!AE21="","",($I$70+$I$71*$C56+$I$72*100*'Sections rachis &amp; L pennes'!AE21/'Sections rachis &amp; L pennes'!$P$40)*'Sections rachis &amp; L pennes'!$L49*$J$71/100)</f>
        <v>1.4315354146836694</v>
      </c>
      <c r="J56" s="908" t="str">
        <f>IF('Sections rachis &amp; L pennes'!AF21="","",($I$70+$I$71*$C56+$I$72*100*'Sections rachis &amp; L pennes'!AF21/'Sections rachis &amp; L pennes'!$P$40)*'Sections rachis &amp; L pennes'!$L49*$J$71/100)</f>
        <v/>
      </c>
      <c r="K56" s="909">
        <f>IF('Sections rachis &amp; L pennes'!AG21="","",($I$70+$I$71*$C56+$I$72*100*'Sections rachis &amp; L pennes'!AG21/'Sections rachis &amp; L pennes'!$P$40)*'Sections rachis &amp; L pennes'!$L49*$J$71/100)</f>
        <v>1.4257845256600974</v>
      </c>
      <c r="L56" s="907">
        <f>IF('Sections rachis &amp; L pennes'!AD21="","",($M$70+$M$71*$C56+$M$72*100*'Sections rachis &amp; L pennes'!AD21/'Sections rachis &amp; L pennes'!$P$40)*'Sections rachis &amp; L pennes'!$L49*$N$71/100)</f>
        <v>0.883024378874116</v>
      </c>
      <c r="M56" s="908">
        <f>IF('Sections rachis &amp; L pennes'!AE21="","",($M$70+$M$71*$C56+$M$72*100*'Sections rachis &amp; L pennes'!AE21/'Sections rachis &amp; L pennes'!$P$40)*'Sections rachis &amp; L pennes'!$L49*$N$71/100)</f>
        <v>0.87738561735979514</v>
      </c>
      <c r="N56" s="908" t="str">
        <f>IF('Sections rachis &amp; L pennes'!AF21="","",($M$70+$M$71*$C56+$M$72*100*'Sections rachis &amp; L pennes'!AF21/'Sections rachis &amp; L pennes'!$P$40)*'Sections rachis &amp; L pennes'!$L49*$N$71/100)</f>
        <v/>
      </c>
      <c r="O56" s="910">
        <f>IF('Sections rachis &amp; L pennes'!AG21="","",($M$70+$M$71*$C56+$M$72*100*'Sections rachis &amp; L pennes'!AG21/'Sections rachis &amp; L pennes'!$P$40)*'Sections rachis &amp; L pennes'!$L49*$N$71/100)</f>
        <v>0.86933024376790824</v>
      </c>
      <c r="P56" s="694"/>
      <c r="Q56" s="906">
        <f>IF('Sections rachis &amp; L pennes'!AH21="","",'Sections rachis &amp; L pennes'!AH21)</f>
        <v>50</v>
      </c>
      <c r="R56" s="907">
        <f>IF('Sections rachis &amp; L pennes'!AI21="","",($E$70+$E$71*$Q56+$E$72*100*'Sections rachis &amp; L pennes'!AI21/'Sections rachis &amp; L pennes'!$P$40)*'Sections rachis &amp; L pennes'!$L49*$F$71/100)</f>
        <v>1.1741921000265205</v>
      </c>
      <c r="S56" s="908" t="str">
        <f>IF('Sections rachis &amp; L pennes'!AJ21="","",($E$70+$E$71*$Q56+$E$72*100*'Sections rachis &amp; L pennes'!AJ21/'Sections rachis &amp; L pennes'!$P$40)*'Sections rachis &amp; L pennes'!$L49*$F$71/100)</f>
        <v/>
      </c>
      <c r="T56" s="908" t="str">
        <f>IF('Sections rachis &amp; L pennes'!AK21="","",($E$70+$E$71*$Q56+$E$72*100*'Sections rachis &amp; L pennes'!AK21/'Sections rachis &amp; L pennes'!$P$40)*'Sections rachis &amp; L pennes'!$L49*$F$71/100)</f>
        <v/>
      </c>
      <c r="U56" s="909">
        <f>IF('Sections rachis &amp; L pennes'!AL21="","",($E$70+$E$71*$Q56+$E$72*100*'Sections rachis &amp; L pennes'!AL21/'Sections rachis &amp; L pennes'!$P$40)*'Sections rachis &amp; L pennes'!$L49*$F$71/100)</f>
        <v>1.1714814933020485</v>
      </c>
      <c r="V56" s="907">
        <f>IF('Sections rachis &amp; L pennes'!AI21="","",($I$70+$I$71*$Q56+$I$72*100*'Sections rachis &amp; L pennes'!AI21/'Sections rachis &amp; L pennes'!$P$40)*'Sections rachis &amp; L pennes'!$L49*$J$71/100)</f>
        <v>1.3579240351819482</v>
      </c>
      <c r="W56" s="908" t="str">
        <f>IF('Sections rachis &amp; L pennes'!AJ21="","",($I$70+$I$71*$Q56+$I$72*100*'Sections rachis &amp; L pennes'!AJ21/'Sections rachis &amp; L pennes'!$P$40)*'Sections rachis &amp; L pennes'!$L49*$J$71/100)</f>
        <v/>
      </c>
      <c r="X56" s="908" t="str">
        <f>IF('Sections rachis &amp; L pennes'!AK21="","",($I$70+$I$71*$Q56+$I$72*100*'Sections rachis &amp; L pennes'!AK21/'Sections rachis &amp; L pennes'!$P$40)*'Sections rachis &amp; L pennes'!$L49*$J$71/100)</f>
        <v/>
      </c>
      <c r="Y56" s="909">
        <f>IF('Sections rachis &amp; L pennes'!AL21="","",($I$70+$I$71*$Q56+$I$72*100*'Sections rachis &amp; L pennes'!AL21/'Sections rachis &amp; L pennes'!$P$40)*'Sections rachis &amp; L pennes'!$L49*$J$71/100)</f>
        <v>1.3458471682324471</v>
      </c>
      <c r="Z56" s="907">
        <f>IF('Sections rachis &amp; L pennes'!AI21="","",($M$70+$M$71*$Q56+$M$72*100*'Sections rachis &amp; L pennes'!AI21/'Sections rachis &amp; L pennes'!$P$40)*'Sections rachis &amp; L pennes'!$L49*$N$71/100)</f>
        <v>0.77427683538364112</v>
      </c>
      <c r="AA56" s="908" t="str">
        <f>IF('Sections rachis &amp; L pennes'!AJ21="","",($M$70+$M$71*$Q56+$M$72*100*'Sections rachis &amp; L pennes'!AJ21/'Sections rachis &amp; L pennes'!$P$40)*'Sections rachis &amp; L pennes'!$L49*$N$71/100)</f>
        <v/>
      </c>
      <c r="AB56" s="908" t="str">
        <f>IF('Sections rachis &amp; L pennes'!AK21="","",($M$70+$M$71*$Q56+$M$72*100*'Sections rachis &amp; L pennes'!AK21/'Sections rachis &amp; L pennes'!$P$40)*'Sections rachis &amp; L pennes'!$L49*$N$71/100)</f>
        <v/>
      </c>
      <c r="AC56" s="910">
        <f>IF('Sections rachis &amp; L pennes'!AL21="","",($M$70+$M$71*$Q56+$M$72*100*'Sections rachis &amp; L pennes'!AL21/'Sections rachis &amp; L pennes'!$P$40)*'Sections rachis &amp; L pennes'!$L49*$N$71/100)</f>
        <v>0.7573605508406781</v>
      </c>
    </row>
    <row r="57" spans="2:29" s="345" customFormat="1" ht="13.5" customHeight="1">
      <c r="C57" s="937">
        <f>IF('Sections rachis &amp; L pennes'!AC22="","",'Sections rachis &amp; L pennes'!AC22)</f>
        <v>60</v>
      </c>
      <c r="D57" s="907">
        <f>IF('Sections rachis &amp; L pennes'!AD22="","",($E$70+$E$71*$C57+$E$72*100*'Sections rachis &amp; L pennes'!AD22/'Sections rachis &amp; L pennes'!$P$40)*'Sections rachis &amp; L pennes'!$L50*$F$71/100)</f>
        <v>1.2992442924825298</v>
      </c>
      <c r="E57" s="908" t="str">
        <f>IF('Sections rachis &amp; L pennes'!AE22="","",($E$70+$E$71*$C57+$E$72*100*'Sections rachis &amp; L pennes'!AE22/'Sections rachis &amp; L pennes'!$P$40)*'Sections rachis &amp; L pennes'!$L50*$F$71/100)</f>
        <v/>
      </c>
      <c r="F57" s="908" t="str">
        <f>IF('Sections rachis &amp; L pennes'!AF22="","",($E$70+$E$71*$C57+$E$72*100*'Sections rachis &amp; L pennes'!AF22/'Sections rachis &amp; L pennes'!$P$40)*'Sections rachis &amp; L pennes'!$L50*$F$71/100)</f>
        <v/>
      </c>
      <c r="G57" s="910">
        <f>IF('Sections rachis &amp; L pennes'!AG22="","",($E$70+$E$71*$C57+$E$72*100*'Sections rachis &amp; L pennes'!AG22/'Sections rachis &amp; L pennes'!$P$40)*'Sections rachis &amp; L pennes'!$L50*$F$71/100)</f>
        <v>1.2964111606756705</v>
      </c>
      <c r="H57" s="907">
        <f>IF('Sections rachis &amp; L pennes'!AD22="","",($I$70+$I$71*$C57+$I$72*100*'Sections rachis &amp; L pennes'!AD22/'Sections rachis &amp; L pennes'!$P$40)*'Sections rachis &amp; L pennes'!$L50*$J$71/100)</f>
        <v>1.6286549384921936</v>
      </c>
      <c r="I57" s="908" t="str">
        <f>IF('Sections rachis &amp; L pennes'!AE22="","",($I$70+$I$71*$C57+$I$72*100*'Sections rachis &amp; L pennes'!AE22/'Sections rachis &amp; L pennes'!$P$40)*'Sections rachis &amp; L pennes'!$L50*$J$71/100)</f>
        <v/>
      </c>
      <c r="J57" s="908" t="str">
        <f>IF('Sections rachis &amp; L pennes'!AF22="","",($I$70+$I$71*$C57+$I$72*100*'Sections rachis &amp; L pennes'!AF22/'Sections rachis &amp; L pennes'!$P$40)*'Sections rachis &amp; L pennes'!$L50*$J$71/100)</f>
        <v/>
      </c>
      <c r="K57" s="909">
        <f>IF('Sections rachis &amp; L pennes'!AG22="","",($I$70+$I$71*$C57+$I$72*100*'Sections rachis &amp; L pennes'!AG22/'Sections rachis &amp; L pennes'!$P$40)*'Sections rachis &amp; L pennes'!$L50*$J$71/100)</f>
        <v>1.6160321719458932</v>
      </c>
      <c r="L57" s="907">
        <f>IF('Sections rachis &amp; L pennes'!AD22="","",($M$70+$M$71*$C57+$M$72*100*'Sections rachis &amp; L pennes'!AD22/'Sections rachis &amp; L pennes'!$P$40)*'Sections rachis &amp; L pennes'!$L50*$N$71/100)</f>
        <v>1.0446752755012283</v>
      </c>
      <c r="M57" s="908" t="str">
        <f>IF('Sections rachis &amp; L pennes'!AE22="","",($M$70+$M$71*$C57+$M$72*100*'Sections rachis &amp; L pennes'!AE22/'Sections rachis &amp; L pennes'!$P$40)*'Sections rachis &amp; L pennes'!$L50*$N$71/100)</f>
        <v/>
      </c>
      <c r="N57" s="908" t="str">
        <f>IF('Sections rachis &amp; L pennes'!AF22="","",($M$70+$M$71*$C57+$M$72*100*'Sections rachis &amp; L pennes'!AF22/'Sections rachis &amp; L pennes'!$P$40)*'Sections rachis &amp; L pennes'!$L50*$N$71/100)</f>
        <v/>
      </c>
      <c r="O57" s="910">
        <f>IF('Sections rachis &amp; L pennes'!AG22="","",($M$70+$M$71*$C57+$M$72*100*'Sections rachis &amp; L pennes'!AG22/'Sections rachis &amp; L pennes'!$P$40)*'Sections rachis &amp; L pennes'!$L50*$N$71/100)</f>
        <v>1.0269943395838685</v>
      </c>
      <c r="P57" s="694"/>
      <c r="Q57" s="906">
        <f>IF('Sections rachis &amp; L pennes'!AH22="","",'Sections rachis &amp; L pennes'!AH22)</f>
        <v>60</v>
      </c>
      <c r="R57" s="907">
        <f>IF('Sections rachis &amp; L pennes'!AI22="","",($E$70+$E$71*$Q57+$E$72*100*'Sections rachis &amp; L pennes'!AI22/'Sections rachis &amp; L pennes'!$P$40)*'Sections rachis &amp; L pennes'!$L50*$F$71/100)</f>
        <v>1.2894463783171408</v>
      </c>
      <c r="S57" s="908">
        <f>IF('Sections rachis &amp; L pennes'!AJ22="","",($E$70+$E$71*$Q57+$E$72*100*'Sections rachis &amp; L pennes'!AJ22/'Sections rachis &amp; L pennes'!$P$40)*'Sections rachis &amp; L pennes'!$L50*$F$71/100)</f>
        <v>1.2927516987584766</v>
      </c>
      <c r="T57" s="908" t="str">
        <f>IF('Sections rachis &amp; L pennes'!AK22="","",($E$70+$E$71*$Q57+$E$72*100*'Sections rachis &amp; L pennes'!AK22/'Sections rachis &amp; L pennes'!$P$40)*'Sections rachis &amp; L pennes'!$L50*$F$71/100)</f>
        <v/>
      </c>
      <c r="U57" s="909">
        <f>IF('Sections rachis &amp; L pennes'!AL22="","",($E$70+$E$71*$Q57+$E$72*100*'Sections rachis &amp; L pennes'!AL22/'Sections rachis &amp; L pennes'!$P$40)*'Sections rachis &amp; L pennes'!$L50*$F$71/100)</f>
        <v>1.289328331158522</v>
      </c>
      <c r="V57" s="907">
        <f>IF('Sections rachis &amp; L pennes'!AI22="","",($I$70+$I$71*$Q57+$I$72*100*'Sections rachis &amp; L pennes'!AI22/'Sections rachis &amp; L pennes'!$P$40)*'Sections rachis &amp; L pennes'!$L50*$J$71/100)</f>
        <v>1.585001204186238</v>
      </c>
      <c r="W57" s="908">
        <f>IF('Sections rachis &amp; L pennes'!AJ22="","",($I$70+$I$71*$Q57+$I$72*100*'Sections rachis &amp; L pennes'!AJ22/'Sections rachis &amp; L pennes'!$P$40)*'Sections rachis &amp; L pennes'!$L50*$J$71/100)</f>
        <v>1.5997277651569217</v>
      </c>
      <c r="X57" s="908" t="str">
        <f>IF('Sections rachis &amp; L pennes'!AK22="","",($I$70+$I$71*$Q57+$I$72*100*'Sections rachis &amp; L pennes'!AK22/'Sections rachis &amp; L pennes'!$P$40)*'Sections rachis &amp; L pennes'!$L50*$J$71/100)</f>
        <v/>
      </c>
      <c r="Y57" s="909">
        <f>IF('Sections rachis &amp; L pennes'!AL22="","",($I$70+$I$71*$Q57+$I$72*100*'Sections rachis &amp; L pennes'!AL22/'Sections rachis &amp; L pennes'!$P$40)*'Sections rachis &amp; L pennes'!$L50*$J$71/100)</f>
        <v>1.5844752555801422</v>
      </c>
      <c r="Z57" s="907">
        <f>IF('Sections rachis &amp; L pennes'!AI22="","",($M$70+$M$71*$Q57+$M$72*100*'Sections rachis &amp; L pennes'!AI22/'Sections rachis &amp; L pennes'!$P$40)*'Sections rachis &amp; L pennes'!$L50*$N$71/100)</f>
        <v>0.98352870545369286</v>
      </c>
      <c r="AA57" s="908">
        <f>IF('Sections rachis &amp; L pennes'!AJ22="","",($M$70+$M$71*$Q57+$M$72*100*'Sections rachis &amp; L pennes'!AJ22/'Sections rachis &amp; L pennes'!$P$40)*'Sections rachis &amp; L pennes'!$L50*$N$71/100)</f>
        <v>1.0041564640239458</v>
      </c>
      <c r="AB57" s="908" t="str">
        <f>IF('Sections rachis &amp; L pennes'!AK22="","",($M$70+$M$71*$Q57+$M$72*100*'Sections rachis &amp; L pennes'!AK22/'Sections rachis &amp; L pennes'!$P$40)*'Sections rachis &amp; L pennes'!$L50*$N$71/100)</f>
        <v/>
      </c>
      <c r="AC57" s="910">
        <f>IF('Sections rachis &amp; L pennes'!AL22="","",($M$70+$M$71*$Q57+$M$72*100*'Sections rachis &amp; L pennes'!AL22/'Sections rachis &amp; L pennes'!$P$40)*'Sections rachis &amp; L pennes'!$L50*$N$71/100)</f>
        <v>0.98279199979046949</v>
      </c>
    </row>
    <row r="58" spans="2:29" s="345" customFormat="1" ht="13.5" customHeight="1">
      <c r="C58" s="937">
        <f>IF('Sections rachis &amp; L pennes'!AC23="","",'Sections rachis &amp; L pennes'!AC23)</f>
        <v>70</v>
      </c>
      <c r="D58" s="907">
        <f>IF('Sections rachis &amp; L pennes'!AD23="","",($E$70+$E$71*$C58+$E$72*100*'Sections rachis &amp; L pennes'!AD23/'Sections rachis &amp; L pennes'!$P$40)*'Sections rachis &amp; L pennes'!$L51*$F$71/100)</f>
        <v>1.3406842023767778</v>
      </c>
      <c r="E58" s="908" t="str">
        <f>IF('Sections rachis &amp; L pennes'!AE23="","",($E$70+$E$71*$C58+$E$72*100*'Sections rachis &amp; L pennes'!AE23/'Sections rachis &amp; L pennes'!$P$40)*'Sections rachis &amp; L pennes'!$L51*$F$71/100)</f>
        <v/>
      </c>
      <c r="F58" s="908" t="str">
        <f>IF('Sections rachis &amp; L pennes'!AF23="","",($E$70+$E$71*$C58+$E$72*100*'Sections rachis &amp; L pennes'!AF23/'Sections rachis &amp; L pennes'!$P$40)*'Sections rachis &amp; L pennes'!$L51*$F$71/100)</f>
        <v/>
      </c>
      <c r="G58" s="910">
        <f>IF('Sections rachis &amp; L pennes'!AG23="","",($E$70+$E$71*$C58+$E$72*100*'Sections rachis &amp; L pennes'!AG23/'Sections rachis &amp; L pennes'!$P$40)*'Sections rachis &amp; L pennes'!$L51*$F$71/100)</f>
        <v>1.3397385360030152</v>
      </c>
      <c r="H58" s="907">
        <f>IF('Sections rachis &amp; L pennes'!AD23="","",($I$70+$I$71*$C58+$I$72*100*'Sections rachis &amp; L pennes'!AD23/'Sections rachis &amp; L pennes'!$P$40)*'Sections rachis &amp; L pennes'!$L51*$J$71/100)</f>
        <v>1.7208969767292888</v>
      </c>
      <c r="I58" s="908" t="str">
        <f>IF('Sections rachis &amp; L pennes'!AE23="","",($I$70+$I$71*$C58+$I$72*100*'Sections rachis &amp; L pennes'!AE23/'Sections rachis &amp; L pennes'!$P$40)*'Sections rachis &amp; L pennes'!$L51*$J$71/100)</f>
        <v/>
      </c>
      <c r="J58" s="908" t="str">
        <f>IF('Sections rachis &amp; L pennes'!AF23="","",($I$70+$I$71*$C58+$I$72*100*'Sections rachis &amp; L pennes'!AF23/'Sections rachis &amp; L pennes'!$P$40)*'Sections rachis &amp; L pennes'!$L51*$J$71/100)</f>
        <v/>
      </c>
      <c r="K58" s="909">
        <f>IF('Sections rachis &amp; L pennes'!AG23="","",($I$70+$I$71*$C58+$I$72*100*'Sections rachis &amp; L pennes'!AG23/'Sections rachis &amp; L pennes'!$P$40)*'Sections rachis &amp; L pennes'!$L51*$J$71/100)</f>
        <v>1.7166836443888056</v>
      </c>
      <c r="L58" s="907">
        <f>IF('Sections rachis &amp; L pennes'!AD23="","",($M$70+$M$71*$C58+$M$72*100*'Sections rachis &amp; L pennes'!AD23/'Sections rachis &amp; L pennes'!$P$40)*'Sections rachis &amp; L pennes'!$L51*$N$71/100)</f>
        <v>1.1271437547800331</v>
      </c>
      <c r="M58" s="908" t="str">
        <f>IF('Sections rachis &amp; L pennes'!AE23="","",($M$70+$M$71*$C58+$M$72*100*'Sections rachis &amp; L pennes'!AE23/'Sections rachis &amp; L pennes'!$P$40)*'Sections rachis &amp; L pennes'!$L51*$N$71/100)</f>
        <v/>
      </c>
      <c r="N58" s="908" t="str">
        <f>IF('Sections rachis &amp; L pennes'!AF23="","",($M$70+$M$71*$C58+$M$72*100*'Sections rachis &amp; L pennes'!AF23/'Sections rachis &amp; L pennes'!$P$40)*'Sections rachis &amp; L pennes'!$L51*$N$71/100)</f>
        <v/>
      </c>
      <c r="O58" s="910">
        <f>IF('Sections rachis &amp; L pennes'!AG23="","",($M$70+$M$71*$C58+$M$72*100*'Sections rachis &amp; L pennes'!AG23/'Sections rachis &amp; L pennes'!$P$40)*'Sections rachis &amp; L pennes'!$L51*$N$71/100)</f>
        <v>1.1212420644621959</v>
      </c>
      <c r="P58" s="694"/>
      <c r="Q58" s="906">
        <f>IF('Sections rachis &amp; L pennes'!AH23="","",'Sections rachis &amp; L pennes'!AH23)</f>
        <v>70</v>
      </c>
      <c r="R58" s="907">
        <f>IF('Sections rachis &amp; L pennes'!AI23="","",($E$70+$E$71*$Q58+$E$72*100*'Sections rachis &amp; L pennes'!AI23/'Sections rachis &amp; L pennes'!$P$40)*'Sections rachis &amp; L pennes'!$L51*$F$71/100)</f>
        <v>1.3388979436707817</v>
      </c>
      <c r="S58" s="908">
        <f>IF('Sections rachis &amp; L pennes'!AJ23="","",($E$70+$E$71*$Q58+$E$72*100*'Sections rachis &amp; L pennes'!AJ23/'Sections rachis &amp; L pennes'!$P$40)*'Sections rachis &amp; L pennes'!$L51*$F$71/100)</f>
        <v>1.3385827215461941</v>
      </c>
      <c r="T58" s="908" t="str">
        <f>IF('Sections rachis &amp; L pennes'!AK23="","",($E$70+$E$71*$Q58+$E$72*100*'Sections rachis &amp; L pennes'!AK23/'Sections rachis &amp; L pennes'!$P$40)*'Sections rachis &amp; L pennes'!$L51*$F$71/100)</f>
        <v/>
      </c>
      <c r="U58" s="909">
        <f>IF('Sections rachis &amp; L pennes'!AL23="","",($E$70+$E$71*$Q58+$E$72*100*'Sections rachis &amp; L pennes'!AL23/'Sections rachis &amp; L pennes'!$P$40)*'Sections rachis &amp; L pennes'!$L51*$F$71/100)</f>
        <v>1.3371116849647853</v>
      </c>
      <c r="V58" s="907">
        <f>IF('Sections rachis &amp; L pennes'!AI23="","",($I$70+$I$71*$Q58+$I$72*100*'Sections rachis &amp; L pennes'!AI23/'Sections rachis &amp; L pennes'!$P$40)*'Sections rachis &amp; L pennes'!$L51*$J$71/100)</f>
        <v>1.7129384600861541</v>
      </c>
      <c r="W58" s="908">
        <f>IF('Sections rachis &amp; L pennes'!AJ23="","",($I$70+$I$71*$Q58+$I$72*100*'Sections rachis &amp; L pennes'!AJ23/'Sections rachis &amp; L pennes'!$P$40)*'Sections rachis &amp; L pennes'!$L51*$J$71/100)</f>
        <v>1.7115340159726593</v>
      </c>
      <c r="X58" s="908" t="str">
        <f>IF('Sections rachis &amp; L pennes'!AK23="","",($I$70+$I$71*$Q58+$I$72*100*'Sections rachis &amp; L pennes'!AK23/'Sections rachis &amp; L pennes'!$P$40)*'Sections rachis &amp; L pennes'!$L51*$J$71/100)</f>
        <v/>
      </c>
      <c r="Y58" s="909">
        <f>IF('Sections rachis &amp; L pennes'!AL23="","",($I$70+$I$71*$Q58+$I$72*100*'Sections rachis &amp; L pennes'!AL23/'Sections rachis &amp; L pennes'!$P$40)*'Sections rachis &amp; L pennes'!$L51*$J$71/100)</f>
        <v>1.7049799434430186</v>
      </c>
      <c r="Z58" s="907">
        <f>IF('Sections rachis &amp; L pennes'!AI23="","",($M$70+$M$71*$Q58+$M$72*100*'Sections rachis &amp; L pennes'!AI23/'Sections rachis &amp; L pennes'!$P$40)*'Sections rachis &amp; L pennes'!$L51*$N$71/100)</f>
        <v>1.1159961175130069</v>
      </c>
      <c r="AA58" s="908">
        <f>IF('Sections rachis &amp; L pennes'!AJ23="","",($M$70+$M$71*$Q58+$M$72*100*'Sections rachis &amp; L pennes'!AJ23/'Sections rachis &amp; L pennes'!$P$40)*'Sections rachis &amp; L pennes'!$L51*$N$71/100)</f>
        <v>1.1140288874070612</v>
      </c>
      <c r="AB58" s="908" t="str">
        <f>IF('Sections rachis &amp; L pennes'!AK23="","",($M$70+$M$71*$Q58+$M$72*100*'Sections rachis &amp; L pennes'!AK23/'Sections rachis &amp; L pennes'!$P$40)*'Sections rachis &amp; L pennes'!$L51*$N$71/100)</f>
        <v/>
      </c>
      <c r="AC58" s="910">
        <f>IF('Sections rachis &amp; L pennes'!AL23="","",($M$70+$M$71*$Q58+$M$72*100*'Sections rachis &amp; L pennes'!AL23/'Sections rachis &amp; L pennes'!$P$40)*'Sections rachis &amp; L pennes'!$L51*$N$71/100)</f>
        <v>1.1048484802459806</v>
      </c>
    </row>
    <row r="59" spans="2:29" s="345" customFormat="1" ht="13.5" customHeight="1">
      <c r="C59" s="937">
        <f>IF('Sections rachis &amp; L pennes'!AC24="","",'Sections rachis &amp; L pennes'!AC24)</f>
        <v>80</v>
      </c>
      <c r="D59" s="907">
        <f>IF('Sections rachis &amp; L pennes'!AD24="","",($E$70+$E$71*$C59+$E$72*100*'Sections rachis &amp; L pennes'!AD24/'Sections rachis &amp; L pennes'!$P$40)*'Sections rachis &amp; L pennes'!$L52*$F$71/100)</f>
        <v>1.2696071078408158</v>
      </c>
      <c r="E59" s="908">
        <f>IF('Sections rachis &amp; L pennes'!AE24="","",($E$70+$E$71*$C59+$E$72*100*'Sections rachis &amp; L pennes'!AE24/'Sections rachis &amp; L pennes'!$P$40)*'Sections rachis &amp; L pennes'!$L52*$F$71/100)</f>
        <v>1.2696941047662127</v>
      </c>
      <c r="F59" s="908" t="str">
        <f>IF('Sections rachis &amp; L pennes'!AF24="","",($E$70+$E$71*$C59+$E$72*100*'Sections rachis &amp; L pennes'!AF24/'Sections rachis &amp; L pennes'!$P$40)*'Sections rachis &amp; L pennes'!$L52*$F$71/100)</f>
        <v/>
      </c>
      <c r="G59" s="910">
        <f>IF('Sections rachis &amp; L pennes'!AG24="","",($E$70+$E$71*$C59+$E$72*100*'Sections rachis &amp; L pennes'!AG24/'Sections rachis &amp; L pennes'!$P$40)*'Sections rachis &amp; L pennes'!$L52*$F$71/100)</f>
        <v>1.2700420924678002</v>
      </c>
      <c r="H59" s="907">
        <f>IF('Sections rachis &amp; L pennes'!AD24="","",($I$70+$I$71*$C59+$I$72*100*'Sections rachis &amp; L pennes'!AD24/'Sections rachis &amp; L pennes'!$P$40)*'Sections rachis &amp; L pennes'!$L52*$J$71/100)</f>
        <v>1.6807922202671275</v>
      </c>
      <c r="I59" s="908">
        <f>IF('Sections rachis &amp; L pennes'!AE24="","",($I$70+$I$71*$C59+$I$72*100*'Sections rachis &amp; L pennes'!AE24/'Sections rachis &amp; L pennes'!$P$40)*'Sections rachis &amp; L pennes'!$L52*$J$71/100)</f>
        <v>1.6811798273233445</v>
      </c>
      <c r="J59" s="908" t="str">
        <f>IF('Sections rachis &amp; L pennes'!AF24="","",($I$70+$I$71*$C59+$I$72*100*'Sections rachis &amp; L pennes'!AF24/'Sections rachis &amp; L pennes'!$P$40)*'Sections rachis &amp; L pennes'!$L52*$J$71/100)</f>
        <v/>
      </c>
      <c r="K59" s="909">
        <f>IF('Sections rachis &amp; L pennes'!AG24="","",($I$70+$I$71*$C59+$I$72*100*'Sections rachis &amp; L pennes'!AG24/'Sections rachis &amp; L pennes'!$P$40)*'Sections rachis &amp; L pennes'!$L52*$J$71/100)</f>
        <v>1.6827302555482118</v>
      </c>
      <c r="L59" s="907">
        <f>IF('Sections rachis &amp; L pennes'!AD24="","",($M$70+$M$71*$C59+$M$72*100*'Sections rachis &amp; L pennes'!AD24/'Sections rachis &amp; L pennes'!$P$40)*'Sections rachis &amp; L pennes'!$L52*$N$71/100)</f>
        <v>1.1405414691716045</v>
      </c>
      <c r="M59" s="908">
        <f>IF('Sections rachis &amp; L pennes'!AE24="","",($M$70+$M$71*$C59+$M$72*100*'Sections rachis &amp; L pennes'!AE24/'Sections rachis &amp; L pennes'!$P$40)*'Sections rachis &amp; L pennes'!$L52*$N$71/100)</f>
        <v>1.1410843973400808</v>
      </c>
      <c r="N59" s="908" t="str">
        <f>IF('Sections rachis &amp; L pennes'!AF24="","",($M$70+$M$71*$C59+$M$72*100*'Sections rachis &amp; L pennes'!AF24/'Sections rachis &amp; L pennes'!$P$40)*'Sections rachis &amp; L pennes'!$L52*$N$71/100)</f>
        <v/>
      </c>
      <c r="O59" s="910">
        <f>IF('Sections rachis &amp; L pennes'!AG24="","",($M$70+$M$71*$C59+$M$72*100*'Sections rachis &amp; L pennes'!AG24/'Sections rachis &amp; L pennes'!$P$40)*'Sections rachis &amp; L pennes'!$L52*$N$71/100)</f>
        <v>1.1432561100139857</v>
      </c>
      <c r="P59" s="694"/>
      <c r="Q59" s="906">
        <f>IF('Sections rachis &amp; L pennes'!AH24="","",'Sections rachis &amp; L pennes'!AH24)</f>
        <v>80</v>
      </c>
      <c r="R59" s="907">
        <f>IF('Sections rachis &amp; L pennes'!AI24="","",($E$70+$E$71*$Q59+$E$72*100*'Sections rachis &amp; L pennes'!AI24/'Sections rachis &amp; L pennes'!$P$40)*'Sections rachis &amp; L pennes'!$L52*$F$71/100)</f>
        <v>1.2668232062281151</v>
      </c>
      <c r="S59" s="908">
        <f>IF('Sections rachis &amp; L pennes'!AJ24="","",($E$70+$E$71*$Q59+$E$72*100*'Sections rachis &amp; L pennes'!AJ24/'Sections rachis &amp; L pennes'!$P$40)*'Sections rachis &amp; L pennes'!$L52*$F$71/100)</f>
        <v>1.2662142277503365</v>
      </c>
      <c r="T59" s="908" t="str">
        <f>IF('Sections rachis &amp; L pennes'!AK24="","",($E$70+$E$71*$Q59+$E$72*100*'Sections rachis &amp; L pennes'!AK24/'Sections rachis &amp; L pennes'!$P$40)*'Sections rachis &amp; L pennes'!$L52*$F$71/100)</f>
        <v/>
      </c>
      <c r="U59" s="909">
        <f>IF('Sections rachis &amp; L pennes'!AL24="","",($E$70+$E$71*$Q59+$E$72*100*'Sections rachis &amp; L pennes'!AL24/'Sections rachis &amp; L pennes'!$P$40)*'Sections rachis &amp; L pennes'!$L52*$F$71/100)</f>
        <v>1.2689981293630372</v>
      </c>
      <c r="V59" s="907">
        <f>IF('Sections rachis &amp; L pennes'!AI24="","",($I$70+$I$71*$Q59+$I$72*100*'Sections rachis &amp; L pennes'!AI24/'Sections rachis &amp; L pennes'!$P$40)*'Sections rachis &amp; L pennes'!$L52*$J$71/100)</f>
        <v>1.6683887944681897</v>
      </c>
      <c r="W59" s="908">
        <f>IF('Sections rachis &amp; L pennes'!AJ24="","",($I$70+$I$71*$Q59+$I$72*100*'Sections rachis &amp; L pennes'!AJ24/'Sections rachis &amp; L pennes'!$P$40)*'Sections rachis &amp; L pennes'!$L52*$J$71/100)</f>
        <v>1.6656755450746727</v>
      </c>
      <c r="X59" s="908" t="str">
        <f>IF('Sections rachis &amp; L pennes'!AK24="","",($I$70+$I$71*$Q59+$I$72*100*'Sections rachis &amp; L pennes'!AK24/'Sections rachis &amp; L pennes'!$P$40)*'Sections rachis &amp; L pennes'!$L52*$J$71/100)</f>
        <v/>
      </c>
      <c r="Y59" s="909">
        <f>IF('Sections rachis &amp; L pennes'!AL24="","",($I$70+$I$71*$Q59+$I$72*100*'Sections rachis &amp; L pennes'!AL24/'Sections rachis &amp; L pennes'!$P$40)*'Sections rachis &amp; L pennes'!$L52*$J$71/100)</f>
        <v>1.6780789708736099</v>
      </c>
      <c r="Z59" s="907">
        <f>IF('Sections rachis &amp; L pennes'!AI24="","",($M$70+$M$71*$Q59+$M$72*100*'Sections rachis &amp; L pennes'!AI24/'Sections rachis &amp; L pennes'!$P$40)*'Sections rachis &amp; L pennes'!$L52*$N$71/100)</f>
        <v>1.1231677677803655</v>
      </c>
      <c r="AA59" s="908">
        <f>IF('Sections rachis &amp; L pennes'!AJ24="","",($M$70+$M$71*$Q59+$M$72*100*'Sections rachis &amp; L pennes'!AJ24/'Sections rachis &amp; L pennes'!$P$40)*'Sections rachis &amp; L pennes'!$L52*$N$71/100)</f>
        <v>1.119367270601032</v>
      </c>
      <c r="AB59" s="908" t="str">
        <f>IF('Sections rachis &amp; L pennes'!AK24="","",($M$70+$M$71*$Q59+$M$72*100*'Sections rachis &amp; L pennes'!AK24/'Sections rachis &amp; L pennes'!$P$40)*'Sections rachis &amp; L pennes'!$L52*$N$71/100)</f>
        <v/>
      </c>
      <c r="AC59" s="910">
        <f>IF('Sections rachis &amp; L pennes'!AL24="","",($M$70+$M$71*$Q59+$M$72*100*'Sections rachis &amp; L pennes'!AL24/'Sections rachis &amp; L pennes'!$P$40)*'Sections rachis &amp; L pennes'!$L52*$N$71/100)</f>
        <v>1.136740971992271</v>
      </c>
    </row>
    <row r="60" spans="2:29" s="345" customFormat="1" ht="13.5" customHeight="1" thickBot="1">
      <c r="C60" s="941">
        <f>IF('Sections rachis &amp; L pennes'!AC25="","",'Sections rachis &amp; L pennes'!AC25)</f>
        <v>90</v>
      </c>
      <c r="D60" s="913">
        <f>IF('Sections rachis &amp; L pennes'!AD25="","",($E$70+$E$71*$C60+$E$72*100*'Sections rachis &amp; L pennes'!AD25/'Sections rachis &amp; L pennes'!$P$40)*'Sections rachis &amp; L pennes'!$L53*$F$71/100)</f>
        <v>1.0073748759495853</v>
      </c>
      <c r="E60" s="914" t="str">
        <f>IF('Sections rachis &amp; L pennes'!AE25="","",($E$70+$E$71*$C60+$E$72*100*'Sections rachis &amp; L pennes'!AE25/'Sections rachis &amp; L pennes'!$P$40)*'Sections rachis &amp; L pennes'!$L53*$F$71/100)</f>
        <v/>
      </c>
      <c r="F60" s="914" t="str">
        <f>IF('Sections rachis &amp; L pennes'!AF25="","",($E$70+$E$71*$C60+$E$72*100*'Sections rachis &amp; L pennes'!AF25/'Sections rachis &amp; L pennes'!$P$40)*'Sections rachis &amp; L pennes'!$L53*$F$71/100)</f>
        <v/>
      </c>
      <c r="G60" s="916" t="str">
        <f>IF('Sections rachis &amp; L pennes'!AG25="","",($E$70+$E$71*$C60+$E$72*100*'Sections rachis &amp; L pennes'!AG25/'Sections rachis &amp; L pennes'!$P$40)*'Sections rachis &amp; L pennes'!$L53*$F$71/100)</f>
        <v/>
      </c>
      <c r="H60" s="913">
        <f>IF('Sections rachis &amp; L pennes'!AD25="","",($I$70+$I$71*$C60+$I$72*100*'Sections rachis &amp; L pennes'!AD25/'Sections rachis &amp; L pennes'!$P$40)*'Sections rachis &amp; L pennes'!$L53*$J$71/100)</f>
        <v>1.3651407831657947</v>
      </c>
      <c r="I60" s="914" t="str">
        <f>IF('Sections rachis &amp; L pennes'!AE25="","",($I$70+$I$71*$C60+$I$72*100*'Sections rachis &amp; L pennes'!AE25/'Sections rachis &amp; L pennes'!$P$40)*'Sections rachis &amp; L pennes'!$L53*$J$71/100)</f>
        <v/>
      </c>
      <c r="J60" s="914" t="str">
        <f>IF('Sections rachis &amp; L pennes'!AF25="","",($I$70+$I$71*$C60+$I$72*100*'Sections rachis &amp; L pennes'!AF25/'Sections rachis &amp; L pennes'!$P$40)*'Sections rachis &amp; L pennes'!$L53*$J$71/100)</f>
        <v/>
      </c>
      <c r="K60" s="915" t="str">
        <f>IF('Sections rachis &amp; L pennes'!AG25="","",($I$70+$I$71*$C60+$I$72*100*'Sections rachis &amp; L pennes'!AG25/'Sections rachis &amp; L pennes'!$P$40)*'Sections rachis &amp; L pennes'!$L53*$J$71/100)</f>
        <v/>
      </c>
      <c r="L60" s="913">
        <f>IF('Sections rachis &amp; L pennes'!AD25="","",($M$70+$M$71*$C60+$M$72*100*'Sections rachis &amp; L pennes'!AD25/'Sections rachis &amp; L pennes'!$P$40)*'Sections rachis &amp; L pennes'!$L53*$N$71/100)</f>
        <v>0.95004950541209721</v>
      </c>
      <c r="M60" s="914" t="str">
        <f>IF('Sections rachis &amp; L pennes'!AE25="","",($M$70+$M$71*$C60+$M$72*100*'Sections rachis &amp; L pennes'!AE25/'Sections rachis &amp; L pennes'!$P$40)*'Sections rachis &amp; L pennes'!$L53*$N$71/100)</f>
        <v/>
      </c>
      <c r="N60" s="914" t="str">
        <f>IF('Sections rachis &amp; L pennes'!AF25="","",($M$70+$M$71*$C60+$M$72*100*'Sections rachis &amp; L pennes'!AF25/'Sections rachis &amp; L pennes'!$P$40)*'Sections rachis &amp; L pennes'!$L53*$N$71/100)</f>
        <v/>
      </c>
      <c r="O60" s="916" t="str">
        <f>IF('Sections rachis &amp; L pennes'!AG25="","",($M$70+$M$71*$C60+$M$72*100*'Sections rachis &amp; L pennes'!AG25/'Sections rachis &amp; L pennes'!$P$40)*'Sections rachis &amp; L pennes'!$L53*$N$71/100)</f>
        <v/>
      </c>
      <c r="P60" s="694"/>
      <c r="Q60" s="912">
        <f>IF('Sections rachis &amp; L pennes'!AH25="","",'Sections rachis &amp; L pennes'!AH25)</f>
        <v>90</v>
      </c>
      <c r="R60" s="913">
        <f>IF('Sections rachis &amp; L pennes'!AI25="","",($E$70+$E$71*$Q60+$E$72*100*'Sections rachis &amp; L pennes'!AI25/'Sections rachis &amp; L pennes'!$P$40)*'Sections rachis &amp; L pennes'!$L53*$F$71/100)</f>
        <v>1.0052899726621347</v>
      </c>
      <c r="S60" s="914" t="str">
        <f>IF('Sections rachis &amp; L pennes'!AJ25="","",($E$70+$E$71*$Q60+$E$72*100*'Sections rachis &amp; L pennes'!AJ25/'Sections rachis &amp; L pennes'!$P$40)*'Sections rachis &amp; L pennes'!$L53*$F$71/100)</f>
        <v/>
      </c>
      <c r="T60" s="914" t="str">
        <f>IF('Sections rachis &amp; L pennes'!AK25="","",($E$70+$E$71*$Q60+$E$72*100*'Sections rachis &amp; L pennes'!AK25/'Sections rachis &amp; L pennes'!$P$40)*'Sections rachis &amp; L pennes'!$L53*$F$71/100)</f>
        <v/>
      </c>
      <c r="U60" s="915">
        <f>IF('Sections rachis &amp; L pennes'!AL25="","",($E$70+$E$71*$Q60+$E$72*100*'Sections rachis &amp; L pennes'!AL25/'Sections rachis &amp; L pennes'!$P$40)*'Sections rachis &amp; L pennes'!$L53*$F$71/100)</f>
        <v>1.0047380864978097</v>
      </c>
      <c r="V60" s="913">
        <f>IF('Sections rachis &amp; L pennes'!AI25="","",($I$70+$I$71*$Q60+$I$72*100*'Sections rachis &amp; L pennes'!AI25/'Sections rachis &amp; L pennes'!$P$40)*'Sections rachis &amp; L pennes'!$L53*$J$71/100)</f>
        <v>1.3558516821767808</v>
      </c>
      <c r="W60" s="914" t="str">
        <f>IF('Sections rachis &amp; L pennes'!AJ25="","",($I$70+$I$71*$Q60+$I$72*100*'Sections rachis &amp; L pennes'!AJ25/'Sections rachis &amp; L pennes'!$P$40)*'Sections rachis &amp; L pennes'!$L53*$J$71/100)</f>
        <v/>
      </c>
      <c r="X60" s="914" t="str">
        <f>IF('Sections rachis &amp; L pennes'!AK25="","",($I$70+$I$71*$Q60+$I$72*100*'Sections rachis &amp; L pennes'!AK25/'Sections rachis &amp; L pennes'!$P$40)*'Sections rachis &amp; L pennes'!$L53*$J$71/100)</f>
        <v/>
      </c>
      <c r="Y60" s="915">
        <f>IF('Sections rachis &amp; L pennes'!AL25="","",($I$70+$I$71*$Q60+$I$72*100*'Sections rachis &amp; L pennes'!AL25/'Sections rachis &amp; L pennes'!$P$40)*'Sections rachis &amp; L pennes'!$L53*$J$71/100)</f>
        <v>1.3533928025032185</v>
      </c>
      <c r="Z60" s="913">
        <f>IF('Sections rachis &amp; L pennes'!AI25="","",($M$70+$M$71*$Q60+$M$72*100*'Sections rachis &amp; L pennes'!AI25/'Sections rachis &amp; L pennes'!$P$40)*'Sections rachis &amp; L pennes'!$L53*$N$71/100)</f>
        <v>0.93703809474279609</v>
      </c>
      <c r="AA60" s="914" t="str">
        <f>IF('Sections rachis &amp; L pennes'!AJ25="","",($M$70+$M$71*$Q60+$M$72*100*'Sections rachis &amp; L pennes'!AJ25/'Sections rachis &amp; L pennes'!$P$40)*'Sections rachis &amp; L pennes'!$L53*$N$71/100)</f>
        <v/>
      </c>
      <c r="AB60" s="914" t="str">
        <f>IF('Sections rachis &amp; L pennes'!AK25="","",($M$70+$M$71*$Q60+$M$72*100*'Sections rachis &amp; L pennes'!AK25/'Sections rachis &amp; L pennes'!$P$40)*'Sections rachis &amp; L pennes'!$L53*$N$71/100)</f>
        <v/>
      </c>
      <c r="AC60" s="916">
        <f>IF('Sections rachis &amp; L pennes'!AL25="","",($M$70+$M$71*$Q60+$M$72*100*'Sections rachis &amp; L pennes'!AL25/'Sections rachis &amp; L pennes'!$P$40)*'Sections rachis &amp; L pennes'!$L53*$N$71/100)</f>
        <v>0.93359389780092228</v>
      </c>
    </row>
    <row r="61" spans="2:29" s="345" customFormat="1">
      <c r="B61" s="648" t="s">
        <v>1247</v>
      </c>
      <c r="C61" s="933">
        <f>IF('Sections rachis &amp; L pennes'!AC26="","",'Sections rachis &amp; L pennes'!AC26)</f>
        <v>98.032862763249241</v>
      </c>
      <c r="D61" s="651"/>
      <c r="E61" s="630"/>
      <c r="F61" s="630"/>
      <c r="G61" s="652">
        <v>0.43099999999999999</v>
      </c>
      <c r="H61" s="651"/>
      <c r="I61" s="630"/>
      <c r="J61" s="630"/>
      <c r="K61" s="652">
        <v>0.63500000000000001</v>
      </c>
      <c r="L61" s="651"/>
      <c r="M61" s="630"/>
      <c r="N61" s="630"/>
      <c r="O61" s="652">
        <v>0.41199999999999998</v>
      </c>
      <c r="P61" s="994" t="s">
        <v>1247</v>
      </c>
      <c r="Q61" s="933">
        <f>IF('Sections rachis &amp; L pennes'!AH26="","",'Sections rachis &amp; L pennes'!AH26)</f>
        <v>97.778292062022672</v>
      </c>
      <c r="R61" s="651"/>
      <c r="S61" s="630"/>
      <c r="T61" s="630"/>
      <c r="U61" s="652">
        <v>0.39400000000000002</v>
      </c>
      <c r="V61" s="651"/>
      <c r="W61" s="630"/>
      <c r="X61" s="630"/>
      <c r="Y61" s="652">
        <v>0.69099999999999995</v>
      </c>
      <c r="Z61" s="651"/>
      <c r="AA61" s="630"/>
      <c r="AB61" s="630"/>
      <c r="AC61" s="652">
        <v>0.40100000000000002</v>
      </c>
    </row>
    <row r="62" spans="2:29" s="345" customFormat="1">
      <c r="B62" s="653" t="s">
        <v>1248</v>
      </c>
      <c r="C62" s="937">
        <f>IF('Sections rachis &amp; L pennes'!AC27="","",'Sections rachis &amp; L pennes'!AC27)</f>
        <v>98.704003702846563</v>
      </c>
      <c r="D62" s="397"/>
      <c r="E62" s="632">
        <v>0.438</v>
      </c>
      <c r="F62" s="632"/>
      <c r="G62" s="398"/>
      <c r="H62" s="397"/>
      <c r="I62" s="632">
        <v>0.54800000000000004</v>
      </c>
      <c r="J62" s="632"/>
      <c r="K62" s="398"/>
      <c r="L62" s="397"/>
      <c r="M62" s="632">
        <v>0.374</v>
      </c>
      <c r="N62" s="632"/>
      <c r="O62" s="398"/>
      <c r="P62" s="997" t="s">
        <v>1248</v>
      </c>
      <c r="Q62" s="937">
        <f>IF('Sections rachis &amp; L pennes'!AH27="","",'Sections rachis &amp; L pennes'!AH27)</f>
        <v>98.634575329784766</v>
      </c>
      <c r="R62" s="397">
        <v>0.375</v>
      </c>
      <c r="S62" s="632"/>
      <c r="T62" s="632"/>
      <c r="U62" s="398"/>
      <c r="V62" s="397">
        <v>0.68200000000000005</v>
      </c>
      <c r="W62" s="632"/>
      <c r="X62" s="632"/>
      <c r="Y62" s="398"/>
      <c r="Z62" s="397">
        <v>0.45100000000000001</v>
      </c>
      <c r="AA62" s="632"/>
      <c r="AB62" s="632"/>
      <c r="AC62" s="398"/>
    </row>
    <row r="63" spans="2:29" s="345" customFormat="1">
      <c r="B63" s="653" t="s">
        <v>1249</v>
      </c>
      <c r="C63" s="937">
        <f>IF('Sections rachis &amp; L pennes'!AC28="","",'Sections rachis &amp; L pennes'!AC28)</f>
        <v>99.352001851423282</v>
      </c>
      <c r="D63" s="397">
        <v>0.42899999999999999</v>
      </c>
      <c r="E63" s="632"/>
      <c r="F63" s="632"/>
      <c r="G63" s="398"/>
      <c r="H63" s="397">
        <v>0.50800000000000001</v>
      </c>
      <c r="I63" s="632"/>
      <c r="J63" s="632"/>
      <c r="K63" s="398"/>
      <c r="L63" s="397">
        <v>0.37</v>
      </c>
      <c r="M63" s="632"/>
      <c r="N63" s="632"/>
      <c r="O63" s="398"/>
      <c r="P63" s="997" t="s">
        <v>1249</v>
      </c>
      <c r="Q63" s="937">
        <f>IF('Sections rachis &amp; L pennes'!AH28="","",'Sections rachis &amp; L pennes'!AH28)</f>
        <v>99.074288359176109</v>
      </c>
      <c r="R63" s="397"/>
      <c r="S63" s="632"/>
      <c r="T63" s="632"/>
      <c r="U63" s="398">
        <v>0.45700000000000002</v>
      </c>
      <c r="V63" s="397"/>
      <c r="W63" s="632"/>
      <c r="X63" s="632"/>
      <c r="Y63" s="398">
        <v>0.65900000000000003</v>
      </c>
      <c r="Z63" s="397"/>
      <c r="AA63" s="632"/>
      <c r="AB63" s="632"/>
      <c r="AC63" s="398">
        <v>0.34499999999999997</v>
      </c>
    </row>
    <row r="64" spans="2:29" s="345" customFormat="1">
      <c r="B64" s="653" t="s">
        <v>1251</v>
      </c>
      <c r="C64" s="937">
        <f>IF('Sections rachis &amp; L pennes'!AC29="","",'Sections rachis &amp; L pennes'!AC29)</f>
        <v>99.745429298773431</v>
      </c>
      <c r="D64" s="397"/>
      <c r="E64" s="632">
        <v>0.46300000000000002</v>
      </c>
      <c r="F64" s="632"/>
      <c r="G64" s="398"/>
      <c r="H64" s="397"/>
      <c r="I64" s="632">
        <v>0.52700000000000002</v>
      </c>
      <c r="J64" s="632"/>
      <c r="K64" s="398"/>
      <c r="L64" s="397"/>
      <c r="M64" s="632">
        <v>0.29199999999999998</v>
      </c>
      <c r="N64" s="632"/>
      <c r="O64" s="398"/>
      <c r="P64" s="997" t="s">
        <v>1251</v>
      </c>
      <c r="Q64" s="937">
        <f>IF('Sections rachis &amp; L pennes'!AH29="","",'Sections rachis &amp; L pennes'!AH29)</f>
        <v>99.629715343670441</v>
      </c>
      <c r="R64" s="397">
        <v>0.438</v>
      </c>
      <c r="S64" s="632"/>
      <c r="T64" s="632"/>
      <c r="U64" s="398"/>
      <c r="V64" s="397">
        <v>0.66900000000000004</v>
      </c>
      <c r="W64" s="632"/>
      <c r="X64" s="632"/>
      <c r="Y64" s="398"/>
      <c r="Z64" s="397">
        <v>0.34499999999999997</v>
      </c>
      <c r="AA64" s="632"/>
      <c r="AB64" s="632"/>
      <c r="AC64" s="398"/>
    </row>
    <row r="65" spans="1:29" s="345" customFormat="1" ht="14.25" customHeight="1" thickBot="1">
      <c r="B65" s="799" t="s">
        <v>1252</v>
      </c>
      <c r="C65" s="659">
        <f>IF('Sections rachis &amp; L pennes'!AC30="","",'Sections rachis &amp; L pennes'!AC30)</f>
        <v>99.976857208979396</v>
      </c>
      <c r="D65" s="387"/>
      <c r="E65" s="642"/>
      <c r="F65" s="642"/>
      <c r="G65" s="388">
        <v>0.36199999999999999</v>
      </c>
      <c r="H65" s="387"/>
      <c r="I65" s="642"/>
      <c r="J65" s="642"/>
      <c r="K65" s="388">
        <v>0.51</v>
      </c>
      <c r="L65" s="387"/>
      <c r="M65" s="642"/>
      <c r="N65" s="642"/>
      <c r="O65" s="388">
        <v>0.36499999999999999</v>
      </c>
      <c r="P65" s="1001" t="s">
        <v>1252</v>
      </c>
      <c r="Q65" s="659">
        <f>IF('Sections rachis &amp; L pennes'!AH30="","",'Sections rachis &amp; L pennes'!AH30)</f>
        <v>99.976857208979396</v>
      </c>
      <c r="R65" s="387"/>
      <c r="S65" s="642"/>
      <c r="T65" s="642"/>
      <c r="U65" s="388">
        <v>0.377</v>
      </c>
      <c r="V65" s="387"/>
      <c r="W65" s="642"/>
      <c r="X65" s="642"/>
      <c r="Y65" s="388">
        <v>0.59299999999999997</v>
      </c>
      <c r="Z65" s="387"/>
      <c r="AA65" s="642"/>
      <c r="AB65" s="642"/>
      <c r="AC65" s="388">
        <v>0.376</v>
      </c>
    </row>
    <row r="66" spans="1:29" s="345" customFormat="1" ht="13.5" thickBot="1">
      <c r="B66" s="660" t="s">
        <v>1254</v>
      </c>
      <c r="C66" s="925">
        <f>IF('Sections rachis &amp; L pennes'!AC31="","",'Sections rachis &amp; L pennes'!AC31)</f>
        <v>100</v>
      </c>
      <c r="D66" s="927"/>
      <c r="E66" s="664">
        <v>0.36699999999999999</v>
      </c>
      <c r="F66" s="664"/>
      <c r="G66" s="928"/>
      <c r="H66" s="927"/>
      <c r="I66" s="664">
        <v>0.55100000000000005</v>
      </c>
      <c r="J66" s="664"/>
      <c r="K66" s="928"/>
      <c r="L66" s="948"/>
      <c r="M66" s="662">
        <v>0.38500000000000001</v>
      </c>
      <c r="N66" s="664"/>
      <c r="O66" s="662"/>
      <c r="P66" s="660" t="s">
        <v>1254</v>
      </c>
      <c r="Q66" s="925" t="str">
        <f>IF('Sections rachis &amp; L pennes'!AH31="","",'Sections rachis &amp; L pennes'!AH31)</f>
        <v>XXX</v>
      </c>
      <c r="R66" s="663"/>
      <c r="S66" s="662"/>
      <c r="T66" s="664"/>
      <c r="U66" s="665"/>
      <c r="V66" s="663"/>
      <c r="W66" s="662"/>
      <c r="X66" s="664"/>
      <c r="Y66" s="665"/>
      <c r="Z66" s="663"/>
      <c r="AA66" s="662"/>
      <c r="AB66" s="664"/>
      <c r="AC66" s="665"/>
    </row>
    <row r="67" spans="1:29" s="345" customFormat="1" ht="15.75" customHeight="1"/>
    <row r="68" spans="1:29" s="345" customFormat="1" ht="13.5" customHeight="1" thickBot="1">
      <c r="E68" s="932"/>
      <c r="I68" s="932"/>
      <c r="M68" s="932"/>
    </row>
    <row r="69" spans="1:29" s="345" customFormat="1">
      <c r="A69" s="345" t="s">
        <v>1301</v>
      </c>
      <c r="B69" s="643">
        <f>IF(MAX(D14:O32,R14:AC32,D48:O66,R48:AC66)=0,"",MAX(D14:O32,R14:AC32,D48:O66,R48:AC66))</f>
        <v>1.7208969767292888</v>
      </c>
      <c r="D69" s="949" t="s">
        <v>1271</v>
      </c>
      <c r="E69" s="950" t="s">
        <v>1272</v>
      </c>
      <c r="F69" s="951" t="s">
        <v>1293</v>
      </c>
      <c r="G69" s="952"/>
      <c r="H69" s="949" t="s">
        <v>1271</v>
      </c>
      <c r="I69" s="950" t="s">
        <v>1272</v>
      </c>
      <c r="J69" s="951" t="s">
        <v>1293</v>
      </c>
      <c r="L69" s="949" t="s">
        <v>1271</v>
      </c>
      <c r="M69" s="950" t="s">
        <v>1272</v>
      </c>
      <c r="N69" s="951" t="s">
        <v>1293</v>
      </c>
    </row>
    <row r="70" spans="1:29" s="345" customFormat="1" ht="12.75" customHeight="1">
      <c r="A70" s="345" t="s">
        <v>1363</v>
      </c>
      <c r="B70" s="953">
        <f>IF('Hauteurs pennes (MAX)'!$F$35="","",IF($B$69="","",'Hauteurs pennes (MAX)'!$F$35/$B$69))</f>
        <v>0.77906128054502266</v>
      </c>
      <c r="D70" s="954" t="s">
        <v>1275</v>
      </c>
      <c r="E70" s="955">
        <v>7.3660963015462899</v>
      </c>
      <c r="F70" s="955">
        <f>IF('Sections rachis &amp; L pennes'!F24="",'Sections rachis &amp; L pennes'!L36,'Sections rachis &amp; L pennes'!F24)</f>
        <v>3.1</v>
      </c>
      <c r="G70" s="956"/>
      <c r="H70" s="954" t="s">
        <v>1275</v>
      </c>
      <c r="I70" s="955">
        <v>4.3527592308585898</v>
      </c>
      <c r="J70" s="955">
        <f>IF('Sections rachis &amp; L pennes'!F24="",'Sections rachis &amp; L pennes'!L36,'Sections rachis &amp; L pennes'!F24)</f>
        <v>3.1</v>
      </c>
      <c r="L70" s="954" t="s">
        <v>1275</v>
      </c>
      <c r="M70" s="955">
        <v>5.7539384671674796</v>
      </c>
      <c r="N70" s="955">
        <f>IF('Sections rachis &amp; L pennes'!F24="",'Sections rachis &amp; L pennes'!L36,'Sections rachis &amp; L pennes'!F24)</f>
        <v>3.1</v>
      </c>
    </row>
    <row r="71" spans="1:29" s="345" customFormat="1" ht="13.5" customHeight="1">
      <c r="D71" s="957" t="s">
        <v>1276</v>
      </c>
      <c r="E71" s="955">
        <v>1.29565716411011</v>
      </c>
      <c r="F71" s="955">
        <f>IF('Sections rachis &amp; L pennes'!M24="",'Sections rachis &amp; L pennes'!L36,'Sections rachis &amp; L pennes'!M24)</f>
        <v>3.26</v>
      </c>
      <c r="G71" s="952"/>
      <c r="H71" s="957" t="s">
        <v>1276</v>
      </c>
      <c r="I71" s="955">
        <v>1.9141606863984899</v>
      </c>
      <c r="J71" s="955">
        <f>IF('Sections rachis &amp; L pennes'!M24="",'Sections rachis &amp; L pennes'!L36,'Sections rachis &amp; L pennes'!M24)</f>
        <v>3.26</v>
      </c>
      <c r="L71" s="957" t="s">
        <v>1276</v>
      </c>
      <c r="M71" s="955">
        <v>1.39889467270418</v>
      </c>
      <c r="N71" s="955">
        <f>IF('Sections rachis &amp; L pennes'!M24="",'Sections rachis &amp; L pennes'!L36,'Sections rachis &amp; L pennes'!M24)</f>
        <v>3.26</v>
      </c>
    </row>
    <row r="72" spans="1:29" s="345" customFormat="1" ht="12.75" customHeight="1">
      <c r="D72" s="958" t="s">
        <v>1278</v>
      </c>
      <c r="E72" s="959">
        <v>-5.4296873386267298E-2</v>
      </c>
      <c r="F72" s="959"/>
      <c r="H72" s="958" t="s">
        <v>1278</v>
      </c>
      <c r="I72" s="959">
        <v>-0.24191488560096999</v>
      </c>
      <c r="J72" s="959"/>
      <c r="L72" s="958" t="s">
        <v>1278</v>
      </c>
      <c r="M72" s="959">
        <v>-0.33885452718126902</v>
      </c>
      <c r="N72" s="959"/>
    </row>
    <row r="73" spans="1:29" s="345" customFormat="1" ht="13.5" customHeight="1"/>
    <row r="74" spans="1:29" s="345" customFormat="1"/>
    <row r="75" spans="1:29" s="345" customFormat="1"/>
    <row r="76" spans="1:29" s="345" customFormat="1"/>
    <row r="77" spans="1:29" s="345" customFormat="1"/>
    <row r="78" spans="1:29" s="345" customFormat="1"/>
    <row r="79" spans="1:29" s="345" customFormat="1"/>
    <row r="80" spans="1:29" s="345" customFormat="1"/>
    <row r="81" s="345" customFormat="1"/>
    <row r="82" s="345" customFormat="1"/>
    <row r="83" s="345" customFormat="1"/>
    <row r="84" s="345" customFormat="1"/>
    <row r="85" s="345" customFormat="1"/>
    <row r="86" s="345" customFormat="1"/>
    <row r="87" s="345" customFormat="1"/>
    <row r="88" s="345" customFormat="1"/>
    <row r="89" s="345" customFormat="1"/>
    <row r="90" s="345" customFormat="1"/>
    <row r="91" s="345" customFormat="1"/>
    <row r="92" s="345" customFormat="1"/>
    <row r="93" s="345" customFormat="1"/>
    <row r="94" s="345" customFormat="1"/>
    <row r="95" s="345" customFormat="1"/>
    <row r="96" s="345" customFormat="1"/>
    <row r="97" s="345" customFormat="1"/>
    <row r="98" s="345" customFormat="1"/>
    <row r="99" s="345" customFormat="1"/>
    <row r="100" s="345" customFormat="1"/>
    <row r="101" s="345" customFormat="1"/>
    <row r="102" s="345" customFormat="1"/>
    <row r="103" s="345" customFormat="1"/>
    <row r="104" s="345" customFormat="1"/>
    <row r="105" s="345" customFormat="1"/>
    <row r="106" s="345" customFormat="1"/>
    <row r="107" s="345" customFormat="1"/>
    <row r="108" s="345" customFormat="1"/>
    <row r="109" s="345" customFormat="1"/>
    <row r="110" s="345" customFormat="1"/>
    <row r="111" s="345" customFormat="1"/>
    <row r="112" s="345" customFormat="1"/>
    <row r="113" s="345" customFormat="1"/>
    <row r="114" s="345" customFormat="1"/>
    <row r="115" s="345" customFormat="1"/>
    <row r="116" s="345" customFormat="1"/>
    <row r="117" s="345" customFormat="1"/>
    <row r="118" s="345" customFormat="1"/>
    <row r="119" s="345" customFormat="1"/>
    <row r="120" s="345" customFormat="1"/>
  </sheetData>
  <sheetProtection sheet="1" objects="1" scenarios="1" selectLockedCells="1"/>
  <mergeCells count="36">
    <mergeCell ref="M3:N3"/>
    <mergeCell ref="C1:D1"/>
    <mergeCell ref="J1:K1"/>
    <mergeCell ref="B3:F3"/>
    <mergeCell ref="G3:H3"/>
    <mergeCell ref="I3:L3"/>
    <mergeCell ref="M37:N37"/>
    <mergeCell ref="V46:Y46"/>
    <mergeCell ref="C7:E7"/>
    <mergeCell ref="C9:E9"/>
    <mergeCell ref="C11:C13"/>
    <mergeCell ref="D11:O11"/>
    <mergeCell ref="Q11:Q13"/>
    <mergeCell ref="R11:AC11"/>
    <mergeCell ref="D12:G12"/>
    <mergeCell ref="H12:K12"/>
    <mergeCell ref="L12:O12"/>
    <mergeCell ref="R12:U12"/>
    <mergeCell ref="V12:Y12"/>
    <mergeCell ref="Z12:AC12"/>
    <mergeCell ref="C5:I5"/>
    <mergeCell ref="C39:I39"/>
    <mergeCell ref="Z46:AC46"/>
    <mergeCell ref="C41:E41"/>
    <mergeCell ref="C43:E43"/>
    <mergeCell ref="C45:C47"/>
    <mergeCell ref="D45:O45"/>
    <mergeCell ref="Q45:Q47"/>
    <mergeCell ref="R45:AC45"/>
    <mergeCell ref="D46:G46"/>
    <mergeCell ref="H46:K46"/>
    <mergeCell ref="L46:O46"/>
    <mergeCell ref="R46:U46"/>
    <mergeCell ref="B37:F37"/>
    <mergeCell ref="G37:H37"/>
    <mergeCell ref="I37:L37"/>
  </mergeCells>
  <conditionalFormatting sqref="I13:L13 D13:G13">
    <cfRule type="cellIs" priority="1" stopIfTrue="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D13" sqref="D13"/>
    </sheetView>
  </sheetViews>
  <sheetFormatPr baseColWidth="10" defaultRowHeight="12.75"/>
  <sheetData>
    <row r="1" spans="1:27" s="345" customFormat="1" ht="18">
      <c r="B1" s="345">
        <v>1E-3</v>
      </c>
      <c r="D1" s="1228" t="s">
        <v>1101</v>
      </c>
      <c r="E1" s="1228"/>
      <c r="L1" s="1249" t="str">
        <f>IF('Stipe=phyllotaxie&amp;croissance'!S9&gt;0,'Stipe=phyllotaxie&amp;croissance'!S9,"")</f>
        <v/>
      </c>
      <c r="M1" s="1249"/>
      <c r="N1" s="975"/>
      <c r="O1" s="975"/>
    </row>
    <row r="2" spans="1:27" s="345" customFormat="1" ht="18">
      <c r="D2" s="974"/>
      <c r="E2" s="974"/>
    </row>
    <row r="3" spans="1:27" s="345" customFormat="1" ht="15.75">
      <c r="D3" s="1323" t="s">
        <v>1102</v>
      </c>
      <c r="E3" s="1323"/>
      <c r="F3" s="1323"/>
      <c r="G3" s="1323"/>
      <c r="H3" s="1323"/>
      <c r="I3" s="978"/>
      <c r="J3" s="1322" t="str">
        <f>IF('Stipe=phyllotaxie&amp;croissance'!$E$11&gt;0,'Stipe=phyllotaxie&amp;croissance'!$E$11,"")</f>
        <v>Rochdi</v>
      </c>
      <c r="K3" s="1322"/>
      <c r="Q3" s="1323" t="s">
        <v>1103</v>
      </c>
      <c r="R3" s="1323"/>
      <c r="S3" s="1323"/>
      <c r="T3" s="1323"/>
      <c r="U3" s="1512" t="str">
        <f>IF('Stipe=phyllotaxie&amp;croissance'!$E$10&gt;0,'Stipe=phyllotaxie&amp;croissance'!$E$10,"")</f>
        <v>01</v>
      </c>
      <c r="V3" s="1512"/>
      <c r="W3" s="980"/>
    </row>
    <row r="4" spans="1:27" s="345" customFormat="1" ht="18">
      <c r="D4" s="974"/>
      <c r="E4" s="974"/>
    </row>
    <row r="5" spans="1:27" s="345" customFormat="1" ht="18">
      <c r="D5" s="446" t="s">
        <v>1228</v>
      </c>
      <c r="E5" s="446"/>
      <c r="F5" s="446"/>
      <c r="G5" s="446"/>
      <c r="H5" s="446"/>
      <c r="I5" s="446"/>
      <c r="J5" s="446"/>
      <c r="K5" s="446"/>
      <c r="L5" s="446"/>
      <c r="M5" s="446"/>
      <c r="N5" s="976"/>
      <c r="O5" s="976"/>
    </row>
    <row r="6" spans="1:27" s="345" customFormat="1" ht="13.5" thickBot="1"/>
    <row r="7" spans="1:27" s="345" customFormat="1" ht="15.75" thickBot="1">
      <c r="D7" s="1496" t="s">
        <v>1229</v>
      </c>
      <c r="E7" s="1497"/>
      <c r="F7" s="1497"/>
      <c r="G7" s="577">
        <f>IF('Folioles=disposition&amp;groupes'!$D$7&gt;0,'Folioles=disposition&amp;groupes'!$D$7,"")</f>
        <v>57</v>
      </c>
      <c r="R7" s="1498" t="s">
        <v>1229</v>
      </c>
      <c r="S7" s="1499"/>
      <c r="T7" s="1513"/>
      <c r="U7" s="577">
        <f>IF('Folioles=disposition&amp;groupes'!$P$7&gt;0,'Folioles=disposition&amp;groupes'!$P$7,"")</f>
        <v>83</v>
      </c>
    </row>
    <row r="8" spans="1:27" s="345" customFormat="1"/>
    <row r="9" spans="1:27" s="345" customFormat="1" ht="15">
      <c r="C9" s="582"/>
      <c r="D9" s="1514" t="s">
        <v>1371</v>
      </c>
      <c r="E9" s="1514"/>
      <c r="F9" s="1514"/>
      <c r="Q9" s="582"/>
      <c r="R9" s="1514" t="s">
        <v>1371</v>
      </c>
      <c r="S9" s="1514"/>
      <c r="T9" s="1514"/>
    </row>
    <row r="10" spans="1:27" s="345" customFormat="1" ht="13.5" thickBot="1"/>
    <row r="11" spans="1:27" s="345" customFormat="1" ht="15.75" thickBot="1">
      <c r="C11" s="1520" t="s">
        <v>1233</v>
      </c>
      <c r="D11" s="1520" t="s">
        <v>1237</v>
      </c>
      <c r="E11" s="1521"/>
      <c r="F11" s="1521"/>
      <c r="G11" s="1522"/>
      <c r="H11" s="1520" t="s">
        <v>1233</v>
      </c>
      <c r="I11" s="1520" t="s">
        <v>1238</v>
      </c>
      <c r="J11" s="1521"/>
      <c r="K11" s="1521"/>
      <c r="L11" s="1522"/>
      <c r="M11" s="583"/>
      <c r="O11" s="1520" t="s">
        <v>1233</v>
      </c>
      <c r="P11" s="1520" t="s">
        <v>1237</v>
      </c>
      <c r="Q11" s="1521"/>
      <c r="R11" s="1521"/>
      <c r="S11" s="1522"/>
      <c r="T11" s="1520" t="s">
        <v>1233</v>
      </c>
      <c r="U11" s="1520" t="s">
        <v>1238</v>
      </c>
      <c r="V11" s="1521"/>
      <c r="W11" s="1521"/>
      <c r="X11" s="1522"/>
    </row>
    <row r="12" spans="1:27" s="345" customFormat="1" ht="13.5" thickBot="1">
      <c r="C12" s="1523"/>
      <c r="D12" s="584" t="s">
        <v>1239</v>
      </c>
      <c r="E12" s="585" t="s">
        <v>1240</v>
      </c>
      <c r="F12" s="585" t="s">
        <v>1240</v>
      </c>
      <c r="G12" s="586" t="s">
        <v>1241</v>
      </c>
      <c r="H12" s="1523"/>
      <c r="I12" s="584" t="s">
        <v>1239</v>
      </c>
      <c r="J12" s="585" t="s">
        <v>1240</v>
      </c>
      <c r="K12" s="585" t="s">
        <v>1240</v>
      </c>
      <c r="L12" s="586" t="s">
        <v>1241</v>
      </c>
      <c r="M12" s="587"/>
      <c r="O12" s="1523"/>
      <c r="P12" s="584" t="s">
        <v>1239</v>
      </c>
      <c r="Q12" s="585" t="s">
        <v>1240</v>
      </c>
      <c r="R12" s="585" t="s">
        <v>1240</v>
      </c>
      <c r="S12" s="586" t="s">
        <v>1241</v>
      </c>
      <c r="T12" s="1523"/>
      <c r="U12" s="584" t="s">
        <v>1239</v>
      </c>
      <c r="V12" s="585" t="s">
        <v>1240</v>
      </c>
      <c r="W12" s="585" t="s">
        <v>1240</v>
      </c>
      <c r="X12" s="586" t="s">
        <v>1241</v>
      </c>
    </row>
    <row r="13" spans="1:27" s="345" customFormat="1">
      <c r="A13" s="345">
        <f>IF(COUNTIF(C13,"")+COUNTIF(H13,"")+COUNTIF(O13,"")+COUNTIF(T13,"")=4,"",AVERAGE(C13,H13,O13,T13))</f>
        <v>5.3605555861977985</v>
      </c>
      <c r="B13" s="595" t="s">
        <v>1243</v>
      </c>
      <c r="C13" s="775">
        <f>IF('Sections rachis &amp; L pennes'!Q13="","",'Sections rachis &amp; L pennes'!Q13)</f>
        <v>5.15970515970516</v>
      </c>
      <c r="D13" s="776" t="str">
        <f>IF('Largeurs pennes'!D14="","",'Largeurs pennes'!D14)</f>
        <v/>
      </c>
      <c r="E13" s="777" t="str">
        <f>IF('Largeurs pennes'!E14="","",'Largeurs pennes'!E14)</f>
        <v/>
      </c>
      <c r="F13" s="777" t="str">
        <f>IF('Largeurs pennes'!F14="","",'Largeurs pennes'!F14)</f>
        <v/>
      </c>
      <c r="G13" s="780">
        <f>IF('Largeurs pennes'!G14="","",'Largeurs pennes'!G14)</f>
        <v>0.29899999999999999</v>
      </c>
      <c r="H13" s="775">
        <f>IF('Sections rachis &amp; L pennes'!V13="","",'Sections rachis &amp; L pennes'!V13)</f>
        <v>5.4054054054054053</v>
      </c>
      <c r="I13" s="776" t="str">
        <f>IF('Largeurs pennes'!R14="","",'Largeurs pennes'!R14)</f>
        <v/>
      </c>
      <c r="J13" s="777" t="str">
        <f>IF('Largeurs pennes'!S14="","",'Largeurs pennes'!S14)</f>
        <v/>
      </c>
      <c r="K13" s="777" t="str">
        <f>IF('Largeurs pennes'!T14="","",'Largeurs pennes'!T14)</f>
        <v/>
      </c>
      <c r="L13" s="780">
        <f>IF('Largeurs pennes'!U14="","",'Largeurs pennes'!U14)</f>
        <v>0.215</v>
      </c>
      <c r="M13" s="781">
        <f>IF(COUNTIF(D13:G13,"")+COUNTIF(I13:L13,"")=8,"",MAX(D13:G13,I13:L13))</f>
        <v>0.29899999999999999</v>
      </c>
      <c r="N13" s="595" t="s">
        <v>1243</v>
      </c>
      <c r="O13" s="775">
        <f>IF('Sections rachis &amp; L pennes'!AC13="","",'Sections rachis &amp; L pennes'!AC13)</f>
        <v>5.3228419347373288</v>
      </c>
      <c r="P13" s="776">
        <f>IF('Largeurs pennes'!D48="","",'Largeurs pennes'!D48)</f>
        <v>0.35</v>
      </c>
      <c r="Q13" s="777" t="str">
        <f>IF('Largeurs pennes'!E48="","",'Largeurs pennes'!E48)</f>
        <v/>
      </c>
      <c r="R13" s="777" t="str">
        <f>IF('Largeurs pennes'!F48="","",'Largeurs pennes'!F48)</f>
        <v/>
      </c>
      <c r="S13" s="780" t="str">
        <f>IF('Largeurs pennes'!G48="","",'Largeurs pennes'!G48)</f>
        <v/>
      </c>
      <c r="T13" s="775">
        <f>IF('Sections rachis &amp; L pennes'!AH13="","",'Sections rachis &amp; L pennes'!AH13)</f>
        <v>5.5542698449432999</v>
      </c>
      <c r="U13" s="776">
        <f>IF('Largeurs pennes'!R48="","",'Largeurs pennes'!R48)</f>
        <v>0.19600000000000001</v>
      </c>
      <c r="V13" s="777" t="str">
        <f>IF('Largeurs pennes'!S48="","",'Largeurs pennes'!S48)</f>
        <v/>
      </c>
      <c r="W13" s="777" t="str">
        <f>IF('Largeurs pennes'!T48="","",'Largeurs pennes'!T48)</f>
        <v/>
      </c>
      <c r="X13" s="780" t="str">
        <f>IF('Largeurs pennes'!U48="","",'Largeurs pennes'!U48)</f>
        <v/>
      </c>
      <c r="Y13" s="781">
        <f>IF(COUNTIF(P13:S13,"")+COUNTIF(U13:X13,"")=8,"",MAX(P13:S13,U13:X13))</f>
        <v>0.35</v>
      </c>
    </row>
    <row r="14" spans="1:27" s="345" customFormat="1">
      <c r="A14" s="345">
        <f t="shared" ref="A14:A31" si="0">IF(COUNTIF(C14,"")+COUNTIF(H14,"")+COUNTIF(O14,"")+COUNTIF(T14,"")=4,"",AVERAGE(C14,H14,O14,T14))</f>
        <v>26.922669813782981</v>
      </c>
      <c r="B14" s="609" t="s">
        <v>1244</v>
      </c>
      <c r="C14" s="782">
        <f>IF('Sections rachis &amp; L pennes'!Q14="","",'Sections rachis &amp; L pennes'!Q14)</f>
        <v>27.346437346437348</v>
      </c>
      <c r="D14" s="783" t="str">
        <f>IF('Largeurs pennes'!D15="","",'Largeurs pennes'!D15)</f>
        <v/>
      </c>
      <c r="E14" s="784" t="str">
        <f>IF('Largeurs pennes'!E15="","",'Largeurs pennes'!E15)</f>
        <v/>
      </c>
      <c r="F14" s="784" t="str">
        <f>IF('Largeurs pennes'!F15="","",'Largeurs pennes'!F15)</f>
        <v/>
      </c>
      <c r="G14" s="787">
        <f>IF('Largeurs pennes'!G15="","",'Largeurs pennes'!G15)</f>
        <v>0.48799999999999999</v>
      </c>
      <c r="H14" s="782">
        <f>IF('Sections rachis &amp; L pennes'!V14="","",'Sections rachis &amp; L pennes'!V14)</f>
        <v>28.157248157248159</v>
      </c>
      <c r="I14" s="783">
        <f>IF('Largeurs pennes'!R15="","",'Largeurs pennes'!R15)</f>
        <v>0.379</v>
      </c>
      <c r="J14" s="784" t="str">
        <f>IF('Largeurs pennes'!S15="","",'Largeurs pennes'!S15)</f>
        <v/>
      </c>
      <c r="K14" s="784" t="str">
        <f>IF('Largeurs pennes'!T15="","",'Largeurs pennes'!T15)</f>
        <v/>
      </c>
      <c r="L14" s="787" t="str">
        <f>IF('Largeurs pennes'!U15="","",'Largeurs pennes'!U15)</f>
        <v/>
      </c>
      <c r="M14" s="781">
        <f t="shared" ref="M14:M31" si="1">IF(COUNTIF(D14:G14,"")+COUNTIF(I14:L14,"")=8,"",MAX(D14:G14,I14:L14))</f>
        <v>0.48799999999999999</v>
      </c>
      <c r="N14" s="609" t="s">
        <v>1244</v>
      </c>
      <c r="O14" s="782">
        <f>IF('Sections rachis &amp; L pennes'!AC14="","",'Sections rachis &amp; L pennes'!AC14)</f>
        <v>26.429067345521869</v>
      </c>
      <c r="P14" s="783">
        <f>IF('Largeurs pennes'!D49="","",'Largeurs pennes'!D49)</f>
        <v>0.43</v>
      </c>
      <c r="Q14" s="784" t="str">
        <f>IF('Largeurs pennes'!E49="","",'Largeurs pennes'!E49)</f>
        <v/>
      </c>
      <c r="R14" s="784" t="str">
        <f>IF('Largeurs pennes'!F49="","",'Largeurs pennes'!F49)</f>
        <v/>
      </c>
      <c r="S14" s="787" t="str">
        <f>IF('Largeurs pennes'!G49="","",'Largeurs pennes'!G49)</f>
        <v/>
      </c>
      <c r="T14" s="782">
        <f>IF('Sections rachis &amp; L pennes'!AH14="","",'Sections rachis &amp; L pennes'!AH14)</f>
        <v>25.757926405924554</v>
      </c>
      <c r="U14" s="783" t="str">
        <f>IF('Largeurs pennes'!R49="","",'Largeurs pennes'!R49)</f>
        <v/>
      </c>
      <c r="V14" s="784" t="str">
        <f>IF('Largeurs pennes'!S49="","",'Largeurs pennes'!S49)</f>
        <v/>
      </c>
      <c r="W14" s="784" t="str">
        <f>IF('Largeurs pennes'!T49="","",'Largeurs pennes'!T49)</f>
        <v/>
      </c>
      <c r="X14" s="787">
        <f>IF('Largeurs pennes'!U49="","",'Largeurs pennes'!U49)</f>
        <v>0.48699999999999999</v>
      </c>
      <c r="Y14" s="781">
        <f t="shared" ref="Y14:Y31" si="2">IF(COUNTIF(P14:S14,"")+COUNTIF(U14:X14,"")=8,"",MAX(P14:S14,U14:X14))</f>
        <v>0.48699999999999999</v>
      </c>
    </row>
    <row r="15" spans="1:27" s="345" customFormat="1" ht="13.5" thickBot="1">
      <c r="A15" s="345">
        <f t="shared" si="0"/>
        <v>28.402760758696882</v>
      </c>
      <c r="B15" s="620" t="s">
        <v>1245</v>
      </c>
      <c r="C15" s="788">
        <f>IF('Sections rachis &amp; L pennes'!Q15="","",'Sections rachis &amp; L pennes'!Q15)</f>
        <v>30.466830466830466</v>
      </c>
      <c r="D15" s="789">
        <f>IF('Largeurs pennes'!D16="","",'Largeurs pennes'!D16)</f>
        <v>0.44700000000000001</v>
      </c>
      <c r="E15" s="790" t="str">
        <f>IF('Largeurs pennes'!E16="","",'Largeurs pennes'!E16)</f>
        <v/>
      </c>
      <c r="F15" s="790" t="str">
        <f>IF('Largeurs pennes'!F16="","",'Largeurs pennes'!F16)</f>
        <v/>
      </c>
      <c r="G15" s="793" t="str">
        <f>IF('Largeurs pennes'!G16="","",'Largeurs pennes'!G16)</f>
        <v/>
      </c>
      <c r="H15" s="788">
        <f>IF('Sections rachis &amp; L pennes'!V15="","",'Sections rachis &amp; L pennes'!V15)</f>
        <v>28.55036855036855</v>
      </c>
      <c r="I15" s="789" t="str">
        <f>IF('Largeurs pennes'!R16="","",'Largeurs pennes'!R16)</f>
        <v/>
      </c>
      <c r="J15" s="790" t="str">
        <f>IF('Largeurs pennes'!S16="","",'Largeurs pennes'!S16)</f>
        <v/>
      </c>
      <c r="K15" s="790" t="str">
        <f>IF('Largeurs pennes'!T16="","",'Largeurs pennes'!T16)</f>
        <v/>
      </c>
      <c r="L15" s="793">
        <f>IF('Largeurs pennes'!U16="","",'Largeurs pennes'!U16)</f>
        <v>0.54100000000000004</v>
      </c>
      <c r="M15" s="781">
        <f t="shared" si="1"/>
        <v>0.54100000000000004</v>
      </c>
      <c r="N15" s="620" t="s">
        <v>1245</v>
      </c>
      <c r="O15" s="782">
        <f>IF('Sections rachis &amp; L pennes'!AC15="","",'Sections rachis &amp; L pennes'!AC15)</f>
        <v>26.799352001851421</v>
      </c>
      <c r="P15" s="789" t="str">
        <f>IF('Largeurs pennes'!D50="","",'Largeurs pennes'!D50)</f>
        <v/>
      </c>
      <c r="Q15" s="790" t="str">
        <f>IF('Largeurs pennes'!E50="","",'Largeurs pennes'!E50)</f>
        <v/>
      </c>
      <c r="R15" s="790" t="str">
        <f>IF('Largeurs pennes'!F50="","",'Largeurs pennes'!F50)</f>
        <v/>
      </c>
      <c r="S15" s="793">
        <f>IF('Largeurs pennes'!G50="","",'Largeurs pennes'!G50)</f>
        <v>0.435</v>
      </c>
      <c r="T15" s="782">
        <f>IF('Sections rachis &amp; L pennes'!AH15="","",'Sections rachis &amp; L pennes'!AH15)</f>
        <v>27.794492015737095</v>
      </c>
      <c r="U15" s="789">
        <f>IF('Largeurs pennes'!R50="","",'Largeurs pennes'!R50)</f>
        <v>0.53</v>
      </c>
      <c r="V15" s="790" t="str">
        <f>IF('Largeurs pennes'!S50="","",'Largeurs pennes'!S50)</f>
        <v/>
      </c>
      <c r="W15" s="790" t="str">
        <f>IF('Largeurs pennes'!T50="","",'Largeurs pennes'!T50)</f>
        <v/>
      </c>
      <c r="X15" s="793" t="str">
        <f>IF('Largeurs pennes'!U50="","",'Largeurs pennes'!U50)</f>
        <v/>
      </c>
      <c r="Y15" s="781">
        <f t="shared" si="2"/>
        <v>0.53</v>
      </c>
      <c r="Z15" s="656">
        <f>IF(MAX(M13:M14,Y13:Y14)=0,"",MAX(M13:M14,Y13:Y14))</f>
        <v>0.48799999999999999</v>
      </c>
      <c r="AA15" s="656">
        <f>IF('Hauteurs pennes (MAX)'!Z15="","",Z15/'Hauteurs pennes (MAX)'!Z15)</f>
        <v>1</v>
      </c>
    </row>
    <row r="16" spans="1:27" s="345" customFormat="1">
      <c r="A16" s="345" t="str">
        <f t="shared" si="0"/>
        <v/>
      </c>
      <c r="C16" s="775" t="str">
        <f>IF('Sections rachis &amp; L pennes'!Q16="","",'Sections rachis &amp; L pennes'!Q16)</f>
        <v/>
      </c>
      <c r="D16" s="776" t="str">
        <f>IF('Largeurs pennes'!D17="","",'Largeurs pennes'!D17)</f>
        <v/>
      </c>
      <c r="E16" s="777" t="str">
        <f>IF('Largeurs pennes'!E17="","",'Largeurs pennes'!E17)</f>
        <v/>
      </c>
      <c r="F16" s="777" t="str">
        <f>IF('Largeurs pennes'!F17="","",'Largeurs pennes'!F17)</f>
        <v/>
      </c>
      <c r="G16" s="780" t="str">
        <f>IF('Largeurs pennes'!G17="","",'Largeurs pennes'!G17)</f>
        <v/>
      </c>
      <c r="H16" s="775" t="str">
        <f>IF('Sections rachis &amp; L pennes'!V16="","",'Sections rachis &amp; L pennes'!V16)</f>
        <v/>
      </c>
      <c r="I16" s="776" t="str">
        <f>IF('Largeurs pennes'!R17="","",'Largeurs pennes'!R17)</f>
        <v/>
      </c>
      <c r="J16" s="777" t="str">
        <f>IF('Largeurs pennes'!S17="","",'Largeurs pennes'!S17)</f>
        <v/>
      </c>
      <c r="K16" s="777" t="str">
        <f>IF('Largeurs pennes'!T17="","",'Largeurs pennes'!T17)</f>
        <v/>
      </c>
      <c r="L16" s="780" t="str">
        <f>IF('Largeurs pennes'!U17="","",'Largeurs pennes'!U17)</f>
        <v/>
      </c>
      <c r="M16" s="781" t="str">
        <f t="shared" si="1"/>
        <v/>
      </c>
      <c r="O16" s="782" t="str">
        <f>IF('Sections rachis &amp; L pennes'!AC16="","",'Sections rachis &amp; L pennes'!AC16)</f>
        <v/>
      </c>
      <c r="P16" s="776" t="str">
        <f>IF('Largeurs pennes'!D51="","",'Largeurs pennes'!D51)</f>
        <v/>
      </c>
      <c r="Q16" s="777" t="str">
        <f>IF('Largeurs pennes'!E51="","",'Largeurs pennes'!E51)</f>
        <v/>
      </c>
      <c r="R16" s="777" t="str">
        <f>IF('Largeurs pennes'!F51="","",'Largeurs pennes'!F51)</f>
        <v/>
      </c>
      <c r="S16" s="780" t="str">
        <f>IF('Largeurs pennes'!G51="","",'Largeurs pennes'!G51)</f>
        <v/>
      </c>
      <c r="T16" s="782" t="str">
        <f>IF('Sections rachis &amp; L pennes'!AH16="","",'Sections rachis &amp; L pennes'!AH16)</f>
        <v/>
      </c>
      <c r="U16" s="776" t="str">
        <f>IF('Largeurs pennes'!R51="","",'Largeurs pennes'!R51)</f>
        <v/>
      </c>
      <c r="V16" s="777" t="str">
        <f>IF('Largeurs pennes'!S51="","",'Largeurs pennes'!S51)</f>
        <v/>
      </c>
      <c r="W16" s="777" t="str">
        <f>IF('Largeurs pennes'!T51="","",'Largeurs pennes'!T51)</f>
        <v/>
      </c>
      <c r="X16" s="780" t="str">
        <f>IF('Largeurs pennes'!U51="","",'Largeurs pennes'!U51)</f>
        <v/>
      </c>
      <c r="Y16" s="781" t="str">
        <f t="shared" si="2"/>
        <v/>
      </c>
    </row>
    <row r="17" spans="1:25" s="345" customFormat="1">
      <c r="A17" s="345">
        <f t="shared" si="0"/>
        <v>10</v>
      </c>
      <c r="C17" s="782">
        <f>IF('Sections rachis &amp; L pennes'!Q17="","",'Sections rachis &amp; L pennes'!Q17)</f>
        <v>10</v>
      </c>
      <c r="D17" s="783">
        <f>IF('Largeurs pennes'!D18="","",'Largeurs pennes'!D18)</f>
        <v>0.67308843294836695</v>
      </c>
      <c r="E17" s="784" t="str">
        <f>IF('Largeurs pennes'!E18="","",'Largeurs pennes'!E18)</f>
        <v/>
      </c>
      <c r="F17" s="784" t="str">
        <f>IF('Largeurs pennes'!F18="","",'Largeurs pennes'!F18)</f>
        <v/>
      </c>
      <c r="G17" s="787" t="str">
        <f>IF('Largeurs pennes'!G18="","",'Largeurs pennes'!G18)</f>
        <v/>
      </c>
      <c r="H17" s="782">
        <f>IF('Sections rachis &amp; L pennes'!V17="","",'Sections rachis &amp; L pennes'!V17)</f>
        <v>10</v>
      </c>
      <c r="I17" s="783">
        <f>IF('Largeurs pennes'!R18="","",'Largeurs pennes'!R18)</f>
        <v>0.67657883182619893</v>
      </c>
      <c r="J17" s="784" t="str">
        <f>IF('Largeurs pennes'!S18="","",'Largeurs pennes'!S18)</f>
        <v/>
      </c>
      <c r="K17" s="784" t="str">
        <f>IF('Largeurs pennes'!T18="","",'Largeurs pennes'!T18)</f>
        <v/>
      </c>
      <c r="L17" s="787">
        <f>IF('Largeurs pennes'!U18="","",'Largeurs pennes'!U18)</f>
        <v>0.67034597668721307</v>
      </c>
      <c r="M17" s="781">
        <f t="shared" si="1"/>
        <v>0.67657883182619893</v>
      </c>
      <c r="O17" s="782">
        <f>IF('Sections rachis &amp; L pennes'!AC17="","",'Sections rachis &amp; L pennes'!AC17)</f>
        <v>10</v>
      </c>
      <c r="P17" s="783" t="str">
        <f>IF('Largeurs pennes'!D52="","",'Largeurs pennes'!D52)</f>
        <v/>
      </c>
      <c r="Q17" s="784">
        <f>IF('Largeurs pennes'!E52="","",'Largeurs pennes'!E52)</f>
        <v>0.70992593738473087</v>
      </c>
      <c r="R17" s="784" t="str">
        <f>IF('Largeurs pennes'!F52="","",'Largeurs pennes'!F52)</f>
        <v/>
      </c>
      <c r="S17" s="787" t="str">
        <f>IF('Largeurs pennes'!G52="","",'Largeurs pennes'!G52)</f>
        <v/>
      </c>
      <c r="T17" s="782">
        <f>IF('Sections rachis &amp; L pennes'!AH17="","",'Sections rachis &amp; L pennes'!AH17)</f>
        <v>10</v>
      </c>
      <c r="U17" s="783" t="str">
        <f>IF('Largeurs pennes'!R52="","",'Largeurs pennes'!R52)</f>
        <v/>
      </c>
      <c r="V17" s="784">
        <f>IF('Largeurs pennes'!S52="","",'Largeurs pennes'!S52)</f>
        <v>0.70546884278082644</v>
      </c>
      <c r="W17" s="784" t="str">
        <f>IF('Largeurs pennes'!T52="","",'Largeurs pennes'!T52)</f>
        <v/>
      </c>
      <c r="X17" s="787" t="str">
        <f>IF('Largeurs pennes'!U52="","",'Largeurs pennes'!U52)</f>
        <v/>
      </c>
      <c r="Y17" s="781">
        <f t="shared" si="2"/>
        <v>0.70992593738473087</v>
      </c>
    </row>
    <row r="18" spans="1:25" s="345" customFormat="1">
      <c r="A18" s="345">
        <f t="shared" si="0"/>
        <v>20</v>
      </c>
      <c r="C18" s="782">
        <f>IF('Sections rachis &amp; L pennes'!Q18="","",'Sections rachis &amp; L pennes'!Q18)</f>
        <v>20</v>
      </c>
      <c r="D18" s="783">
        <f>IF('Largeurs pennes'!D19="","",'Largeurs pennes'!D19)</f>
        <v>0.82267840796526348</v>
      </c>
      <c r="E18" s="784" t="str">
        <f>IF('Largeurs pennes'!E19="","",'Largeurs pennes'!E19)</f>
        <v/>
      </c>
      <c r="F18" s="784" t="str">
        <f>IF('Largeurs pennes'!F19="","",'Largeurs pennes'!F19)</f>
        <v/>
      </c>
      <c r="G18" s="787" t="str">
        <f>IF('Largeurs pennes'!G19="","",'Largeurs pennes'!G19)</f>
        <v/>
      </c>
      <c r="H18" s="782">
        <f>IF('Sections rachis &amp; L pennes'!V18="","",'Sections rachis &amp; L pennes'!V18)</f>
        <v>20</v>
      </c>
      <c r="I18" s="783">
        <f>IF('Largeurs pennes'!R19="","",'Largeurs pennes'!R19)</f>
        <v>0.82212079056639542</v>
      </c>
      <c r="J18" s="784" t="str">
        <f>IF('Largeurs pennes'!S19="","",'Largeurs pennes'!S19)</f>
        <v/>
      </c>
      <c r="K18" s="784" t="str">
        <f>IF('Largeurs pennes'!T19="","",'Largeurs pennes'!T19)</f>
        <v/>
      </c>
      <c r="L18" s="787" t="str">
        <f>IF('Largeurs pennes'!U19="","",'Largeurs pennes'!U19)</f>
        <v/>
      </c>
      <c r="M18" s="781">
        <f t="shared" si="1"/>
        <v>0.82267840796526348</v>
      </c>
      <c r="O18" s="782">
        <f>IF('Sections rachis &amp; L pennes'!AC18="","",'Sections rachis &amp; L pennes'!AC18)</f>
        <v>20</v>
      </c>
      <c r="P18" s="783">
        <f>IF('Largeurs pennes'!D53="","",'Largeurs pennes'!D53)</f>
        <v>0.86904854669961851</v>
      </c>
      <c r="Q18" s="784" t="str">
        <f>IF('Largeurs pennes'!E53="","",'Largeurs pennes'!E53)</f>
        <v/>
      </c>
      <c r="R18" s="784" t="str">
        <f>IF('Largeurs pennes'!F53="","",'Largeurs pennes'!F53)</f>
        <v/>
      </c>
      <c r="S18" s="787">
        <f>IF('Largeurs pennes'!G53="","",'Largeurs pennes'!G53)</f>
        <v>0.86220724076297217</v>
      </c>
      <c r="T18" s="782">
        <f>IF('Sections rachis &amp; L pennes'!AH18="","",'Sections rachis &amp; L pennes'!AH18)</f>
        <v>20</v>
      </c>
      <c r="U18" s="783">
        <f>IF('Largeurs pennes'!R53="","",'Largeurs pennes'!R53)</f>
        <v>0.86631202432496002</v>
      </c>
      <c r="V18" s="784" t="str">
        <f>IF('Largeurs pennes'!S53="","",'Largeurs pennes'!S53)</f>
        <v/>
      </c>
      <c r="W18" s="784" t="str">
        <f>IF('Largeurs pennes'!T53="","",'Largeurs pennes'!T53)</f>
        <v/>
      </c>
      <c r="X18" s="787">
        <f>IF('Largeurs pennes'!U53="","",'Largeurs pennes'!U53)</f>
        <v>0.85868885485269686</v>
      </c>
      <c r="Y18" s="781">
        <f t="shared" si="2"/>
        <v>0.86904854669961851</v>
      </c>
    </row>
    <row r="19" spans="1:25" s="345" customFormat="1">
      <c r="A19" s="345">
        <f t="shared" si="0"/>
        <v>30</v>
      </c>
      <c r="C19" s="782">
        <f>IF('Sections rachis &amp; L pennes'!Q19="","",'Sections rachis &amp; L pennes'!Q19)</f>
        <v>30</v>
      </c>
      <c r="D19" s="783">
        <f>IF('Largeurs pennes'!D20="","",'Largeurs pennes'!D20)</f>
        <v>0.86543405362736547</v>
      </c>
      <c r="E19" s="784" t="str">
        <f>IF('Largeurs pennes'!E20="","",'Largeurs pennes'!E20)</f>
        <v/>
      </c>
      <c r="F19" s="784" t="str">
        <f>IF('Largeurs pennes'!F20="","",'Largeurs pennes'!F20)</f>
        <v/>
      </c>
      <c r="G19" s="787">
        <f>IF('Largeurs pennes'!G20="","",'Largeurs pennes'!G20)</f>
        <v>0.85867202679289534</v>
      </c>
      <c r="H19" s="782">
        <f>IF('Sections rachis &amp; L pennes'!V19="","",'Sections rachis &amp; L pennes'!V19)</f>
        <v>30</v>
      </c>
      <c r="I19" s="783">
        <f>IF('Largeurs pennes'!R20="","",'Largeurs pennes'!R20)</f>
        <v>0.86958347918488144</v>
      </c>
      <c r="J19" s="784" t="str">
        <f>IF('Largeurs pennes'!S20="","",'Largeurs pennes'!S20)</f>
        <v/>
      </c>
      <c r="K19" s="784" t="str">
        <f>IF('Largeurs pennes'!T20="","",'Largeurs pennes'!T20)</f>
        <v/>
      </c>
      <c r="L19" s="787">
        <f>IF('Largeurs pennes'!U20="","",'Largeurs pennes'!U20)</f>
        <v>0.86435827663097253</v>
      </c>
      <c r="M19" s="781">
        <f t="shared" si="1"/>
        <v>0.86958347918488144</v>
      </c>
      <c r="O19" s="782">
        <f>IF('Sections rachis &amp; L pennes'!AC19="","",'Sections rachis &amp; L pennes'!AC19)</f>
        <v>30</v>
      </c>
      <c r="P19" s="783">
        <f>IF('Largeurs pennes'!D54="","",'Largeurs pennes'!D54)</f>
        <v>0.92933373418235843</v>
      </c>
      <c r="Q19" s="784" t="str">
        <f>IF('Largeurs pennes'!E54="","",'Largeurs pennes'!E54)</f>
        <v/>
      </c>
      <c r="R19" s="784" t="str">
        <f>IF('Largeurs pennes'!F54="","",'Largeurs pennes'!F54)</f>
        <v/>
      </c>
      <c r="S19" s="787">
        <f>IF('Largeurs pennes'!G54="","",'Largeurs pennes'!G54)</f>
        <v>0.91155614750463843</v>
      </c>
      <c r="T19" s="782">
        <f>IF('Sections rachis &amp; L pennes'!AH19="","",'Sections rachis &amp; L pennes'!AH19)</f>
        <v>30</v>
      </c>
      <c r="U19" s="783">
        <f>IF('Largeurs pennes'!R54="","",'Largeurs pennes'!R54)</f>
        <v>0.92981857745538732</v>
      </c>
      <c r="V19" s="784" t="str">
        <f>IF('Largeurs pennes'!S54="","",'Largeurs pennes'!S54)</f>
        <v/>
      </c>
      <c r="W19" s="784" t="str">
        <f>IF('Largeurs pennes'!T54="","",'Largeurs pennes'!T54)</f>
        <v/>
      </c>
      <c r="X19" s="787">
        <f>IF('Largeurs pennes'!U54="","",'Largeurs pennes'!U54)</f>
        <v>0.91107130423160954</v>
      </c>
      <c r="Y19" s="781">
        <f t="shared" si="2"/>
        <v>0.92981857745538732</v>
      </c>
    </row>
    <row r="20" spans="1:25" s="345" customFormat="1">
      <c r="A20" s="345">
        <f t="shared" si="0"/>
        <v>40</v>
      </c>
      <c r="C20" s="782">
        <f>IF('Sections rachis &amp; L pennes'!Q20="","",'Sections rachis &amp; L pennes'!Q20)</f>
        <v>40</v>
      </c>
      <c r="D20" s="783">
        <f>IF('Largeurs pennes'!D21="","",'Largeurs pennes'!D21)</f>
        <v>1.0049230779698031</v>
      </c>
      <c r="E20" s="784">
        <f>IF('Largeurs pennes'!E21="","",'Largeurs pennes'!E21)</f>
        <v>1.0019525659672561</v>
      </c>
      <c r="F20" s="784" t="str">
        <f>IF('Largeurs pennes'!F21="","",'Largeurs pennes'!F21)</f>
        <v/>
      </c>
      <c r="G20" s="787">
        <f>IF('Largeurs pennes'!G21="","",'Largeurs pennes'!G21)</f>
        <v>1.0006023332388256</v>
      </c>
      <c r="H20" s="782">
        <f>IF('Sections rachis &amp; L pennes'!V20="","",'Sections rachis &amp; L pennes'!V20)</f>
        <v>40</v>
      </c>
      <c r="I20" s="783">
        <f>IF('Largeurs pennes'!R21="","",'Largeurs pennes'!R21)</f>
        <v>1.0064083339710765</v>
      </c>
      <c r="J20" s="784" t="str">
        <f>IF('Largeurs pennes'!S21="","",'Largeurs pennes'!S21)</f>
        <v/>
      </c>
      <c r="K20" s="784" t="str">
        <f>IF('Largeurs pennes'!T21="","",'Largeurs pennes'!T21)</f>
        <v/>
      </c>
      <c r="L20" s="787">
        <f>IF('Largeurs pennes'!U21="","",'Largeurs pennes'!U21)</f>
        <v>1.0046665337514014</v>
      </c>
      <c r="M20" s="781">
        <f t="shared" si="1"/>
        <v>1.0064083339710765</v>
      </c>
      <c r="O20" s="782">
        <f>IF('Sections rachis &amp; L pennes'!AC20="","",'Sections rachis &amp; L pennes'!AC20)</f>
        <v>40</v>
      </c>
      <c r="P20" s="783">
        <f>IF('Largeurs pennes'!D55="","",'Largeurs pennes'!D55)</f>
        <v>1.0445787449700907</v>
      </c>
      <c r="Q20" s="784" t="str">
        <f>IF('Largeurs pennes'!E55="","",'Largeurs pennes'!E55)</f>
        <v/>
      </c>
      <c r="R20" s="784" t="str">
        <f>IF('Largeurs pennes'!F55="","",'Largeurs pennes'!F55)</f>
        <v/>
      </c>
      <c r="S20" s="787">
        <f>IF('Largeurs pennes'!G55="","",'Largeurs pennes'!G55)</f>
        <v>1.0398930018434924</v>
      </c>
      <c r="T20" s="782">
        <f>IF('Sections rachis &amp; L pennes'!AH20="","",'Sections rachis &amp; L pennes'!AH20)</f>
        <v>40</v>
      </c>
      <c r="U20" s="783">
        <f>IF('Largeurs pennes'!R55="","",'Largeurs pennes'!R55)</f>
        <v>1.0347812820690214</v>
      </c>
      <c r="V20" s="784" t="str">
        <f>IF('Largeurs pennes'!S55="","",'Largeurs pennes'!S55)</f>
        <v/>
      </c>
      <c r="W20" s="784" t="str">
        <f>IF('Largeurs pennes'!T55="","",'Largeurs pennes'!T55)</f>
        <v/>
      </c>
      <c r="X20" s="787">
        <f>IF('Largeurs pennes'!U55="","",'Largeurs pennes'!U55)</f>
        <v>1.0433008150264729</v>
      </c>
      <c r="Y20" s="781">
        <f t="shared" si="2"/>
        <v>1.0445787449700907</v>
      </c>
    </row>
    <row r="21" spans="1:25" s="345" customFormat="1">
      <c r="A21" s="345">
        <f t="shared" si="0"/>
        <v>50</v>
      </c>
      <c r="C21" s="782">
        <f>IF('Sections rachis &amp; L pennes'!Q21="","",'Sections rachis &amp; L pennes'!Q21)</f>
        <v>50</v>
      </c>
      <c r="D21" s="783">
        <f>IF('Largeurs pennes'!D22="","",'Largeurs pennes'!D22)</f>
        <v>1.1354652258543589</v>
      </c>
      <c r="E21" s="784" t="str">
        <f>IF('Largeurs pennes'!E22="","",'Largeurs pennes'!E22)</f>
        <v/>
      </c>
      <c r="F21" s="784" t="str">
        <f>IF('Largeurs pennes'!F22="","",'Largeurs pennes'!F22)</f>
        <v/>
      </c>
      <c r="G21" s="787">
        <f>IF('Largeurs pennes'!G22="","",'Largeurs pennes'!G22)</f>
        <v>1.1967132179970073</v>
      </c>
      <c r="H21" s="782">
        <f>IF('Sections rachis &amp; L pennes'!V21="","",'Sections rachis &amp; L pennes'!V21)</f>
        <v>50</v>
      </c>
      <c r="I21" s="783">
        <f>IF('Largeurs pennes'!R22="","",'Largeurs pennes'!R22)</f>
        <v>1.1350970014526998</v>
      </c>
      <c r="J21" s="784" t="str">
        <f>IF('Largeurs pennes'!S22="","",'Largeurs pennes'!S22)</f>
        <v/>
      </c>
      <c r="K21" s="784" t="str">
        <f>IF('Largeurs pennes'!T22="","",'Largeurs pennes'!T22)</f>
        <v/>
      </c>
      <c r="L21" s="787" t="str">
        <f>IF('Largeurs pennes'!U22="","",'Largeurs pennes'!U22)</f>
        <v/>
      </c>
      <c r="M21" s="781">
        <f t="shared" si="1"/>
        <v>1.1967132179970073</v>
      </c>
      <c r="O21" s="782">
        <f>IF('Sections rachis &amp; L pennes'!AC21="","",'Sections rachis &amp; L pennes'!AC21)</f>
        <v>50</v>
      </c>
      <c r="P21" s="783">
        <f>IF('Largeurs pennes'!D56="","",'Largeurs pennes'!D56)</f>
        <v>1.1916174289695547</v>
      </c>
      <c r="Q21" s="784">
        <f>IF('Largeurs pennes'!E56="","",'Largeurs pennes'!E56)</f>
        <v>1.1907138933947308</v>
      </c>
      <c r="R21" s="784" t="str">
        <f>IF('Largeurs pennes'!F56="","",'Largeurs pennes'!F56)</f>
        <v/>
      </c>
      <c r="S21" s="787">
        <f>IF('Largeurs pennes'!G56="","",'Largeurs pennes'!G56)</f>
        <v>1.1894231282878391</v>
      </c>
      <c r="T21" s="782">
        <f>IF('Sections rachis &amp; L pennes'!AH21="","",'Sections rachis &amp; L pennes'!AH21)</f>
        <v>50</v>
      </c>
      <c r="U21" s="783">
        <f>IF('Largeurs pennes'!R56="","",'Largeurs pennes'!R56)</f>
        <v>1.1741921000265205</v>
      </c>
      <c r="V21" s="784" t="str">
        <f>IF('Largeurs pennes'!S56="","",'Largeurs pennes'!S56)</f>
        <v/>
      </c>
      <c r="W21" s="784" t="str">
        <f>IF('Largeurs pennes'!T56="","",'Largeurs pennes'!T56)</f>
        <v/>
      </c>
      <c r="X21" s="787">
        <f>IF('Largeurs pennes'!U56="","",'Largeurs pennes'!U56)</f>
        <v>1.1714814933020485</v>
      </c>
      <c r="Y21" s="781">
        <f t="shared" si="2"/>
        <v>1.1916174289695547</v>
      </c>
    </row>
    <row r="22" spans="1:25" s="345" customFormat="1">
      <c r="A22" s="345">
        <f t="shared" si="0"/>
        <v>60</v>
      </c>
      <c r="C22" s="782">
        <f>IF('Sections rachis &amp; L pennes'!Q22="","",'Sections rachis &amp; L pennes'!Q22)</f>
        <v>60</v>
      </c>
      <c r="D22" s="783">
        <f>IF('Largeurs pennes'!D23="","",'Largeurs pennes'!D23)</f>
        <v>1.2362634754717419</v>
      </c>
      <c r="E22" s="784" t="str">
        <f>IF('Largeurs pennes'!E23="","",'Largeurs pennes'!E23)</f>
        <v/>
      </c>
      <c r="F22" s="784" t="str">
        <f>IF('Largeurs pennes'!F23="","",'Largeurs pennes'!F23)</f>
        <v/>
      </c>
      <c r="G22" s="787">
        <f>IF('Largeurs pennes'!G23="","",'Largeurs pennes'!G23)</f>
        <v>1.2354777014404426</v>
      </c>
      <c r="H22" s="782">
        <f>IF('Sections rachis &amp; L pennes'!V22="","",'Sections rachis &amp; L pennes'!V22)</f>
        <v>60</v>
      </c>
      <c r="I22" s="783">
        <f>IF('Largeurs pennes'!R23="","",'Largeurs pennes'!R23)</f>
        <v>1.2385085441325967</v>
      </c>
      <c r="J22" s="784">
        <f>IF('Largeurs pennes'!S23="","",'Largeurs pennes'!S23)</f>
        <v>1.2372737563691265</v>
      </c>
      <c r="K22" s="784" t="str">
        <f>IF('Largeurs pennes'!T23="","",'Largeurs pennes'!T23)</f>
        <v/>
      </c>
      <c r="L22" s="787">
        <f>IF('Largeurs pennes'!U23="","",'Largeurs pennes'!U23)</f>
        <v>1.2363757289047845</v>
      </c>
      <c r="M22" s="781">
        <f t="shared" si="1"/>
        <v>1.2385085441325967</v>
      </c>
      <c r="O22" s="782">
        <f>IF('Sections rachis &amp; L pennes'!AC22="","",'Sections rachis &amp; L pennes'!AC22)</f>
        <v>60</v>
      </c>
      <c r="P22" s="783">
        <f>IF('Largeurs pennes'!D57="","",'Largeurs pennes'!D57)</f>
        <v>1.2992442924825298</v>
      </c>
      <c r="Q22" s="784" t="str">
        <f>IF('Largeurs pennes'!E57="","",'Largeurs pennes'!E57)</f>
        <v/>
      </c>
      <c r="R22" s="784" t="str">
        <f>IF('Largeurs pennes'!F57="","",'Largeurs pennes'!F57)</f>
        <v/>
      </c>
      <c r="S22" s="787">
        <f>IF('Largeurs pennes'!G57="","",'Largeurs pennes'!G57)</f>
        <v>1.2964111606756705</v>
      </c>
      <c r="T22" s="782">
        <f>IF('Sections rachis &amp; L pennes'!AH22="","",'Sections rachis &amp; L pennes'!AH22)</f>
        <v>60</v>
      </c>
      <c r="U22" s="783">
        <f>IF('Largeurs pennes'!R57="","",'Largeurs pennes'!R57)</f>
        <v>1.2894463783171408</v>
      </c>
      <c r="V22" s="784">
        <f>IF('Largeurs pennes'!S57="","",'Largeurs pennes'!S57)</f>
        <v>1.2927516987584766</v>
      </c>
      <c r="W22" s="784" t="str">
        <f>IF('Largeurs pennes'!T57="","",'Largeurs pennes'!T57)</f>
        <v/>
      </c>
      <c r="X22" s="787">
        <f>IF('Largeurs pennes'!U57="","",'Largeurs pennes'!U57)</f>
        <v>1.289328331158522</v>
      </c>
      <c r="Y22" s="781">
        <f t="shared" si="2"/>
        <v>1.2992442924825298</v>
      </c>
    </row>
    <row r="23" spans="1:25" s="345" customFormat="1">
      <c r="A23" s="345">
        <f t="shared" si="0"/>
        <v>70</v>
      </c>
      <c r="C23" s="782">
        <f>IF('Sections rachis &amp; L pennes'!Q23="","",'Sections rachis &amp; L pennes'!Q23)</f>
        <v>70</v>
      </c>
      <c r="D23" s="783">
        <f>IF('Largeurs pennes'!D24="","",'Largeurs pennes'!D24)</f>
        <v>1.2806789386610304</v>
      </c>
      <c r="E23" s="784" t="str">
        <f>IF('Largeurs pennes'!E24="","",'Largeurs pennes'!E24)</f>
        <v/>
      </c>
      <c r="F23" s="784" t="str">
        <f>IF('Largeurs pennes'!F24="","",'Largeurs pennes'!F24)</f>
        <v/>
      </c>
      <c r="G23" s="787">
        <f>IF('Largeurs pennes'!G24="","",'Largeurs pennes'!G24)</f>
        <v>1.2803791875609625</v>
      </c>
      <c r="H23" s="782">
        <f>IF('Sections rachis &amp; L pennes'!V23="","",'Sections rachis &amp; L pennes'!V23)</f>
        <v>70</v>
      </c>
      <c r="I23" s="783">
        <f>IF('Largeurs pennes'!R24="","",'Largeurs pennes'!R24)</f>
        <v>1.2767821743601475</v>
      </c>
      <c r="J23" s="784" t="str">
        <f>IF('Largeurs pennes'!S24="","",'Largeurs pennes'!S24)</f>
        <v/>
      </c>
      <c r="K23" s="784" t="str">
        <f>IF('Largeurs pennes'!T24="","",'Largeurs pennes'!T24)</f>
        <v/>
      </c>
      <c r="L23" s="787">
        <f>IF('Largeurs pennes'!U24="","",'Largeurs pennes'!U24)</f>
        <v>1.274583999626316</v>
      </c>
      <c r="M23" s="781">
        <f t="shared" si="1"/>
        <v>1.2806789386610304</v>
      </c>
      <c r="O23" s="782">
        <f>IF('Sections rachis &amp; L pennes'!AC23="","",'Sections rachis &amp; L pennes'!AC23)</f>
        <v>70</v>
      </c>
      <c r="P23" s="783">
        <f>IF('Largeurs pennes'!D58="","",'Largeurs pennes'!D58)</f>
        <v>1.3406842023767778</v>
      </c>
      <c r="Q23" s="784" t="str">
        <f>IF('Largeurs pennes'!E58="","",'Largeurs pennes'!E58)</f>
        <v/>
      </c>
      <c r="R23" s="784" t="str">
        <f>IF('Largeurs pennes'!F58="","",'Largeurs pennes'!F58)</f>
        <v/>
      </c>
      <c r="S23" s="787">
        <f>IF('Largeurs pennes'!G58="","",'Largeurs pennes'!G58)</f>
        <v>1.3397385360030152</v>
      </c>
      <c r="T23" s="782">
        <f>IF('Sections rachis &amp; L pennes'!AH23="","",'Sections rachis &amp; L pennes'!AH23)</f>
        <v>70</v>
      </c>
      <c r="U23" s="783">
        <f>IF('Largeurs pennes'!R58="","",'Largeurs pennes'!R58)</f>
        <v>1.3388979436707817</v>
      </c>
      <c r="V23" s="784">
        <f>IF('Largeurs pennes'!S58="","",'Largeurs pennes'!S58)</f>
        <v>1.3385827215461941</v>
      </c>
      <c r="W23" s="784" t="str">
        <f>IF('Largeurs pennes'!T58="","",'Largeurs pennes'!T58)</f>
        <v/>
      </c>
      <c r="X23" s="787">
        <f>IF('Largeurs pennes'!U58="","",'Largeurs pennes'!U58)</f>
        <v>1.3371116849647853</v>
      </c>
      <c r="Y23" s="781">
        <f t="shared" si="2"/>
        <v>1.3406842023767778</v>
      </c>
    </row>
    <row r="24" spans="1:25" s="345" customFormat="1">
      <c r="A24" s="345">
        <f t="shared" si="0"/>
        <v>80</v>
      </c>
      <c r="C24" s="782">
        <f>IF('Sections rachis &amp; L pennes'!Q24="","",'Sections rachis &amp; L pennes'!Q24)</f>
        <v>80</v>
      </c>
      <c r="D24" s="783">
        <f>IF('Largeurs pennes'!D25="","",'Largeurs pennes'!D25)</f>
        <v>1.2133341835962723</v>
      </c>
      <c r="E24" s="784" t="str">
        <f>IF('Largeurs pennes'!E25="","",'Largeurs pennes'!E25)</f>
        <v/>
      </c>
      <c r="F24" s="784" t="str">
        <f>IF('Largeurs pennes'!F25="","",'Largeurs pennes'!F25)</f>
        <v/>
      </c>
      <c r="G24" s="787">
        <f>IF('Largeurs pennes'!G25="","",'Largeurs pennes'!G25)</f>
        <v>1.2117623679809726</v>
      </c>
      <c r="H24" s="782">
        <f>IF('Sections rachis &amp; L pennes'!V24="","",'Sections rachis &amp; L pennes'!V24)</f>
        <v>80</v>
      </c>
      <c r="I24" s="783">
        <f>IF('Largeurs pennes'!R25="","",'Largeurs pennes'!R25)</f>
        <v>1.2069641939974256</v>
      </c>
      <c r="J24" s="784">
        <f>IF('Largeurs pennes'!S25="","",'Largeurs pennes'!S25)</f>
        <v>1.2080396467868413</v>
      </c>
      <c r="K24" s="784" t="str">
        <f>IF('Largeurs pennes'!T25="","",'Largeurs pennes'!T25)</f>
        <v/>
      </c>
      <c r="L24" s="787">
        <f>IF('Largeurs pennes'!U25="","",'Largeurs pennes'!U25)</f>
        <v>1.2087014638880202</v>
      </c>
      <c r="M24" s="781">
        <f t="shared" si="1"/>
        <v>1.2133341835962723</v>
      </c>
      <c r="O24" s="782">
        <f>IF('Sections rachis &amp; L pennes'!AC24="","",'Sections rachis &amp; L pennes'!AC24)</f>
        <v>80</v>
      </c>
      <c r="P24" s="783">
        <f>IF('Largeurs pennes'!D59="","",'Largeurs pennes'!D59)</f>
        <v>1.2696071078408158</v>
      </c>
      <c r="Q24" s="784">
        <f>IF('Largeurs pennes'!E59="","",'Largeurs pennes'!E59)</f>
        <v>1.2696941047662127</v>
      </c>
      <c r="R24" s="784" t="str">
        <f>IF('Largeurs pennes'!F59="","",'Largeurs pennes'!F59)</f>
        <v/>
      </c>
      <c r="S24" s="787">
        <f>IF('Largeurs pennes'!G59="","",'Largeurs pennes'!G59)</f>
        <v>1.2700420924678002</v>
      </c>
      <c r="T24" s="782">
        <f>IF('Sections rachis &amp; L pennes'!AH24="","",'Sections rachis &amp; L pennes'!AH24)</f>
        <v>80</v>
      </c>
      <c r="U24" s="783">
        <f>IF('Largeurs pennes'!R59="","",'Largeurs pennes'!R59)</f>
        <v>1.2668232062281151</v>
      </c>
      <c r="V24" s="784">
        <f>IF('Largeurs pennes'!S59="","",'Largeurs pennes'!S59)</f>
        <v>1.2662142277503365</v>
      </c>
      <c r="W24" s="784" t="str">
        <f>IF('Largeurs pennes'!T59="","",'Largeurs pennes'!T59)</f>
        <v/>
      </c>
      <c r="X24" s="787">
        <f>IF('Largeurs pennes'!U59="","",'Largeurs pennes'!U59)</f>
        <v>1.2689981293630372</v>
      </c>
      <c r="Y24" s="781">
        <f t="shared" si="2"/>
        <v>1.2700420924678002</v>
      </c>
    </row>
    <row r="25" spans="1:25" s="345" customFormat="1" ht="13.5" thickBot="1">
      <c r="A25" s="345">
        <f t="shared" si="0"/>
        <v>90</v>
      </c>
      <c r="C25" s="794">
        <f>IF('Sections rachis &amp; L pennes'!Q25="","",'Sections rachis &amp; L pennes'!Q25)</f>
        <v>90</v>
      </c>
      <c r="D25" s="783" t="str">
        <f>IF('Largeurs pennes'!D26="","",'Largeurs pennes'!D26)</f>
        <v/>
      </c>
      <c r="E25" s="784">
        <f>IF('Largeurs pennes'!E26="","",'Largeurs pennes'!E26)</f>
        <v>0.96318116151466127</v>
      </c>
      <c r="F25" s="784" t="str">
        <f>IF('Largeurs pennes'!F26="","",'Largeurs pennes'!F26)</f>
        <v/>
      </c>
      <c r="G25" s="787" t="str">
        <f>IF('Largeurs pennes'!G26="","",'Largeurs pennes'!G26)</f>
        <v/>
      </c>
      <c r="H25" s="794">
        <f>IF('Sections rachis &amp; L pennes'!V25="","",'Sections rachis &amp; L pennes'!V25)</f>
        <v>90</v>
      </c>
      <c r="I25" s="783" t="str">
        <f>IF('Largeurs pennes'!R26="","",'Largeurs pennes'!R26)</f>
        <v/>
      </c>
      <c r="J25" s="784">
        <f>IF('Largeurs pennes'!S26="","",'Largeurs pennes'!S26)</f>
        <v>0.96061547396135682</v>
      </c>
      <c r="K25" s="784" t="str">
        <f>IF('Largeurs pennes'!T26="","",'Largeurs pennes'!T26)</f>
        <v/>
      </c>
      <c r="L25" s="787" t="str">
        <f>IF('Largeurs pennes'!U26="","",'Largeurs pennes'!U26)</f>
        <v/>
      </c>
      <c r="M25" s="781">
        <f t="shared" si="1"/>
        <v>0.96318116151466127</v>
      </c>
      <c r="O25" s="794">
        <f>IF('Sections rachis &amp; L pennes'!AC25="","",'Sections rachis &amp; L pennes'!AC25)</f>
        <v>90</v>
      </c>
      <c r="P25" s="783">
        <f>IF('Largeurs pennes'!D60="","",'Largeurs pennes'!D60)</f>
        <v>1.0073748759495853</v>
      </c>
      <c r="Q25" s="784" t="str">
        <f>IF('Largeurs pennes'!E60="","",'Largeurs pennes'!E60)</f>
        <v/>
      </c>
      <c r="R25" s="784" t="str">
        <f>IF('Largeurs pennes'!F60="","",'Largeurs pennes'!F60)</f>
        <v/>
      </c>
      <c r="S25" s="787" t="str">
        <f>IF('Largeurs pennes'!G60="","",'Largeurs pennes'!G60)</f>
        <v/>
      </c>
      <c r="T25" s="788">
        <f>IF('Sections rachis &amp; L pennes'!AH25="","",'Sections rachis &amp; L pennes'!AH25)</f>
        <v>90</v>
      </c>
      <c r="U25" s="783">
        <f>IF('Largeurs pennes'!R60="","",'Largeurs pennes'!R60)</f>
        <v>1.0052899726621347</v>
      </c>
      <c r="V25" s="784" t="str">
        <f>IF('Largeurs pennes'!S60="","",'Largeurs pennes'!S60)</f>
        <v/>
      </c>
      <c r="W25" s="784" t="str">
        <f>IF('Largeurs pennes'!T60="","",'Largeurs pennes'!T60)</f>
        <v/>
      </c>
      <c r="X25" s="787">
        <f>IF('Largeurs pennes'!U60="","",'Largeurs pennes'!U60)</f>
        <v>1.0047380864978097</v>
      </c>
      <c r="Y25" s="781">
        <f t="shared" si="2"/>
        <v>1.0073748759495853</v>
      </c>
    </row>
    <row r="26" spans="1:25" s="345" customFormat="1">
      <c r="A26" s="345">
        <f t="shared" si="0"/>
        <v>97.736572490101764</v>
      </c>
      <c r="B26" s="648" t="s">
        <v>1247</v>
      </c>
      <c r="C26" s="795">
        <f>IF('Sections rachis &amp; L pennes'!Q26="","",'Sections rachis &amp; L pennes'!Q26)</f>
        <v>97.59213759213759</v>
      </c>
      <c r="D26" s="776" t="str">
        <f>IF('Largeurs pennes'!D27="","",'Largeurs pennes'!D27)</f>
        <v/>
      </c>
      <c r="E26" s="777" t="str">
        <f>IF('Largeurs pennes'!E27="","",'Largeurs pennes'!E27)</f>
        <v/>
      </c>
      <c r="F26" s="777" t="str">
        <f>IF('Largeurs pennes'!F27="","",'Largeurs pennes'!F27)</f>
        <v/>
      </c>
      <c r="G26" s="780">
        <f>IF('Largeurs pennes'!G27="","",'Largeurs pennes'!G27)</f>
        <v>0.51500000000000001</v>
      </c>
      <c r="H26" s="795">
        <f>IF('Sections rachis &amp; L pennes'!V26="","",'Sections rachis &amp; L pennes'!V26)</f>
        <v>97.54299754299754</v>
      </c>
      <c r="I26" s="776">
        <f>IF('Largeurs pennes'!R27="","",'Largeurs pennes'!R27)</f>
        <v>0.48599999999999999</v>
      </c>
      <c r="J26" s="777" t="str">
        <f>IF('Largeurs pennes'!S27="","",'Largeurs pennes'!S27)</f>
        <v/>
      </c>
      <c r="K26" s="777" t="str">
        <f>IF('Largeurs pennes'!T27="","",'Largeurs pennes'!T27)</f>
        <v/>
      </c>
      <c r="L26" s="780" t="str">
        <f>IF('Largeurs pennes'!U27="","",'Largeurs pennes'!U27)</f>
        <v/>
      </c>
      <c r="M26" s="781">
        <f t="shared" si="1"/>
        <v>0.51500000000000001</v>
      </c>
      <c r="N26" s="648" t="s">
        <v>1247</v>
      </c>
      <c r="O26" s="795">
        <f>IF('Sections rachis &amp; L pennes'!AC26="","",'Sections rachis &amp; L pennes'!AC26)</f>
        <v>98.032862763249241</v>
      </c>
      <c r="P26" s="776" t="str">
        <f>IF('Largeurs pennes'!D61="","",'Largeurs pennes'!D61)</f>
        <v/>
      </c>
      <c r="Q26" s="777" t="str">
        <f>IF('Largeurs pennes'!E61="","",'Largeurs pennes'!E61)</f>
        <v/>
      </c>
      <c r="R26" s="777" t="str">
        <f>IF('Largeurs pennes'!F61="","",'Largeurs pennes'!F61)</f>
        <v/>
      </c>
      <c r="S26" s="780">
        <f>IF('Largeurs pennes'!G61="","",'Largeurs pennes'!G61)</f>
        <v>0.43099999999999999</v>
      </c>
      <c r="T26" s="796">
        <f>IF('Sections rachis &amp; L pennes'!AH26="","",'Sections rachis &amp; L pennes'!AH26)</f>
        <v>97.778292062022672</v>
      </c>
      <c r="U26" s="776" t="str">
        <f>IF('Largeurs pennes'!R61="","",'Largeurs pennes'!R61)</f>
        <v/>
      </c>
      <c r="V26" s="777" t="str">
        <f>IF('Largeurs pennes'!S61="","",'Largeurs pennes'!S61)</f>
        <v/>
      </c>
      <c r="W26" s="777" t="str">
        <f>IF('Largeurs pennes'!T61="","",'Largeurs pennes'!T61)</f>
        <v/>
      </c>
      <c r="X26" s="780">
        <f>IF('Largeurs pennes'!U61="","",'Largeurs pennes'!U61)</f>
        <v>0.39400000000000002</v>
      </c>
      <c r="Y26" s="781">
        <f t="shared" si="2"/>
        <v>0.43099999999999999</v>
      </c>
    </row>
    <row r="27" spans="1:25" s="345" customFormat="1">
      <c r="A27" s="345">
        <f t="shared" si="0"/>
        <v>98.474693898206965</v>
      </c>
      <c r="B27" s="653" t="s">
        <v>1248</v>
      </c>
      <c r="C27" s="797">
        <f>IF('Sections rachis &amp; L pennes'!Q27="","",'Sections rachis &amp; L pennes'!Q27)</f>
        <v>98.599508599508596</v>
      </c>
      <c r="D27" s="783">
        <f>IF('Largeurs pennes'!D28="","",'Largeurs pennes'!D28)</f>
        <v>0.52200000000000002</v>
      </c>
      <c r="E27" s="784" t="str">
        <f>IF('Largeurs pennes'!E28="","",'Largeurs pennes'!E28)</f>
        <v/>
      </c>
      <c r="F27" s="784" t="str">
        <f>IF('Largeurs pennes'!F28="","",'Largeurs pennes'!F28)</f>
        <v/>
      </c>
      <c r="G27" s="787" t="str">
        <f>IF('Largeurs pennes'!G28="","",'Largeurs pennes'!G28)</f>
        <v/>
      </c>
      <c r="H27" s="797">
        <f>IF('Sections rachis &amp; L pennes'!V27="","",'Sections rachis &amp; L pennes'!V27)</f>
        <v>97.960687960687963</v>
      </c>
      <c r="I27" s="783" t="str">
        <f>IF('Largeurs pennes'!R28="","",'Largeurs pennes'!R28)</f>
        <v/>
      </c>
      <c r="J27" s="784" t="str">
        <f>IF('Largeurs pennes'!S28="","",'Largeurs pennes'!S28)</f>
        <v/>
      </c>
      <c r="K27" s="784" t="str">
        <f>IF('Largeurs pennes'!T28="","",'Largeurs pennes'!T28)</f>
        <v/>
      </c>
      <c r="L27" s="787">
        <f>IF('Largeurs pennes'!U28="","",'Largeurs pennes'!U28)</f>
        <v>0.40899999999999997</v>
      </c>
      <c r="M27" s="781">
        <f t="shared" si="1"/>
        <v>0.52200000000000002</v>
      </c>
      <c r="N27" s="653" t="s">
        <v>1248</v>
      </c>
      <c r="O27" s="797">
        <f>IF('Sections rachis &amp; L pennes'!AC27="","",'Sections rachis &amp; L pennes'!AC27)</f>
        <v>98.704003702846563</v>
      </c>
      <c r="P27" s="783" t="str">
        <f>IF('Largeurs pennes'!D62="","",'Largeurs pennes'!D62)</f>
        <v/>
      </c>
      <c r="Q27" s="784">
        <f>IF('Largeurs pennes'!E62="","",'Largeurs pennes'!E62)</f>
        <v>0.438</v>
      </c>
      <c r="R27" s="784" t="str">
        <f>IF('Largeurs pennes'!F62="","",'Largeurs pennes'!F62)</f>
        <v/>
      </c>
      <c r="S27" s="787" t="str">
        <f>IF('Largeurs pennes'!G62="","",'Largeurs pennes'!G62)</f>
        <v/>
      </c>
      <c r="T27" s="797">
        <f>IF('Sections rachis &amp; L pennes'!AH27="","",'Sections rachis &amp; L pennes'!AH27)</f>
        <v>98.634575329784766</v>
      </c>
      <c r="U27" s="783">
        <f>IF('Largeurs pennes'!R62="","",'Largeurs pennes'!R62)</f>
        <v>0.375</v>
      </c>
      <c r="V27" s="784" t="str">
        <f>IF('Largeurs pennes'!S62="","",'Largeurs pennes'!S62)</f>
        <v/>
      </c>
      <c r="W27" s="784" t="str">
        <f>IF('Largeurs pennes'!T62="","",'Largeurs pennes'!T62)</f>
        <v/>
      </c>
      <c r="X27" s="787" t="str">
        <f>IF('Largeurs pennes'!U62="","",'Largeurs pennes'!U62)</f>
        <v/>
      </c>
      <c r="Y27" s="781">
        <f t="shared" si="2"/>
        <v>0.438</v>
      </c>
    </row>
    <row r="28" spans="1:25" s="345" customFormat="1">
      <c r="A28" s="345">
        <f t="shared" si="0"/>
        <v>99.115172061249353</v>
      </c>
      <c r="B28" s="653" t="s">
        <v>1249</v>
      </c>
      <c r="C28" s="797">
        <f>IF('Sections rachis &amp; L pennes'!Q28="","",'Sections rachis &amp; L pennes'!Q28)</f>
        <v>99.017199017199019</v>
      </c>
      <c r="D28" s="783" t="str">
        <f>IF('Largeurs pennes'!D29="","",'Largeurs pennes'!D29)</f>
        <v/>
      </c>
      <c r="E28" s="784" t="str">
        <f>IF('Largeurs pennes'!E29="","",'Largeurs pennes'!E29)</f>
        <v/>
      </c>
      <c r="F28" s="784" t="str">
        <f>IF('Largeurs pennes'!F29="","",'Largeurs pennes'!F29)</f>
        <v/>
      </c>
      <c r="G28" s="787">
        <f>IF('Largeurs pennes'!G29="","",'Largeurs pennes'!G29)</f>
        <v>0.48099999999999998</v>
      </c>
      <c r="H28" s="797">
        <f>IF('Sections rachis &amp; L pennes'!V28="","",'Sections rachis &amp; L pennes'!V28)</f>
        <v>99.017199017199019</v>
      </c>
      <c r="I28" s="783">
        <f>IF('Largeurs pennes'!R29="","",'Largeurs pennes'!R29)</f>
        <v>0.48499999999999999</v>
      </c>
      <c r="J28" s="784" t="str">
        <f>IF('Largeurs pennes'!S29="","",'Largeurs pennes'!S29)</f>
        <v/>
      </c>
      <c r="K28" s="784" t="str">
        <f>IF('Largeurs pennes'!T29="","",'Largeurs pennes'!T29)</f>
        <v/>
      </c>
      <c r="L28" s="787" t="str">
        <f>IF('Largeurs pennes'!U29="","",'Largeurs pennes'!U29)</f>
        <v/>
      </c>
      <c r="M28" s="781">
        <f t="shared" si="1"/>
        <v>0.48499999999999999</v>
      </c>
      <c r="N28" s="653" t="s">
        <v>1249</v>
      </c>
      <c r="O28" s="797">
        <f>IF('Sections rachis &amp; L pennes'!AC28="","",'Sections rachis &amp; L pennes'!AC28)</f>
        <v>99.352001851423282</v>
      </c>
      <c r="P28" s="783">
        <f>IF('Largeurs pennes'!D63="","",'Largeurs pennes'!D63)</f>
        <v>0.42899999999999999</v>
      </c>
      <c r="Q28" s="784" t="str">
        <f>IF('Largeurs pennes'!E63="","",'Largeurs pennes'!E63)</f>
        <v/>
      </c>
      <c r="R28" s="784" t="str">
        <f>IF('Largeurs pennes'!F63="","",'Largeurs pennes'!F63)</f>
        <v/>
      </c>
      <c r="S28" s="787" t="str">
        <f>IF('Largeurs pennes'!G63="","",'Largeurs pennes'!G63)</f>
        <v/>
      </c>
      <c r="T28" s="797">
        <f>IF('Sections rachis &amp; L pennes'!AH28="","",'Sections rachis &amp; L pennes'!AH28)</f>
        <v>99.074288359176109</v>
      </c>
      <c r="U28" s="783" t="str">
        <f>IF('Largeurs pennes'!R63="","",'Largeurs pennes'!R63)</f>
        <v/>
      </c>
      <c r="V28" s="784" t="str">
        <f>IF('Largeurs pennes'!S63="","",'Largeurs pennes'!S63)</f>
        <v/>
      </c>
      <c r="W28" s="784" t="str">
        <f>IF('Largeurs pennes'!T63="","",'Largeurs pennes'!T63)</f>
        <v/>
      </c>
      <c r="X28" s="787">
        <f>IF('Largeurs pennes'!U63="","",'Largeurs pennes'!U63)</f>
        <v>0.45700000000000002</v>
      </c>
      <c r="Y28" s="781">
        <f t="shared" si="2"/>
        <v>0.45700000000000002</v>
      </c>
    </row>
    <row r="29" spans="1:25" s="345" customFormat="1">
      <c r="A29" s="345">
        <f t="shared" si="0"/>
        <v>99.665653482478291</v>
      </c>
      <c r="B29" s="653" t="s">
        <v>1251</v>
      </c>
      <c r="C29" s="797">
        <f>IF('Sections rachis &amp; L pennes'!Q29="","",'Sections rachis &amp; L pennes'!Q29)</f>
        <v>99.656019656019652</v>
      </c>
      <c r="D29" s="783" t="str">
        <f>IF('Largeurs pennes'!D30="","",'Largeurs pennes'!D30)</f>
        <v/>
      </c>
      <c r="E29" s="784">
        <f>IF('Largeurs pennes'!E30="","",'Largeurs pennes'!E30)</f>
        <v>0.49299999999999999</v>
      </c>
      <c r="F29" s="784" t="str">
        <f>IF('Largeurs pennes'!F30="","",'Largeurs pennes'!F30)</f>
        <v/>
      </c>
      <c r="G29" s="787" t="str">
        <f>IF('Largeurs pennes'!G30="","",'Largeurs pennes'!G30)</f>
        <v/>
      </c>
      <c r="H29" s="797">
        <f>IF('Sections rachis &amp; L pennes'!V29="","",'Sections rachis &amp; L pennes'!V29)</f>
        <v>99.631449631449627</v>
      </c>
      <c r="I29" s="783" t="str">
        <f>IF('Largeurs pennes'!R30="","",'Largeurs pennes'!R30)</f>
        <v/>
      </c>
      <c r="J29" s="784" t="str">
        <f>IF('Largeurs pennes'!S30="","",'Largeurs pennes'!S30)</f>
        <v/>
      </c>
      <c r="K29" s="784" t="str">
        <f>IF('Largeurs pennes'!T30="","",'Largeurs pennes'!T30)</f>
        <v/>
      </c>
      <c r="L29" s="787">
        <f>IF('Largeurs pennes'!U30="","",'Largeurs pennes'!U30)</f>
        <v>0.496</v>
      </c>
      <c r="M29" s="781">
        <f t="shared" si="1"/>
        <v>0.496</v>
      </c>
      <c r="N29" s="653" t="s">
        <v>1251</v>
      </c>
      <c r="O29" s="797">
        <f>IF('Sections rachis &amp; L pennes'!AC29="","",'Sections rachis &amp; L pennes'!AC29)</f>
        <v>99.745429298773431</v>
      </c>
      <c r="P29" s="783" t="str">
        <f>IF('Largeurs pennes'!D64="","",'Largeurs pennes'!D64)</f>
        <v/>
      </c>
      <c r="Q29" s="784">
        <f>IF('Largeurs pennes'!E64="","",'Largeurs pennes'!E64)</f>
        <v>0.46300000000000002</v>
      </c>
      <c r="R29" s="784" t="str">
        <f>IF('Largeurs pennes'!F64="","",'Largeurs pennes'!F64)</f>
        <v/>
      </c>
      <c r="S29" s="787" t="str">
        <f>IF('Largeurs pennes'!G64="","",'Largeurs pennes'!G64)</f>
        <v/>
      </c>
      <c r="T29" s="797">
        <f>IF('Sections rachis &amp; L pennes'!AH29="","",'Sections rachis &amp; L pennes'!AH29)</f>
        <v>99.629715343670441</v>
      </c>
      <c r="U29" s="783">
        <f>IF('Largeurs pennes'!R64="","",'Largeurs pennes'!R64)</f>
        <v>0.438</v>
      </c>
      <c r="V29" s="784" t="str">
        <f>IF('Largeurs pennes'!S64="","",'Largeurs pennes'!S64)</f>
        <v/>
      </c>
      <c r="W29" s="784" t="str">
        <f>IF('Largeurs pennes'!T64="","",'Largeurs pennes'!T64)</f>
        <v/>
      </c>
      <c r="X29" s="787" t="str">
        <f>IF('Largeurs pennes'!U64="","",'Largeurs pennes'!U64)</f>
        <v/>
      </c>
      <c r="Y29" s="781">
        <f t="shared" si="2"/>
        <v>0.46300000000000002</v>
      </c>
    </row>
    <row r="30" spans="1:25" s="345" customFormat="1" ht="13.5" thickBot="1">
      <c r="A30" s="345">
        <f t="shared" si="0"/>
        <v>99.951573567634654</v>
      </c>
      <c r="B30" s="657" t="s">
        <v>1252</v>
      </c>
      <c r="C30" s="798">
        <f>IF('Sections rachis &amp; L pennes'!Q30="","",'Sections rachis &amp; L pennes'!Q30)</f>
        <v>99.877149877149876</v>
      </c>
      <c r="D30" s="789" t="str">
        <f>IF('Largeurs pennes'!D31="","",'Largeurs pennes'!D31)</f>
        <v/>
      </c>
      <c r="E30" s="790">
        <f>IF('Largeurs pennes'!E31="","",'Largeurs pennes'!E31)</f>
        <v>0.498</v>
      </c>
      <c r="F30" s="790" t="str">
        <f>IF('Largeurs pennes'!F31="","",'Largeurs pennes'!F31)</f>
        <v/>
      </c>
      <c r="G30" s="793" t="str">
        <f>IF('Largeurs pennes'!G31="","",'Largeurs pennes'!G31)</f>
        <v/>
      </c>
      <c r="H30" s="798">
        <f>IF('Sections rachis &amp; L pennes'!V30="","",'Sections rachis &amp; L pennes'!V30)</f>
        <v>99.975429975429975</v>
      </c>
      <c r="I30" s="789" t="str">
        <f>IF('Largeurs pennes'!R31="","",'Largeurs pennes'!R31)</f>
        <v/>
      </c>
      <c r="J30" s="790">
        <f>IF('Largeurs pennes'!S31="","",'Largeurs pennes'!S31)</f>
        <v>0.498</v>
      </c>
      <c r="K30" s="790" t="str">
        <f>IF('Largeurs pennes'!T31="","",'Largeurs pennes'!T31)</f>
        <v/>
      </c>
      <c r="L30" s="793" t="str">
        <f>IF('Largeurs pennes'!U31="","",'Largeurs pennes'!U31)</f>
        <v/>
      </c>
      <c r="M30" s="781">
        <f t="shared" si="1"/>
        <v>0.498</v>
      </c>
      <c r="N30" s="799" t="s">
        <v>1252</v>
      </c>
      <c r="O30" s="798">
        <f>IF('Sections rachis &amp; L pennes'!AC30="","",'Sections rachis &amp; L pennes'!AC30)</f>
        <v>99.976857208979396</v>
      </c>
      <c r="P30" s="789" t="str">
        <f>IF('Largeurs pennes'!D65="","",'Largeurs pennes'!D65)</f>
        <v/>
      </c>
      <c r="Q30" s="790" t="str">
        <f>IF('Largeurs pennes'!E65="","",'Largeurs pennes'!E65)</f>
        <v/>
      </c>
      <c r="R30" s="790" t="str">
        <f>IF('Largeurs pennes'!F65="","",'Largeurs pennes'!F65)</f>
        <v/>
      </c>
      <c r="S30" s="793">
        <f>IF('Largeurs pennes'!G65="","",'Largeurs pennes'!G65)</f>
        <v>0.36199999999999999</v>
      </c>
      <c r="T30" s="798">
        <f>IF('Sections rachis &amp; L pennes'!AH30="","",'Sections rachis &amp; L pennes'!AH30)</f>
        <v>99.976857208979396</v>
      </c>
      <c r="U30" s="789" t="str">
        <f>IF('Largeurs pennes'!R65="","",'Largeurs pennes'!R65)</f>
        <v/>
      </c>
      <c r="V30" s="790" t="str">
        <f>IF('Largeurs pennes'!S65="","",'Largeurs pennes'!S65)</f>
        <v/>
      </c>
      <c r="W30" s="790" t="str">
        <f>IF('Largeurs pennes'!T65="","",'Largeurs pennes'!T65)</f>
        <v/>
      </c>
      <c r="X30" s="793">
        <f>IF('Largeurs pennes'!U65="","",'Largeurs pennes'!U65)</f>
        <v>0.377</v>
      </c>
      <c r="Y30" s="781">
        <f t="shared" si="2"/>
        <v>0.377</v>
      </c>
    </row>
    <row r="31" spans="1:25" s="345" customFormat="1" ht="13.5" thickBot="1">
      <c r="A31" s="345">
        <f t="shared" si="0"/>
        <v>100</v>
      </c>
      <c r="B31" s="660" t="s">
        <v>1254</v>
      </c>
      <c r="C31" s="800">
        <f>IF('Sections rachis &amp; L pennes'!Q31="","",'Sections rachis &amp; L pennes'!Q31)</f>
        <v>100</v>
      </c>
      <c r="D31" s="801" t="str">
        <f>IF('Largeurs pennes'!D32="","",'Largeurs pennes'!D32)</f>
        <v/>
      </c>
      <c r="E31" s="802">
        <f>IF('Largeurs pennes'!E32="","",'Largeurs pennes'!E32)</f>
        <v>0.498</v>
      </c>
      <c r="F31" s="802" t="str">
        <f>IF('Largeurs pennes'!F32="","",'Largeurs pennes'!F32)</f>
        <v/>
      </c>
      <c r="G31" s="803" t="str">
        <f>IF('Largeurs pennes'!G32="","",'Largeurs pennes'!G32)</f>
        <v/>
      </c>
      <c r="H31" s="800" t="str">
        <f>IF('Sections rachis &amp; L pennes'!V31="","",'Sections rachis &amp; L pennes'!V31)</f>
        <v>XXX</v>
      </c>
      <c r="I31" s="801" t="str">
        <f>IF('Largeurs pennes'!R32="","",'Largeurs pennes'!R32)</f>
        <v/>
      </c>
      <c r="J31" s="802" t="str">
        <f>IF('Largeurs pennes'!S32="","",'Largeurs pennes'!S32)</f>
        <v/>
      </c>
      <c r="K31" s="802" t="str">
        <f>IF('Largeurs pennes'!T32="","",'Largeurs pennes'!T32)</f>
        <v/>
      </c>
      <c r="L31" s="803" t="str">
        <f>IF('Largeurs pennes'!U32="","",'Largeurs pennes'!U32)</f>
        <v/>
      </c>
      <c r="M31" s="781">
        <f t="shared" si="1"/>
        <v>0.498</v>
      </c>
      <c r="N31" s="660" t="s">
        <v>1254</v>
      </c>
      <c r="O31" s="961">
        <f>IF('Sections rachis &amp; L pennes'!AC31="","",'Sections rachis &amp; L pennes'!AC31)</f>
        <v>100</v>
      </c>
      <c r="P31" s="801" t="str">
        <f>IF('Largeurs pennes'!D66="","",'Largeurs pennes'!D66)</f>
        <v/>
      </c>
      <c r="Q31" s="802">
        <f>IF('Largeurs pennes'!E66="","",'Largeurs pennes'!E66)</f>
        <v>0.36699999999999999</v>
      </c>
      <c r="R31" s="802" t="str">
        <f>IF('Largeurs pennes'!F66="","",'Largeurs pennes'!F66)</f>
        <v/>
      </c>
      <c r="S31" s="803" t="str">
        <f>IF('Largeurs pennes'!G66="","",'Largeurs pennes'!G66)</f>
        <v/>
      </c>
      <c r="T31" s="961" t="str">
        <f>IF('Sections rachis &amp; L pennes'!AH31="","",'Sections rachis &amp; L pennes'!AH31)</f>
        <v>XXX</v>
      </c>
      <c r="U31" s="801" t="str">
        <f>IF('Largeurs pennes'!R66="","",'Largeurs pennes'!R66)</f>
        <v/>
      </c>
      <c r="V31" s="802" t="str">
        <f>IF('Largeurs pennes'!S66="","",'Largeurs pennes'!S66)</f>
        <v/>
      </c>
      <c r="W31" s="802" t="str">
        <f>IF('Largeurs pennes'!T66="","",'Largeurs pennes'!T66)</f>
        <v/>
      </c>
      <c r="X31" s="803" t="str">
        <f>IF('Largeurs pennes'!U66="","",'Largeurs pennes'!U66)</f>
        <v/>
      </c>
      <c r="Y31" s="781">
        <f t="shared" si="2"/>
        <v>0.36699999999999999</v>
      </c>
    </row>
    <row r="32" spans="1:25" s="345" customFormat="1">
      <c r="D32" s="805"/>
      <c r="E32" s="806"/>
      <c r="F32" s="807"/>
      <c r="G32" s="807"/>
      <c r="H32" s="807"/>
      <c r="I32" s="807"/>
      <c r="J32" s="807"/>
      <c r="K32" s="807"/>
      <c r="L32" s="807"/>
      <c r="M32" s="807"/>
      <c r="N32" s="807"/>
      <c r="O32" s="807"/>
      <c r="P32" s="807"/>
      <c r="Q32" s="807"/>
      <c r="R32" s="807"/>
      <c r="S32" s="808"/>
      <c r="T32" s="808"/>
      <c r="Y32" s="807"/>
    </row>
    <row r="33" spans="1:30" s="345" customFormat="1">
      <c r="B33" s="694"/>
      <c r="C33" s="814"/>
      <c r="D33" s="817"/>
      <c r="E33" s="811"/>
      <c r="F33" s="815"/>
      <c r="G33" s="476"/>
      <c r="H33" s="476"/>
      <c r="I33" s="476"/>
      <c r="J33" s="962"/>
      <c r="K33" s="476"/>
      <c r="L33" s="476"/>
      <c r="M33" s="806">
        <f>IF('Hauteurs pennes (MAX)'!M33="","",'Hauteurs pennes (MAX)'!M33)</f>
        <v>1.2806789386610304</v>
      </c>
      <c r="N33" s="476"/>
      <c r="O33" s="476"/>
      <c r="P33" s="476"/>
      <c r="Q33" s="476"/>
      <c r="R33" s="817"/>
      <c r="S33" s="476"/>
      <c r="T33" s="476"/>
      <c r="U33" s="476"/>
      <c r="V33" s="476"/>
      <c r="W33" s="476"/>
      <c r="X33" s="476"/>
      <c r="Y33" s="806">
        <f>'Hauteurs pennes (MAX)'!Y33</f>
        <v>1.3406842023767778</v>
      </c>
      <c r="Z33" s="476"/>
      <c r="AA33" s="476"/>
      <c r="AB33" s="476"/>
      <c r="AC33" s="476"/>
      <c r="AD33" s="476"/>
    </row>
    <row r="34" spans="1:30" s="345" customFormat="1" ht="14.25" customHeight="1" thickBot="1">
      <c r="B34" s="694"/>
      <c r="C34" s="814"/>
      <c r="D34" s="815"/>
      <c r="E34" s="811"/>
      <c r="F34" s="816"/>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tr">
        <f>IF(C16="","",C16)</f>
        <v/>
      </c>
      <c r="C35" s="809">
        <f>SUMIF(D$35:D$54,A35,B$35:B$54)</f>
        <v>5.3605555861977985</v>
      </c>
      <c r="D35" s="809">
        <f>IF(B35="",0,RANK(B35,B$35:B$54,1))</f>
        <v>0</v>
      </c>
      <c r="E35" s="814"/>
      <c r="F35" s="819">
        <f>IF(MAX(M33,Y33)=0,"",MAX(M33,Y33))</f>
        <v>1.3406842023767778</v>
      </c>
      <c r="H35" s="1580" t="s">
        <v>1280</v>
      </c>
      <c r="I35" s="1581"/>
      <c r="J35" s="1581"/>
      <c r="K35" s="1581"/>
      <c r="L35" s="1581"/>
      <c r="M35" s="1581"/>
      <c r="N35" s="1581"/>
      <c r="O35" s="1581"/>
      <c r="P35" s="1581"/>
      <c r="Q35" s="1581"/>
      <c r="R35" s="1581"/>
      <c r="S35" s="1581"/>
      <c r="T35" s="1581"/>
      <c r="U35" s="1581"/>
      <c r="V35" s="1581"/>
      <c r="W35" s="1581"/>
      <c r="X35" s="1581"/>
      <c r="Y35" s="1581"/>
      <c r="Z35" s="1581"/>
      <c r="AA35" s="1582"/>
    </row>
    <row r="36" spans="1:30" s="345" customFormat="1" ht="15.75" customHeight="1" thickBot="1">
      <c r="A36" s="345">
        <v>2</v>
      </c>
      <c r="B36" s="818" t="str">
        <f>IF(O16="","",O16)</f>
        <v/>
      </c>
      <c r="C36" s="809">
        <f t="shared" ref="C36:C54" si="3">SUMIF(D$35:D$54,A36,B$35:B$54)</f>
        <v>10</v>
      </c>
      <c r="D36" s="809">
        <f t="shared" ref="D36:D54" si="4">IF(B36="",0,RANK(B36,B$35:B$54,1))</f>
        <v>0</v>
      </c>
      <c r="E36" s="1583" t="s">
        <v>1281</v>
      </c>
      <c r="F36" s="1584"/>
      <c r="G36" s="1585"/>
      <c r="H36" s="820">
        <f>IF($C35=0,"",$C35)</f>
        <v>5.3605555861977985</v>
      </c>
      <c r="I36" s="821">
        <f>IF($C36=0,"",$C36)</f>
        <v>10</v>
      </c>
      <c r="J36" s="821">
        <f>IF($C37=0,"",$C37)</f>
        <v>20</v>
      </c>
      <c r="K36" s="821">
        <f>IF($C38=0,"",$C38)</f>
        <v>26.922669813782981</v>
      </c>
      <c r="L36" s="821">
        <f>IF($C39=0,"",$C39)</f>
        <v>28.402760758696882</v>
      </c>
      <c r="M36" s="821">
        <f>IF($C40="",0,$C40)</f>
        <v>30</v>
      </c>
      <c r="N36" s="821">
        <f>IF($C41=0,"",$C41)</f>
        <v>40</v>
      </c>
      <c r="O36" s="821">
        <f>IF($C42=0,"",$C42)</f>
        <v>50</v>
      </c>
      <c r="P36" s="821">
        <f>IF($C43=0,"",$C43)</f>
        <v>60</v>
      </c>
      <c r="Q36" s="821">
        <f>IF($C44=0,"",$C44)</f>
        <v>70</v>
      </c>
      <c r="R36" s="821">
        <f>IF($C45=0,"",$C45)</f>
        <v>80</v>
      </c>
      <c r="S36" s="821">
        <f>IF($C46=0,"",$C46)</f>
        <v>90</v>
      </c>
      <c r="T36" s="821">
        <f>IF($C47=0,"",$C47)</f>
        <v>97.736572490101764</v>
      </c>
      <c r="U36" s="821">
        <f>IF($C48=0,"",$C48)</f>
        <v>98.474693898206965</v>
      </c>
      <c r="V36" s="821">
        <f>IF($C49=0,"",$C49)</f>
        <v>99.115172061249353</v>
      </c>
      <c r="W36" s="821">
        <f>IF($C50=0,"",$C50)</f>
        <v>99.665653482478291</v>
      </c>
      <c r="X36" s="821">
        <f>IF($C51=0,"",$C51)</f>
        <v>99.951573567634654</v>
      </c>
      <c r="Y36" s="821">
        <f>IF($C52=0,"",$C52)</f>
        <v>100</v>
      </c>
      <c r="Z36" s="821" t="str">
        <f>IF($C53=0,"",$C53)</f>
        <v/>
      </c>
      <c r="AA36" s="822" t="str">
        <f>IF($C54=0,"",$C54)</f>
        <v/>
      </c>
    </row>
    <row r="37" spans="1:30" s="345" customFormat="1" ht="13.5" customHeight="1">
      <c r="A37" s="345">
        <v>3</v>
      </c>
      <c r="B37" s="818">
        <f>IF(COUNTIF(C13,"")+COUNTIF(H13,"")+COUNTIF(O13,"")+COUNTIF(T13,"")=4,"",AVERAGE(C13,H13,O13,T13))</f>
        <v>5.3605555861977985</v>
      </c>
      <c r="C37" s="809">
        <f t="shared" si="3"/>
        <v>20</v>
      </c>
      <c r="D37" s="809">
        <f t="shared" si="4"/>
        <v>1</v>
      </c>
      <c r="E37" s="1571" t="s">
        <v>1282</v>
      </c>
      <c r="F37" s="1574" t="s">
        <v>1283</v>
      </c>
      <c r="G37" s="1575"/>
      <c r="H37" s="823">
        <f t="shared" ref="H37:AA37" si="5">IF(COUNTIF(H39:H42,"")=4,"",AVERAGE(H39:H42))</f>
        <v>0.20362737139441411</v>
      </c>
      <c r="I37" s="824">
        <f t="shared" si="5"/>
        <v>0.52693427838583173</v>
      </c>
      <c r="J37" s="824">
        <f t="shared" si="5"/>
        <v>0.64467560899098242</v>
      </c>
      <c r="K37" s="824">
        <f t="shared" si="5"/>
        <v>0.30833426805488684</v>
      </c>
      <c r="L37" s="824">
        <f t="shared" si="5"/>
        <v>0.3721770765861937</v>
      </c>
      <c r="M37" s="824">
        <f t="shared" si="5"/>
        <v>0.68537072342960315</v>
      </c>
      <c r="N37" s="824">
        <f t="shared" si="5"/>
        <v>0.78037223010555401</v>
      </c>
      <c r="O37" s="824">
        <f t="shared" si="5"/>
        <v>0.88439120495179868</v>
      </c>
      <c r="P37" s="824">
        <f t="shared" si="5"/>
        <v>0.96581586707381351</v>
      </c>
      <c r="Q37" s="824">
        <f t="shared" si="5"/>
        <v>0.99890622955737385</v>
      </c>
      <c r="R37" s="824">
        <f t="shared" si="5"/>
        <v>0.94543703350458108</v>
      </c>
      <c r="S37" s="824">
        <f t="shared" si="5"/>
        <v>0.75061108538597254</v>
      </c>
      <c r="T37" s="824">
        <f t="shared" si="5"/>
        <v>0.37948621260854065</v>
      </c>
      <c r="U37" s="824">
        <f t="shared" si="5"/>
        <v>0.34365211508548771</v>
      </c>
      <c r="V37" s="824">
        <f t="shared" si="5"/>
        <v>0.3493456230571037</v>
      </c>
      <c r="W37" s="824">
        <f t="shared" si="5"/>
        <v>0.32669885959982925</v>
      </c>
      <c r="X37" s="824" t="str">
        <f t="shared" si="5"/>
        <v/>
      </c>
      <c r="Y37" s="824" t="str">
        <f t="shared" si="5"/>
        <v/>
      </c>
      <c r="Z37" s="824" t="str">
        <f t="shared" si="5"/>
        <v/>
      </c>
      <c r="AA37" s="825" t="str">
        <f t="shared" si="5"/>
        <v/>
      </c>
    </row>
    <row r="38" spans="1:30" s="345" customFormat="1" ht="12.75" customHeight="1" thickBot="1">
      <c r="A38" s="345">
        <v>4</v>
      </c>
      <c r="B38" s="818">
        <f>IF(COUNTIF(C14,"")+COUNTIF(H14,"")+COUNTIF(O14,"")+COUNTIF(T14,"")=4,"",AVERAGE(C14,H14,O14,T14))</f>
        <v>26.922669813782981</v>
      </c>
      <c r="C38" s="809">
        <f t="shared" si="3"/>
        <v>26.922669813782981</v>
      </c>
      <c r="D38" s="809">
        <f t="shared" si="4"/>
        <v>4</v>
      </c>
      <c r="E38" s="1572"/>
      <c r="F38" s="1576" t="s">
        <v>1284</v>
      </c>
      <c r="G38" s="1577"/>
      <c r="H38" s="823">
        <f t="shared" ref="H38:AA38" si="6">IF(COUNTIF(H39:H42,"")=4,"",IF(COUNTIF(H39:H42,"")=3,0,STDEV(H39:H42)*$F$35))</f>
        <v>0.10889444430272846</v>
      </c>
      <c r="I38" s="824">
        <f t="shared" si="6"/>
        <v>2.5837249980385575E-3</v>
      </c>
      <c r="J38" s="824">
        <f t="shared" si="6"/>
        <v>4.0598417354756351E-3</v>
      </c>
      <c r="K38" s="824">
        <f t="shared" si="6"/>
        <v>2.3505810168466704E-2</v>
      </c>
      <c r="L38" s="824">
        <f t="shared" si="6"/>
        <v>4.3880321557731188E-2</v>
      </c>
      <c r="M38" s="824">
        <f t="shared" si="6"/>
        <v>1.2495430338855191E-2</v>
      </c>
      <c r="N38" s="824">
        <f t="shared" si="6"/>
        <v>8.5820706199881205E-3</v>
      </c>
      <c r="O38" s="824">
        <f t="shared" si="6"/>
        <v>7.8083347723430967E-3</v>
      </c>
      <c r="P38" s="824">
        <f t="shared" si="6"/>
        <v>4.1551849865483232E-3</v>
      </c>
      <c r="Q38" s="824">
        <f t="shared" si="6"/>
        <v>1.9348079549487858E-3</v>
      </c>
      <c r="R38" s="824">
        <f t="shared" si="6"/>
        <v>3.0535924583139158E-3</v>
      </c>
      <c r="S38" s="824">
        <f t="shared" si="6"/>
        <v>1.4742492526744868E-3</v>
      </c>
      <c r="T38" s="824">
        <f t="shared" si="6"/>
        <v>0</v>
      </c>
      <c r="U38" s="824">
        <f t="shared" si="6"/>
        <v>0.12123906047771695</v>
      </c>
      <c r="V38" s="824">
        <f t="shared" si="6"/>
        <v>5.5666497690887017E-2</v>
      </c>
      <c r="W38" s="824">
        <f t="shared" si="6"/>
        <v>0</v>
      </c>
      <c r="X38" s="824" t="str">
        <f t="shared" si="6"/>
        <v/>
      </c>
      <c r="Y38" s="824" t="str">
        <f t="shared" si="6"/>
        <v/>
      </c>
      <c r="Z38" s="824" t="str">
        <f t="shared" si="6"/>
        <v/>
      </c>
      <c r="AA38" s="825" t="str">
        <f t="shared" si="6"/>
        <v/>
      </c>
    </row>
    <row r="39" spans="1:30" s="345" customFormat="1" ht="12.75" customHeight="1">
      <c r="A39" s="345">
        <v>5</v>
      </c>
      <c r="B39" s="818">
        <f>IF(COUNTIF(C15,"")+COUNTIF(H15,"")+COUNTIF(O15,"")+COUNTIF(T15,"")=4,"",AVERAGE(C15,H15,O15,T15))</f>
        <v>28.402760758696882</v>
      </c>
      <c r="C39" s="809">
        <f t="shared" si="3"/>
        <v>28.402760758696882</v>
      </c>
      <c r="D39" s="809">
        <f t="shared" si="4"/>
        <v>5</v>
      </c>
      <c r="E39" s="1572"/>
      <c r="F39" s="1578">
        <f>G7</f>
        <v>57</v>
      </c>
      <c r="G39" s="826" t="s">
        <v>1285</v>
      </c>
      <c r="H39" s="827" t="str">
        <f>IF(H36="","",IF(SUMIF($A$13:$A$31,H36,$D$13:$D$31)=0,"",SUMIF($A$13:$A$31,H36,$D$13:$D$31)/$M$33))</f>
        <v/>
      </c>
      <c r="I39" s="828">
        <f t="shared" ref="I39:AA39" si="7">IF(I36="","",IF(SUMIF($A$13:$A$31,I36,$D$13:$D$31)=0,"",SUMIF($A$13:$A$31,I36,$D$13:$D$31)/$M$33))</f>
        <v>0.52557156413620054</v>
      </c>
      <c r="J39" s="828">
        <f t="shared" si="7"/>
        <v>0.64237677620074429</v>
      </c>
      <c r="K39" s="828" t="str">
        <f t="shared" si="7"/>
        <v/>
      </c>
      <c r="L39" s="828">
        <f t="shared" si="7"/>
        <v>0.34903361530044791</v>
      </c>
      <c r="M39" s="828">
        <f t="shared" si="7"/>
        <v>0.67576191620062875</v>
      </c>
      <c r="N39" s="828">
        <f t="shared" si="7"/>
        <v>0.78467994407752628</v>
      </c>
      <c r="O39" s="828">
        <f t="shared" si="7"/>
        <v>0.8866119302637282</v>
      </c>
      <c r="P39" s="828">
        <f t="shared" si="7"/>
        <v>0.96531881500626093</v>
      </c>
      <c r="Q39" s="828">
        <f t="shared" si="7"/>
        <v>1</v>
      </c>
      <c r="R39" s="828">
        <f t="shared" si="7"/>
        <v>0.94741480238976361</v>
      </c>
      <c r="S39" s="828" t="str">
        <f t="shared" si="7"/>
        <v/>
      </c>
      <c r="T39" s="828" t="str">
        <f t="shared" si="7"/>
        <v/>
      </c>
      <c r="U39" s="828">
        <f t="shared" si="7"/>
        <v>0.40759630243139555</v>
      </c>
      <c r="V39" s="828" t="str">
        <f t="shared" si="7"/>
        <v/>
      </c>
      <c r="W39" s="828" t="str">
        <f t="shared" si="7"/>
        <v/>
      </c>
      <c r="X39" s="828" t="str">
        <f t="shared" si="7"/>
        <v/>
      </c>
      <c r="Y39" s="828" t="str">
        <f t="shared" si="7"/>
        <v/>
      </c>
      <c r="Z39" s="828" t="str">
        <f t="shared" si="7"/>
        <v/>
      </c>
      <c r="AA39" s="829" t="str">
        <f t="shared" si="7"/>
        <v/>
      </c>
    </row>
    <row r="40" spans="1:30" s="345" customFormat="1" ht="12.75" customHeight="1" thickBot="1">
      <c r="A40" s="345">
        <v>6</v>
      </c>
      <c r="B40" s="818">
        <f t="shared" ref="B40:B48" si="8">IF(C17="","",C17)</f>
        <v>10</v>
      </c>
      <c r="C40" s="809">
        <f t="shared" si="3"/>
        <v>30</v>
      </c>
      <c r="D40" s="809">
        <f t="shared" si="4"/>
        <v>2</v>
      </c>
      <c r="E40" s="1572"/>
      <c r="F40" s="1579"/>
      <c r="G40" s="830" t="s">
        <v>1286</v>
      </c>
      <c r="H40" s="823" t="str">
        <f>IF(H36="","",IF(SUMIF($A$13:$A$31,H36,$I$13:$I$31)=0,"",SUMIF($A$13:$A$31,H36,$I$13:$I$31)/$M$33))</f>
        <v/>
      </c>
      <c r="I40" s="824">
        <f t="shared" ref="I40:AA40" si="9">IF(I36="","",IF(SUMIF($A$13:$A$31,I36,$I$13:$I$31)=0,"",SUMIF($A$13:$A$31,I36,$I$13:$I$31)/$M$33))</f>
        <v>0.52829699263546293</v>
      </c>
      <c r="J40" s="824">
        <f t="shared" si="9"/>
        <v>0.64194136855716188</v>
      </c>
      <c r="K40" s="824">
        <f t="shared" si="9"/>
        <v>0.29593677896838871</v>
      </c>
      <c r="L40" s="824" t="str">
        <f t="shared" si="9"/>
        <v/>
      </c>
      <c r="M40" s="824">
        <f t="shared" si="9"/>
        <v>0.67900193634326833</v>
      </c>
      <c r="N40" s="824">
        <f t="shared" si="9"/>
        <v>0.78583968517768543</v>
      </c>
      <c r="O40" s="824">
        <f t="shared" si="9"/>
        <v>0.88632440745801688</v>
      </c>
      <c r="P40" s="824">
        <f t="shared" si="9"/>
        <v>0.96707184505390276</v>
      </c>
      <c r="Q40" s="824">
        <f t="shared" si="9"/>
        <v>0.99695726681899133</v>
      </c>
      <c r="R40" s="824">
        <f t="shared" si="9"/>
        <v>0.94244088628436828</v>
      </c>
      <c r="S40" s="824" t="str">
        <f t="shared" si="9"/>
        <v/>
      </c>
      <c r="T40" s="824">
        <f t="shared" si="9"/>
        <v>0.37948621260854065</v>
      </c>
      <c r="U40" s="824" t="str">
        <f t="shared" si="9"/>
        <v/>
      </c>
      <c r="V40" s="824">
        <f t="shared" si="9"/>
        <v>0.378705376780128</v>
      </c>
      <c r="W40" s="824" t="str">
        <f t="shared" si="9"/>
        <v/>
      </c>
      <c r="X40" s="824" t="str">
        <f t="shared" si="9"/>
        <v/>
      </c>
      <c r="Y40" s="824" t="str">
        <f t="shared" si="9"/>
        <v/>
      </c>
      <c r="Z40" s="824" t="str">
        <f t="shared" si="9"/>
        <v/>
      </c>
      <c r="AA40" s="825" t="str">
        <f t="shared" si="9"/>
        <v/>
      </c>
    </row>
    <row r="41" spans="1:30" s="345" customFormat="1" ht="12.75" customHeight="1">
      <c r="A41" s="345">
        <v>7</v>
      </c>
      <c r="B41" s="818">
        <f t="shared" si="8"/>
        <v>20</v>
      </c>
      <c r="C41" s="809">
        <f t="shared" si="3"/>
        <v>40</v>
      </c>
      <c r="D41" s="809">
        <f t="shared" si="4"/>
        <v>3</v>
      </c>
      <c r="E41" s="1572"/>
      <c r="F41" s="1578">
        <f>U7</f>
        <v>83</v>
      </c>
      <c r="G41" s="826" t="s">
        <v>1285</v>
      </c>
      <c r="H41" s="827">
        <f>IF(H36="","",IF(SUMIF($A$13:$A$31,H36,$P$13:$P$31)=0,"",SUMIF($A$13:$A$31,H36,$P$13:$P$31)/$Y$33))</f>
        <v>0.26106073255694118</v>
      </c>
      <c r="I41" s="828" t="str">
        <f t="shared" ref="I41:AA41" si="10">IF(I36="","",IF(SUMIF($A$13:$A$31,I36,$P$13:$P$31)=0,"",SUMIF($A$13:$A$31,I36,$P$13:$P$31)/$Y$33))</f>
        <v/>
      </c>
      <c r="J41" s="828">
        <f t="shared" si="10"/>
        <v>0.64821271493985011</v>
      </c>
      <c r="K41" s="828">
        <f t="shared" si="10"/>
        <v>0.32073175714138491</v>
      </c>
      <c r="L41" s="828" t="str">
        <f t="shared" si="10"/>
        <v/>
      </c>
      <c r="M41" s="828">
        <f t="shared" si="10"/>
        <v>0.69317870124435477</v>
      </c>
      <c r="N41" s="828">
        <f t="shared" si="10"/>
        <v>0.77913854964372042</v>
      </c>
      <c r="O41" s="828">
        <f t="shared" si="10"/>
        <v>0.88881291124117368</v>
      </c>
      <c r="P41" s="828">
        <f t="shared" si="10"/>
        <v>0.96909047647404001</v>
      </c>
      <c r="Q41" s="828">
        <f t="shared" si="10"/>
        <v>1</v>
      </c>
      <c r="R41" s="828">
        <f t="shared" si="10"/>
        <v>0.94698446180692231</v>
      </c>
      <c r="S41" s="828">
        <f t="shared" si="10"/>
        <v>0.75138863735673289</v>
      </c>
      <c r="T41" s="828" t="str">
        <f t="shared" si="10"/>
        <v/>
      </c>
      <c r="U41" s="828" t="str">
        <f t="shared" si="10"/>
        <v/>
      </c>
      <c r="V41" s="828">
        <f t="shared" si="10"/>
        <v>0.31998586933407935</v>
      </c>
      <c r="W41" s="828" t="str">
        <f t="shared" si="10"/>
        <v/>
      </c>
      <c r="X41" s="828" t="str">
        <f t="shared" si="10"/>
        <v/>
      </c>
      <c r="Y41" s="828" t="str">
        <f t="shared" si="10"/>
        <v/>
      </c>
      <c r="Z41" s="828" t="str">
        <f t="shared" si="10"/>
        <v/>
      </c>
      <c r="AA41" s="829" t="str">
        <f t="shared" si="10"/>
        <v/>
      </c>
    </row>
    <row r="42" spans="1:30" s="345" customFormat="1" ht="13.5" customHeight="1" thickBot="1">
      <c r="A42" s="345">
        <v>8</v>
      </c>
      <c r="B42" s="818">
        <f t="shared" si="8"/>
        <v>30</v>
      </c>
      <c r="C42" s="809">
        <f t="shared" si="3"/>
        <v>50</v>
      </c>
      <c r="D42" s="809">
        <f t="shared" si="4"/>
        <v>6</v>
      </c>
      <c r="E42" s="1573"/>
      <c r="F42" s="1579"/>
      <c r="G42" s="830" t="s">
        <v>1286</v>
      </c>
      <c r="H42" s="831">
        <f>IF(H36="","",IF(SUMIF($A$13:$A$31,H36,$U$13:$U$31)=0,"",SUMIF($A$13:$A$31,H36,$U$13:$U$31)/$Y$33))</f>
        <v>0.14619401023188708</v>
      </c>
      <c r="I42" s="832" t="str">
        <f t="shared" ref="I42:AA42" si="11">IF(I36="","",IF(SUMIF($A$13:$A$31,I36,$U$13:$U$31)=0,"",SUMIF($A$13:$A$31,I36,$U$13:$U$31)/$Y$33))</f>
        <v/>
      </c>
      <c r="J42" s="832">
        <f t="shared" si="11"/>
        <v>0.6461715762661735</v>
      </c>
      <c r="K42" s="832" t="str">
        <f t="shared" si="11"/>
        <v/>
      </c>
      <c r="L42" s="832">
        <f t="shared" si="11"/>
        <v>0.39532053787193955</v>
      </c>
      <c r="M42" s="832">
        <f t="shared" si="11"/>
        <v>0.69354033993016106</v>
      </c>
      <c r="N42" s="832">
        <f t="shared" si="11"/>
        <v>0.77183074152328435</v>
      </c>
      <c r="O42" s="832">
        <f t="shared" si="11"/>
        <v>0.87581557084427608</v>
      </c>
      <c r="P42" s="832">
        <f t="shared" si="11"/>
        <v>0.96178233176104999</v>
      </c>
      <c r="Q42" s="832">
        <f t="shared" si="11"/>
        <v>0.99866765141050418</v>
      </c>
      <c r="R42" s="832">
        <f t="shared" si="11"/>
        <v>0.94490798353727057</v>
      </c>
      <c r="S42" s="832">
        <f t="shared" si="11"/>
        <v>0.74983353341521219</v>
      </c>
      <c r="T42" s="832" t="str">
        <f t="shared" si="11"/>
        <v/>
      </c>
      <c r="U42" s="832">
        <f t="shared" si="11"/>
        <v>0.27970792773957986</v>
      </c>
      <c r="V42" s="832" t="str">
        <f t="shared" si="11"/>
        <v/>
      </c>
      <c r="W42" s="832">
        <f t="shared" si="11"/>
        <v>0.32669885959982925</v>
      </c>
      <c r="X42" s="832" t="str">
        <f t="shared" si="11"/>
        <v/>
      </c>
      <c r="Y42" s="832" t="str">
        <f t="shared" si="11"/>
        <v/>
      </c>
      <c r="Z42" s="832" t="str">
        <f t="shared" si="11"/>
        <v/>
      </c>
      <c r="AA42" s="833" t="str">
        <f t="shared" si="11"/>
        <v/>
      </c>
    </row>
    <row r="43" spans="1:30" s="345" customFormat="1" ht="12.75" customHeight="1">
      <c r="A43" s="345">
        <v>9</v>
      </c>
      <c r="B43" s="818">
        <f t="shared" si="8"/>
        <v>40</v>
      </c>
      <c r="C43" s="809">
        <f t="shared" si="3"/>
        <v>60</v>
      </c>
      <c r="D43" s="809">
        <f t="shared" si="4"/>
        <v>7</v>
      </c>
      <c r="E43" s="1590">
        <v>0</v>
      </c>
      <c r="F43" s="1574" t="s">
        <v>1283</v>
      </c>
      <c r="G43" s="1593"/>
      <c r="H43" s="834" t="str">
        <f t="shared" ref="H43:AA43" si="12">IF(COUNTIF(H45:H52,"")=8,"",AVERAGE(H45:H52))</f>
        <v/>
      </c>
      <c r="I43" s="835">
        <f t="shared" si="12"/>
        <v>0.52786285452470161</v>
      </c>
      <c r="J43" s="835" t="str">
        <f t="shared" si="12"/>
        <v/>
      </c>
      <c r="K43" s="835" t="str">
        <f t="shared" si="12"/>
        <v/>
      </c>
      <c r="L43" s="835" t="str">
        <f t="shared" si="12"/>
        <v/>
      </c>
      <c r="M43" s="835" t="str">
        <f t="shared" si="12"/>
        <v/>
      </c>
      <c r="N43" s="835">
        <f t="shared" si="12"/>
        <v>0.78236046187720787</v>
      </c>
      <c r="O43" s="835">
        <f t="shared" si="12"/>
        <v>0.88813897507244566</v>
      </c>
      <c r="P43" s="835">
        <f t="shared" si="12"/>
        <v>0.96517770425258997</v>
      </c>
      <c r="Q43" s="835">
        <f t="shared" si="12"/>
        <v>0.99843253107118124</v>
      </c>
      <c r="R43" s="835">
        <f t="shared" si="12"/>
        <v>0.94492791467424775</v>
      </c>
      <c r="S43" s="835">
        <f t="shared" si="12"/>
        <v>0.75108466977967847</v>
      </c>
      <c r="T43" s="835" t="str">
        <f t="shared" si="12"/>
        <v/>
      </c>
      <c r="U43" s="835">
        <f t="shared" si="12"/>
        <v>0.32669885959982925</v>
      </c>
      <c r="V43" s="835" t="str">
        <f t="shared" si="12"/>
        <v/>
      </c>
      <c r="W43" s="835">
        <f t="shared" si="12"/>
        <v>0.36514905909494855</v>
      </c>
      <c r="X43" s="835">
        <f t="shared" si="12"/>
        <v>0.3888562425494923</v>
      </c>
      <c r="Y43" s="835">
        <f t="shared" si="12"/>
        <v>0.33129853391531389</v>
      </c>
      <c r="Z43" s="835" t="str">
        <f t="shared" si="12"/>
        <v/>
      </c>
      <c r="AA43" s="836" t="str">
        <f t="shared" si="12"/>
        <v/>
      </c>
    </row>
    <row r="44" spans="1:30" s="345" customFormat="1" ht="13.5" customHeight="1" thickBot="1">
      <c r="A44" s="345">
        <v>10</v>
      </c>
      <c r="B44" s="818">
        <f t="shared" si="8"/>
        <v>50</v>
      </c>
      <c r="C44" s="809">
        <f t="shared" si="3"/>
        <v>70</v>
      </c>
      <c r="D44" s="809">
        <f t="shared" si="4"/>
        <v>8</v>
      </c>
      <c r="E44" s="1591"/>
      <c r="F44" s="1576" t="s">
        <v>1284</v>
      </c>
      <c r="G44" s="1594"/>
      <c r="H44" s="834" t="str">
        <f t="shared" ref="H44:AA44" si="13">IF(COUNTIF(H45:H52,"")=8,"",IF(COUNTIF(H45:H52,"")=7,0,STDEV(H45:H52)*$F$35))</f>
        <v/>
      </c>
      <c r="I44" s="835">
        <f t="shared" si="13"/>
        <v>3.1516418188107338E-3</v>
      </c>
      <c r="J44" s="835" t="str">
        <f t="shared" si="13"/>
        <v/>
      </c>
      <c r="K44" s="835" t="str">
        <f t="shared" si="13"/>
        <v/>
      </c>
      <c r="L44" s="835" t="str">
        <f t="shared" si="13"/>
        <v/>
      </c>
      <c r="M44" s="835" t="str">
        <f t="shared" si="13"/>
        <v/>
      </c>
      <c r="N44" s="835">
        <f t="shared" si="13"/>
        <v>0</v>
      </c>
      <c r="O44" s="835">
        <f t="shared" si="13"/>
        <v>0</v>
      </c>
      <c r="P44" s="835">
        <f t="shared" si="13"/>
        <v>1.7632440423839368E-3</v>
      </c>
      <c r="Q44" s="835">
        <f t="shared" si="13"/>
        <v>0</v>
      </c>
      <c r="R44" s="835">
        <f t="shared" si="13"/>
        <v>2.5856169728418069E-3</v>
      </c>
      <c r="S44" s="835">
        <f t="shared" si="13"/>
        <v>1.8992187714508184E-3</v>
      </c>
      <c r="T44" s="835" t="str">
        <f t="shared" si="13"/>
        <v/>
      </c>
      <c r="U44" s="835">
        <f t="shared" si="13"/>
        <v>0</v>
      </c>
      <c r="V44" s="835" t="str">
        <f t="shared" si="13"/>
        <v/>
      </c>
      <c r="W44" s="835">
        <f t="shared" si="13"/>
        <v>3.7546769098707966E-2</v>
      </c>
      <c r="X44" s="835">
        <f t="shared" si="13"/>
        <v>0</v>
      </c>
      <c r="Y44" s="835">
        <f t="shared" si="13"/>
        <v>0.10913020882271909</v>
      </c>
      <c r="Z44" s="835" t="str">
        <f t="shared" si="13"/>
        <v/>
      </c>
      <c r="AA44" s="836" t="str">
        <f t="shared" si="13"/>
        <v/>
      </c>
    </row>
    <row r="45" spans="1:30" s="345" customFormat="1">
      <c r="A45" s="345">
        <v>11</v>
      </c>
      <c r="B45" s="818">
        <f t="shared" si="8"/>
        <v>60</v>
      </c>
      <c r="C45" s="809">
        <f t="shared" si="3"/>
        <v>80</v>
      </c>
      <c r="D45" s="809">
        <f t="shared" si="4"/>
        <v>9</v>
      </c>
      <c r="E45" s="1591"/>
      <c r="F45" s="1578">
        <f>G7</f>
        <v>57</v>
      </c>
      <c r="G45" s="1596" t="s">
        <v>1285</v>
      </c>
      <c r="H45" s="837" t="str">
        <f>IF(H36="","",IF(SUMIF($A$13:$A$31,H36,$E$13:$E$31)=0,"",SUMIF($A$13:$A$31,H36,$E$13:$E$31)/$M$33))</f>
        <v/>
      </c>
      <c r="I45" s="838" t="str">
        <f t="shared" ref="I45:AA45" si="14">IF(I36="","",IF(SUMIF($A$13:$A$31,I36,$E$13:$E$31)=0,"",SUMIF($A$13:$A$31,I36,$E$13:$E$31)/$M$33))</f>
        <v/>
      </c>
      <c r="J45" s="838" t="str">
        <f t="shared" si="14"/>
        <v/>
      </c>
      <c r="K45" s="838" t="str">
        <f t="shared" si="14"/>
        <v/>
      </c>
      <c r="L45" s="838" t="str">
        <f t="shared" si="14"/>
        <v/>
      </c>
      <c r="M45" s="838" t="str">
        <f t="shared" si="14"/>
        <v/>
      </c>
      <c r="N45" s="838">
        <f t="shared" si="14"/>
        <v>0.78236046187720787</v>
      </c>
      <c r="O45" s="838" t="str">
        <f t="shared" si="14"/>
        <v/>
      </c>
      <c r="P45" s="838" t="str">
        <f t="shared" si="14"/>
        <v/>
      </c>
      <c r="Q45" s="838" t="str">
        <f t="shared" si="14"/>
        <v/>
      </c>
      <c r="R45" s="838" t="str">
        <f t="shared" si="14"/>
        <v/>
      </c>
      <c r="S45" s="838">
        <f t="shared" si="14"/>
        <v>0.75208636016274466</v>
      </c>
      <c r="T45" s="838" t="str">
        <f t="shared" si="14"/>
        <v/>
      </c>
      <c r="U45" s="838" t="str">
        <f t="shared" si="14"/>
        <v/>
      </c>
      <c r="V45" s="838" t="str">
        <f t="shared" si="14"/>
        <v/>
      </c>
      <c r="W45" s="838">
        <f t="shared" si="14"/>
        <v>0.3849520634074291</v>
      </c>
      <c r="X45" s="838">
        <f t="shared" si="14"/>
        <v>0.3888562425494923</v>
      </c>
      <c r="Y45" s="838">
        <f t="shared" si="14"/>
        <v>0.3888562425494923</v>
      </c>
      <c r="Z45" s="838" t="str">
        <f t="shared" si="14"/>
        <v/>
      </c>
      <c r="AA45" s="839" t="str">
        <f t="shared" si="14"/>
        <v/>
      </c>
    </row>
    <row r="46" spans="1:30" s="345" customFormat="1">
      <c r="A46" s="345">
        <v>12</v>
      </c>
      <c r="B46" s="818">
        <f t="shared" si="8"/>
        <v>70</v>
      </c>
      <c r="C46" s="809">
        <f t="shared" si="3"/>
        <v>90</v>
      </c>
      <c r="D46" s="809">
        <f t="shared" si="4"/>
        <v>10</v>
      </c>
      <c r="E46" s="1591"/>
      <c r="F46" s="1595"/>
      <c r="G46" s="1597"/>
      <c r="H46" s="834" t="str">
        <f>IF(H36="","",IF(SUMIF($A$13:$A$31,H36,$F$13:$F$31)=0,"",SUMIF($A$13:$A$31,H36,$F$13:$F$31)/$M$33))</f>
        <v/>
      </c>
      <c r="I46" s="835" t="str">
        <f t="shared" ref="I46:AA46" si="15">IF(I36="","",IF(SUMIF($A$13:$A$31,I36,$F$13:$F$31)=0,"",SUMIF($A$13:$A$31,I36,$F$13:$F$31)/$M$33))</f>
        <v/>
      </c>
      <c r="J46" s="835" t="str">
        <f t="shared" si="15"/>
        <v/>
      </c>
      <c r="K46" s="835" t="str">
        <f t="shared" si="15"/>
        <v/>
      </c>
      <c r="L46" s="835" t="str">
        <f t="shared" si="15"/>
        <v/>
      </c>
      <c r="M46" s="835" t="str">
        <f t="shared" si="15"/>
        <v/>
      </c>
      <c r="N46" s="835" t="str">
        <f t="shared" si="15"/>
        <v/>
      </c>
      <c r="O46" s="835" t="str">
        <f t="shared" si="15"/>
        <v/>
      </c>
      <c r="P46" s="835" t="str">
        <f t="shared" si="15"/>
        <v/>
      </c>
      <c r="Q46" s="835" t="str">
        <f t="shared" si="15"/>
        <v/>
      </c>
      <c r="R46" s="835" t="str">
        <f t="shared" si="15"/>
        <v/>
      </c>
      <c r="S46" s="835" t="str">
        <f t="shared" si="15"/>
        <v/>
      </c>
      <c r="T46" s="835" t="str">
        <f t="shared" si="15"/>
        <v/>
      </c>
      <c r="U46" s="835" t="str">
        <f t="shared" si="15"/>
        <v/>
      </c>
      <c r="V46" s="835" t="str">
        <f t="shared" si="15"/>
        <v/>
      </c>
      <c r="W46" s="835" t="str">
        <f t="shared" si="15"/>
        <v/>
      </c>
      <c r="X46" s="835" t="str">
        <f t="shared" si="15"/>
        <v/>
      </c>
      <c r="Y46" s="835" t="str">
        <f t="shared" si="15"/>
        <v/>
      </c>
      <c r="Z46" s="835" t="str">
        <f t="shared" si="15"/>
        <v/>
      </c>
      <c r="AA46" s="836" t="str">
        <f t="shared" si="15"/>
        <v/>
      </c>
    </row>
    <row r="47" spans="1:30" s="345" customFormat="1">
      <c r="A47" s="345">
        <v>13</v>
      </c>
      <c r="B47" s="818">
        <f t="shared" si="8"/>
        <v>80</v>
      </c>
      <c r="C47" s="809">
        <f t="shared" si="3"/>
        <v>97.736572490101764</v>
      </c>
      <c r="D47" s="809">
        <f t="shared" si="4"/>
        <v>11</v>
      </c>
      <c r="E47" s="1591"/>
      <c r="F47" s="1595"/>
      <c r="G47" s="1597" t="s">
        <v>1286</v>
      </c>
      <c r="H47" s="834" t="str">
        <f>IF(H36="","",IF(SUMIF($A$13:$A$31,H36,$J$13:$J$31)=0,"",SUMIF($A$13:$A$31,H36,$J$13:$J$31)/$M$33))</f>
        <v/>
      </c>
      <c r="I47" s="835" t="str">
        <f t="shared" ref="I47:AA47" si="16">IF(I36="","",IF(SUMIF($A$13:$A$31,I36,$J$13:$J$31)=0,"",SUMIF($A$13:$A$31,I36,$J$13:$J$31)/$M$33))</f>
        <v/>
      </c>
      <c r="J47" s="835" t="str">
        <f t="shared" si="16"/>
        <v/>
      </c>
      <c r="K47" s="835" t="str">
        <f t="shared" si="16"/>
        <v/>
      </c>
      <c r="L47" s="835" t="str">
        <f t="shared" si="16"/>
        <v/>
      </c>
      <c r="M47" s="835" t="str">
        <f t="shared" si="16"/>
        <v/>
      </c>
      <c r="N47" s="835" t="str">
        <f t="shared" si="16"/>
        <v/>
      </c>
      <c r="O47" s="835" t="str">
        <f t="shared" si="16"/>
        <v/>
      </c>
      <c r="P47" s="835">
        <f t="shared" si="16"/>
        <v>0.96610767852769974</v>
      </c>
      <c r="Q47" s="835" t="str">
        <f t="shared" si="16"/>
        <v/>
      </c>
      <c r="R47" s="835">
        <f t="shared" si="16"/>
        <v>0.94328063835411036</v>
      </c>
      <c r="S47" s="835">
        <f t="shared" si="16"/>
        <v>0.75008297939661217</v>
      </c>
      <c r="T47" s="835" t="str">
        <f t="shared" si="16"/>
        <v/>
      </c>
      <c r="U47" s="835" t="str">
        <f t="shared" si="16"/>
        <v/>
      </c>
      <c r="V47" s="835" t="str">
        <f t="shared" si="16"/>
        <v/>
      </c>
      <c r="W47" s="835" t="str">
        <f t="shared" si="16"/>
        <v/>
      </c>
      <c r="X47" s="835">
        <f t="shared" si="16"/>
        <v>0.3888562425494923</v>
      </c>
      <c r="Y47" s="835" t="str">
        <f t="shared" si="16"/>
        <v/>
      </c>
      <c r="Z47" s="835" t="str">
        <f t="shared" si="16"/>
        <v/>
      </c>
      <c r="AA47" s="836" t="str">
        <f t="shared" si="16"/>
        <v/>
      </c>
    </row>
    <row r="48" spans="1:30" s="345" customFormat="1" ht="13.5" thickBot="1">
      <c r="A48" s="345">
        <v>14</v>
      </c>
      <c r="B48" s="818">
        <f t="shared" si="8"/>
        <v>90</v>
      </c>
      <c r="C48" s="809">
        <f t="shared" si="3"/>
        <v>98.474693898206965</v>
      </c>
      <c r="D48" s="809">
        <f t="shared" si="4"/>
        <v>12</v>
      </c>
      <c r="E48" s="1591"/>
      <c r="F48" s="1579"/>
      <c r="G48" s="1598"/>
      <c r="H48" s="834" t="str">
        <f>IF(H36="","",IF(SUMIF($A$13:$A$31,H36,$K$13:$K$31)=0,"",SUMIF($A$13:$A$31,H36,$K$13:$K$31)/$M$33))</f>
        <v/>
      </c>
      <c r="I48" s="835" t="str">
        <f t="shared" ref="I48:AA48" si="17">IF(I36="","",IF(SUMIF($A$13:$A$31,I36,$K$13:$K$31)=0,"",SUMIF($A$13:$A$31,I36,$K$13:$K$31)/$M$33))</f>
        <v/>
      </c>
      <c r="J48" s="835" t="str">
        <f t="shared" si="17"/>
        <v/>
      </c>
      <c r="K48" s="835" t="str">
        <f t="shared" si="17"/>
        <v/>
      </c>
      <c r="L48" s="835" t="str">
        <f t="shared" si="17"/>
        <v/>
      </c>
      <c r="M48" s="835" t="str">
        <f t="shared" si="17"/>
        <v/>
      </c>
      <c r="N48" s="835" t="str">
        <f t="shared" si="17"/>
        <v/>
      </c>
      <c r="O48" s="835" t="str">
        <f t="shared" si="17"/>
        <v/>
      </c>
      <c r="P48" s="835" t="str">
        <f t="shared" si="17"/>
        <v/>
      </c>
      <c r="Q48" s="835" t="str">
        <f t="shared" si="17"/>
        <v/>
      </c>
      <c r="R48" s="835" t="str">
        <f t="shared" si="17"/>
        <v/>
      </c>
      <c r="S48" s="835" t="str">
        <f t="shared" si="17"/>
        <v/>
      </c>
      <c r="T48" s="835" t="str">
        <f t="shared" si="17"/>
        <v/>
      </c>
      <c r="U48" s="835" t="str">
        <f t="shared" si="17"/>
        <v/>
      </c>
      <c r="V48" s="835" t="str">
        <f t="shared" si="17"/>
        <v/>
      </c>
      <c r="W48" s="835" t="str">
        <f t="shared" si="17"/>
        <v/>
      </c>
      <c r="X48" s="835" t="str">
        <f t="shared" si="17"/>
        <v/>
      </c>
      <c r="Y48" s="835" t="str">
        <f t="shared" si="17"/>
        <v/>
      </c>
      <c r="Z48" s="835" t="str">
        <f t="shared" si="17"/>
        <v/>
      </c>
      <c r="AA48" s="836" t="str">
        <f t="shared" si="17"/>
        <v/>
      </c>
    </row>
    <row r="49" spans="1:28" s="345" customFormat="1">
      <c r="A49" s="345">
        <v>15</v>
      </c>
      <c r="B49" s="818">
        <f t="shared" ref="B49:B54" si="18">IF(COUNTIF(C26,"")+COUNTIF(H26,"")+COUNTIF(O26,"")+COUNTIF(T26,"")=4,"",AVERAGE(C26,H26,O26,T26))</f>
        <v>97.736572490101764</v>
      </c>
      <c r="C49" s="809">
        <f t="shared" si="3"/>
        <v>99.115172061249353</v>
      </c>
      <c r="D49" s="809">
        <f t="shared" si="4"/>
        <v>13</v>
      </c>
      <c r="E49" s="1591"/>
      <c r="F49" s="1578">
        <f>U7</f>
        <v>83</v>
      </c>
      <c r="G49" s="1596" t="s">
        <v>1285</v>
      </c>
      <c r="H49" s="840" t="str">
        <f>IF(H36="","",IF(SUMIF($A$13:$A$31,H36,$Q$13:$Q$31)=0,"",SUMIF($A$13:$A$31,H36,$Q$13:$Q$31)/$Y$33))</f>
        <v/>
      </c>
      <c r="I49" s="841">
        <f t="shared" ref="I49:AA49" si="19">IF(I36="","",IF(SUMIF($A$13:$A$31,I36,$Q$13:$Q$31)=0,"",SUMIF($A$13:$A$31,I36,$Q$13:$Q$31)/$Y$33))</f>
        <v>0.52952510078523141</v>
      </c>
      <c r="J49" s="841" t="str">
        <f t="shared" si="19"/>
        <v/>
      </c>
      <c r="K49" s="841" t="str">
        <f t="shared" si="19"/>
        <v/>
      </c>
      <c r="L49" s="841" t="str">
        <f t="shared" si="19"/>
        <v/>
      </c>
      <c r="M49" s="841" t="str">
        <f t="shared" si="19"/>
        <v/>
      </c>
      <c r="N49" s="841" t="str">
        <f t="shared" si="19"/>
        <v/>
      </c>
      <c r="O49" s="841">
        <f t="shared" si="19"/>
        <v>0.88813897507244566</v>
      </c>
      <c r="P49" s="841" t="str">
        <f t="shared" si="19"/>
        <v/>
      </c>
      <c r="Q49" s="841" t="str">
        <f t="shared" si="19"/>
        <v/>
      </c>
      <c r="R49" s="841">
        <f t="shared" si="19"/>
        <v>0.94704935175284888</v>
      </c>
      <c r="S49" s="841" t="str">
        <f t="shared" si="19"/>
        <v/>
      </c>
      <c r="T49" s="841" t="str">
        <f t="shared" si="19"/>
        <v/>
      </c>
      <c r="U49" s="841">
        <f t="shared" si="19"/>
        <v>0.32669885959982925</v>
      </c>
      <c r="V49" s="841" t="str">
        <f t="shared" si="19"/>
        <v/>
      </c>
      <c r="W49" s="841">
        <f t="shared" si="19"/>
        <v>0.34534605478246794</v>
      </c>
      <c r="X49" s="841" t="str">
        <f t="shared" si="19"/>
        <v/>
      </c>
      <c r="Y49" s="841">
        <f t="shared" si="19"/>
        <v>0.27374082528113547</v>
      </c>
      <c r="Z49" s="841" t="str">
        <f t="shared" si="19"/>
        <v/>
      </c>
      <c r="AA49" s="842" t="str">
        <f t="shared" si="19"/>
        <v/>
      </c>
    </row>
    <row r="50" spans="1:28" s="345" customFormat="1">
      <c r="A50" s="345">
        <v>16</v>
      </c>
      <c r="B50" s="818">
        <f t="shared" si="18"/>
        <v>98.474693898206965</v>
      </c>
      <c r="C50" s="809">
        <f t="shared" si="3"/>
        <v>99.665653482478291</v>
      </c>
      <c r="D50" s="809">
        <f t="shared" si="4"/>
        <v>14</v>
      </c>
      <c r="E50" s="1591"/>
      <c r="F50" s="1595"/>
      <c r="G50" s="1597"/>
      <c r="H50" s="843" t="str">
        <f>IF(H36="","",IF(SUMIF($A$13:$A$31,H36,$R$13:$R$31)=0,"",SUMIF($A$13:$A$31,H36,$R$13:$R$31)/$Y$33))</f>
        <v/>
      </c>
      <c r="I50" s="844" t="str">
        <f t="shared" ref="I50:AA50" si="20">IF(I36="","",IF(SUMIF($A$13:$A$31,I36,$R$13:$R$31)=0,"",SUMIF($A$13:$A$31,I36,$R$13:$R$31)/$Y$33))</f>
        <v/>
      </c>
      <c r="J50" s="844" t="str">
        <f t="shared" si="20"/>
        <v/>
      </c>
      <c r="K50" s="844" t="str">
        <f t="shared" si="20"/>
        <v/>
      </c>
      <c r="L50" s="844" t="str">
        <f t="shared" si="20"/>
        <v/>
      </c>
      <c r="M50" s="844" t="str">
        <f t="shared" si="20"/>
        <v/>
      </c>
      <c r="N50" s="844" t="str">
        <f t="shared" si="20"/>
        <v/>
      </c>
      <c r="O50" s="844" t="str">
        <f t="shared" si="20"/>
        <v/>
      </c>
      <c r="P50" s="844" t="str">
        <f t="shared" si="20"/>
        <v/>
      </c>
      <c r="Q50" s="844" t="str">
        <f t="shared" si="20"/>
        <v/>
      </c>
      <c r="R50" s="844" t="str">
        <f t="shared" si="20"/>
        <v/>
      </c>
      <c r="S50" s="844" t="str">
        <f t="shared" si="20"/>
        <v/>
      </c>
      <c r="T50" s="844" t="str">
        <f t="shared" si="20"/>
        <v/>
      </c>
      <c r="U50" s="844" t="str">
        <f t="shared" si="20"/>
        <v/>
      </c>
      <c r="V50" s="844" t="str">
        <f t="shared" si="20"/>
        <v/>
      </c>
      <c r="W50" s="844" t="str">
        <f t="shared" si="20"/>
        <v/>
      </c>
      <c r="X50" s="844" t="str">
        <f t="shared" si="20"/>
        <v/>
      </c>
      <c r="Y50" s="844" t="str">
        <f t="shared" si="20"/>
        <v/>
      </c>
      <c r="Z50" s="844" t="str">
        <f t="shared" si="20"/>
        <v/>
      </c>
      <c r="AA50" s="845" t="str">
        <f t="shared" si="20"/>
        <v/>
      </c>
    </row>
    <row r="51" spans="1:28" s="345" customFormat="1">
      <c r="A51" s="345">
        <v>17</v>
      </c>
      <c r="B51" s="818">
        <f t="shared" si="18"/>
        <v>99.115172061249353</v>
      </c>
      <c r="C51" s="809">
        <f t="shared" si="3"/>
        <v>99.951573567634654</v>
      </c>
      <c r="D51" s="809">
        <f t="shared" si="4"/>
        <v>15</v>
      </c>
      <c r="E51" s="1591"/>
      <c r="F51" s="1595"/>
      <c r="G51" s="1597" t="s">
        <v>1286</v>
      </c>
      <c r="H51" s="843" t="str">
        <f>IF(H36="","",IF(SUMIF($A$13:$A$31,H36,$V$13:$V$31)=0,"",SUMIF($A$13:$A$31,H36,$V$13:$V$31)/$Y$33))</f>
        <v/>
      </c>
      <c r="I51" s="844">
        <f t="shared" ref="I51:AA51" si="21">IF(I36="","",IF(SUMIF($A$13:$A$31,I36,$V$13:$V$31)=0,"",SUMIF($A$13:$A$31,I36,$V$13:$V$31)/$Y$33))</f>
        <v>0.52620060826417181</v>
      </c>
      <c r="J51" s="844" t="str">
        <f t="shared" si="21"/>
        <v/>
      </c>
      <c r="K51" s="844" t="str">
        <f t="shared" si="21"/>
        <v/>
      </c>
      <c r="L51" s="844" t="str">
        <f t="shared" si="21"/>
        <v/>
      </c>
      <c r="M51" s="844" t="str">
        <f t="shared" si="21"/>
        <v/>
      </c>
      <c r="N51" s="844" t="str">
        <f t="shared" si="21"/>
        <v/>
      </c>
      <c r="O51" s="844" t="str">
        <f t="shared" si="21"/>
        <v/>
      </c>
      <c r="P51" s="844">
        <f t="shared" si="21"/>
        <v>0.96424772997748021</v>
      </c>
      <c r="Q51" s="844">
        <f t="shared" si="21"/>
        <v>0.99843253107118124</v>
      </c>
      <c r="R51" s="844">
        <f t="shared" si="21"/>
        <v>0.94445375391578412</v>
      </c>
      <c r="S51" s="844" t="str">
        <f t="shared" si="21"/>
        <v/>
      </c>
      <c r="T51" s="844" t="str">
        <f t="shared" si="21"/>
        <v/>
      </c>
      <c r="U51" s="844" t="str">
        <f t="shared" si="21"/>
        <v/>
      </c>
      <c r="V51" s="844" t="str">
        <f t="shared" si="21"/>
        <v/>
      </c>
      <c r="W51" s="844" t="str">
        <f t="shared" si="21"/>
        <v/>
      </c>
      <c r="X51" s="844" t="str">
        <f t="shared" si="21"/>
        <v/>
      </c>
      <c r="Y51" s="844" t="str">
        <f t="shared" si="21"/>
        <v/>
      </c>
      <c r="Z51" s="844" t="str">
        <f t="shared" si="21"/>
        <v/>
      </c>
      <c r="AA51" s="845" t="str">
        <f t="shared" si="21"/>
        <v/>
      </c>
    </row>
    <row r="52" spans="1:28" s="345" customFormat="1" ht="13.5" thickBot="1">
      <c r="A52" s="345">
        <v>18</v>
      </c>
      <c r="B52" s="818">
        <f t="shared" si="18"/>
        <v>99.665653482478291</v>
      </c>
      <c r="C52" s="809">
        <f t="shared" si="3"/>
        <v>100</v>
      </c>
      <c r="D52" s="809">
        <f t="shared" si="4"/>
        <v>16</v>
      </c>
      <c r="E52" s="1592"/>
      <c r="F52" s="1579"/>
      <c r="G52" s="1598"/>
      <c r="H52" s="846" t="str">
        <f>IF(H36="","",IF(SUMIF($A$13:$A$31,H36,$W$13:$W$31)=0,"",SUMIF($A$13:$A$31,H36,$W$13:$W$31)/$Y$33))</f>
        <v/>
      </c>
      <c r="I52" s="847" t="str">
        <f t="shared" ref="I52:AA52" si="22">IF(I36="","",IF(SUMIF($A$13:$A$31,I36,$W$13:$W$31)=0,"",SUMIF($A$13:$A$31,I36,$W$13:$W$31)/$Y$33))</f>
        <v/>
      </c>
      <c r="J52" s="847" t="str">
        <f t="shared" si="22"/>
        <v/>
      </c>
      <c r="K52" s="847" t="str">
        <f t="shared" si="22"/>
        <v/>
      </c>
      <c r="L52" s="847" t="str">
        <f t="shared" si="22"/>
        <v/>
      </c>
      <c r="M52" s="847" t="str">
        <f t="shared" si="22"/>
        <v/>
      </c>
      <c r="N52" s="847" t="str">
        <f t="shared" si="22"/>
        <v/>
      </c>
      <c r="O52" s="847" t="str">
        <f t="shared" si="22"/>
        <v/>
      </c>
      <c r="P52" s="847" t="str">
        <f t="shared" si="22"/>
        <v/>
      </c>
      <c r="Q52" s="847" t="str">
        <f t="shared" si="22"/>
        <v/>
      </c>
      <c r="R52" s="847" t="str">
        <f t="shared" si="22"/>
        <v/>
      </c>
      <c r="S52" s="847" t="str">
        <f t="shared" si="22"/>
        <v/>
      </c>
      <c r="T52" s="847" t="str">
        <f t="shared" si="22"/>
        <v/>
      </c>
      <c r="U52" s="847" t="str">
        <f t="shared" si="22"/>
        <v/>
      </c>
      <c r="V52" s="847" t="str">
        <f t="shared" si="22"/>
        <v/>
      </c>
      <c r="W52" s="847" t="str">
        <f t="shared" si="22"/>
        <v/>
      </c>
      <c r="X52" s="847" t="str">
        <f t="shared" si="22"/>
        <v/>
      </c>
      <c r="Y52" s="847" t="str">
        <f t="shared" si="22"/>
        <v/>
      </c>
      <c r="Z52" s="847" t="str">
        <f t="shared" si="22"/>
        <v/>
      </c>
      <c r="AA52" s="848" t="str">
        <f t="shared" si="22"/>
        <v/>
      </c>
    </row>
    <row r="53" spans="1:28" s="345" customFormat="1">
      <c r="A53" s="345">
        <v>19</v>
      </c>
      <c r="B53" s="818">
        <f t="shared" si="18"/>
        <v>99.951573567634654</v>
      </c>
      <c r="C53" s="809">
        <f t="shared" si="3"/>
        <v>0</v>
      </c>
      <c r="D53" s="809">
        <f t="shared" si="4"/>
        <v>17</v>
      </c>
      <c r="E53" s="1571" t="s">
        <v>1287</v>
      </c>
      <c r="F53" s="1574" t="s">
        <v>1283</v>
      </c>
      <c r="G53" s="1593"/>
      <c r="H53" s="834">
        <f t="shared" ref="H53:AA53" si="23">IF(COUNTIF(H55:H58,"")=4,"",AVERAGE(H55:H58))</f>
        <v>0.20067480790204723</v>
      </c>
      <c r="I53" s="835">
        <f t="shared" si="23"/>
        <v>0.52343015602963705</v>
      </c>
      <c r="J53" s="835">
        <f t="shared" si="23"/>
        <v>0.64179770767972355</v>
      </c>
      <c r="K53" s="835">
        <f t="shared" si="23"/>
        <v>0.37214762321158346</v>
      </c>
      <c r="L53" s="835">
        <f t="shared" si="23"/>
        <v>0.37344668967457412</v>
      </c>
      <c r="M53" s="835">
        <f t="shared" si="23"/>
        <v>0.67621984696612369</v>
      </c>
      <c r="N53" s="835">
        <f t="shared" si="23"/>
        <v>0.77990366130099753</v>
      </c>
      <c r="O53" s="835">
        <f t="shared" si="23"/>
        <v>0.89846884280075168</v>
      </c>
      <c r="P53" s="835">
        <f t="shared" si="23"/>
        <v>0.96469582020644817</v>
      </c>
      <c r="Q53" s="835">
        <f t="shared" si="23"/>
        <v>0.99790918465855116</v>
      </c>
      <c r="R53" s="835">
        <f t="shared" si="23"/>
        <v>0.94595600625555931</v>
      </c>
      <c r="S53" s="835">
        <f t="shared" si="23"/>
        <v>0.74942188825422151</v>
      </c>
      <c r="T53" s="835">
        <f t="shared" si="23"/>
        <v>0.33916263088652759</v>
      </c>
      <c r="U53" s="835">
        <f t="shared" si="23"/>
        <v>0.31936185382076776</v>
      </c>
      <c r="V53" s="835">
        <f t="shared" si="23"/>
        <v>0.35822638070255608</v>
      </c>
      <c r="W53" s="835">
        <f t="shared" si="23"/>
        <v>0.387294570892667</v>
      </c>
      <c r="X53" s="835">
        <f t="shared" si="23"/>
        <v>0.27560554479939936</v>
      </c>
      <c r="Y53" s="835" t="str">
        <f t="shared" si="23"/>
        <v/>
      </c>
      <c r="Z53" s="835" t="str">
        <f t="shared" si="23"/>
        <v/>
      </c>
      <c r="AA53" s="836" t="str">
        <f t="shared" si="23"/>
        <v/>
      </c>
    </row>
    <row r="54" spans="1:28" s="345" customFormat="1" ht="13.5" thickBot="1">
      <c r="A54" s="345">
        <v>20</v>
      </c>
      <c r="B54" s="818">
        <f t="shared" si="18"/>
        <v>100</v>
      </c>
      <c r="C54" s="809">
        <f t="shared" si="3"/>
        <v>0</v>
      </c>
      <c r="D54" s="809">
        <f t="shared" si="4"/>
        <v>18</v>
      </c>
      <c r="E54" s="1572"/>
      <c r="F54" s="1576" t="s">
        <v>1284</v>
      </c>
      <c r="G54" s="1594"/>
      <c r="H54" s="834">
        <f t="shared" ref="H54:AA54" si="24">IF(COUNTIF(H55:H58,"")=4,"",IF(COUNTIF(H55:H58,"")=3,0,STDEV(H55:H58)*$F$35))</f>
        <v>6.2179970665717441E-2</v>
      </c>
      <c r="I54" s="835">
        <f t="shared" si="24"/>
        <v>0</v>
      </c>
      <c r="J54" s="835">
        <f t="shared" si="24"/>
        <v>2.4878745359868436E-3</v>
      </c>
      <c r="K54" s="835">
        <f t="shared" si="24"/>
        <v>1.6875017620128607E-2</v>
      </c>
      <c r="L54" s="835">
        <f t="shared" si="24"/>
        <v>9.2877170780912621E-2</v>
      </c>
      <c r="M54" s="835">
        <f t="shared" si="24"/>
        <v>5.9669834421492091E-3</v>
      </c>
      <c r="N54" s="835">
        <f t="shared" si="24"/>
        <v>5.1348890042678171E-3</v>
      </c>
      <c r="O54" s="835">
        <f t="shared" si="24"/>
        <v>4.2713572023311407E-2</v>
      </c>
      <c r="P54" s="835">
        <f t="shared" si="24"/>
        <v>2.969687586157069E-3</v>
      </c>
      <c r="Q54" s="835">
        <f t="shared" si="24"/>
        <v>2.7710757023178818E-3</v>
      </c>
      <c r="R54" s="835">
        <f t="shared" si="24"/>
        <v>2.0292968922434539E-3</v>
      </c>
      <c r="S54" s="835">
        <f t="shared" si="24"/>
        <v>0</v>
      </c>
      <c r="T54" s="835">
        <f t="shared" si="24"/>
        <v>7.5414173438797083E-2</v>
      </c>
      <c r="U54" s="835">
        <f t="shared" si="24"/>
        <v>0</v>
      </c>
      <c r="V54" s="835">
        <f t="shared" si="24"/>
        <v>3.2906556833581888E-2</v>
      </c>
      <c r="W54" s="835">
        <f t="shared" si="24"/>
        <v>0</v>
      </c>
      <c r="X54" s="835">
        <f t="shared" si="24"/>
        <v>1.06066017177982E-2</v>
      </c>
      <c r="Y54" s="835" t="str">
        <f t="shared" si="24"/>
        <v/>
      </c>
      <c r="Z54" s="835" t="str">
        <f t="shared" si="24"/>
        <v/>
      </c>
      <c r="AA54" s="836" t="str">
        <f t="shared" si="24"/>
        <v/>
      </c>
    </row>
    <row r="55" spans="1:28" s="345" customFormat="1">
      <c r="E55" s="1572"/>
      <c r="F55" s="1578">
        <f>G7</f>
        <v>57</v>
      </c>
      <c r="G55" s="982" t="s">
        <v>1285</v>
      </c>
      <c r="H55" s="827">
        <f>IF(H36="","",IF(SUMIF($A$13:$A$31,H36,$G$13:$G$31)=0,"",SUMIF($A$13:$A$31,H36,$G$13:$G$31)/$M$33))</f>
        <v>0.2334699126953779</v>
      </c>
      <c r="I55" s="828" t="str">
        <f t="shared" ref="I55:AA55" si="25">IF(I36="","",IF(SUMIF($A$13:$A$31,I36,$G$13:$G$31)=0,"",SUMIF($A$13:$A$31,I36,$G$13:$G$31)/$M$33))</f>
        <v/>
      </c>
      <c r="J55" s="828" t="str">
        <f t="shared" si="25"/>
        <v/>
      </c>
      <c r="K55" s="828">
        <f t="shared" si="25"/>
        <v>0.3810478842653659</v>
      </c>
      <c r="L55" s="828" t="str">
        <f t="shared" si="25"/>
        <v/>
      </c>
      <c r="M55" s="828">
        <f t="shared" si="25"/>
        <v>0.67048188337558678</v>
      </c>
      <c r="N55" s="828">
        <f t="shared" si="25"/>
        <v>0.78130615178615404</v>
      </c>
      <c r="O55" s="828">
        <f t="shared" si="25"/>
        <v>0.93443655694704353</v>
      </c>
      <c r="P55" s="828">
        <f t="shared" si="25"/>
        <v>0.96470525448958622</v>
      </c>
      <c r="Q55" s="828">
        <f t="shared" si="25"/>
        <v>0.99976594360146087</v>
      </c>
      <c r="R55" s="828">
        <f t="shared" si="25"/>
        <v>0.94618747244167911</v>
      </c>
      <c r="S55" s="828" t="str">
        <f t="shared" si="25"/>
        <v/>
      </c>
      <c r="T55" s="828">
        <f t="shared" si="25"/>
        <v>0.4021304516325071</v>
      </c>
      <c r="U55" s="828" t="str">
        <f t="shared" si="25"/>
        <v/>
      </c>
      <c r="V55" s="828">
        <f t="shared" si="25"/>
        <v>0.37558203346647745</v>
      </c>
      <c r="W55" s="828" t="str">
        <f t="shared" si="25"/>
        <v/>
      </c>
      <c r="X55" s="828" t="str">
        <f t="shared" si="25"/>
        <v/>
      </c>
      <c r="Y55" s="828" t="str">
        <f t="shared" si="25"/>
        <v/>
      </c>
      <c r="Z55" s="828" t="str">
        <f t="shared" si="25"/>
        <v/>
      </c>
      <c r="AA55" s="829" t="str">
        <f t="shared" si="25"/>
        <v/>
      </c>
    </row>
    <row r="56" spans="1:28" s="345" customFormat="1" ht="13.5" thickBot="1">
      <c r="E56" s="1572"/>
      <c r="F56" s="1579"/>
      <c r="G56" s="983" t="s">
        <v>1286</v>
      </c>
      <c r="H56" s="823">
        <f>IF(H36="","",IF(SUMIF($A$13:$A$31,H36,$L$13:$L$31)=0,"",SUMIF($A$13:$A$31,H36,$L$13:$L$31)/$M$33))</f>
        <v>0.16787970310871655</v>
      </c>
      <c r="I56" s="824">
        <f t="shared" ref="I56:AA56" si="26">IF(I36="","",IF(SUMIF($A$13:$A$31,I36,$L$13:$L$31)=0,"",SUMIF($A$13:$A$31,I36,$L$13:$L$31)/$M$33))</f>
        <v>0.52343015602963705</v>
      </c>
      <c r="J56" s="824" t="str">
        <f t="shared" si="26"/>
        <v/>
      </c>
      <c r="K56" s="824" t="str">
        <f t="shared" si="26"/>
        <v/>
      </c>
      <c r="L56" s="824">
        <f t="shared" si="26"/>
        <v>0.4224321831712356</v>
      </c>
      <c r="M56" s="824">
        <f t="shared" si="26"/>
        <v>0.6749219109784631</v>
      </c>
      <c r="N56" s="824">
        <f t="shared" si="26"/>
        <v>0.78447962516022607</v>
      </c>
      <c r="O56" s="824" t="str">
        <f t="shared" si="26"/>
        <v/>
      </c>
      <c r="P56" s="824">
        <f t="shared" si="26"/>
        <v>0.96540646650864304</v>
      </c>
      <c r="Q56" s="824">
        <f t="shared" si="26"/>
        <v>0.99524085322970424</v>
      </c>
      <c r="R56" s="824">
        <f t="shared" si="26"/>
        <v>0.943797408858567</v>
      </c>
      <c r="S56" s="824" t="str">
        <f t="shared" si="26"/>
        <v/>
      </c>
      <c r="T56" s="824" t="str">
        <f t="shared" si="26"/>
        <v/>
      </c>
      <c r="U56" s="824">
        <f t="shared" si="26"/>
        <v>0.31936185382076776</v>
      </c>
      <c r="V56" s="824" t="str">
        <f t="shared" si="26"/>
        <v/>
      </c>
      <c r="W56" s="824">
        <f t="shared" si="26"/>
        <v>0.387294570892667</v>
      </c>
      <c r="X56" s="824" t="str">
        <f t="shared" si="26"/>
        <v/>
      </c>
      <c r="Y56" s="824" t="str">
        <f t="shared" si="26"/>
        <v/>
      </c>
      <c r="Z56" s="824" t="str">
        <f t="shared" si="26"/>
        <v/>
      </c>
      <c r="AA56" s="825" t="str">
        <f t="shared" si="26"/>
        <v/>
      </c>
    </row>
    <row r="57" spans="1:28" s="345" customFormat="1">
      <c r="E57" s="1572"/>
      <c r="F57" s="1578">
        <f>U7</f>
        <v>83</v>
      </c>
      <c r="G57" s="982" t="s">
        <v>1285</v>
      </c>
      <c r="H57" s="823" t="str">
        <f>IF(H36="","",IF(SUMIF($A$13:$A$31,H36,$S$13:$S$31)=0,"",SUMIF($A$13:$A$31,H36,$S$13:$S$31)/$Y$33))</f>
        <v/>
      </c>
      <c r="I57" s="824" t="str">
        <f t="shared" ref="I57:AA57" si="27">IF(I36="","",IF(SUMIF($A$13:$A$31,I36,$S$13:$S$31)=0,"",SUMIF($A$13:$A$31,I36,$S$13:$S$31)/$Y$33))</f>
        <v/>
      </c>
      <c r="J57" s="824">
        <f t="shared" si="27"/>
        <v>0.64310986825565852</v>
      </c>
      <c r="K57" s="824" t="str">
        <f t="shared" si="27"/>
        <v/>
      </c>
      <c r="L57" s="824">
        <f t="shared" si="27"/>
        <v>0.32446119617791264</v>
      </c>
      <c r="M57" s="824">
        <f t="shared" si="27"/>
        <v>0.67991861609812587</v>
      </c>
      <c r="N57" s="824">
        <f t="shared" si="27"/>
        <v>0.7756435109774249</v>
      </c>
      <c r="O57" s="824">
        <f t="shared" si="27"/>
        <v>0.88717620911711981</v>
      </c>
      <c r="P57" s="824">
        <f t="shared" si="27"/>
        <v>0.96697727800281408</v>
      </c>
      <c r="Q57" s="824">
        <f t="shared" si="27"/>
        <v>0.99929463898203164</v>
      </c>
      <c r="R57" s="824">
        <f t="shared" si="27"/>
        <v>0.94730891153655528</v>
      </c>
      <c r="S57" s="824" t="str">
        <f t="shared" si="27"/>
        <v/>
      </c>
      <c r="T57" s="824">
        <f t="shared" si="27"/>
        <v>0.32147764494869041</v>
      </c>
      <c r="U57" s="824" t="str">
        <f t="shared" si="27"/>
        <v/>
      </c>
      <c r="V57" s="824" t="str">
        <f t="shared" si="27"/>
        <v/>
      </c>
      <c r="W57" s="824" t="str">
        <f t="shared" si="27"/>
        <v/>
      </c>
      <c r="X57" s="824">
        <f t="shared" si="27"/>
        <v>0.27001138624460774</v>
      </c>
      <c r="Y57" s="824" t="str">
        <f t="shared" si="27"/>
        <v/>
      </c>
      <c r="Z57" s="824" t="str">
        <f t="shared" si="27"/>
        <v/>
      </c>
      <c r="AA57" s="825" t="str">
        <f t="shared" si="27"/>
        <v/>
      </c>
    </row>
    <row r="58" spans="1:28" s="345" customFormat="1" ht="13.5" thickBot="1">
      <c r="E58" s="1573"/>
      <c r="F58" s="1579"/>
      <c r="G58" s="983" t="s">
        <v>1286</v>
      </c>
      <c r="H58" s="831" t="str">
        <f>IF(H36="","",IF(SUMIF($A$13:$A$31,H36,$X$13:$X$31)=0,"",SUMIF($A$13:$A$31,H36,$X$13:$X$31)/$Y$33))</f>
        <v/>
      </c>
      <c r="I58" s="832" t="str">
        <f t="shared" ref="I58:AA58" si="28">IF(I36="","",IF(SUMIF($A$13:$A$31,I36,$X$13:$X$31)=0,"",SUMIF($A$13:$A$31,I36,$X$13:$X$31)/$Y$33))</f>
        <v/>
      </c>
      <c r="J58" s="832">
        <f t="shared" si="28"/>
        <v>0.64048554710378858</v>
      </c>
      <c r="K58" s="832">
        <f t="shared" si="28"/>
        <v>0.36324736215780101</v>
      </c>
      <c r="L58" s="832" t="str">
        <f t="shared" si="28"/>
        <v/>
      </c>
      <c r="M58" s="832">
        <f t="shared" si="28"/>
        <v>0.67955697741231946</v>
      </c>
      <c r="N58" s="832">
        <f t="shared" si="28"/>
        <v>0.77818535728018512</v>
      </c>
      <c r="O58" s="832">
        <f t="shared" si="28"/>
        <v>0.87379376233809192</v>
      </c>
      <c r="P58" s="832">
        <f t="shared" si="28"/>
        <v>0.96169428182474914</v>
      </c>
      <c r="Q58" s="832">
        <f t="shared" si="28"/>
        <v>0.99733530282100802</v>
      </c>
      <c r="R58" s="832">
        <f t="shared" si="28"/>
        <v>0.94653023218543575</v>
      </c>
      <c r="S58" s="832">
        <f t="shared" si="28"/>
        <v>0.74942188825422151</v>
      </c>
      <c r="T58" s="832">
        <f t="shared" si="28"/>
        <v>0.29387979607838521</v>
      </c>
      <c r="U58" s="832" t="str">
        <f t="shared" si="28"/>
        <v/>
      </c>
      <c r="V58" s="832">
        <f t="shared" si="28"/>
        <v>0.34087072793863465</v>
      </c>
      <c r="W58" s="832" t="str">
        <f t="shared" si="28"/>
        <v/>
      </c>
      <c r="X58" s="832">
        <f t="shared" si="28"/>
        <v>0.28119970335419092</v>
      </c>
      <c r="Y58" s="832" t="str">
        <f t="shared" si="28"/>
        <v/>
      </c>
      <c r="Z58" s="832" t="str">
        <f t="shared" si="28"/>
        <v/>
      </c>
      <c r="AA58" s="833" t="str">
        <f t="shared" si="28"/>
        <v/>
      </c>
    </row>
    <row r="59" spans="1:28" s="345" customFormat="1">
      <c r="E59" s="1586" t="s">
        <v>1283</v>
      </c>
      <c r="F59" s="1587"/>
      <c r="G59" s="1587"/>
      <c r="H59" s="834">
        <f t="shared" ref="H59:AA59" si="29">IF(COUNTIF(H39:H42,"")+COUNTIF(H45:H52,"")+COUNTIF(H55:H58,"")=16,"",AVERAGE(H39:H42,H45:H52,H55:H58))</f>
        <v>0.20215108964823067</v>
      </c>
      <c r="I59" s="835">
        <f t="shared" si="29"/>
        <v>0.52660488437014075</v>
      </c>
      <c r="J59" s="835">
        <f t="shared" si="29"/>
        <v>0.64371630855389605</v>
      </c>
      <c r="K59" s="835">
        <f t="shared" si="29"/>
        <v>0.34024094563323515</v>
      </c>
      <c r="L59" s="835">
        <f t="shared" si="29"/>
        <v>0.37281188313038394</v>
      </c>
      <c r="M59" s="835">
        <f t="shared" si="29"/>
        <v>0.68079528519786348</v>
      </c>
      <c r="N59" s="835">
        <f t="shared" si="29"/>
        <v>0.78038489194482374</v>
      </c>
      <c r="O59" s="835">
        <f t="shared" si="29"/>
        <v>0.89013879041023714</v>
      </c>
      <c r="P59" s="835">
        <f t="shared" si="29"/>
        <v>0.96524021576262276</v>
      </c>
      <c r="Q59" s="835">
        <f t="shared" si="29"/>
        <v>0.99841046532609801</v>
      </c>
      <c r="R59" s="835">
        <f t="shared" si="29"/>
        <v>0.94548690027848226</v>
      </c>
      <c r="S59" s="835">
        <f t="shared" si="29"/>
        <v>0.75056267971710466</v>
      </c>
      <c r="T59" s="835">
        <f t="shared" si="29"/>
        <v>0.34924352631703087</v>
      </c>
      <c r="U59" s="835">
        <f t="shared" si="29"/>
        <v>0.33334123589789311</v>
      </c>
      <c r="V59" s="835">
        <f t="shared" si="29"/>
        <v>0.35378600187982989</v>
      </c>
      <c r="W59" s="835">
        <f t="shared" si="29"/>
        <v>0.36107288717059832</v>
      </c>
      <c r="X59" s="835">
        <f t="shared" si="29"/>
        <v>0.3322308936744458</v>
      </c>
      <c r="Y59" s="835">
        <f t="shared" si="29"/>
        <v>0.33129853391531389</v>
      </c>
      <c r="Z59" s="835" t="str">
        <f t="shared" si="29"/>
        <v/>
      </c>
      <c r="AA59" s="836" t="str">
        <f t="shared" si="29"/>
        <v/>
      </c>
      <c r="AB59" s="851">
        <f>'Hauteurs pennes (MAX)'!AB59</f>
        <v>0.99841046532609801</v>
      </c>
    </row>
    <row r="60" spans="1:28" s="345" customFormat="1" ht="13.5" thickBot="1">
      <c r="E60" s="1588" t="s">
        <v>1284</v>
      </c>
      <c r="F60" s="1589"/>
      <c r="G60" s="1589"/>
      <c r="H60" s="831">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7.2433919586068637E-2</v>
      </c>
      <c r="I60" s="832">
        <f t="shared" si="30"/>
        <v>3.1938817998143514E-3</v>
      </c>
      <c r="J60" s="832">
        <f t="shared" si="30"/>
        <v>3.8855035100553194E-3</v>
      </c>
      <c r="K60" s="832">
        <f t="shared" si="30"/>
        <v>5.2143073921520046E-2</v>
      </c>
      <c r="L60" s="832">
        <f t="shared" si="30"/>
        <v>5.9314272559018125E-2</v>
      </c>
      <c r="M60" s="832">
        <f t="shared" si="30"/>
        <v>1.1188329583635458E-2</v>
      </c>
      <c r="N60" s="832">
        <f t="shared" si="30"/>
        <v>6.2122701175992435E-3</v>
      </c>
      <c r="O60" s="832">
        <f t="shared" si="30"/>
        <v>2.5215298245412143E-2</v>
      </c>
      <c r="P60" s="832">
        <f t="shared" si="30"/>
        <v>3.0892319997779562E-3</v>
      </c>
      <c r="Q60" s="832">
        <f t="shared" si="30"/>
        <v>2.1749041624708346E-3</v>
      </c>
      <c r="R60" s="832">
        <f t="shared" si="30"/>
        <v>2.387115601709908E-3</v>
      </c>
      <c r="S60" s="832">
        <f t="shared" si="30"/>
        <v>1.5089369446430673E-3</v>
      </c>
      <c r="T60" s="832">
        <f t="shared" si="30"/>
        <v>6.7247191336189394E-2</v>
      </c>
      <c r="U60" s="832">
        <f t="shared" si="30"/>
        <v>7.1906560922164353E-2</v>
      </c>
      <c r="V60" s="832">
        <f t="shared" si="30"/>
        <v>3.7962087335601052E-2</v>
      </c>
      <c r="W60" s="832">
        <f t="shared" si="30"/>
        <v>4.0121333027079646E-2</v>
      </c>
      <c r="X60" s="832">
        <f t="shared" si="30"/>
        <v>8.7874698384446004E-2</v>
      </c>
      <c r="Y60" s="832">
        <f t="shared" si="30"/>
        <v>0.10913020882271909</v>
      </c>
      <c r="Z60" s="832" t="str">
        <f t="shared" si="30"/>
        <v/>
      </c>
      <c r="AA60" s="833" t="str">
        <f t="shared" si="30"/>
        <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99" t="s">
        <v>1302</v>
      </c>
      <c r="I65" s="1600"/>
      <c r="J65" s="1600"/>
      <c r="K65" s="1600"/>
      <c r="L65" s="1600"/>
      <c r="M65" s="1600"/>
      <c r="N65" s="1600"/>
      <c r="O65" s="1600"/>
      <c r="P65" s="1600"/>
      <c r="Q65" s="1600"/>
      <c r="R65" s="1600"/>
      <c r="S65" s="1600"/>
      <c r="T65" s="1600"/>
      <c r="U65" s="1600"/>
      <c r="V65" s="1600"/>
      <c r="W65" s="1600"/>
      <c r="X65" s="1600"/>
      <c r="Y65" s="1600"/>
      <c r="Z65" s="1600"/>
      <c r="AA65" s="1601"/>
    </row>
    <row r="66" spans="5:27" s="345" customFormat="1" ht="13.5" thickBot="1">
      <c r="F66" s="854"/>
      <c r="G66" s="855"/>
      <c r="H66" s="1602"/>
      <c r="I66" s="1603"/>
      <c r="J66" s="1603"/>
      <c r="K66" s="1603"/>
      <c r="L66" s="1603"/>
      <c r="M66" s="1603"/>
      <c r="N66" s="1603"/>
      <c r="O66" s="1603"/>
      <c r="P66" s="1603"/>
      <c r="Q66" s="1603"/>
      <c r="R66" s="1603"/>
      <c r="S66" s="1603"/>
      <c r="T66" s="1603"/>
      <c r="U66" s="1603"/>
      <c r="V66" s="1603"/>
      <c r="W66" s="1603"/>
      <c r="X66" s="1603"/>
      <c r="Y66" s="1603"/>
      <c r="Z66" s="1603"/>
      <c r="AA66" s="1604"/>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1">IF(H37="","",RANK(H36,$H$36:$AA$36,1))</f>
        <v>1</v>
      </c>
      <c r="I68" s="860">
        <f t="shared" si="31"/>
        <v>2</v>
      </c>
      <c r="J68" s="860">
        <f t="shared" si="31"/>
        <v>3</v>
      </c>
      <c r="K68" s="860">
        <f t="shared" si="31"/>
        <v>4</v>
      </c>
      <c r="L68" s="860">
        <f t="shared" si="31"/>
        <v>5</v>
      </c>
      <c r="M68" s="860">
        <f t="shared" si="31"/>
        <v>6</v>
      </c>
      <c r="N68" s="860">
        <f t="shared" si="31"/>
        <v>7</v>
      </c>
      <c r="O68" s="860">
        <f t="shared" si="31"/>
        <v>8</v>
      </c>
      <c r="P68" s="860">
        <f t="shared" si="31"/>
        <v>9</v>
      </c>
      <c r="Q68" s="860">
        <f t="shared" si="31"/>
        <v>10</v>
      </c>
      <c r="R68" s="860">
        <f t="shared" si="31"/>
        <v>11</v>
      </c>
      <c r="S68" s="860">
        <f t="shared" si="31"/>
        <v>12</v>
      </c>
      <c r="T68" s="860">
        <f t="shared" si="31"/>
        <v>13</v>
      </c>
      <c r="U68" s="860">
        <f t="shared" si="31"/>
        <v>14</v>
      </c>
      <c r="V68" s="860">
        <f t="shared" si="31"/>
        <v>15</v>
      </c>
      <c r="W68" s="860">
        <f t="shared" si="31"/>
        <v>16</v>
      </c>
      <c r="X68" s="860" t="str">
        <f t="shared" si="31"/>
        <v/>
      </c>
      <c r="Y68" s="860" t="str">
        <f t="shared" si="31"/>
        <v/>
      </c>
      <c r="Z68" s="860" t="str">
        <f t="shared" si="31"/>
        <v/>
      </c>
      <c r="AA68" s="861" t="str">
        <f t="shared" si="31"/>
        <v/>
      </c>
    </row>
    <row r="69" spans="5:27" s="345" customFormat="1" ht="13.5" thickBot="1">
      <c r="F69" s="854"/>
      <c r="G69" s="855"/>
      <c r="H69" s="859">
        <f t="shared" ref="H69:AA69" si="32">IF(H68="","",RANK(H68,$H$68:$AA$68,1))</f>
        <v>1</v>
      </c>
      <c r="I69" s="860">
        <f t="shared" si="32"/>
        <v>2</v>
      </c>
      <c r="J69" s="860">
        <f t="shared" si="32"/>
        <v>3</v>
      </c>
      <c r="K69" s="860">
        <f t="shared" si="32"/>
        <v>4</v>
      </c>
      <c r="L69" s="860">
        <f t="shared" si="32"/>
        <v>5</v>
      </c>
      <c r="M69" s="860">
        <f t="shared" si="32"/>
        <v>6</v>
      </c>
      <c r="N69" s="860">
        <f t="shared" si="32"/>
        <v>7</v>
      </c>
      <c r="O69" s="860">
        <f t="shared" si="32"/>
        <v>8</v>
      </c>
      <c r="P69" s="860">
        <f t="shared" si="32"/>
        <v>9</v>
      </c>
      <c r="Q69" s="860">
        <f t="shared" si="32"/>
        <v>10</v>
      </c>
      <c r="R69" s="860">
        <f t="shared" si="32"/>
        <v>11</v>
      </c>
      <c r="S69" s="860">
        <f t="shared" si="32"/>
        <v>12</v>
      </c>
      <c r="T69" s="860">
        <f t="shared" si="32"/>
        <v>13</v>
      </c>
      <c r="U69" s="860">
        <f t="shared" si="32"/>
        <v>14</v>
      </c>
      <c r="V69" s="860">
        <f t="shared" si="32"/>
        <v>15</v>
      </c>
      <c r="W69" s="860">
        <f t="shared" si="32"/>
        <v>16</v>
      </c>
      <c r="X69" s="860" t="str">
        <f t="shared" si="32"/>
        <v/>
      </c>
      <c r="Y69" s="860" t="str">
        <f t="shared" si="32"/>
        <v/>
      </c>
      <c r="Z69" s="860" t="str">
        <f t="shared" si="32"/>
        <v/>
      </c>
      <c r="AA69" s="861" t="str">
        <f t="shared" si="32"/>
        <v/>
      </c>
    </row>
    <row r="70" spans="5:27" s="345" customFormat="1" ht="13.5" thickBot="1">
      <c r="E70" s="1605" t="s">
        <v>1281</v>
      </c>
      <c r="F70" s="1606"/>
      <c r="G70" s="1606"/>
      <c r="H70" s="862">
        <f>IF(SUMIF($H$69:$AA$69,H$67,$H$36:$AA$36)=0,"",SUMIF($H$69:$AA$69,H$67,$H$36:$AA$36))</f>
        <v>5.3605555861977985</v>
      </c>
      <c r="I70" s="863">
        <f>IF(SUMIF($H$69:$AA$69,I$67,$H$36:$AA$36)=0,"",SUMIF($H$69:$AA$69,I$67,$H$36:$AA$36))</f>
        <v>10</v>
      </c>
      <c r="J70" s="863">
        <f t="shared" ref="J70:AA70" si="33">IF(SUMIF($H$69:$AA$69,J$67,$H$36:$AA$36)=0,"",SUMIF($H$69:$AA$69,J$67,$H$36:$AA$36))</f>
        <v>20</v>
      </c>
      <c r="K70" s="863">
        <f t="shared" si="33"/>
        <v>26.922669813782981</v>
      </c>
      <c r="L70" s="863">
        <f t="shared" si="33"/>
        <v>28.402760758696882</v>
      </c>
      <c r="M70" s="863">
        <f t="shared" si="33"/>
        <v>30</v>
      </c>
      <c r="N70" s="863">
        <f t="shared" si="33"/>
        <v>40</v>
      </c>
      <c r="O70" s="863">
        <f t="shared" si="33"/>
        <v>50</v>
      </c>
      <c r="P70" s="863">
        <f t="shared" si="33"/>
        <v>60</v>
      </c>
      <c r="Q70" s="863">
        <f t="shared" si="33"/>
        <v>70</v>
      </c>
      <c r="R70" s="863">
        <f t="shared" si="33"/>
        <v>80</v>
      </c>
      <c r="S70" s="863">
        <f t="shared" si="33"/>
        <v>90</v>
      </c>
      <c r="T70" s="863">
        <f t="shared" si="33"/>
        <v>97.736572490101764</v>
      </c>
      <c r="U70" s="863">
        <f t="shared" si="33"/>
        <v>98.474693898206965</v>
      </c>
      <c r="V70" s="863">
        <f t="shared" si="33"/>
        <v>99.115172061249353</v>
      </c>
      <c r="W70" s="863">
        <f t="shared" si="33"/>
        <v>99.665653482478291</v>
      </c>
      <c r="X70" s="863" t="str">
        <f t="shared" si="33"/>
        <v/>
      </c>
      <c r="Y70" s="863" t="str">
        <f t="shared" si="33"/>
        <v/>
      </c>
      <c r="Z70" s="863" t="str">
        <f t="shared" si="33"/>
        <v/>
      </c>
      <c r="AA70" s="864" t="str">
        <f t="shared" si="33"/>
        <v/>
      </c>
    </row>
    <row r="71" spans="5:27" s="345" customFormat="1">
      <c r="E71" s="1574" t="s">
        <v>1283</v>
      </c>
      <c r="F71" s="1593"/>
      <c r="G71" s="1575"/>
      <c r="H71" s="865">
        <f>IF(SUMIF($H$36:$AA$36,H$70,$H37:$AA37)=0,"",SUMIF($H$36:$AA$36,H$70,$H37:$AA37)/$AB$59)</f>
        <v>0.20395155946998805</v>
      </c>
      <c r="I71" s="866">
        <f t="shared" ref="I71:AA71" si="34">IF(SUMIF($H$36:$AA$36,I$70,$H37:$AA37)=0,"",SUMIF($H$36:$AA$36,I$70,$H37:$AA37)/$AB$59)</f>
        <v>0.52777319217474938</v>
      </c>
      <c r="J71" s="866">
        <f t="shared" si="34"/>
        <v>0.64570197466872536</v>
      </c>
      <c r="K71" s="866">
        <f t="shared" si="34"/>
        <v>0.30882515634907692</v>
      </c>
      <c r="L71" s="866">
        <f t="shared" si="34"/>
        <v>0.37276960680158161</v>
      </c>
      <c r="M71" s="866">
        <f t="shared" si="34"/>
        <v>0.68646187838761219</v>
      </c>
      <c r="N71" s="866">
        <f t="shared" si="34"/>
        <v>0.78161463366739758</v>
      </c>
      <c r="O71" s="866">
        <f t="shared" si="34"/>
        <v>0.88579921351579716</v>
      </c>
      <c r="P71" s="866">
        <f t="shared" si="34"/>
        <v>0.96735350901831885</v>
      </c>
      <c r="Q71" s="866">
        <f t="shared" si="34"/>
        <v>1.0004965535203139</v>
      </c>
      <c r="R71" s="866">
        <f t="shared" si="34"/>
        <v>0.94694223101496144</v>
      </c>
      <c r="S71" s="866">
        <f t="shared" si="34"/>
        <v>0.75180610726151598</v>
      </c>
      <c r="T71" s="866">
        <f t="shared" si="34"/>
        <v>0.38009037944588647</v>
      </c>
      <c r="U71" s="866">
        <f t="shared" si="34"/>
        <v>0.34419923169900368</v>
      </c>
      <c r="V71" s="866">
        <f t="shared" si="34"/>
        <v>0.34990180410719296</v>
      </c>
      <c r="W71" s="866">
        <f t="shared" si="34"/>
        <v>0.32721898552327755</v>
      </c>
      <c r="X71" s="866" t="str">
        <f t="shared" si="34"/>
        <v/>
      </c>
      <c r="Y71" s="866" t="str">
        <f t="shared" si="34"/>
        <v/>
      </c>
      <c r="Z71" s="866" t="str">
        <f t="shared" si="34"/>
        <v/>
      </c>
      <c r="AA71" s="867" t="str">
        <f t="shared" si="34"/>
        <v/>
      </c>
    </row>
    <row r="72" spans="5:27" s="345" customFormat="1" ht="13.5" thickBot="1">
      <c r="E72" s="1576" t="s">
        <v>1284</v>
      </c>
      <c r="F72" s="1594"/>
      <c r="G72" s="1577"/>
      <c r="H72" s="868">
        <f>IF(SUMIF($H$36:$AA$36,H$70,$H37:$AA37)=0,"",SUMIF($H$36:$AA$36,H$70,$H38:$AA38)/$AB$59)</f>
        <v>0.1090678113707088</v>
      </c>
      <c r="I72" s="869">
        <f t="shared" ref="I72:AA72" si="35">IF(SUMIF($H$36:$AA$36,I$70,$H37:$AA37)=0,"",SUMIF($H$36:$AA$36,I$70,$H38:$AA38)/$AB$59)</f>
        <v>2.5878384569964102E-3</v>
      </c>
      <c r="J72" s="869">
        <f t="shared" si="35"/>
        <v>4.0663052686948963E-3</v>
      </c>
      <c r="K72" s="869">
        <f t="shared" si="35"/>
        <v>2.3543232953582176E-2</v>
      </c>
      <c r="L72" s="869">
        <f t="shared" si="35"/>
        <v>4.3950181895778831E-2</v>
      </c>
      <c r="M72" s="869">
        <f t="shared" si="35"/>
        <v>1.2515323880117751E-2</v>
      </c>
      <c r="N72" s="869">
        <f t="shared" si="35"/>
        <v>8.5957338369696164E-3</v>
      </c>
      <c r="O72" s="869">
        <f t="shared" si="35"/>
        <v>7.8207661513170941E-3</v>
      </c>
      <c r="P72" s="869">
        <f t="shared" si="35"/>
        <v>4.1618003124508198E-3</v>
      </c>
      <c r="Q72" s="869">
        <f t="shared" si="35"/>
        <v>1.9378882955887731E-3</v>
      </c>
      <c r="R72" s="869">
        <f t="shared" si="35"/>
        <v>3.0584539769588255E-3</v>
      </c>
      <c r="S72" s="869">
        <f t="shared" si="35"/>
        <v>1.4765963537781744E-3</v>
      </c>
      <c r="T72" s="869">
        <f t="shared" si="35"/>
        <v>0</v>
      </c>
      <c r="U72" s="869">
        <f t="shared" si="35"/>
        <v>0.12143208098096026</v>
      </c>
      <c r="V72" s="869">
        <f t="shared" si="35"/>
        <v>5.5755122391175437E-2</v>
      </c>
      <c r="W72" s="869">
        <f t="shared" si="35"/>
        <v>0</v>
      </c>
      <c r="X72" s="869" t="str">
        <f t="shared" si="35"/>
        <v/>
      </c>
      <c r="Y72" s="869" t="str">
        <f t="shared" si="35"/>
        <v/>
      </c>
      <c r="Z72" s="869" t="str">
        <f t="shared" si="35"/>
        <v/>
      </c>
      <c r="AA72" s="870" t="str">
        <f t="shared" si="35"/>
        <v/>
      </c>
    </row>
    <row r="73" spans="5:27" s="345" customFormat="1">
      <c r="F73" s="854"/>
      <c r="H73" s="871" t="str">
        <f t="shared" ref="H73:AA73" si="36">IF(H43="","",RANK(H36,$H$36:$AA$36,1))</f>
        <v/>
      </c>
      <c r="I73" s="872">
        <f t="shared" si="36"/>
        <v>2</v>
      </c>
      <c r="J73" s="872" t="str">
        <f t="shared" si="36"/>
        <v/>
      </c>
      <c r="K73" s="872" t="str">
        <f t="shared" si="36"/>
        <v/>
      </c>
      <c r="L73" s="872" t="str">
        <f t="shared" si="36"/>
        <v/>
      </c>
      <c r="M73" s="872" t="str">
        <f t="shared" si="36"/>
        <v/>
      </c>
      <c r="N73" s="872">
        <f t="shared" si="36"/>
        <v>7</v>
      </c>
      <c r="O73" s="872">
        <f t="shared" si="36"/>
        <v>8</v>
      </c>
      <c r="P73" s="872">
        <f t="shared" si="36"/>
        <v>9</v>
      </c>
      <c r="Q73" s="872">
        <f t="shared" si="36"/>
        <v>10</v>
      </c>
      <c r="R73" s="872">
        <f t="shared" si="36"/>
        <v>11</v>
      </c>
      <c r="S73" s="872">
        <f t="shared" si="36"/>
        <v>12</v>
      </c>
      <c r="T73" s="872" t="str">
        <f t="shared" si="36"/>
        <v/>
      </c>
      <c r="U73" s="872">
        <f t="shared" si="36"/>
        <v>14</v>
      </c>
      <c r="V73" s="872" t="str">
        <f t="shared" si="36"/>
        <v/>
      </c>
      <c r="W73" s="872">
        <f t="shared" si="36"/>
        <v>16</v>
      </c>
      <c r="X73" s="872">
        <f t="shared" si="36"/>
        <v>17</v>
      </c>
      <c r="Y73" s="872">
        <f t="shared" si="36"/>
        <v>18</v>
      </c>
      <c r="Z73" s="872" t="str">
        <f t="shared" si="36"/>
        <v/>
      </c>
      <c r="AA73" s="873" t="str">
        <f t="shared" si="36"/>
        <v/>
      </c>
    </row>
    <row r="74" spans="5:27" s="345" customFormat="1" ht="13.5" thickBot="1">
      <c r="F74" s="854"/>
      <c r="H74" s="874" t="str">
        <f t="shared" ref="H74:AA74" si="37">IF(H73="","",RANK(H73,$H$73:$AA$73,1))</f>
        <v/>
      </c>
      <c r="I74" s="875">
        <f t="shared" si="37"/>
        <v>1</v>
      </c>
      <c r="J74" s="875" t="str">
        <f t="shared" si="37"/>
        <v/>
      </c>
      <c r="K74" s="875" t="str">
        <f t="shared" si="37"/>
        <v/>
      </c>
      <c r="L74" s="875" t="str">
        <f t="shared" si="37"/>
        <v/>
      </c>
      <c r="M74" s="875" t="str">
        <f t="shared" si="37"/>
        <v/>
      </c>
      <c r="N74" s="875">
        <f t="shared" si="37"/>
        <v>2</v>
      </c>
      <c r="O74" s="875">
        <f t="shared" si="37"/>
        <v>3</v>
      </c>
      <c r="P74" s="875">
        <f t="shared" si="37"/>
        <v>4</v>
      </c>
      <c r="Q74" s="875">
        <f t="shared" si="37"/>
        <v>5</v>
      </c>
      <c r="R74" s="875">
        <f t="shared" si="37"/>
        <v>6</v>
      </c>
      <c r="S74" s="875">
        <f t="shared" si="37"/>
        <v>7</v>
      </c>
      <c r="T74" s="875" t="str">
        <f t="shared" si="37"/>
        <v/>
      </c>
      <c r="U74" s="875">
        <f t="shared" si="37"/>
        <v>8</v>
      </c>
      <c r="V74" s="875" t="str">
        <f t="shared" si="37"/>
        <v/>
      </c>
      <c r="W74" s="875">
        <f t="shared" si="37"/>
        <v>9</v>
      </c>
      <c r="X74" s="875">
        <f t="shared" si="37"/>
        <v>10</v>
      </c>
      <c r="Y74" s="875">
        <f t="shared" si="37"/>
        <v>11</v>
      </c>
      <c r="Z74" s="875" t="str">
        <f t="shared" si="37"/>
        <v/>
      </c>
      <c r="AA74" s="876" t="str">
        <f t="shared" si="37"/>
        <v/>
      </c>
    </row>
    <row r="75" spans="5:27" s="345" customFormat="1" ht="13.5" thickBot="1">
      <c r="E75" s="1605" t="s">
        <v>1281</v>
      </c>
      <c r="F75" s="1606"/>
      <c r="G75" s="1607"/>
      <c r="H75" s="877">
        <f>IF(SUMIF($H$74:$AA$74,H$67,$H$36:$AA$36)=0,"",SUMIF($H$74:$AA$74,H$67,$H$36:$AA$36))</f>
        <v>10</v>
      </c>
      <c r="I75" s="878">
        <f>IF(SUMIF($H$74:$AA$74,I$67,$H$36:$AA$36)=0,"",SUMIF($H$74:$AA$74,I$67,$H$36:$AA$36))</f>
        <v>40</v>
      </c>
      <c r="J75" s="878">
        <f t="shared" ref="J75:AA75" si="38">IF(SUMIF($H$74:$AA$74,J$67,$H$36:$AA$36)=0,"",SUMIF($H$74:$AA$74,J$67,$H$36:$AA$36))</f>
        <v>50</v>
      </c>
      <c r="K75" s="878">
        <f t="shared" si="38"/>
        <v>60</v>
      </c>
      <c r="L75" s="878">
        <f t="shared" si="38"/>
        <v>70</v>
      </c>
      <c r="M75" s="878">
        <f t="shared" si="38"/>
        <v>80</v>
      </c>
      <c r="N75" s="878">
        <f t="shared" si="38"/>
        <v>90</v>
      </c>
      <c r="O75" s="878">
        <f t="shared" si="38"/>
        <v>98.474693898206965</v>
      </c>
      <c r="P75" s="878">
        <f t="shared" si="38"/>
        <v>99.665653482478291</v>
      </c>
      <c r="Q75" s="878">
        <f t="shared" si="38"/>
        <v>99.951573567634654</v>
      </c>
      <c r="R75" s="878">
        <f t="shared" si="38"/>
        <v>100</v>
      </c>
      <c r="S75" s="878" t="str">
        <f t="shared" si="38"/>
        <v/>
      </c>
      <c r="T75" s="878" t="str">
        <f t="shared" si="38"/>
        <v/>
      </c>
      <c r="U75" s="878" t="str">
        <f t="shared" si="38"/>
        <v/>
      </c>
      <c r="V75" s="878" t="str">
        <f t="shared" si="38"/>
        <v/>
      </c>
      <c r="W75" s="878" t="str">
        <f t="shared" si="38"/>
        <v/>
      </c>
      <c r="X75" s="878" t="str">
        <f t="shared" si="38"/>
        <v/>
      </c>
      <c r="Y75" s="878" t="str">
        <f t="shared" si="38"/>
        <v/>
      </c>
      <c r="Z75" s="878" t="str">
        <f t="shared" si="38"/>
        <v/>
      </c>
      <c r="AA75" s="879" t="str">
        <f t="shared" si="38"/>
        <v/>
      </c>
    </row>
    <row r="76" spans="5:27" s="345" customFormat="1">
      <c r="E76" s="1574" t="s">
        <v>1283</v>
      </c>
      <c r="F76" s="1593"/>
      <c r="G76" s="1575"/>
      <c r="H76" s="880">
        <f>IF(SUMIF($H$36:$AA$36,H$75,$H43:$AA43)=0,"",SUMIF($H$36:$AA$36,H$75,$H43:$AA43)/$AB$59)</f>
        <v>0.52870324666748414</v>
      </c>
      <c r="I76" s="881">
        <f t="shared" ref="I76:AA76" si="39">IF(SUMIF($H$36:$AA$36,I$75,$H43:$AA43)=0,"",SUMIF($H$36:$AA$36,I$75,$H43:$AA43)/$AB$59)</f>
        <v>0.78360603083389702</v>
      </c>
      <c r="J76" s="881">
        <f t="shared" si="39"/>
        <v>0.88955295033126902</v>
      </c>
      <c r="K76" s="881">
        <f t="shared" si="39"/>
        <v>0.96671433020020114</v>
      </c>
      <c r="L76" s="881">
        <f t="shared" si="39"/>
        <v>1.0000221008751906</v>
      </c>
      <c r="M76" s="881">
        <f t="shared" si="39"/>
        <v>0.94643230163419623</v>
      </c>
      <c r="N76" s="881">
        <f t="shared" si="39"/>
        <v>0.75228044563250984</v>
      </c>
      <c r="O76" s="881">
        <f t="shared" si="39"/>
        <v>0.32721898552327755</v>
      </c>
      <c r="P76" s="881">
        <f t="shared" si="39"/>
        <v>0.36573040024744191</v>
      </c>
      <c r="Q76" s="881">
        <f t="shared" si="39"/>
        <v>0.38947532708652566</v>
      </c>
      <c r="R76" s="881">
        <f t="shared" si="39"/>
        <v>0.33182598282070902</v>
      </c>
      <c r="S76" s="881" t="str">
        <f t="shared" si="39"/>
        <v/>
      </c>
      <c r="T76" s="881" t="str">
        <f t="shared" si="39"/>
        <v/>
      </c>
      <c r="U76" s="881" t="str">
        <f t="shared" si="39"/>
        <v/>
      </c>
      <c r="V76" s="881" t="str">
        <f t="shared" si="39"/>
        <v/>
      </c>
      <c r="W76" s="881" t="str">
        <f t="shared" si="39"/>
        <v/>
      </c>
      <c r="X76" s="881" t="str">
        <f t="shared" si="39"/>
        <v/>
      </c>
      <c r="Y76" s="881" t="str">
        <f t="shared" si="39"/>
        <v/>
      </c>
      <c r="Z76" s="881" t="str">
        <f t="shared" si="39"/>
        <v/>
      </c>
      <c r="AA76" s="882" t="str">
        <f t="shared" si="39"/>
        <v/>
      </c>
    </row>
    <row r="77" spans="5:27" s="345" customFormat="1" ht="13.5" thickBot="1">
      <c r="E77" s="1576" t="s">
        <v>1284</v>
      </c>
      <c r="F77" s="1594"/>
      <c r="G77" s="1577"/>
      <c r="H77" s="883">
        <f>IF(SUMIF($H$36:$AA$36,H$75,$H43:$AA43)=0,"",SUMIF($H$36:$AA$36,H$75,$H44:$AA44)/$AB$59)</f>
        <v>3.1566594384418371E-3</v>
      </c>
      <c r="I77" s="884">
        <f t="shared" ref="I77:AA77" si="40">IF(SUMIF($H$36:$AA$36,I$75,$H43:$AA43)=0,"",SUMIF($H$36:$AA$36,I$75,$H44:$AA44)/$AB$59)</f>
        <v>0</v>
      </c>
      <c r="J77" s="884">
        <f t="shared" si="40"/>
        <v>0</v>
      </c>
      <c r="K77" s="884">
        <f t="shared" si="40"/>
        <v>1.7660512420690933E-3</v>
      </c>
      <c r="L77" s="884">
        <f t="shared" si="40"/>
        <v>0</v>
      </c>
      <c r="M77" s="884">
        <f t="shared" si="40"/>
        <v>2.5897334439471246E-3</v>
      </c>
      <c r="N77" s="884">
        <f t="shared" si="40"/>
        <v>1.9022424517861007E-3</v>
      </c>
      <c r="O77" s="884">
        <f t="shared" si="40"/>
        <v>0</v>
      </c>
      <c r="P77" s="884">
        <f t="shared" si="40"/>
        <v>3.7606546007552664E-2</v>
      </c>
      <c r="Q77" s="884">
        <f t="shared" si="40"/>
        <v>0</v>
      </c>
      <c r="R77" s="884">
        <f t="shared" si="40"/>
        <v>0.10930395124321468</v>
      </c>
      <c r="S77" s="884" t="str">
        <f t="shared" si="40"/>
        <v/>
      </c>
      <c r="T77" s="884" t="str">
        <f t="shared" si="40"/>
        <v/>
      </c>
      <c r="U77" s="884" t="str">
        <f t="shared" si="40"/>
        <v/>
      </c>
      <c r="V77" s="884" t="str">
        <f t="shared" si="40"/>
        <v/>
      </c>
      <c r="W77" s="884" t="str">
        <f t="shared" si="40"/>
        <v/>
      </c>
      <c r="X77" s="884" t="str">
        <f t="shared" si="40"/>
        <v/>
      </c>
      <c r="Y77" s="884" t="str">
        <f t="shared" si="40"/>
        <v/>
      </c>
      <c r="Z77" s="884" t="str">
        <f t="shared" si="40"/>
        <v/>
      </c>
      <c r="AA77" s="885" t="str">
        <f t="shared" si="40"/>
        <v/>
      </c>
    </row>
    <row r="78" spans="5:27" s="345" customFormat="1">
      <c r="F78" s="854"/>
      <c r="H78" s="886">
        <f t="shared" ref="H78:AA78" si="41">IF(H53="","",RANK(H36,$H$36:$AA$36,1))</f>
        <v>1</v>
      </c>
      <c r="I78" s="887">
        <f t="shared" si="41"/>
        <v>2</v>
      </c>
      <c r="J78" s="887">
        <f t="shared" si="41"/>
        <v>3</v>
      </c>
      <c r="K78" s="887">
        <f t="shared" si="41"/>
        <v>4</v>
      </c>
      <c r="L78" s="887">
        <f t="shared" si="41"/>
        <v>5</v>
      </c>
      <c r="M78" s="887">
        <f t="shared" si="41"/>
        <v>6</v>
      </c>
      <c r="N78" s="887">
        <f t="shared" si="41"/>
        <v>7</v>
      </c>
      <c r="O78" s="887">
        <f t="shared" si="41"/>
        <v>8</v>
      </c>
      <c r="P78" s="887">
        <f t="shared" si="41"/>
        <v>9</v>
      </c>
      <c r="Q78" s="887">
        <f t="shared" si="41"/>
        <v>10</v>
      </c>
      <c r="R78" s="887">
        <f t="shared" si="41"/>
        <v>11</v>
      </c>
      <c r="S78" s="887">
        <f t="shared" si="41"/>
        <v>12</v>
      </c>
      <c r="T78" s="887">
        <f t="shared" si="41"/>
        <v>13</v>
      </c>
      <c r="U78" s="887">
        <f t="shared" si="41"/>
        <v>14</v>
      </c>
      <c r="V78" s="887">
        <f t="shared" si="41"/>
        <v>15</v>
      </c>
      <c r="W78" s="887">
        <f t="shared" si="41"/>
        <v>16</v>
      </c>
      <c r="X78" s="887">
        <f t="shared" si="41"/>
        <v>17</v>
      </c>
      <c r="Y78" s="887" t="str">
        <f t="shared" si="41"/>
        <v/>
      </c>
      <c r="Z78" s="887" t="str">
        <f t="shared" si="41"/>
        <v/>
      </c>
      <c r="AA78" s="888" t="str">
        <f t="shared" si="41"/>
        <v/>
      </c>
    </row>
    <row r="79" spans="5:27" s="345" customFormat="1" ht="13.5" thickBot="1">
      <c r="F79" s="854"/>
      <c r="H79" s="859">
        <f t="shared" ref="H79:AA79" si="42">IF(H78="","",RANK(H78,$H$78:$AA$78,1))</f>
        <v>1</v>
      </c>
      <c r="I79" s="860">
        <f t="shared" si="42"/>
        <v>2</v>
      </c>
      <c r="J79" s="860">
        <f t="shared" si="42"/>
        <v>3</v>
      </c>
      <c r="K79" s="860">
        <f t="shared" si="42"/>
        <v>4</v>
      </c>
      <c r="L79" s="860">
        <f t="shared" si="42"/>
        <v>5</v>
      </c>
      <c r="M79" s="860">
        <f t="shared" si="42"/>
        <v>6</v>
      </c>
      <c r="N79" s="860">
        <f t="shared" si="42"/>
        <v>7</v>
      </c>
      <c r="O79" s="860">
        <f t="shared" si="42"/>
        <v>8</v>
      </c>
      <c r="P79" s="860">
        <f t="shared" si="42"/>
        <v>9</v>
      </c>
      <c r="Q79" s="860">
        <f t="shared" si="42"/>
        <v>10</v>
      </c>
      <c r="R79" s="860">
        <f t="shared" si="42"/>
        <v>11</v>
      </c>
      <c r="S79" s="860">
        <f t="shared" si="42"/>
        <v>12</v>
      </c>
      <c r="T79" s="860">
        <f t="shared" si="42"/>
        <v>13</v>
      </c>
      <c r="U79" s="860">
        <f t="shared" si="42"/>
        <v>14</v>
      </c>
      <c r="V79" s="860">
        <f t="shared" si="42"/>
        <v>15</v>
      </c>
      <c r="W79" s="860">
        <f t="shared" si="42"/>
        <v>16</v>
      </c>
      <c r="X79" s="860">
        <f t="shared" si="42"/>
        <v>17</v>
      </c>
      <c r="Y79" s="860" t="str">
        <f t="shared" si="42"/>
        <v/>
      </c>
      <c r="Z79" s="860" t="str">
        <f t="shared" si="42"/>
        <v/>
      </c>
      <c r="AA79" s="861" t="str">
        <f t="shared" si="42"/>
        <v/>
      </c>
    </row>
    <row r="80" spans="5:27" s="345" customFormat="1" ht="13.5" thickBot="1">
      <c r="E80" s="1605" t="s">
        <v>1281</v>
      </c>
      <c r="F80" s="1606"/>
      <c r="G80" s="1607"/>
      <c r="H80" s="862">
        <f>IF(SUMIF($H$79:$AA$79,H$67,$H$36:$AA$36)=0,"",SUMIF($H$79:$AA$79,H$67,$H$36:$AA$36))</f>
        <v>5.3605555861977985</v>
      </c>
      <c r="I80" s="863">
        <f>IF(SUMIF($H$79:$AA$79,I$67,$H$36:$AA$36)=0,"",SUMIF($H$79:$AA$79,I$67,$H$36:$AA$36))</f>
        <v>10</v>
      </c>
      <c r="J80" s="863">
        <f t="shared" ref="J80:AA80" si="43">IF(SUMIF($H$79:$AA$79,J$67,$H$36:$AA$36)=0,"",SUMIF($H$79:$AA$79,J$67,$H$36:$AA$36))</f>
        <v>20</v>
      </c>
      <c r="K80" s="863">
        <f t="shared" si="43"/>
        <v>26.922669813782981</v>
      </c>
      <c r="L80" s="863">
        <f t="shared" si="43"/>
        <v>28.402760758696882</v>
      </c>
      <c r="M80" s="863">
        <f t="shared" si="43"/>
        <v>30</v>
      </c>
      <c r="N80" s="863">
        <f t="shared" si="43"/>
        <v>40</v>
      </c>
      <c r="O80" s="863">
        <f t="shared" si="43"/>
        <v>50</v>
      </c>
      <c r="P80" s="863">
        <f t="shared" si="43"/>
        <v>60</v>
      </c>
      <c r="Q80" s="863">
        <f t="shared" si="43"/>
        <v>70</v>
      </c>
      <c r="R80" s="863">
        <f t="shared" si="43"/>
        <v>80</v>
      </c>
      <c r="S80" s="863">
        <f t="shared" si="43"/>
        <v>90</v>
      </c>
      <c r="T80" s="863">
        <f t="shared" si="43"/>
        <v>97.736572490101764</v>
      </c>
      <c r="U80" s="863">
        <f t="shared" si="43"/>
        <v>98.474693898206965</v>
      </c>
      <c r="V80" s="863">
        <f t="shared" si="43"/>
        <v>99.115172061249353</v>
      </c>
      <c r="W80" s="863">
        <f t="shared" si="43"/>
        <v>99.665653482478291</v>
      </c>
      <c r="X80" s="863">
        <f t="shared" si="43"/>
        <v>99.951573567634654</v>
      </c>
      <c r="Y80" s="863" t="str">
        <f t="shared" si="43"/>
        <v/>
      </c>
      <c r="Z80" s="863" t="str">
        <f t="shared" si="43"/>
        <v/>
      </c>
      <c r="AA80" s="864" t="str">
        <f t="shared" si="43"/>
        <v/>
      </c>
    </row>
    <row r="81" spans="5:28" s="345" customFormat="1">
      <c r="E81" s="1574" t="s">
        <v>1283</v>
      </c>
      <c r="F81" s="1593"/>
      <c r="G81" s="1575"/>
      <c r="H81" s="865">
        <f>IF(SUMIF($H$36:$AA$36,H$80,$H53:$AA53)=0,"",SUMIF($H$36:$AA$36,H$80,$H53:$AA53)/$AB$59)</f>
        <v>0.20099429530368892</v>
      </c>
      <c r="I81" s="866">
        <f t="shared" ref="I81:AA81" si="44">IF(SUMIF($H$36:$AA$36,I$80,$H53:$AA53)=0,"",SUMIF($H$36:$AA$36,I$80,$H53:$AA53)/$AB$59)</f>
        <v>0.52426349102688519</v>
      </c>
      <c r="J81" s="866">
        <f t="shared" si="44"/>
        <v>0.64281949155060325</v>
      </c>
      <c r="K81" s="866">
        <f t="shared" si="44"/>
        <v>0.37274010653527517</v>
      </c>
      <c r="L81" s="866">
        <f t="shared" si="44"/>
        <v>0.37404124119692594</v>
      </c>
      <c r="M81" s="866">
        <f t="shared" si="44"/>
        <v>0.67729643313109567</v>
      </c>
      <c r="N81" s="866">
        <f t="shared" si="44"/>
        <v>0.78114531887069871</v>
      </c>
      <c r="O81" s="866">
        <f t="shared" si="44"/>
        <v>0.89989926388371377</v>
      </c>
      <c r="P81" s="866">
        <f t="shared" si="44"/>
        <v>0.96623167896318274</v>
      </c>
      <c r="Q81" s="866">
        <f t="shared" si="44"/>
        <v>0.99949792126088832</v>
      </c>
      <c r="R81" s="866">
        <f t="shared" si="44"/>
        <v>0.94746203000445695</v>
      </c>
      <c r="S81" s="866">
        <f t="shared" si="44"/>
        <v>0.75061501685025656</v>
      </c>
      <c r="T81" s="866">
        <f t="shared" si="44"/>
        <v>0.33970259994795954</v>
      </c>
      <c r="U81" s="866">
        <f t="shared" si="44"/>
        <v>0.31987029875178513</v>
      </c>
      <c r="V81" s="866">
        <f t="shared" si="44"/>
        <v>0.35879670049888068</v>
      </c>
      <c r="W81" s="866">
        <f t="shared" si="44"/>
        <v>0.3879111691464191</v>
      </c>
      <c r="X81" s="866">
        <f t="shared" si="44"/>
        <v>0.27604432682842706</v>
      </c>
      <c r="Y81" s="866" t="str">
        <f t="shared" si="44"/>
        <v/>
      </c>
      <c r="Z81" s="866" t="str">
        <f t="shared" si="44"/>
        <v/>
      </c>
      <c r="AA81" s="867" t="str">
        <f t="shared" si="44"/>
        <v/>
      </c>
    </row>
    <row r="82" spans="5:28" s="345" customFormat="1" ht="13.5" thickBot="1">
      <c r="E82" s="1576" t="s">
        <v>1284</v>
      </c>
      <c r="F82" s="1594"/>
      <c r="G82" s="1577"/>
      <c r="H82" s="868">
        <f>IF(SUMIF($H$36:$AA$36,H$80,$H53:$AA53)=0,"",SUMIF($H$36:$AA$36,H$80,$H54:$AA54)/$AB$59)</f>
        <v>6.2278965240421827E-2</v>
      </c>
      <c r="I82" s="869">
        <f t="shared" ref="I82:AA82" si="45">IF(SUMIF($H$36:$AA$36,I$80,$H53:$AA53)=0,"",SUMIF($H$36:$AA$36,I$80,$H54:$AA54)/$AB$59)</f>
        <v>0</v>
      </c>
      <c r="J82" s="869">
        <f t="shared" si="45"/>
        <v>2.4918353947484526E-3</v>
      </c>
      <c r="K82" s="869">
        <f t="shared" si="45"/>
        <v>1.6901883750404134E-2</v>
      </c>
      <c r="L82" s="869">
        <f t="shared" si="45"/>
        <v>9.3025037303247154E-2</v>
      </c>
      <c r="M82" s="869">
        <f t="shared" si="45"/>
        <v>5.9764832695341288E-3</v>
      </c>
      <c r="N82" s="869">
        <f t="shared" si="45"/>
        <v>5.1430640829577788E-3</v>
      </c>
      <c r="O82" s="869">
        <f t="shared" si="45"/>
        <v>4.2781574819891754E-2</v>
      </c>
      <c r="P82" s="869">
        <f t="shared" si="45"/>
        <v>2.9744155227650966E-3</v>
      </c>
      <c r="Q82" s="869">
        <f t="shared" si="45"/>
        <v>2.7754874358341193E-3</v>
      </c>
      <c r="R82" s="869">
        <f t="shared" si="45"/>
        <v>2.0325276654433412E-3</v>
      </c>
      <c r="S82" s="869">
        <f t="shared" si="45"/>
        <v>0</v>
      </c>
      <c r="T82" s="869">
        <f t="shared" si="45"/>
        <v>7.5534237728733661E-2</v>
      </c>
      <c r="U82" s="869">
        <f t="shared" si="45"/>
        <v>0</v>
      </c>
      <c r="V82" s="869">
        <f t="shared" si="45"/>
        <v>3.2958946221416097E-2</v>
      </c>
      <c r="W82" s="869">
        <f t="shared" si="45"/>
        <v>0</v>
      </c>
      <c r="X82" s="869">
        <f t="shared" si="45"/>
        <v>1.0623488120523559E-2</v>
      </c>
      <c r="Y82" s="869" t="str">
        <f t="shared" si="45"/>
        <v/>
      </c>
      <c r="Z82" s="869" t="str">
        <f t="shared" si="45"/>
        <v/>
      </c>
      <c r="AA82" s="870" t="str">
        <f t="shared" si="45"/>
        <v/>
      </c>
    </row>
    <row r="83" spans="5:28" s="345" customFormat="1">
      <c r="F83" s="889"/>
      <c r="H83" s="871">
        <f t="shared" ref="H83:AA83" si="46">IF(H59="","",RANK(H36,$H$36:$AA$36,1))</f>
        <v>1</v>
      </c>
      <c r="I83" s="872">
        <f t="shared" si="46"/>
        <v>2</v>
      </c>
      <c r="J83" s="872">
        <f t="shared" si="46"/>
        <v>3</v>
      </c>
      <c r="K83" s="872">
        <f t="shared" si="46"/>
        <v>4</v>
      </c>
      <c r="L83" s="872">
        <f t="shared" si="46"/>
        <v>5</v>
      </c>
      <c r="M83" s="872">
        <f t="shared" si="46"/>
        <v>6</v>
      </c>
      <c r="N83" s="872">
        <f t="shared" si="46"/>
        <v>7</v>
      </c>
      <c r="O83" s="872">
        <f t="shared" si="46"/>
        <v>8</v>
      </c>
      <c r="P83" s="872">
        <f t="shared" si="46"/>
        <v>9</v>
      </c>
      <c r="Q83" s="872">
        <f t="shared" si="46"/>
        <v>10</v>
      </c>
      <c r="R83" s="872">
        <f t="shared" si="46"/>
        <v>11</v>
      </c>
      <c r="S83" s="872">
        <f t="shared" si="46"/>
        <v>12</v>
      </c>
      <c r="T83" s="872">
        <f t="shared" si="46"/>
        <v>13</v>
      </c>
      <c r="U83" s="872">
        <f t="shared" si="46"/>
        <v>14</v>
      </c>
      <c r="V83" s="872">
        <f t="shared" si="46"/>
        <v>15</v>
      </c>
      <c r="W83" s="872">
        <f t="shared" si="46"/>
        <v>16</v>
      </c>
      <c r="X83" s="872">
        <f t="shared" si="46"/>
        <v>17</v>
      </c>
      <c r="Y83" s="872">
        <f t="shared" si="46"/>
        <v>18</v>
      </c>
      <c r="Z83" s="872" t="str">
        <f t="shared" si="46"/>
        <v/>
      </c>
      <c r="AA83" s="873" t="str">
        <f t="shared" si="46"/>
        <v/>
      </c>
    </row>
    <row r="84" spans="5:28" s="345" customFormat="1" ht="13.5" thickBot="1">
      <c r="F84" s="889"/>
      <c r="H84" s="874">
        <f t="shared" ref="H84:AA84" si="47">IF(H83="","",RANK(H83,$H$83:$AA$83,1))</f>
        <v>1</v>
      </c>
      <c r="I84" s="875">
        <f t="shared" si="47"/>
        <v>2</v>
      </c>
      <c r="J84" s="875">
        <f t="shared" si="47"/>
        <v>3</v>
      </c>
      <c r="K84" s="875">
        <f t="shared" si="47"/>
        <v>4</v>
      </c>
      <c r="L84" s="875">
        <f t="shared" si="47"/>
        <v>5</v>
      </c>
      <c r="M84" s="875">
        <f t="shared" si="47"/>
        <v>6</v>
      </c>
      <c r="N84" s="875">
        <f t="shared" si="47"/>
        <v>7</v>
      </c>
      <c r="O84" s="875">
        <f t="shared" si="47"/>
        <v>8</v>
      </c>
      <c r="P84" s="875">
        <f t="shared" si="47"/>
        <v>9</v>
      </c>
      <c r="Q84" s="875">
        <f t="shared" si="47"/>
        <v>10</v>
      </c>
      <c r="R84" s="875">
        <f t="shared" si="47"/>
        <v>11</v>
      </c>
      <c r="S84" s="875">
        <f t="shared" si="47"/>
        <v>12</v>
      </c>
      <c r="T84" s="875">
        <f t="shared" si="47"/>
        <v>13</v>
      </c>
      <c r="U84" s="875">
        <f t="shared" si="47"/>
        <v>14</v>
      </c>
      <c r="V84" s="875">
        <f t="shared" si="47"/>
        <v>15</v>
      </c>
      <c r="W84" s="875">
        <f t="shared" si="47"/>
        <v>16</v>
      </c>
      <c r="X84" s="875">
        <f t="shared" si="47"/>
        <v>17</v>
      </c>
      <c r="Y84" s="875">
        <f t="shared" si="47"/>
        <v>18</v>
      </c>
      <c r="Z84" s="875" t="str">
        <f t="shared" si="47"/>
        <v/>
      </c>
      <c r="AA84" s="876" t="str">
        <f t="shared" si="47"/>
        <v/>
      </c>
    </row>
    <row r="85" spans="5:28" s="345" customFormat="1" ht="13.5" thickBot="1">
      <c r="E85" s="1605" t="s">
        <v>1281</v>
      </c>
      <c r="F85" s="1606"/>
      <c r="G85" s="1607"/>
      <c r="H85" s="877">
        <f>IF(SUMIF($H$84:$AA$84,H$67,$H$36:$AA$36)=0,"",SUMIF($H$84:$AA$84,H$67,$H$36:$AA$36))</f>
        <v>5.3605555861977985</v>
      </c>
      <c r="I85" s="878">
        <f>IF(SUMIF($H$84:$AA$84,I$67,$H$36:$AA$36)=0,"",SUMIF($H$84:$AA$84,I$67,$H$36:$AA$36))</f>
        <v>10</v>
      </c>
      <c r="J85" s="878">
        <f t="shared" ref="J85:AA85" si="48">IF(SUMIF($H$84:$AA$84,J$67,$H$36:$AA$36)=0,"",SUMIF($H$84:$AA$84,J$67,$H$36:$AA$36))</f>
        <v>20</v>
      </c>
      <c r="K85" s="878">
        <f t="shared" si="48"/>
        <v>26.922669813782981</v>
      </c>
      <c r="L85" s="878">
        <f t="shared" si="48"/>
        <v>28.402760758696882</v>
      </c>
      <c r="M85" s="878">
        <f t="shared" si="48"/>
        <v>30</v>
      </c>
      <c r="N85" s="878">
        <f t="shared" si="48"/>
        <v>40</v>
      </c>
      <c r="O85" s="878">
        <f t="shared" si="48"/>
        <v>50</v>
      </c>
      <c r="P85" s="878">
        <f t="shared" si="48"/>
        <v>60</v>
      </c>
      <c r="Q85" s="878">
        <f t="shared" si="48"/>
        <v>70</v>
      </c>
      <c r="R85" s="878">
        <f t="shared" si="48"/>
        <v>80</v>
      </c>
      <c r="S85" s="878">
        <f t="shared" si="48"/>
        <v>90</v>
      </c>
      <c r="T85" s="878">
        <f t="shared" si="48"/>
        <v>97.736572490101764</v>
      </c>
      <c r="U85" s="878">
        <f t="shared" si="48"/>
        <v>98.474693898206965</v>
      </c>
      <c r="V85" s="878">
        <f t="shared" si="48"/>
        <v>99.115172061249353</v>
      </c>
      <c r="W85" s="878">
        <f t="shared" si="48"/>
        <v>99.665653482478291</v>
      </c>
      <c r="X85" s="878">
        <f t="shared" si="48"/>
        <v>99.951573567634654</v>
      </c>
      <c r="Y85" s="878">
        <f t="shared" si="48"/>
        <v>100</v>
      </c>
      <c r="Z85" s="878" t="str">
        <f t="shared" si="48"/>
        <v/>
      </c>
      <c r="AA85" s="879" t="str">
        <f t="shared" si="48"/>
        <v/>
      </c>
    </row>
    <row r="86" spans="5:28" s="345" customFormat="1">
      <c r="E86" s="1574" t="s">
        <v>1283</v>
      </c>
      <c r="F86" s="1593"/>
      <c r="G86" s="1575"/>
      <c r="H86" s="880">
        <f>IF(SUMIF($H$36:$AA$36,H$85,$H59:$AA59)=0,"",SUMIF($H$36:$AA$36,H$85,$H59:$AA59)/$AB$59)</f>
        <v>0.2024729273868385</v>
      </c>
      <c r="I86" s="881">
        <f t="shared" ref="I86:AA86" si="49">IF(SUMIF($H$36:$AA$36,I$85,$H59:$AA59)=0,"",SUMIF($H$36:$AA$36,I$85,$H59:$AA59)/$AB$59)</f>
        <v>0.52744327374227051</v>
      </c>
      <c r="J86" s="881">
        <f t="shared" si="49"/>
        <v>0.64474114696268459</v>
      </c>
      <c r="K86" s="881">
        <f t="shared" si="49"/>
        <v>0.34078263144217608</v>
      </c>
      <c r="L86" s="881">
        <f t="shared" si="49"/>
        <v>0.3734054239992538</v>
      </c>
      <c r="M86" s="881">
        <f t="shared" si="49"/>
        <v>0.68187915575935398</v>
      </c>
      <c r="N86" s="881">
        <f t="shared" si="49"/>
        <v>0.78162731566514243</v>
      </c>
      <c r="O86" s="881">
        <f t="shared" si="49"/>
        <v>0.89155594950570005</v>
      </c>
      <c r="P86" s="881">
        <f t="shared" si="49"/>
        <v>0.96677694123264091</v>
      </c>
      <c r="Q86" s="881">
        <f t="shared" si="49"/>
        <v>1</v>
      </c>
      <c r="R86" s="881">
        <f t="shared" si="49"/>
        <v>0.94699217718002382</v>
      </c>
      <c r="S86" s="881">
        <f t="shared" si="49"/>
        <v>0.75175762452766159</v>
      </c>
      <c r="T86" s="881">
        <f t="shared" si="49"/>
        <v>0.3497995448224413</v>
      </c>
      <c r="U86" s="881">
        <f t="shared" si="49"/>
        <v>0.3338719369182675</v>
      </c>
      <c r="V86" s="881">
        <f t="shared" si="49"/>
        <v>0.35434925230303682</v>
      </c>
      <c r="W86" s="881">
        <f t="shared" si="49"/>
        <v>0.36164773879114509</v>
      </c>
      <c r="X86" s="881">
        <f t="shared" si="49"/>
        <v>0.33275982695747636</v>
      </c>
      <c r="Y86" s="881">
        <f t="shared" si="49"/>
        <v>0.33182598282070902</v>
      </c>
      <c r="Z86" s="881" t="str">
        <f t="shared" si="49"/>
        <v/>
      </c>
      <c r="AA86" s="882" t="str">
        <f t="shared" si="49"/>
        <v/>
      </c>
      <c r="AB86" s="851">
        <v>1</v>
      </c>
    </row>
    <row r="87" spans="5:28" s="345" customFormat="1" ht="13.5" thickBot="1">
      <c r="E87" s="1576" t="s">
        <v>1284</v>
      </c>
      <c r="F87" s="1594"/>
      <c r="G87" s="1577"/>
      <c r="H87" s="883">
        <f>IF(SUMIF($H$36:$AA$36,H$85,$H59:$AA59)=0,"",SUMIF($H$36:$AA$36,H$85,$H60:$AA60)/$AB$59)</f>
        <v>7.2549239117210645E-2</v>
      </c>
      <c r="I87" s="884">
        <f t="shared" ref="I87:AA87" si="50">IF(SUMIF($H$36:$AA$36,I$85,$H59:$AA59)=0,"",SUMIF($H$36:$AA$36,I$85,$H60:$AA60)/$AB$59)</f>
        <v>3.1989666682541982E-3</v>
      </c>
      <c r="J87" s="884">
        <f t="shared" si="50"/>
        <v>3.891689485432474E-3</v>
      </c>
      <c r="K87" s="884">
        <f t="shared" si="50"/>
        <v>5.2226089101028425E-2</v>
      </c>
      <c r="L87" s="884">
        <f t="shared" si="50"/>
        <v>5.9408704755158054E-2</v>
      </c>
      <c r="M87" s="884">
        <f t="shared" si="50"/>
        <v>1.1206142135119905E-2</v>
      </c>
      <c r="N87" s="884">
        <f t="shared" si="50"/>
        <v>6.222160457392851E-3</v>
      </c>
      <c r="O87" s="884">
        <f t="shared" si="50"/>
        <v>2.5255442647204616E-2</v>
      </c>
      <c r="P87" s="884">
        <f t="shared" si="50"/>
        <v>3.0941502589007419E-3</v>
      </c>
      <c r="Q87" s="884">
        <f t="shared" si="50"/>
        <v>2.1783667519555431E-3</v>
      </c>
      <c r="R87" s="884">
        <f t="shared" si="50"/>
        <v>2.3909160456668842E-3</v>
      </c>
      <c r="S87" s="884">
        <f t="shared" si="50"/>
        <v>1.5113392708180624E-3</v>
      </c>
      <c r="T87" s="884">
        <f t="shared" si="50"/>
        <v>6.735425325717645E-2</v>
      </c>
      <c r="U87" s="884">
        <f t="shared" si="50"/>
        <v>7.2021040863867986E-2</v>
      </c>
      <c r="V87" s="884">
        <f t="shared" si="50"/>
        <v>3.802252545820619E-2</v>
      </c>
      <c r="W87" s="884">
        <f t="shared" si="50"/>
        <v>4.0185208809860914E-2</v>
      </c>
      <c r="X87" s="884">
        <f t="shared" si="50"/>
        <v>8.8014600643979243E-2</v>
      </c>
      <c r="Y87" s="884">
        <f t="shared" si="50"/>
        <v>0.10930395124321468</v>
      </c>
      <c r="Z87" s="884" t="str">
        <f t="shared" si="50"/>
        <v/>
      </c>
      <c r="AA87" s="885" t="str">
        <f t="shared" si="50"/>
        <v/>
      </c>
    </row>
    <row r="88" spans="5:28" s="345" customFormat="1">
      <c r="F88" s="889"/>
      <c r="R88" s="694"/>
    </row>
    <row r="89" spans="5:28" s="345" customFormat="1">
      <c r="F89" s="889"/>
      <c r="R89" s="694"/>
    </row>
    <row r="90" spans="5:28" s="345" customFormat="1">
      <c r="R90" s="694"/>
    </row>
    <row r="91" spans="5:28" s="345" customFormat="1">
      <c r="R91" s="694"/>
    </row>
    <row r="92" spans="5:28" s="345" customFormat="1">
      <c r="R92" s="694"/>
    </row>
    <row r="93" spans="5:28" s="345" customFormat="1">
      <c r="R93" s="694"/>
    </row>
    <row r="94" spans="5:28" s="345" customFormat="1">
      <c r="R94" s="694"/>
    </row>
    <row r="95" spans="5:28" s="345" customFormat="1">
      <c r="R95" s="694"/>
    </row>
    <row r="96" spans="5:28" s="345" customFormat="1">
      <c r="R96" s="694"/>
    </row>
    <row r="97" spans="18:18" s="345" customFormat="1">
      <c r="R97" s="694"/>
    </row>
    <row r="98" spans="18:18" s="345" customFormat="1">
      <c r="R98" s="694"/>
    </row>
    <row r="99" spans="18:18" s="345" customFormat="1">
      <c r="R99" s="694"/>
    </row>
    <row r="100" spans="18:18" s="345" customFormat="1">
      <c r="R100" s="694"/>
    </row>
    <row r="101" spans="18:18" s="345" customFormat="1">
      <c r="R101" s="694"/>
    </row>
    <row r="102" spans="18:18" s="345" customFormat="1">
      <c r="R102" s="694"/>
    </row>
    <row r="103" spans="18:18" s="345" customFormat="1">
      <c r="R103" s="694"/>
    </row>
    <row r="104" spans="18:18" s="345" customFormat="1">
      <c r="R104" s="694"/>
    </row>
    <row r="105" spans="18:18" s="345" customFormat="1">
      <c r="R105" s="694"/>
    </row>
    <row r="106" spans="18:18" s="345" customFormat="1">
      <c r="R106" s="694"/>
    </row>
    <row r="107" spans="18:18" s="345" customFormat="1">
      <c r="R107" s="694"/>
    </row>
    <row r="108" spans="18:18" s="345" customFormat="1">
      <c r="R108" s="694"/>
    </row>
    <row r="109" spans="18:18" s="345" customFormat="1">
      <c r="R109" s="694"/>
    </row>
    <row r="110" spans="18:18" s="345" customFormat="1">
      <c r="R110" s="694"/>
    </row>
    <row r="111" spans="18:18" s="345" customFormat="1">
      <c r="R111" s="694"/>
    </row>
    <row r="112" spans="18:18" s="345" customFormat="1">
      <c r="R112" s="694"/>
    </row>
    <row r="113" spans="18:18" s="345" customFormat="1">
      <c r="R113" s="694"/>
    </row>
    <row r="114" spans="18:18" s="345" customFormat="1">
      <c r="R114" s="694"/>
    </row>
    <row r="115" spans="18:18" s="345" customFormat="1">
      <c r="R115" s="694"/>
    </row>
    <row r="116" spans="18:18" s="345" customFormat="1">
      <c r="R116" s="694"/>
    </row>
    <row r="117" spans="18:18" s="345" customFormat="1">
      <c r="R117" s="694"/>
    </row>
    <row r="118" spans="18:18" s="345" customFormat="1">
      <c r="R118" s="694"/>
    </row>
    <row r="119" spans="18:18" s="345" customFormat="1">
      <c r="R119" s="694"/>
    </row>
    <row r="120" spans="18:18" s="345" customFormat="1">
      <c r="R120" s="694"/>
    </row>
    <row r="121" spans="18:18" s="345" customFormat="1">
      <c r="R121" s="694"/>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I13:L31 D13:G31">
    <cfRule type="cellIs" priority="1" stopIfTrue="1"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D13" sqref="D13"/>
    </sheetView>
  </sheetViews>
  <sheetFormatPr baseColWidth="10" defaultRowHeight="12.75"/>
  <sheetData>
    <row r="1" spans="1:27" s="345" customFormat="1" ht="18">
      <c r="B1" s="345">
        <v>1E-3</v>
      </c>
      <c r="D1" s="1228" t="s">
        <v>1101</v>
      </c>
      <c r="E1" s="1228"/>
      <c r="L1" s="1249" t="str">
        <f>IF('Stipe=phyllotaxie&amp;croissance'!S9&gt;0,'Stipe=phyllotaxie&amp;croissance'!S9,"")</f>
        <v/>
      </c>
      <c r="M1" s="1249"/>
      <c r="N1" s="975"/>
      <c r="O1" s="975"/>
    </row>
    <row r="2" spans="1:27" s="345" customFormat="1" ht="18">
      <c r="D2" s="974"/>
      <c r="E2" s="974"/>
    </row>
    <row r="3" spans="1:27" s="345" customFormat="1" ht="15.75">
      <c r="D3" s="1323" t="s">
        <v>1102</v>
      </c>
      <c r="E3" s="1323"/>
      <c r="F3" s="1323"/>
      <c r="G3" s="1323"/>
      <c r="H3" s="1323"/>
      <c r="I3" s="978"/>
      <c r="J3" s="1322" t="str">
        <f>IF('Stipe=phyllotaxie&amp;croissance'!$E$11&gt;0,'Stipe=phyllotaxie&amp;croissance'!$E$11,"")</f>
        <v>Rochdi</v>
      </c>
      <c r="K3" s="1322"/>
      <c r="Q3" s="1323" t="s">
        <v>1103</v>
      </c>
      <c r="R3" s="1323"/>
      <c r="S3" s="1323"/>
      <c r="T3" s="1323"/>
      <c r="U3" s="1512" t="str">
        <f>IF('Stipe=phyllotaxie&amp;croissance'!$E$10&gt;0,'Stipe=phyllotaxie&amp;croissance'!$E$10,"")</f>
        <v>01</v>
      </c>
      <c r="V3" s="1512"/>
      <c r="W3" s="980"/>
    </row>
    <row r="4" spans="1:27" s="345" customFormat="1" ht="18">
      <c r="D4" s="974"/>
      <c r="E4" s="974"/>
    </row>
    <row r="5" spans="1:27" s="345" customFormat="1" ht="18">
      <c r="D5" s="446" t="s">
        <v>1228</v>
      </c>
      <c r="E5" s="446"/>
      <c r="F5" s="446"/>
      <c r="G5" s="446"/>
      <c r="H5" s="446"/>
      <c r="I5" s="446"/>
      <c r="J5" s="446"/>
      <c r="K5" s="446"/>
      <c r="L5" s="446"/>
      <c r="M5" s="446"/>
      <c r="N5" s="976"/>
      <c r="O5" s="976"/>
    </row>
    <row r="6" spans="1:27" s="345" customFormat="1" ht="13.5" thickBot="1"/>
    <row r="7" spans="1:27" s="345" customFormat="1" ht="15.75" thickBot="1">
      <c r="D7" s="1496" t="s">
        <v>1229</v>
      </c>
      <c r="E7" s="1497"/>
      <c r="F7" s="1497"/>
      <c r="G7" s="577">
        <f>IF('Folioles=disposition&amp;groupes'!$D$7&gt;0,'Folioles=disposition&amp;groupes'!$D$7,"")</f>
        <v>57</v>
      </c>
      <c r="R7" s="1498" t="s">
        <v>1229</v>
      </c>
      <c r="S7" s="1499"/>
      <c r="T7" s="1513"/>
      <c r="U7" s="577">
        <f>IF('Folioles=disposition&amp;groupes'!$P$7&gt;0,'Folioles=disposition&amp;groupes'!$P$7,"")</f>
        <v>83</v>
      </c>
    </row>
    <row r="8" spans="1:27" s="345" customFormat="1"/>
    <row r="9" spans="1:27" s="345" customFormat="1" ht="15">
      <c r="C9" s="582"/>
      <c r="D9" s="1514" t="s">
        <v>1371</v>
      </c>
      <c r="E9" s="1514"/>
      <c r="F9" s="1514"/>
      <c r="Q9" s="582"/>
      <c r="R9" s="1514" t="s">
        <v>1371</v>
      </c>
      <c r="S9" s="1514"/>
      <c r="T9" s="1514"/>
    </row>
    <row r="10" spans="1:27" s="345" customFormat="1" ht="13.5" thickBot="1"/>
    <row r="11" spans="1:27" s="345" customFormat="1" ht="15.75" thickBot="1">
      <c r="C11" s="1520" t="s">
        <v>1233</v>
      </c>
      <c r="D11" s="1520" t="s">
        <v>1237</v>
      </c>
      <c r="E11" s="1521"/>
      <c r="F11" s="1521"/>
      <c r="G11" s="1522"/>
      <c r="H11" s="1520" t="s">
        <v>1233</v>
      </c>
      <c r="I11" s="1520" t="s">
        <v>1238</v>
      </c>
      <c r="J11" s="1521"/>
      <c r="K11" s="1521"/>
      <c r="L11" s="1522"/>
      <c r="M11" s="583"/>
      <c r="N11" s="1520"/>
      <c r="O11" s="1520" t="s">
        <v>1233</v>
      </c>
      <c r="P11" s="1520" t="s">
        <v>1237</v>
      </c>
      <c r="Q11" s="1521"/>
      <c r="R11" s="1521"/>
      <c r="S11" s="1522"/>
      <c r="T11" s="1520" t="s">
        <v>1233</v>
      </c>
      <c r="U11" s="1520" t="s">
        <v>1238</v>
      </c>
      <c r="V11" s="1521"/>
      <c r="W11" s="1521"/>
      <c r="X11" s="1522"/>
    </row>
    <row r="12" spans="1:27" s="345" customFormat="1" ht="13.5" thickBot="1">
      <c r="C12" s="1523"/>
      <c r="D12" s="584" t="s">
        <v>1239</v>
      </c>
      <c r="E12" s="585" t="s">
        <v>1240</v>
      </c>
      <c r="F12" s="585" t="s">
        <v>1240</v>
      </c>
      <c r="G12" s="586" t="s">
        <v>1241</v>
      </c>
      <c r="H12" s="1523"/>
      <c r="I12" s="584" t="s">
        <v>1239</v>
      </c>
      <c r="J12" s="585" t="s">
        <v>1240</v>
      </c>
      <c r="K12" s="585" t="s">
        <v>1240</v>
      </c>
      <c r="L12" s="586" t="s">
        <v>1241</v>
      </c>
      <c r="M12" s="587"/>
      <c r="N12" s="1523"/>
      <c r="O12" s="1523"/>
      <c r="P12" s="584" t="s">
        <v>1239</v>
      </c>
      <c r="Q12" s="585" t="s">
        <v>1240</v>
      </c>
      <c r="R12" s="585" t="s">
        <v>1240</v>
      </c>
      <c r="S12" s="586" t="s">
        <v>1241</v>
      </c>
      <c r="T12" s="1523"/>
      <c r="U12" s="584" t="s">
        <v>1239</v>
      </c>
      <c r="V12" s="585" t="s">
        <v>1240</v>
      </c>
      <c r="W12" s="585" t="s">
        <v>1240</v>
      </c>
      <c r="X12" s="586" t="s">
        <v>1241</v>
      </c>
    </row>
    <row r="13" spans="1:27" s="345" customFormat="1">
      <c r="A13" s="345">
        <f>IF(COUNTIF(C13,"")+COUNTIF(H13,"")+COUNTIF(O13,"")+COUNTIF(T13,"")=4,"",AVERAGE(C13,H13,O13,T13))</f>
        <v>5.3605555861977985</v>
      </c>
      <c r="B13" s="595" t="s">
        <v>1243</v>
      </c>
      <c r="C13" s="775">
        <f>IF('Sections rachis &amp; L pennes'!Q13="","",'Sections rachis &amp; L pennes'!Q13)</f>
        <v>5.15970515970516</v>
      </c>
      <c r="D13" s="776" t="str">
        <f>IF('Largeurs pennes'!H14="","",IF(SQRT(ABS('Largeurs pennes'!H14*'Largeurs pennes'!H14-('Ouvertures pennes'!D14*'Ouvertures pennes'!D14)/4))=0,0.01,SQRT(ABS('Largeurs pennes'!H14*'Largeurs pennes'!H14-('Ouvertures pennes'!D14*'Ouvertures pennes'!D14)/4))))</f>
        <v/>
      </c>
      <c r="E13" s="777" t="str">
        <f>IF('Largeurs pennes'!I14="","",IF(SQRT(ABS('Largeurs pennes'!I14*'Largeurs pennes'!I14-('Ouvertures pennes'!E14*'Ouvertures pennes'!E14)/4))=0,0.01,SQRT(ABS('Largeurs pennes'!I14*'Largeurs pennes'!I14-('Ouvertures pennes'!E14*'Ouvertures pennes'!E14)/4))))</f>
        <v/>
      </c>
      <c r="F13" s="777" t="str">
        <f>IF('Largeurs pennes'!J14="","",IF(SQRT(ABS('Largeurs pennes'!J14*'Largeurs pennes'!J14-('Ouvertures pennes'!F14*'Ouvertures pennes'!F14)/4))=0,0.01,SQRT(ABS('Largeurs pennes'!J14*'Largeurs pennes'!J14-('Ouvertures pennes'!F14*'Ouvertures pennes'!F14)/4))))</f>
        <v/>
      </c>
      <c r="G13" s="780">
        <f>IF('Largeurs pennes'!K14="","",IF(SQRT(ABS('Largeurs pennes'!K14*'Largeurs pennes'!K14-('Ouvertures pennes'!G14*'Ouvertures pennes'!G14)/4))=0,0.01,SQRT(ABS('Largeurs pennes'!K14*'Largeurs pennes'!K14-('Ouvertures pennes'!G14*'Ouvertures pennes'!G14)/4))))</f>
        <v>0.14767531953579785</v>
      </c>
      <c r="H13" s="775">
        <f>IF('Sections rachis &amp; L pennes'!V13="","",'Sections rachis &amp; L pennes'!V13)</f>
        <v>5.4054054054054053</v>
      </c>
      <c r="I13" s="776" t="str">
        <f>IF('Largeurs pennes'!V14="","",IF(SQRT(ABS('Largeurs pennes'!V14*'Largeurs pennes'!V14-('Ouvertures pennes'!N14*'Ouvertures pennes'!N14)/4))=0,0.01,SQRT(ABS('Largeurs pennes'!V14*'Largeurs pennes'!V14-('Ouvertures pennes'!N14*'Ouvertures pennes'!N14)/4))))</f>
        <v/>
      </c>
      <c r="J13" s="777" t="str">
        <f>IF('Largeurs pennes'!W14="","",IF(SQRT(ABS('Largeurs pennes'!W14*'Largeurs pennes'!W14-('Ouvertures pennes'!O14*'Ouvertures pennes'!O14)/4))=0,0.01,SQRT(ABS('Largeurs pennes'!W14*'Largeurs pennes'!W14-('Ouvertures pennes'!O14*'Ouvertures pennes'!O14)/4))))</f>
        <v/>
      </c>
      <c r="K13" s="777" t="str">
        <f>IF('Largeurs pennes'!X14="","",IF(SQRT(ABS('Largeurs pennes'!X14*'Largeurs pennes'!X14-('Ouvertures pennes'!P14*'Ouvertures pennes'!P14)/4))=0,0.01,SQRT(ABS('Largeurs pennes'!X14*'Largeurs pennes'!X14-('Ouvertures pennes'!P14*'Ouvertures pennes'!P14)/4))))</f>
        <v/>
      </c>
      <c r="L13" s="780">
        <f>IF('Largeurs pennes'!Y14="","",IF(SQRT(ABS('Largeurs pennes'!Y14*'Largeurs pennes'!Y14-('Ouvertures pennes'!Q14*'Ouvertures pennes'!Q14)/4))=0,0.01,SQRT(ABS('Largeurs pennes'!Y14*'Largeurs pennes'!Y14-('Ouvertures pennes'!Q14*'Ouvertures pennes'!Q14)/4))))</f>
        <v>0.10362311518189367</v>
      </c>
      <c r="M13" s="781">
        <f>IF(COUNTIF(D13:G13,"")+COUNTIF(I13:L13,"")=8,"",MAX(D13:G13,I13:L13))</f>
        <v>0.14767531953579785</v>
      </c>
      <c r="N13" s="595" t="s">
        <v>1243</v>
      </c>
      <c r="O13" s="775">
        <f>IF('Sections rachis &amp; L pennes'!AC13="","",'Sections rachis &amp; L pennes'!AC13)</f>
        <v>5.3228419347373288</v>
      </c>
      <c r="P13" s="776">
        <f>IF('Largeurs pennes'!H48="","",IF(SQRT(ABS('Largeurs pennes'!H48*'Largeurs pennes'!H48-('Ouvertures pennes'!D48*'Ouvertures pennes'!D48)/4))=0,0.01,SQRT(ABS('Largeurs pennes'!H48*'Largeurs pennes'!H48-('Ouvertures pennes'!D48*'Ouvertures pennes'!D48)/4))))</f>
        <v>0.20003437204640606</v>
      </c>
      <c r="Q13" s="777" t="str">
        <f>IF('Largeurs pennes'!I48="","",IF(SQRT(ABS('Largeurs pennes'!I48*'Largeurs pennes'!I48-('Ouvertures pennes'!E48*'Ouvertures pennes'!E48)/4))=0,0.01,SQRT(ABS('Largeurs pennes'!I48*'Largeurs pennes'!I48-('Ouvertures pennes'!E48*'Ouvertures pennes'!E48)/4))))</f>
        <v/>
      </c>
      <c r="R13" s="777" t="str">
        <f>IF('Largeurs pennes'!J48="","",IF(SQRT(ABS('Largeurs pennes'!J48*'Largeurs pennes'!J48-('Ouvertures pennes'!F48*'Ouvertures pennes'!F48)/4))=0,0.01,SQRT(ABS('Largeurs pennes'!J48*'Largeurs pennes'!J48-('Ouvertures pennes'!F48*'Ouvertures pennes'!F48)/4))))</f>
        <v/>
      </c>
      <c r="S13" s="780" t="str">
        <f>IF('Largeurs pennes'!K48="","",IF(SQRT(ABS('Largeurs pennes'!K48*'Largeurs pennes'!K48-('Ouvertures pennes'!G48*'Ouvertures pennes'!G48)/4))=0,0.01,SQRT(ABS('Largeurs pennes'!K48*'Largeurs pennes'!K48-('Ouvertures pennes'!G48*'Ouvertures pennes'!G48)/4))))</f>
        <v/>
      </c>
      <c r="T13" s="775">
        <f>IF('Sections rachis &amp; L pennes'!AH13="","",'Sections rachis &amp; L pennes'!AH13)</f>
        <v>5.5542698449432999</v>
      </c>
      <c r="U13" s="776">
        <f>IF('Largeurs pennes'!V48="","",IF(SQRT(ABS('Largeurs pennes'!V48*'Largeurs pennes'!V48-('Ouvertures pennes'!N48*'Ouvertures pennes'!N48)/4))=0,0.01,SQRT(ABS('Largeurs pennes'!V48*'Largeurs pennes'!V48-('Ouvertures pennes'!N48*'Ouvertures pennes'!N48)/4))))</f>
        <v>0.15067846561469889</v>
      </c>
      <c r="V13" s="777" t="str">
        <f>IF('Largeurs pennes'!W48="","",IF(SQRT(ABS('Largeurs pennes'!W48*'Largeurs pennes'!W48-('Ouvertures pennes'!O48*'Ouvertures pennes'!O48)/4))=0,0.01,SQRT(ABS('Largeurs pennes'!W48*'Largeurs pennes'!W48-('Ouvertures pennes'!O48*'Ouvertures pennes'!O48)/4))))</f>
        <v/>
      </c>
      <c r="W13" s="777" t="str">
        <f>IF('Largeurs pennes'!X48="","",IF(SQRT(ABS('Largeurs pennes'!X48*'Largeurs pennes'!X48-('Ouvertures pennes'!P48*'Ouvertures pennes'!P48)/4))=0,0.01,SQRT(ABS('Largeurs pennes'!X48*'Largeurs pennes'!X48-('Ouvertures pennes'!P48*'Ouvertures pennes'!P48)/4))))</f>
        <v/>
      </c>
      <c r="X13" s="780" t="str">
        <f>IF('Largeurs pennes'!Y48="","",IF(SQRT(ABS('Largeurs pennes'!Y48*'Largeurs pennes'!Y48-('Ouvertures pennes'!Q48*'Ouvertures pennes'!Q48)/4))=0,0.01,SQRT(ABS('Largeurs pennes'!Y48*'Largeurs pennes'!Y48-('Ouvertures pennes'!Q48*'Ouvertures pennes'!Q48)/4))))</f>
        <v/>
      </c>
      <c r="Y13" s="781">
        <f>IF(COUNTIF(P13:S13,"")+COUNTIF(U13:X13,"")=8,"",MAX(P13:S13,U13:X13))</f>
        <v>0.20003437204640606</v>
      </c>
    </row>
    <row r="14" spans="1:27" s="345" customFormat="1">
      <c r="A14" s="345">
        <f t="shared" ref="A14:A31" si="0">IF(COUNTIF(C14,"")+COUNTIF(H14,"")+COUNTIF(O14,"")+COUNTIF(T14,"")=4,"",AVERAGE(C14,H14,O14,T14))</f>
        <v>26.922669813782981</v>
      </c>
      <c r="B14" s="609" t="s">
        <v>1244</v>
      </c>
      <c r="C14" s="782">
        <f>IF('Sections rachis &amp; L pennes'!Q14="","",'Sections rachis &amp; L pennes'!Q14)</f>
        <v>27.346437346437348</v>
      </c>
      <c r="D14" s="783" t="str">
        <f>IF('Largeurs pennes'!H15="","",IF(SQRT(ABS('Largeurs pennes'!H15*'Largeurs pennes'!H15-('Ouvertures pennes'!D15*'Ouvertures pennes'!D15)/4))=0,0.01,SQRT(ABS('Largeurs pennes'!H15*'Largeurs pennes'!H15-('Ouvertures pennes'!D15*'Ouvertures pennes'!D15)/4))))</f>
        <v/>
      </c>
      <c r="E14" s="784" t="str">
        <f>IF('Largeurs pennes'!I15="","",IF(SQRT(ABS('Largeurs pennes'!I15*'Largeurs pennes'!I15-('Ouvertures pennes'!E15*'Ouvertures pennes'!E15)/4))=0,0.01,SQRT(ABS('Largeurs pennes'!I15*'Largeurs pennes'!I15-('Ouvertures pennes'!E15*'Ouvertures pennes'!E15)/4))))</f>
        <v/>
      </c>
      <c r="F14" s="784" t="str">
        <f>IF('Largeurs pennes'!J15="","",IF(SQRT(ABS('Largeurs pennes'!J15*'Largeurs pennes'!J15-('Ouvertures pennes'!F15*'Ouvertures pennes'!F15)/4))=0,0.01,SQRT(ABS('Largeurs pennes'!J15*'Largeurs pennes'!J15-('Ouvertures pennes'!F15*'Ouvertures pennes'!F15)/4))))</f>
        <v/>
      </c>
      <c r="G14" s="787">
        <f>IF('Largeurs pennes'!K15="","",IF(SQRT(ABS('Largeurs pennes'!K15*'Largeurs pennes'!K15-('Ouvertures pennes'!G15*'Ouvertures pennes'!G15)/4))=0,0.01,SQRT(ABS('Largeurs pennes'!K15*'Largeurs pennes'!K15-('Ouvertures pennes'!G15*'Ouvertures pennes'!G15)/4))))</f>
        <v>0.27164268810332443</v>
      </c>
      <c r="H14" s="782">
        <f>IF('Sections rachis &amp; L pennes'!V14="","",'Sections rachis &amp; L pennes'!V14)</f>
        <v>28.157248157248159</v>
      </c>
      <c r="I14" s="783">
        <f>IF('Largeurs pennes'!V15="","",IF(SQRT(ABS('Largeurs pennes'!V15*'Largeurs pennes'!V15-('Ouvertures pennes'!N15*'Ouvertures pennes'!N15)/4))=0,0.01,SQRT(ABS('Largeurs pennes'!V15*'Largeurs pennes'!V15-('Ouvertures pennes'!N15*'Ouvertures pennes'!N15)/4))))</f>
        <v>0.22243201208459187</v>
      </c>
      <c r="J14" s="784" t="str">
        <f>IF('Largeurs pennes'!W15="","",IF(SQRT(ABS('Largeurs pennes'!W15*'Largeurs pennes'!W15-('Ouvertures pennes'!O15*'Ouvertures pennes'!O15)/4))=0,0.01,SQRT(ABS('Largeurs pennes'!W15*'Largeurs pennes'!W15-('Ouvertures pennes'!O15*'Ouvertures pennes'!O15)/4))))</f>
        <v/>
      </c>
      <c r="K14" s="784" t="str">
        <f>IF('Largeurs pennes'!X15="","",IF(SQRT(ABS('Largeurs pennes'!X15*'Largeurs pennes'!X15-('Ouvertures pennes'!P15*'Ouvertures pennes'!P15)/4))=0,0.01,SQRT(ABS('Largeurs pennes'!X15*'Largeurs pennes'!X15-('Ouvertures pennes'!P15*'Ouvertures pennes'!P15)/4))))</f>
        <v/>
      </c>
      <c r="L14" s="787" t="str">
        <f>IF('Largeurs pennes'!Y15="","",IF(SQRT(ABS('Largeurs pennes'!Y15*'Largeurs pennes'!Y15-('Ouvertures pennes'!Q15*'Ouvertures pennes'!Q15)/4))=0,0.01,SQRT(ABS('Largeurs pennes'!Y15*'Largeurs pennes'!Y15-('Ouvertures pennes'!Q15*'Ouvertures pennes'!Q15)/4))))</f>
        <v/>
      </c>
      <c r="M14" s="781">
        <f t="shared" ref="M14:M31" si="1">IF(COUNTIF(D14:G14,"")+COUNTIF(I14:L14,"")=8,"",MAX(D14:G14,I14:L14))</f>
        <v>0.27164268810332443</v>
      </c>
      <c r="N14" s="609" t="s">
        <v>1244</v>
      </c>
      <c r="O14" s="782">
        <f>IF('Sections rachis &amp; L pennes'!AC14="","",'Sections rachis &amp; L pennes'!AC14)</f>
        <v>26.429067345521869</v>
      </c>
      <c r="P14" s="783">
        <f>IF('Largeurs pennes'!H49="","",IF(SQRT(ABS('Largeurs pennes'!H49*'Largeurs pennes'!H49-('Ouvertures pennes'!D49*'Ouvertures pennes'!D49)/4))=0,0.01,SQRT(ABS('Largeurs pennes'!H49*'Largeurs pennes'!H49-('Ouvertures pennes'!D49*'Ouvertures pennes'!D49)/4))))</f>
        <v>0.26207966346132239</v>
      </c>
      <c r="Q14" s="784" t="str">
        <f>IF('Largeurs pennes'!I49="","",IF(SQRT(ABS('Largeurs pennes'!I49*'Largeurs pennes'!I49-('Ouvertures pennes'!E49*'Ouvertures pennes'!E49)/4))=0,0.01,SQRT(ABS('Largeurs pennes'!I49*'Largeurs pennes'!I49-('Ouvertures pennes'!E49*'Ouvertures pennes'!E49)/4))))</f>
        <v/>
      </c>
      <c r="R14" s="784" t="str">
        <f>IF('Largeurs pennes'!J49="","",IF(SQRT(ABS('Largeurs pennes'!J49*'Largeurs pennes'!J49-('Ouvertures pennes'!F49*'Ouvertures pennes'!F49)/4))=0,0.01,SQRT(ABS('Largeurs pennes'!J49*'Largeurs pennes'!J49-('Ouvertures pennes'!F49*'Ouvertures pennes'!F49)/4))))</f>
        <v/>
      </c>
      <c r="S14" s="787" t="str">
        <f>IF('Largeurs pennes'!K49="","",IF(SQRT(ABS('Largeurs pennes'!K49*'Largeurs pennes'!K49-('Ouvertures pennes'!G49*'Ouvertures pennes'!G49)/4))=0,0.01,SQRT(ABS('Largeurs pennes'!K49*'Largeurs pennes'!K49-('Ouvertures pennes'!G49*'Ouvertures pennes'!G49)/4))))</f>
        <v/>
      </c>
      <c r="T14" s="782">
        <f>IF('Sections rachis &amp; L pennes'!AH14="","",'Sections rachis &amp; L pennes'!AH14)</f>
        <v>25.757926405924554</v>
      </c>
      <c r="U14" s="783" t="str">
        <f>IF('Largeurs pennes'!V49="","",IF(SQRT(ABS('Largeurs pennes'!V49*'Largeurs pennes'!V49-('Ouvertures pennes'!N49*'Ouvertures pennes'!N49)/4))=0,0.01,SQRT(ABS('Largeurs pennes'!V49*'Largeurs pennes'!V49-('Ouvertures pennes'!N49*'Ouvertures pennes'!N49)/4))))</f>
        <v/>
      </c>
      <c r="V14" s="784" t="str">
        <f>IF('Largeurs pennes'!W49="","",IF(SQRT(ABS('Largeurs pennes'!W49*'Largeurs pennes'!W49-('Ouvertures pennes'!O49*'Ouvertures pennes'!O49)/4))=0,0.01,SQRT(ABS('Largeurs pennes'!W49*'Largeurs pennes'!W49-('Ouvertures pennes'!O49*'Ouvertures pennes'!O49)/4))))</f>
        <v/>
      </c>
      <c r="W14" s="784" t="str">
        <f>IF('Largeurs pennes'!X49="","",IF(SQRT(ABS('Largeurs pennes'!X49*'Largeurs pennes'!X49-('Ouvertures pennes'!P49*'Ouvertures pennes'!P49)/4))=0,0.01,SQRT(ABS('Largeurs pennes'!X49*'Largeurs pennes'!X49-('Ouvertures pennes'!P49*'Ouvertures pennes'!P49)/4))))</f>
        <v/>
      </c>
      <c r="X14" s="787">
        <f>IF('Largeurs pennes'!Y49="","",IF(SQRT(ABS('Largeurs pennes'!Y49*'Largeurs pennes'!Y49-('Ouvertures pennes'!Q49*'Ouvertures pennes'!Q49)/4))=0,0.01,SQRT(ABS('Largeurs pennes'!Y49*'Largeurs pennes'!Y49-('Ouvertures pennes'!Q49*'Ouvertures pennes'!Q49)/4))))</f>
        <v>0.32927040559394344</v>
      </c>
      <c r="Y14" s="781">
        <f t="shared" ref="Y14:Y31" si="2">IF(COUNTIF(P14:S14,"")+COUNTIF(U14:X14,"")=8,"",MAX(P14:S14,U14:X14))</f>
        <v>0.32927040559394344</v>
      </c>
    </row>
    <row r="15" spans="1:27" s="345" customFormat="1" ht="13.5" thickBot="1">
      <c r="A15" s="345">
        <f t="shared" si="0"/>
        <v>28.402760758696882</v>
      </c>
      <c r="B15" s="620" t="s">
        <v>1245</v>
      </c>
      <c r="C15" s="788">
        <f>IF('Sections rachis &amp; L pennes'!Q15="","",'Sections rachis &amp; L pennes'!Q15)</f>
        <v>30.466830466830466</v>
      </c>
      <c r="D15" s="789">
        <f>IF('Largeurs pennes'!H16="","",IF(SQRT(ABS('Largeurs pennes'!H16*'Largeurs pennes'!H16-('Ouvertures pennes'!D16*'Ouvertures pennes'!D16)/4))=0,0.01,SQRT(ABS('Largeurs pennes'!H16*'Largeurs pennes'!H16-('Ouvertures pennes'!D16*'Ouvertures pennes'!D16)/4))))</f>
        <v>0.27636705664749556</v>
      </c>
      <c r="E15" s="790" t="str">
        <f>IF('Largeurs pennes'!I16="","",IF(SQRT(ABS('Largeurs pennes'!I16*'Largeurs pennes'!I16-('Ouvertures pennes'!E16*'Ouvertures pennes'!E16)/4))=0,0.01,SQRT(ABS('Largeurs pennes'!I16*'Largeurs pennes'!I16-('Ouvertures pennes'!E16*'Ouvertures pennes'!E16)/4))))</f>
        <v/>
      </c>
      <c r="F15" s="790" t="str">
        <f>IF('Largeurs pennes'!J16="","",IF(SQRT(ABS('Largeurs pennes'!J16*'Largeurs pennes'!J16-('Ouvertures pennes'!F16*'Ouvertures pennes'!F16)/4))=0,0.01,SQRT(ABS('Largeurs pennes'!J16*'Largeurs pennes'!J16-('Ouvertures pennes'!F16*'Ouvertures pennes'!F16)/4))))</f>
        <v/>
      </c>
      <c r="G15" s="793" t="str">
        <f>IF('Largeurs pennes'!K16="","",IF(SQRT(ABS('Largeurs pennes'!K16*'Largeurs pennes'!K16-('Ouvertures pennes'!G16*'Ouvertures pennes'!G16)/4))=0,0.01,SQRT(ABS('Largeurs pennes'!K16*'Largeurs pennes'!K16-('Ouvertures pennes'!G16*'Ouvertures pennes'!G16)/4))))</f>
        <v/>
      </c>
      <c r="H15" s="788">
        <f>IF('Sections rachis &amp; L pennes'!V15="","",'Sections rachis &amp; L pennes'!V15)</f>
        <v>28.55036855036855</v>
      </c>
      <c r="I15" s="789" t="str">
        <f>IF('Largeurs pennes'!V16="","",IF(SQRT(ABS('Largeurs pennes'!V16*'Largeurs pennes'!V16-('Ouvertures pennes'!N16*'Ouvertures pennes'!N16)/4))=0,0.01,SQRT(ABS('Largeurs pennes'!V16*'Largeurs pennes'!V16-('Ouvertures pennes'!N16*'Ouvertures pennes'!N16)/4))))</f>
        <v/>
      </c>
      <c r="J15" s="790" t="str">
        <f>IF('Largeurs pennes'!W16="","",IF(SQRT(ABS('Largeurs pennes'!W16*'Largeurs pennes'!W16-('Ouvertures pennes'!O16*'Ouvertures pennes'!O16)/4))=0,0.01,SQRT(ABS('Largeurs pennes'!W16*'Largeurs pennes'!W16-('Ouvertures pennes'!O16*'Ouvertures pennes'!O16)/4))))</f>
        <v/>
      </c>
      <c r="K15" s="790" t="str">
        <f>IF('Largeurs pennes'!X16="","",IF(SQRT(ABS('Largeurs pennes'!X16*'Largeurs pennes'!X16-('Ouvertures pennes'!P16*'Ouvertures pennes'!P16)/4))=0,0.01,SQRT(ABS('Largeurs pennes'!X16*'Largeurs pennes'!X16-('Ouvertures pennes'!P16*'Ouvertures pennes'!P16)/4))))</f>
        <v/>
      </c>
      <c r="L15" s="793">
        <f>IF('Largeurs pennes'!Y16="","",IF(SQRT(ABS('Largeurs pennes'!Y16*'Largeurs pennes'!Y16-('Ouvertures pennes'!Q16*'Ouvertures pennes'!Q16)/4))=0,0.01,SQRT(ABS('Largeurs pennes'!Y16*'Largeurs pennes'!Y16-('Ouvertures pennes'!Q16*'Ouvertures pennes'!Q16)/4))))</f>
        <v>0.33049054449408982</v>
      </c>
      <c r="M15" s="781">
        <f t="shared" si="1"/>
        <v>0.33049054449408982</v>
      </c>
      <c r="N15" s="620" t="s">
        <v>1245</v>
      </c>
      <c r="O15" s="782">
        <f>IF('Sections rachis &amp; L pennes'!AC15="","",'Sections rachis &amp; L pennes'!AC15)</f>
        <v>26.799352001851421</v>
      </c>
      <c r="P15" s="789" t="str">
        <f>IF('Largeurs pennes'!H50="","",IF(SQRT(ABS('Largeurs pennes'!H50*'Largeurs pennes'!H50-('Ouvertures pennes'!D50*'Ouvertures pennes'!D50)/4))=0,0.01,SQRT(ABS('Largeurs pennes'!H50*'Largeurs pennes'!H50-('Ouvertures pennes'!D50*'Ouvertures pennes'!D50)/4))))</f>
        <v/>
      </c>
      <c r="Q15" s="790" t="str">
        <f>IF('Largeurs pennes'!I50="","",IF(SQRT(ABS('Largeurs pennes'!I50*'Largeurs pennes'!I50-('Ouvertures pennes'!E50*'Ouvertures pennes'!E50)/4))=0,0.01,SQRT(ABS('Largeurs pennes'!I50*'Largeurs pennes'!I50-('Ouvertures pennes'!E50*'Ouvertures pennes'!E50)/4))))</f>
        <v/>
      </c>
      <c r="R15" s="790" t="str">
        <f>IF('Largeurs pennes'!J50="","",IF(SQRT(ABS('Largeurs pennes'!J50*'Largeurs pennes'!J50-('Ouvertures pennes'!F50*'Ouvertures pennes'!F50)/4))=0,0.01,SQRT(ABS('Largeurs pennes'!J50*'Largeurs pennes'!J50-('Ouvertures pennes'!F50*'Ouvertures pennes'!F50)/4))))</f>
        <v/>
      </c>
      <c r="S15" s="793">
        <f>IF('Largeurs pennes'!K50="","",IF(SQRT(ABS('Largeurs pennes'!K50*'Largeurs pennes'!K50-('Ouvertures pennes'!G50*'Ouvertures pennes'!G50)/4))=0,0.01,SQRT(ABS('Largeurs pennes'!K50*'Largeurs pennes'!K50-('Ouvertures pennes'!G50*'Ouvertures pennes'!G50)/4))))</f>
        <v>0.23300643767930534</v>
      </c>
      <c r="T15" s="782">
        <f>IF('Sections rachis &amp; L pennes'!AH15="","",'Sections rachis &amp; L pennes'!AH15)</f>
        <v>27.794492015737095</v>
      </c>
      <c r="U15" s="789">
        <f>IF('Largeurs pennes'!V50="","",IF(SQRT(ABS('Largeurs pennes'!V50*'Largeurs pennes'!V50-('Ouvertures pennes'!N50*'Ouvertures pennes'!N50)/4))=0,0.01,SQRT(ABS('Largeurs pennes'!V50*'Largeurs pennes'!V50-('Ouvertures pennes'!N50*'Ouvertures pennes'!N50)/4))))</f>
        <v>0.27059702511298972</v>
      </c>
      <c r="V15" s="790" t="str">
        <f>IF('Largeurs pennes'!W50="","",IF(SQRT(ABS('Largeurs pennes'!W50*'Largeurs pennes'!W50-('Ouvertures pennes'!O50*'Ouvertures pennes'!O50)/4))=0,0.01,SQRT(ABS('Largeurs pennes'!W50*'Largeurs pennes'!W50-('Ouvertures pennes'!O50*'Ouvertures pennes'!O50)/4))))</f>
        <v/>
      </c>
      <c r="W15" s="790" t="str">
        <f>IF('Largeurs pennes'!X50="","",IF(SQRT(ABS('Largeurs pennes'!X50*'Largeurs pennes'!X50-('Ouvertures pennes'!P50*'Ouvertures pennes'!P50)/4))=0,0.01,SQRT(ABS('Largeurs pennes'!X50*'Largeurs pennes'!X50-('Ouvertures pennes'!P50*'Ouvertures pennes'!P50)/4))))</f>
        <v/>
      </c>
      <c r="X15" s="793" t="str">
        <f>IF('Largeurs pennes'!Y50="","",IF(SQRT(ABS('Largeurs pennes'!Y50*'Largeurs pennes'!Y50-('Ouvertures pennes'!Q50*'Ouvertures pennes'!Q50)/4))=0,0.01,SQRT(ABS('Largeurs pennes'!Y50*'Largeurs pennes'!Y50-('Ouvertures pennes'!Q50*'Ouvertures pennes'!Q50)/4))))</f>
        <v/>
      </c>
      <c r="Y15" s="781">
        <f t="shared" si="2"/>
        <v>0.27059702511298972</v>
      </c>
      <c r="Z15" s="656">
        <f>IF(MAX(M13:M14,Y13:Y14)=0,"",MAX(M13:M14,Y13:Y14))</f>
        <v>0.32927040559394344</v>
      </c>
      <c r="AA15" s="656">
        <f>IF('Ouvertures pennes (MAX)'!Z15="","",Z15/'Ouvertures pennes (MAX)'!Z15)</f>
        <v>0.78772824304771161</v>
      </c>
    </row>
    <row r="16" spans="1:27" s="345" customFormat="1">
      <c r="A16" s="345" t="str">
        <f t="shared" si="0"/>
        <v/>
      </c>
      <c r="C16" s="775" t="str">
        <f>IF('Sections rachis &amp; L pennes'!Q16="","",'Sections rachis &amp; L pennes'!Q16)</f>
        <v/>
      </c>
      <c r="D16" s="776" t="str">
        <f>IF('Largeurs pennes'!H17="","",IF(SQRT(ABS('Largeurs pennes'!H17*'Largeurs pennes'!H17-('Ouvertures pennes'!D17*'Ouvertures pennes'!D17)/4))=0,0.01,SQRT(ABS('Largeurs pennes'!H17*'Largeurs pennes'!H17-('Ouvertures pennes'!D17*'Ouvertures pennes'!D17)/4))))</f>
        <v/>
      </c>
      <c r="E16" s="777" t="str">
        <f>IF('Largeurs pennes'!I17="","",IF(SQRT(ABS('Largeurs pennes'!I17*'Largeurs pennes'!I17-('Ouvertures pennes'!E17*'Ouvertures pennes'!E17)/4))=0,0.01,SQRT(ABS('Largeurs pennes'!I17*'Largeurs pennes'!I17-('Ouvertures pennes'!E17*'Ouvertures pennes'!E17)/4))))</f>
        <v/>
      </c>
      <c r="F16" s="777" t="str">
        <f>IF('Largeurs pennes'!J17="","",IF(SQRT(ABS('Largeurs pennes'!J17*'Largeurs pennes'!J17-('Ouvertures pennes'!F17*'Ouvertures pennes'!F17)/4))=0,0.01,SQRT(ABS('Largeurs pennes'!J17*'Largeurs pennes'!J17-('Ouvertures pennes'!F17*'Ouvertures pennes'!F17)/4))))</f>
        <v/>
      </c>
      <c r="G16" s="780" t="str">
        <f>IF('Largeurs pennes'!K17="","",IF(SQRT(ABS('Largeurs pennes'!K17*'Largeurs pennes'!K17-('Ouvertures pennes'!G17*'Ouvertures pennes'!G17)/4))=0,0.01,SQRT(ABS('Largeurs pennes'!K17*'Largeurs pennes'!K17-('Ouvertures pennes'!G17*'Ouvertures pennes'!G17)/4))))</f>
        <v/>
      </c>
      <c r="H16" s="775" t="str">
        <f>IF('Sections rachis &amp; L pennes'!V16="","",'Sections rachis &amp; L pennes'!V16)</f>
        <v/>
      </c>
      <c r="I16" s="776" t="str">
        <f>IF('Largeurs pennes'!V17="","",IF(SQRT(ABS('Largeurs pennes'!V17*'Largeurs pennes'!V17-('Ouvertures pennes'!N17*'Ouvertures pennes'!N17)/4))=0,0.01,SQRT(ABS('Largeurs pennes'!V17*'Largeurs pennes'!V17-('Ouvertures pennes'!N17*'Ouvertures pennes'!N17)/4))))</f>
        <v/>
      </c>
      <c r="J16" s="777" t="str">
        <f>IF('Largeurs pennes'!W17="","",IF(SQRT(ABS('Largeurs pennes'!W17*'Largeurs pennes'!W17-('Ouvertures pennes'!O17*'Ouvertures pennes'!O17)/4))=0,0.01,SQRT(ABS('Largeurs pennes'!W17*'Largeurs pennes'!W17-('Ouvertures pennes'!O17*'Ouvertures pennes'!O17)/4))))</f>
        <v/>
      </c>
      <c r="K16" s="777" t="str">
        <f>IF('Largeurs pennes'!X17="","",IF(SQRT(ABS('Largeurs pennes'!X17*'Largeurs pennes'!X17-('Ouvertures pennes'!P17*'Ouvertures pennes'!P17)/4))=0,0.01,SQRT(ABS('Largeurs pennes'!X17*'Largeurs pennes'!X17-('Ouvertures pennes'!P17*'Ouvertures pennes'!P17)/4))))</f>
        <v/>
      </c>
      <c r="L16" s="780" t="str">
        <f>IF('Largeurs pennes'!Y17="","",IF(SQRT(ABS('Largeurs pennes'!Y17*'Largeurs pennes'!Y17-('Ouvertures pennes'!Q17*'Ouvertures pennes'!Q17)/4))=0,0.01,SQRT(ABS('Largeurs pennes'!Y17*'Largeurs pennes'!Y17-('Ouvertures pennes'!Q17*'Ouvertures pennes'!Q17)/4))))</f>
        <v/>
      </c>
      <c r="M16" s="781" t="str">
        <f t="shared" si="1"/>
        <v/>
      </c>
      <c r="O16" s="782" t="str">
        <f>IF('Sections rachis &amp; L pennes'!AC16="","",'Sections rachis &amp; L pennes'!AC16)</f>
        <v/>
      </c>
      <c r="P16" s="776" t="str">
        <f>IF('Largeurs pennes'!H51="","",IF(SQRT(ABS('Largeurs pennes'!H51*'Largeurs pennes'!H51-('Ouvertures pennes'!D51*'Ouvertures pennes'!D51)/4))=0,0.01,SQRT(ABS('Largeurs pennes'!H51*'Largeurs pennes'!H51-('Ouvertures pennes'!D51*'Ouvertures pennes'!D51)/4))))</f>
        <v/>
      </c>
      <c r="Q16" s="777" t="str">
        <f>IF('Largeurs pennes'!I51="","",IF(SQRT(ABS('Largeurs pennes'!I51*'Largeurs pennes'!I51-('Ouvertures pennes'!E51*'Ouvertures pennes'!E51)/4))=0,0.01,SQRT(ABS('Largeurs pennes'!I51*'Largeurs pennes'!I51-('Ouvertures pennes'!E51*'Ouvertures pennes'!E51)/4))))</f>
        <v/>
      </c>
      <c r="R16" s="777" t="str">
        <f>IF('Largeurs pennes'!J51="","",IF(SQRT(ABS('Largeurs pennes'!J51*'Largeurs pennes'!J51-('Ouvertures pennes'!F51*'Ouvertures pennes'!F51)/4))=0,0.01,SQRT(ABS('Largeurs pennes'!J51*'Largeurs pennes'!J51-('Ouvertures pennes'!F51*'Ouvertures pennes'!F51)/4))))</f>
        <v/>
      </c>
      <c r="S16" s="780" t="str">
        <f>IF('Largeurs pennes'!K51="","",IF(SQRT(ABS('Largeurs pennes'!K51*'Largeurs pennes'!K51-('Ouvertures pennes'!G51*'Ouvertures pennes'!G51)/4))=0,0.01,SQRT(ABS('Largeurs pennes'!K51*'Largeurs pennes'!K51-('Ouvertures pennes'!G51*'Ouvertures pennes'!G51)/4))))</f>
        <v/>
      </c>
      <c r="T16" s="782" t="str">
        <f>IF('Sections rachis &amp; L pennes'!AH16="","",'Sections rachis &amp; L pennes'!AH16)</f>
        <v/>
      </c>
      <c r="U16" s="776" t="str">
        <f>IF('Largeurs pennes'!V51="","",IF(SQRT(ABS('Largeurs pennes'!V51*'Largeurs pennes'!V51-('Ouvertures pennes'!N51*'Ouvertures pennes'!N51)/4))=0,0.01,SQRT(ABS('Largeurs pennes'!V51*'Largeurs pennes'!V51-('Ouvertures pennes'!N51*'Ouvertures pennes'!N51)/4))))</f>
        <v/>
      </c>
      <c r="V16" s="777" t="str">
        <f>IF('Largeurs pennes'!W51="","",IF(SQRT(ABS('Largeurs pennes'!W51*'Largeurs pennes'!W51-('Ouvertures pennes'!O51*'Ouvertures pennes'!O51)/4))=0,0.01,SQRT(ABS('Largeurs pennes'!W51*'Largeurs pennes'!W51-('Ouvertures pennes'!O51*'Ouvertures pennes'!O51)/4))))</f>
        <v/>
      </c>
      <c r="W16" s="777" t="str">
        <f>IF('Largeurs pennes'!X51="","",IF(SQRT(ABS('Largeurs pennes'!X51*'Largeurs pennes'!X51-('Ouvertures pennes'!P51*'Ouvertures pennes'!P51)/4))=0,0.01,SQRT(ABS('Largeurs pennes'!X51*'Largeurs pennes'!X51-('Ouvertures pennes'!P51*'Ouvertures pennes'!P51)/4))))</f>
        <v/>
      </c>
      <c r="X16" s="780" t="str">
        <f>IF('Largeurs pennes'!Y51="","",IF(SQRT(ABS('Largeurs pennes'!Y51*'Largeurs pennes'!Y51-('Ouvertures pennes'!Q51*'Ouvertures pennes'!Q51)/4))=0,0.01,SQRT(ABS('Largeurs pennes'!Y51*'Largeurs pennes'!Y51-('Ouvertures pennes'!Q51*'Ouvertures pennes'!Q51)/4))))</f>
        <v/>
      </c>
      <c r="Y16" s="781" t="str">
        <f t="shared" si="2"/>
        <v/>
      </c>
    </row>
    <row r="17" spans="1:25" s="345" customFormat="1">
      <c r="A17" s="345">
        <f t="shared" si="0"/>
        <v>10</v>
      </c>
      <c r="C17" s="782">
        <f>IF('Sections rachis &amp; L pennes'!Q17="","",'Sections rachis &amp; L pennes'!Q17)</f>
        <v>10</v>
      </c>
      <c r="D17" s="783">
        <f>IF('Largeurs pennes'!H18="","",IF(SQRT(ABS('Largeurs pennes'!H18*'Largeurs pennes'!H18-('Ouvertures pennes'!D18*'Ouvertures pennes'!D18)/4))=0,0.01,SQRT(ABS('Largeurs pennes'!H18*'Largeurs pennes'!H18-('Ouvertures pennes'!D18*'Ouvertures pennes'!D18)/4))))</f>
        <v>0.50555414700486911</v>
      </c>
      <c r="E17" s="784" t="str">
        <f>IF('Largeurs pennes'!I18="","",IF(SQRT(ABS('Largeurs pennes'!I18*'Largeurs pennes'!I18-('Ouvertures pennes'!E18*'Ouvertures pennes'!E18)/4))=0,0.01,SQRT(ABS('Largeurs pennes'!I18*'Largeurs pennes'!I18-('Ouvertures pennes'!E18*'Ouvertures pennes'!E18)/4))))</f>
        <v/>
      </c>
      <c r="F17" s="784" t="str">
        <f>IF('Largeurs pennes'!J18="","",IF(SQRT(ABS('Largeurs pennes'!J18*'Largeurs pennes'!J18-('Ouvertures pennes'!F18*'Ouvertures pennes'!F18)/4))=0,0.01,SQRT(ABS('Largeurs pennes'!J18*'Largeurs pennes'!J18-('Ouvertures pennes'!F18*'Ouvertures pennes'!F18)/4))))</f>
        <v/>
      </c>
      <c r="G17" s="787" t="str">
        <f>IF('Largeurs pennes'!K18="","",IF(SQRT(ABS('Largeurs pennes'!K18*'Largeurs pennes'!K18-('Ouvertures pennes'!G18*'Ouvertures pennes'!G18)/4))=0,0.01,SQRT(ABS('Largeurs pennes'!K18*'Largeurs pennes'!K18-('Ouvertures pennes'!G18*'Ouvertures pennes'!G18)/4))))</f>
        <v/>
      </c>
      <c r="H17" s="782">
        <f>IF('Sections rachis &amp; L pennes'!V17="","",'Sections rachis &amp; L pennes'!V17)</f>
        <v>10</v>
      </c>
      <c r="I17" s="783">
        <f>IF('Largeurs pennes'!V18="","",IF(SQRT(ABS('Largeurs pennes'!V18*'Largeurs pennes'!V18-('Ouvertures pennes'!N18*'Ouvertures pennes'!N18)/4))=0,0.01,SQRT(ABS('Largeurs pennes'!V18*'Largeurs pennes'!V18-('Ouvertures pennes'!N18*'Ouvertures pennes'!N18)/4))))</f>
        <v>0.51633078770125418</v>
      </c>
      <c r="J17" s="784" t="str">
        <f>IF('Largeurs pennes'!W18="","",IF(SQRT(ABS('Largeurs pennes'!W18*'Largeurs pennes'!W18-('Ouvertures pennes'!O18*'Ouvertures pennes'!O18)/4))=0,0.01,SQRT(ABS('Largeurs pennes'!W18*'Largeurs pennes'!W18-('Ouvertures pennes'!O18*'Ouvertures pennes'!O18)/4))))</f>
        <v/>
      </c>
      <c r="K17" s="784" t="str">
        <f>IF('Largeurs pennes'!X18="","",IF(SQRT(ABS('Largeurs pennes'!X18*'Largeurs pennes'!X18-('Ouvertures pennes'!P18*'Ouvertures pennes'!P18)/4))=0,0.01,SQRT(ABS('Largeurs pennes'!X18*'Largeurs pennes'!X18-('Ouvertures pennes'!P18*'Ouvertures pennes'!P18)/4))))</f>
        <v/>
      </c>
      <c r="L17" s="787">
        <f>IF('Largeurs pennes'!Y18="","",IF(SQRT(ABS('Largeurs pennes'!Y18*'Largeurs pennes'!Y18-('Ouvertures pennes'!Q18*'Ouvertures pennes'!Q18)/4))=0,0.01,SQRT(ABS('Largeurs pennes'!Y18*'Largeurs pennes'!Y18-('Ouvertures pennes'!Q18*'Ouvertures pennes'!Q18)/4))))</f>
        <v>0.49708678003240087</v>
      </c>
      <c r="M17" s="781">
        <f t="shared" si="1"/>
        <v>0.51633078770125418</v>
      </c>
      <c r="O17" s="782">
        <f>IF('Sections rachis &amp; L pennes'!AC17="","",'Sections rachis &amp; L pennes'!AC17)</f>
        <v>10</v>
      </c>
      <c r="P17" s="783" t="str">
        <f>IF('Largeurs pennes'!H52="","",IF(SQRT(ABS('Largeurs pennes'!H52*'Largeurs pennes'!H52-('Ouvertures pennes'!D52*'Ouvertures pennes'!D52)/4))=0,0.01,SQRT(ABS('Largeurs pennes'!H52*'Largeurs pennes'!H52-('Ouvertures pennes'!D52*'Ouvertures pennes'!D52)/4))))</f>
        <v/>
      </c>
      <c r="Q17" s="784">
        <f>IF('Largeurs pennes'!I52="","",IF(SQRT(ABS('Largeurs pennes'!I52*'Largeurs pennes'!I52-('Ouvertures pennes'!E52*'Ouvertures pennes'!E52)/4))=0,0.01,SQRT(ABS('Largeurs pennes'!I52*'Largeurs pennes'!I52-('Ouvertures pennes'!E52*'Ouvertures pennes'!E52)/4))))</f>
        <v>0.53812318222089006</v>
      </c>
      <c r="R17" s="784" t="str">
        <f>IF('Largeurs pennes'!J52="","",IF(SQRT(ABS('Largeurs pennes'!J52*'Largeurs pennes'!J52-('Ouvertures pennes'!F52*'Ouvertures pennes'!F52)/4))=0,0.01,SQRT(ABS('Largeurs pennes'!J52*'Largeurs pennes'!J52-('Ouvertures pennes'!F52*'Ouvertures pennes'!F52)/4))))</f>
        <v/>
      </c>
      <c r="S17" s="787" t="str">
        <f>IF('Largeurs pennes'!K52="","",IF(SQRT(ABS('Largeurs pennes'!K52*'Largeurs pennes'!K52-('Ouvertures pennes'!G52*'Ouvertures pennes'!G52)/4))=0,0.01,SQRT(ABS('Largeurs pennes'!K52*'Largeurs pennes'!K52-('Ouvertures pennes'!G52*'Ouvertures pennes'!G52)/4))))</f>
        <v/>
      </c>
      <c r="T17" s="782">
        <f>IF('Sections rachis &amp; L pennes'!AH17="","",'Sections rachis &amp; L pennes'!AH17)</f>
        <v>10</v>
      </c>
      <c r="U17" s="783" t="str">
        <f>IF('Largeurs pennes'!V52="","",IF(SQRT(ABS('Largeurs pennes'!V52*'Largeurs pennes'!V52-('Ouvertures pennes'!N52*'Ouvertures pennes'!N52)/4))=0,0.01,SQRT(ABS('Largeurs pennes'!V52*'Largeurs pennes'!V52-('Ouvertures pennes'!N52*'Ouvertures pennes'!N52)/4))))</f>
        <v/>
      </c>
      <c r="V17" s="784">
        <f>IF('Largeurs pennes'!W52="","",IF(SQRT(ABS('Largeurs pennes'!W52*'Largeurs pennes'!W52-('Ouvertures pennes'!O52*'Ouvertures pennes'!O52)/4))=0,0.01,SQRT(ABS('Largeurs pennes'!W52*'Largeurs pennes'!W52-('Ouvertures pennes'!O52*'Ouvertures pennes'!O52)/4))))</f>
        <v>0.52436185279294345</v>
      </c>
      <c r="W17" s="784" t="str">
        <f>IF('Largeurs pennes'!X52="","",IF(SQRT(ABS('Largeurs pennes'!X52*'Largeurs pennes'!X52-('Ouvertures pennes'!P52*'Ouvertures pennes'!P52)/4))=0,0.01,SQRT(ABS('Largeurs pennes'!X52*'Largeurs pennes'!X52-('Ouvertures pennes'!P52*'Ouvertures pennes'!P52)/4))))</f>
        <v/>
      </c>
      <c r="X17" s="787" t="str">
        <f>IF('Largeurs pennes'!Y52="","",IF(SQRT(ABS('Largeurs pennes'!Y52*'Largeurs pennes'!Y52-('Ouvertures pennes'!Q52*'Ouvertures pennes'!Q52)/4))=0,0.01,SQRT(ABS('Largeurs pennes'!Y52*'Largeurs pennes'!Y52-('Ouvertures pennes'!Q52*'Ouvertures pennes'!Q52)/4))))</f>
        <v/>
      </c>
      <c r="Y17" s="781">
        <f t="shared" si="2"/>
        <v>0.53812318222089006</v>
      </c>
    </row>
    <row r="18" spans="1:25" s="345" customFormat="1">
      <c r="A18" s="345">
        <f t="shared" si="0"/>
        <v>20</v>
      </c>
      <c r="C18" s="782">
        <f>IF('Sections rachis &amp; L pennes'!Q18="","",'Sections rachis &amp; L pennes'!Q18)</f>
        <v>20</v>
      </c>
      <c r="D18" s="783">
        <f>IF('Largeurs pennes'!H19="","",IF(SQRT(ABS('Largeurs pennes'!H19*'Largeurs pennes'!H19-('Ouvertures pennes'!D19*'Ouvertures pennes'!D19)/4))=0,0.01,SQRT(ABS('Largeurs pennes'!H19*'Largeurs pennes'!H19-('Ouvertures pennes'!D19*'Ouvertures pennes'!D19)/4))))</f>
        <v>0.66641960097227293</v>
      </c>
      <c r="E18" s="784" t="str">
        <f>IF('Largeurs pennes'!I19="","",IF(SQRT(ABS('Largeurs pennes'!I19*'Largeurs pennes'!I19-('Ouvertures pennes'!E19*'Ouvertures pennes'!E19)/4))=0,0.01,SQRT(ABS('Largeurs pennes'!I19*'Largeurs pennes'!I19-('Ouvertures pennes'!E19*'Ouvertures pennes'!E19)/4))))</f>
        <v/>
      </c>
      <c r="F18" s="784" t="str">
        <f>IF('Largeurs pennes'!J19="","",IF(SQRT(ABS('Largeurs pennes'!J19*'Largeurs pennes'!J19-('Ouvertures pennes'!F19*'Ouvertures pennes'!F19)/4))=0,0.01,SQRT(ABS('Largeurs pennes'!J19*'Largeurs pennes'!J19-('Ouvertures pennes'!F19*'Ouvertures pennes'!F19)/4))))</f>
        <v/>
      </c>
      <c r="G18" s="787" t="str">
        <f>IF('Largeurs pennes'!K19="","",IF(SQRT(ABS('Largeurs pennes'!K19*'Largeurs pennes'!K19-('Ouvertures pennes'!G19*'Ouvertures pennes'!G19)/4))=0,0.01,SQRT(ABS('Largeurs pennes'!K19*'Largeurs pennes'!K19-('Ouvertures pennes'!G19*'Ouvertures pennes'!G19)/4))))</f>
        <v/>
      </c>
      <c r="H18" s="782">
        <f>IF('Sections rachis &amp; L pennes'!V18="","",'Sections rachis &amp; L pennes'!V18)</f>
        <v>20</v>
      </c>
      <c r="I18" s="783">
        <f>IF('Largeurs pennes'!V19="","",IF(SQRT(ABS('Largeurs pennes'!V19*'Largeurs pennes'!V19-('Ouvertures pennes'!N19*'Ouvertures pennes'!N19)/4))=0,0.01,SQRT(ABS('Largeurs pennes'!V19*'Largeurs pennes'!V19-('Ouvertures pennes'!N19*'Ouvertures pennes'!N19)/4))))</f>
        <v>0.66469504337226715</v>
      </c>
      <c r="J18" s="784" t="str">
        <f>IF('Largeurs pennes'!W19="","",IF(SQRT(ABS('Largeurs pennes'!W19*'Largeurs pennes'!W19-('Ouvertures pennes'!O19*'Ouvertures pennes'!O19)/4))=0,0.01,SQRT(ABS('Largeurs pennes'!W19*'Largeurs pennes'!W19-('Ouvertures pennes'!O19*'Ouvertures pennes'!O19)/4))))</f>
        <v/>
      </c>
      <c r="K18" s="784" t="str">
        <f>IF('Largeurs pennes'!X19="","",IF(SQRT(ABS('Largeurs pennes'!X19*'Largeurs pennes'!X19-('Ouvertures pennes'!P19*'Ouvertures pennes'!P19)/4))=0,0.01,SQRT(ABS('Largeurs pennes'!X19*'Largeurs pennes'!X19-('Ouvertures pennes'!P19*'Ouvertures pennes'!P19)/4))))</f>
        <v/>
      </c>
      <c r="L18" s="787" t="str">
        <f>IF('Largeurs pennes'!Y19="","",IF(SQRT(ABS('Largeurs pennes'!Y19*'Largeurs pennes'!Y19-('Ouvertures pennes'!Q19*'Ouvertures pennes'!Q19)/4))=0,0.01,SQRT(ABS('Largeurs pennes'!Y19*'Largeurs pennes'!Y19-('Ouvertures pennes'!Q19*'Ouvertures pennes'!Q19)/4))))</f>
        <v/>
      </c>
      <c r="M18" s="781">
        <f t="shared" si="1"/>
        <v>0.66641960097227293</v>
      </c>
      <c r="O18" s="782">
        <f>IF('Sections rachis &amp; L pennes'!AC18="","",'Sections rachis &amp; L pennes'!AC18)</f>
        <v>20</v>
      </c>
      <c r="P18" s="783">
        <f>IF('Largeurs pennes'!H53="","",IF(SQRT(ABS('Largeurs pennes'!H53*'Largeurs pennes'!H53-('Ouvertures pennes'!D53*'Ouvertures pennes'!D53)/4))=0,0.01,SQRT(ABS('Largeurs pennes'!H53*'Largeurs pennes'!H53-('Ouvertures pennes'!D53*'Ouvertures pennes'!D53)/4))))</f>
        <v>0.71290549622712662</v>
      </c>
      <c r="Q18" s="784" t="str">
        <f>IF('Largeurs pennes'!I53="","",IF(SQRT(ABS('Largeurs pennes'!I53*'Largeurs pennes'!I53-('Ouvertures pennes'!E53*'Ouvertures pennes'!E53)/4))=0,0.01,SQRT(ABS('Largeurs pennes'!I53*'Largeurs pennes'!I53-('Ouvertures pennes'!E53*'Ouvertures pennes'!E53)/4))))</f>
        <v/>
      </c>
      <c r="R18" s="784" t="str">
        <f>IF('Largeurs pennes'!J53="","",IF(SQRT(ABS('Largeurs pennes'!J53*'Largeurs pennes'!J53-('Ouvertures pennes'!F53*'Ouvertures pennes'!F53)/4))=0,0.01,SQRT(ABS('Largeurs pennes'!J53*'Largeurs pennes'!J53-('Ouvertures pennes'!F53*'Ouvertures pennes'!F53)/4))))</f>
        <v/>
      </c>
      <c r="S18" s="787">
        <f>IF('Largeurs pennes'!K53="","",IF(SQRT(ABS('Largeurs pennes'!K53*'Largeurs pennes'!K53-('Ouvertures pennes'!G53*'Ouvertures pennes'!G53)/4))=0,0.01,SQRT(ABS('Largeurs pennes'!K53*'Largeurs pennes'!K53-('Ouvertures pennes'!G53*'Ouvertures pennes'!G53)/4))))</f>
        <v>0.6917474541276305</v>
      </c>
      <c r="T18" s="782">
        <f>IF('Sections rachis &amp; L pennes'!AH18="","",'Sections rachis &amp; L pennes'!AH18)</f>
        <v>20</v>
      </c>
      <c r="U18" s="783">
        <f>IF('Largeurs pennes'!V53="","",IF(SQRT(ABS('Largeurs pennes'!V53*'Largeurs pennes'!V53-('Ouvertures pennes'!N53*'Ouvertures pennes'!N53)/4))=0,0.01,SQRT(ABS('Largeurs pennes'!V53*'Largeurs pennes'!V53-('Ouvertures pennes'!N53*'Ouvertures pennes'!N53)/4))))</f>
        <v>0.70444253764199249</v>
      </c>
      <c r="V18" s="784" t="str">
        <f>IF('Largeurs pennes'!W53="","",IF(SQRT(ABS('Largeurs pennes'!W53*'Largeurs pennes'!W53-('Ouvertures pennes'!O53*'Ouvertures pennes'!O53)/4))=0,0.01,SQRT(ABS('Largeurs pennes'!W53*'Largeurs pennes'!W53-('Ouvertures pennes'!O53*'Ouvertures pennes'!O53)/4))))</f>
        <v/>
      </c>
      <c r="W18" s="784" t="str">
        <f>IF('Largeurs pennes'!X53="","",IF(SQRT(ABS('Largeurs pennes'!X53*'Largeurs pennes'!X53-('Ouvertures pennes'!P53*'Ouvertures pennes'!P53)/4))=0,0.01,SQRT(ABS('Largeurs pennes'!X53*'Largeurs pennes'!X53-('Ouvertures pennes'!P53*'Ouvertures pennes'!P53)/4))))</f>
        <v/>
      </c>
      <c r="X18" s="787">
        <f>IF('Largeurs pennes'!Y53="","",IF(SQRT(ABS('Largeurs pennes'!Y53*'Largeurs pennes'!Y53-('Ouvertures pennes'!Q53*'Ouvertures pennes'!Q53)/4))=0,0.01,SQRT(ABS('Largeurs pennes'!Y53*'Largeurs pennes'!Y53-('Ouvertures pennes'!Q53*'Ouvertures pennes'!Q53)/4))))</f>
        <v>0.68086530830539249</v>
      </c>
      <c r="Y18" s="781">
        <f t="shared" si="2"/>
        <v>0.71290549622712662</v>
      </c>
    </row>
    <row r="19" spans="1:25" s="345" customFormat="1">
      <c r="A19" s="345">
        <f t="shared" si="0"/>
        <v>30</v>
      </c>
      <c r="C19" s="782">
        <f>IF('Sections rachis &amp; L pennes'!Q19="","",'Sections rachis &amp; L pennes'!Q19)</f>
        <v>30</v>
      </c>
      <c r="D19" s="783">
        <f>IF('Largeurs pennes'!H20="","",IF(SQRT(ABS('Largeurs pennes'!H20*'Largeurs pennes'!H20-('Ouvertures pennes'!D20*'Ouvertures pennes'!D20)/4))=0,0.01,SQRT(ABS('Largeurs pennes'!H20*'Largeurs pennes'!H20-('Ouvertures pennes'!D20*'Ouvertures pennes'!D20)/4))))</f>
        <v>0.54146043309991465</v>
      </c>
      <c r="E19" s="784" t="str">
        <f>IF('Largeurs pennes'!I20="","",IF(SQRT(ABS('Largeurs pennes'!I20*'Largeurs pennes'!I20-('Ouvertures pennes'!E20*'Ouvertures pennes'!E20)/4))=0,0.01,SQRT(ABS('Largeurs pennes'!I20*'Largeurs pennes'!I20-('Ouvertures pennes'!E20*'Ouvertures pennes'!E20)/4))))</f>
        <v/>
      </c>
      <c r="F19" s="784" t="str">
        <f>IF('Largeurs pennes'!J20="","",IF(SQRT(ABS('Largeurs pennes'!J20*'Largeurs pennes'!J20-('Ouvertures pennes'!F20*'Ouvertures pennes'!F20)/4))=0,0.01,SQRT(ABS('Largeurs pennes'!J20*'Largeurs pennes'!J20-('Ouvertures pennes'!F20*'Ouvertures pennes'!F20)/4))))</f>
        <v/>
      </c>
      <c r="G19" s="787">
        <f>IF('Largeurs pennes'!K20="","",IF(SQRT(ABS('Largeurs pennes'!K20*'Largeurs pennes'!K20-('Ouvertures pennes'!G20*'Ouvertures pennes'!G20)/4))=0,0.01,SQRT(ABS('Largeurs pennes'!K20*'Largeurs pennes'!K20-('Ouvertures pennes'!G20*'Ouvertures pennes'!G20)/4))))</f>
        <v>0.52043928014508811</v>
      </c>
      <c r="H19" s="782">
        <f>IF('Sections rachis &amp; L pennes'!V19="","",'Sections rachis &amp; L pennes'!V19)</f>
        <v>30</v>
      </c>
      <c r="I19" s="783">
        <f>IF('Largeurs pennes'!V20="","",IF(SQRT(ABS('Largeurs pennes'!V20*'Largeurs pennes'!V20-('Ouvertures pennes'!N20*'Ouvertures pennes'!N20)/4))=0,0.01,SQRT(ABS('Largeurs pennes'!V20*'Largeurs pennes'!V20-('Ouvertures pennes'!N20*'Ouvertures pennes'!N20)/4))))</f>
        <v>0.55435439836894262</v>
      </c>
      <c r="J19" s="784" t="str">
        <f>IF('Largeurs pennes'!W20="","",IF(SQRT(ABS('Largeurs pennes'!W20*'Largeurs pennes'!W20-('Ouvertures pennes'!O20*'Ouvertures pennes'!O20)/4))=0,0.01,SQRT(ABS('Largeurs pennes'!W20*'Largeurs pennes'!W20-('Ouvertures pennes'!O20*'Ouvertures pennes'!O20)/4))))</f>
        <v/>
      </c>
      <c r="K19" s="784" t="str">
        <f>IF('Largeurs pennes'!X20="","",IF(SQRT(ABS('Largeurs pennes'!X20*'Largeurs pennes'!X20-('Ouvertures pennes'!P20*'Ouvertures pennes'!P20)/4))=0,0.01,SQRT(ABS('Largeurs pennes'!X20*'Largeurs pennes'!X20-('Ouvertures pennes'!P20*'Ouvertures pennes'!P20)/4))))</f>
        <v/>
      </c>
      <c r="L19" s="787">
        <f>IF('Largeurs pennes'!Y20="","",IF(SQRT(ABS('Largeurs pennes'!Y20*'Largeurs pennes'!Y20-('Ouvertures pennes'!Q20*'Ouvertures pennes'!Q20)/4))=0,0.01,SQRT(ABS('Largeurs pennes'!Y20*'Largeurs pennes'!Y20-('Ouvertures pennes'!Q20*'Ouvertures pennes'!Q20)/4))))</f>
        <v>0.53811690738257867</v>
      </c>
      <c r="M19" s="781">
        <f t="shared" si="1"/>
        <v>0.55435439836894262</v>
      </c>
      <c r="O19" s="782">
        <f>IF('Sections rachis &amp; L pennes'!AC19="","",'Sections rachis &amp; L pennes'!AC19)</f>
        <v>30</v>
      </c>
      <c r="P19" s="783">
        <f>IF('Largeurs pennes'!H54="","",IF(SQRT(ABS('Largeurs pennes'!H54*'Largeurs pennes'!H54-('Ouvertures pennes'!D54*'Ouvertures pennes'!D54)/4))=0,0.01,SQRT(ABS('Largeurs pennes'!H54*'Largeurs pennes'!H54-('Ouvertures pennes'!D54*'Ouvertures pennes'!D54)/4))))</f>
        <v>0.62914074340262116</v>
      </c>
      <c r="Q19" s="784" t="str">
        <f>IF('Largeurs pennes'!I54="","",IF(SQRT(ABS('Largeurs pennes'!I54*'Largeurs pennes'!I54-('Ouvertures pennes'!E54*'Ouvertures pennes'!E54)/4))=0,0.01,SQRT(ABS('Largeurs pennes'!I54*'Largeurs pennes'!I54-('Ouvertures pennes'!E54*'Ouvertures pennes'!E54)/4))))</f>
        <v/>
      </c>
      <c r="R19" s="784" t="str">
        <f>IF('Largeurs pennes'!J54="","",IF(SQRT(ABS('Largeurs pennes'!J54*'Largeurs pennes'!J54-('Ouvertures pennes'!F54*'Ouvertures pennes'!F54)/4))=0,0.01,SQRT(ABS('Largeurs pennes'!J54*'Largeurs pennes'!J54-('Ouvertures pennes'!F54*'Ouvertures pennes'!F54)/4))))</f>
        <v/>
      </c>
      <c r="S19" s="787">
        <f>IF('Largeurs pennes'!K54="","",IF(SQRT(ABS('Largeurs pennes'!K54*'Largeurs pennes'!K54-('Ouvertures pennes'!G54*'Ouvertures pennes'!G54)/4))=0,0.01,SQRT(ABS('Largeurs pennes'!K54*'Largeurs pennes'!K54-('Ouvertures pennes'!G54*'Ouvertures pennes'!G54)/4))))</f>
        <v>0.57392705393445043</v>
      </c>
      <c r="T19" s="782">
        <f>IF('Sections rachis &amp; L pennes'!AH19="","",'Sections rachis &amp; L pennes'!AH19)</f>
        <v>30</v>
      </c>
      <c r="U19" s="783">
        <f>IF('Largeurs pennes'!V54="","",IF(SQRT(ABS('Largeurs pennes'!V54*'Largeurs pennes'!V54-('Ouvertures pennes'!N54*'Ouvertures pennes'!N54)/4))=0,0.01,SQRT(ABS('Largeurs pennes'!V54*'Largeurs pennes'!V54-('Ouvertures pennes'!N54*'Ouvertures pennes'!N54)/4))))</f>
        <v>0.63064577330754867</v>
      </c>
      <c r="V19" s="784" t="str">
        <f>IF('Largeurs pennes'!W54="","",IF(SQRT(ABS('Largeurs pennes'!W54*'Largeurs pennes'!W54-('Ouvertures pennes'!O54*'Ouvertures pennes'!O54)/4))=0,0.01,SQRT(ABS('Largeurs pennes'!W54*'Largeurs pennes'!W54-('Ouvertures pennes'!O54*'Ouvertures pennes'!O54)/4))))</f>
        <v/>
      </c>
      <c r="W19" s="784" t="str">
        <f>IF('Largeurs pennes'!X54="","",IF(SQRT(ABS('Largeurs pennes'!X54*'Largeurs pennes'!X54-('Ouvertures pennes'!P54*'Ouvertures pennes'!P54)/4))=0,0.01,SQRT(ABS('Largeurs pennes'!X54*'Largeurs pennes'!X54-('Ouvertures pennes'!P54*'Ouvertures pennes'!P54)/4))))</f>
        <v/>
      </c>
      <c r="X19" s="787">
        <f>IF('Largeurs pennes'!Y54="","",IF(SQRT(ABS('Largeurs pennes'!Y54*'Largeurs pennes'!Y54-('Ouvertures pennes'!Q54*'Ouvertures pennes'!Q54)/4))=0,0.01,SQRT(ABS('Largeurs pennes'!Y54*'Largeurs pennes'!Y54-('Ouvertures pennes'!Q54*'Ouvertures pennes'!Q54)/4))))</f>
        <v>0.57242034688044874</v>
      </c>
      <c r="Y19" s="781">
        <f t="shared" si="2"/>
        <v>0.63064577330754867</v>
      </c>
    </row>
    <row r="20" spans="1:25" s="345" customFormat="1">
      <c r="A20" s="345">
        <f t="shared" si="0"/>
        <v>40</v>
      </c>
      <c r="C20" s="782">
        <f>IF('Sections rachis &amp; L pennes'!Q20="","",'Sections rachis &amp; L pennes'!Q20)</f>
        <v>40</v>
      </c>
      <c r="D20" s="783">
        <f>IF('Largeurs pennes'!H21="","",IF(SQRT(ABS('Largeurs pennes'!H21*'Largeurs pennes'!H21-('Ouvertures pennes'!D21*'Ouvertures pennes'!D21)/4))=0,0.01,SQRT(ABS('Largeurs pennes'!H21*'Largeurs pennes'!H21-('Ouvertures pennes'!D21*'Ouvertures pennes'!D21)/4))))</f>
        <v>0.72085433812523347</v>
      </c>
      <c r="E20" s="784">
        <f>IF('Largeurs pennes'!I21="","",IF(SQRT(ABS('Largeurs pennes'!I21*'Largeurs pennes'!I21-('Ouvertures pennes'!E21*'Ouvertures pennes'!E21)/4))=0,0.01,SQRT(ABS('Largeurs pennes'!I21*'Largeurs pennes'!I21-('Ouvertures pennes'!E21*'Ouvertures pennes'!E21)/4))))</f>
        <v>0.71162403759786996</v>
      </c>
      <c r="F20" s="784" t="str">
        <f>IF('Largeurs pennes'!J21="","",IF(SQRT(ABS('Largeurs pennes'!J21*'Largeurs pennes'!J21-('Ouvertures pennes'!F21*'Ouvertures pennes'!F21)/4))=0,0.01,SQRT(ABS('Largeurs pennes'!J21*'Largeurs pennes'!J21-('Ouvertures pennes'!F21*'Ouvertures pennes'!F21)/4))))</f>
        <v/>
      </c>
      <c r="G20" s="787">
        <f>IF('Largeurs pennes'!K21="","",IF(SQRT(ABS('Largeurs pennes'!K21*'Largeurs pennes'!K21-('Ouvertures pennes'!G21*'Ouvertures pennes'!G21)/4))=0,0.01,SQRT(ABS('Largeurs pennes'!K21*'Largeurs pennes'!K21-('Ouvertures pennes'!G21*'Ouvertures pennes'!G21)/4))))</f>
        <v>0.70742793914741431</v>
      </c>
      <c r="H20" s="782">
        <f>IF('Sections rachis &amp; L pennes'!V20="","",'Sections rachis &amp; L pennes'!V20)</f>
        <v>40</v>
      </c>
      <c r="I20" s="783">
        <f>IF('Largeurs pennes'!V21="","",IF(SQRT(ABS('Largeurs pennes'!V21*'Largeurs pennes'!V21-('Ouvertures pennes'!N21*'Ouvertures pennes'!N21)/4))=0,0.01,SQRT(ABS('Largeurs pennes'!V21*'Largeurs pennes'!V21-('Ouvertures pennes'!N21*'Ouvertures pennes'!N21)/4))))</f>
        <v>0.72546892722943535</v>
      </c>
      <c r="J20" s="784" t="str">
        <f>IF('Largeurs pennes'!W21="","",IF(SQRT(ABS('Largeurs pennes'!W21*'Largeurs pennes'!W21-('Ouvertures pennes'!O21*'Ouvertures pennes'!O21)/4))=0,0.01,SQRT(ABS('Largeurs pennes'!W21*'Largeurs pennes'!W21-('Ouvertures pennes'!O21*'Ouvertures pennes'!O21)/4))))</f>
        <v/>
      </c>
      <c r="K20" s="784" t="str">
        <f>IF('Largeurs pennes'!X21="","",IF(SQRT(ABS('Largeurs pennes'!X21*'Largeurs pennes'!X21-('Ouvertures pennes'!P21*'Ouvertures pennes'!P21)/4))=0,0.01,SQRT(ABS('Largeurs pennes'!X21*'Largeurs pennes'!X21-('Ouvertures pennes'!P21*'Ouvertures pennes'!P21)/4))))</f>
        <v/>
      </c>
      <c r="L20" s="787">
        <f>IF('Largeurs pennes'!Y21="","",IF(SQRT(ABS('Largeurs pennes'!Y21*'Largeurs pennes'!Y21-('Ouvertures pennes'!Q21*'Ouvertures pennes'!Q21)/4))=0,0.01,SQRT(ABS('Largeurs pennes'!Y21*'Largeurs pennes'!Y21-('Ouvertures pennes'!Q21*'Ouvertures pennes'!Q21)/4))))</f>
        <v>0.72005723528838061</v>
      </c>
      <c r="M20" s="781">
        <f t="shared" si="1"/>
        <v>0.72546892722943535</v>
      </c>
      <c r="O20" s="782">
        <f>IF('Sections rachis &amp; L pennes'!AC20="","",'Sections rachis &amp; L pennes'!AC20)</f>
        <v>40</v>
      </c>
      <c r="P20" s="783">
        <f>IF('Largeurs pennes'!H55="","",IF(SQRT(ABS('Largeurs pennes'!H55*'Largeurs pennes'!H55-('Ouvertures pennes'!D55*'Ouvertures pennes'!D55)/4))=0,0.01,SQRT(ABS('Largeurs pennes'!H55*'Largeurs pennes'!H55-('Ouvertures pennes'!D55*'Ouvertures pennes'!D55)/4))))</f>
        <v>0.72010585874249033</v>
      </c>
      <c r="Q20" s="784" t="str">
        <f>IF('Largeurs pennes'!I55="","",IF(SQRT(ABS('Largeurs pennes'!I55*'Largeurs pennes'!I55-('Ouvertures pennes'!E55*'Ouvertures pennes'!E55)/4))=0,0.01,SQRT(ABS('Largeurs pennes'!I55*'Largeurs pennes'!I55-('Ouvertures pennes'!E55*'Ouvertures pennes'!E55)/4))))</f>
        <v/>
      </c>
      <c r="R20" s="784" t="str">
        <f>IF('Largeurs pennes'!J55="","",IF(SQRT(ABS('Largeurs pennes'!J55*'Largeurs pennes'!J55-('Ouvertures pennes'!F55*'Ouvertures pennes'!F55)/4))=0,0.01,SQRT(ABS('Largeurs pennes'!J55*'Largeurs pennes'!J55-('Ouvertures pennes'!F55*'Ouvertures pennes'!F55)/4))))</f>
        <v/>
      </c>
      <c r="S20" s="787">
        <f>IF('Largeurs pennes'!K55="","",IF(SQRT(ABS('Largeurs pennes'!K55*'Largeurs pennes'!K55-('Ouvertures pennes'!G55*'Ouvertures pennes'!G55)/4))=0,0.01,SQRT(ABS('Largeurs pennes'!K55*'Largeurs pennes'!K55-('Ouvertures pennes'!G55*'Ouvertures pennes'!G55)/4))))</f>
        <v>0.70553499258994601</v>
      </c>
      <c r="T20" s="782">
        <f>IF('Sections rachis &amp; L pennes'!AH20="","",'Sections rachis &amp; L pennes'!AH20)</f>
        <v>40</v>
      </c>
      <c r="U20" s="783">
        <f>IF('Largeurs pennes'!V55="","",IF(SQRT(ABS('Largeurs pennes'!V55*'Largeurs pennes'!V55-('Ouvertures pennes'!N55*'Ouvertures pennes'!N55)/4))=0,0.01,SQRT(ABS('Largeurs pennes'!V55*'Largeurs pennes'!V55-('Ouvertures pennes'!N55*'Ouvertures pennes'!N55)/4))))</f>
        <v>0.68963451413049004</v>
      </c>
      <c r="V20" s="784" t="str">
        <f>IF('Largeurs pennes'!W55="","",IF(SQRT(ABS('Largeurs pennes'!W55*'Largeurs pennes'!W55-('Ouvertures pennes'!O55*'Ouvertures pennes'!O55)/4))=0,0.01,SQRT(ABS('Largeurs pennes'!W55*'Largeurs pennes'!W55-('Ouvertures pennes'!O55*'Ouvertures pennes'!O55)/4))))</f>
        <v/>
      </c>
      <c r="W20" s="784" t="str">
        <f>IF('Largeurs pennes'!X55="","",IF(SQRT(ABS('Largeurs pennes'!X55*'Largeurs pennes'!X55-('Ouvertures pennes'!P55*'Ouvertures pennes'!P55)/4))=0,0.01,SQRT(ABS('Largeurs pennes'!X55*'Largeurs pennes'!X55-('Ouvertures pennes'!P55*'Ouvertures pennes'!P55)/4))))</f>
        <v/>
      </c>
      <c r="X20" s="787">
        <f>IF('Largeurs pennes'!Y55="","",IF(SQRT(ABS('Largeurs pennes'!Y55*'Largeurs pennes'!Y55-('Ouvertures pennes'!Q55*'Ouvertures pennes'!Q55)/4))=0,0.01,SQRT(ABS('Largeurs pennes'!Y55*'Largeurs pennes'!Y55-('Ouvertures pennes'!Q55*'Ouvertures pennes'!Q55)/4))))</f>
        <v>0.71613240385656163</v>
      </c>
      <c r="Y20" s="781">
        <f t="shared" si="2"/>
        <v>0.72010585874249033</v>
      </c>
    </row>
    <row r="21" spans="1:25" s="345" customFormat="1">
      <c r="A21" s="345">
        <f t="shared" si="0"/>
        <v>50</v>
      </c>
      <c r="C21" s="782">
        <f>IF('Sections rachis &amp; L pennes'!Q21="","",'Sections rachis &amp; L pennes'!Q21)</f>
        <v>50</v>
      </c>
      <c r="D21" s="783">
        <f>IF('Largeurs pennes'!H22="","",IF(SQRT(ABS('Largeurs pennes'!H22*'Largeurs pennes'!H22-('Ouvertures pennes'!D22*'Ouvertures pennes'!D22)/4))=0,0.01,SQRT(ABS('Largeurs pennes'!H22*'Largeurs pennes'!H22-('Ouvertures pennes'!D22*'Ouvertures pennes'!D22)/4))))</f>
        <v>0.87697624024831045</v>
      </c>
      <c r="E21" s="784" t="str">
        <f>IF('Largeurs pennes'!I22="","",IF(SQRT(ABS('Largeurs pennes'!I22*'Largeurs pennes'!I22-('Ouvertures pennes'!E22*'Ouvertures pennes'!E22)/4))=0,0.01,SQRT(ABS('Largeurs pennes'!I22*'Largeurs pennes'!I22-('Ouvertures pennes'!E22*'Ouvertures pennes'!E22)/4))))</f>
        <v/>
      </c>
      <c r="F21" s="784" t="str">
        <f>IF('Largeurs pennes'!J22="","",IF(SQRT(ABS('Largeurs pennes'!J22*'Largeurs pennes'!J22-('Ouvertures pennes'!F22*'Ouvertures pennes'!F22)/4))=0,0.01,SQRT(ABS('Largeurs pennes'!J22*'Largeurs pennes'!J22-('Ouvertures pennes'!F22*'Ouvertures pennes'!F22)/4))))</f>
        <v/>
      </c>
      <c r="G21" s="787">
        <f>IF('Largeurs pennes'!K22="","",IF(SQRT(ABS('Largeurs pennes'!K22*'Largeurs pennes'!K22-('Ouvertures pennes'!G22*'Ouvertures pennes'!G22)/4))=0,0.01,SQRT(ABS('Largeurs pennes'!K22*'Largeurs pennes'!K22-('Ouvertures pennes'!G22*'Ouvertures pennes'!G22)/4))))</f>
        <v>1.0670460434657461</v>
      </c>
      <c r="H21" s="782">
        <f>IF('Sections rachis &amp; L pennes'!V21="","",'Sections rachis &amp; L pennes'!V21)</f>
        <v>50</v>
      </c>
      <c r="I21" s="783">
        <f>IF('Largeurs pennes'!V22="","",IF(SQRT(ABS('Largeurs pennes'!V22*'Largeurs pennes'!V22-('Ouvertures pennes'!N22*'Ouvertures pennes'!N22)/4))=0,0.01,SQRT(ABS('Largeurs pennes'!V22*'Largeurs pennes'!V22-('Ouvertures pennes'!N22*'Ouvertures pennes'!N22)/4))))</f>
        <v>0.875832266442512</v>
      </c>
      <c r="J21" s="784" t="str">
        <f>IF('Largeurs pennes'!W22="","",IF(SQRT(ABS('Largeurs pennes'!W22*'Largeurs pennes'!W22-('Ouvertures pennes'!O22*'Ouvertures pennes'!O22)/4))=0,0.01,SQRT(ABS('Largeurs pennes'!W22*'Largeurs pennes'!W22-('Ouvertures pennes'!O22*'Ouvertures pennes'!O22)/4))))</f>
        <v/>
      </c>
      <c r="K21" s="784" t="str">
        <f>IF('Largeurs pennes'!X22="","",IF(SQRT(ABS('Largeurs pennes'!X22*'Largeurs pennes'!X22-('Ouvertures pennes'!P22*'Ouvertures pennes'!P22)/4))=0,0.01,SQRT(ABS('Largeurs pennes'!X22*'Largeurs pennes'!X22-('Ouvertures pennes'!P22*'Ouvertures pennes'!P22)/4))))</f>
        <v/>
      </c>
      <c r="L21" s="787" t="str">
        <f>IF('Largeurs pennes'!Y22="","",IF(SQRT(ABS('Largeurs pennes'!Y22*'Largeurs pennes'!Y22-('Ouvertures pennes'!Q22*'Ouvertures pennes'!Q22)/4))=0,0.01,SQRT(ABS('Largeurs pennes'!Y22*'Largeurs pennes'!Y22-('Ouvertures pennes'!Q22*'Ouvertures pennes'!Q22)/4))))</f>
        <v/>
      </c>
      <c r="M21" s="781">
        <f t="shared" si="1"/>
        <v>1.0670460434657461</v>
      </c>
      <c r="O21" s="782">
        <f>IF('Sections rachis &amp; L pennes'!AC21="","",'Sections rachis &amp; L pennes'!AC21)</f>
        <v>50</v>
      </c>
      <c r="P21" s="783">
        <f>IF('Largeurs pennes'!H56="","",IF(SQRT(ABS('Largeurs pennes'!H56*'Largeurs pennes'!H56-('Ouvertures pennes'!D56*'Ouvertures pennes'!D56)/4))=0,0.01,SQRT(ABS('Largeurs pennes'!H56*'Largeurs pennes'!H56-('Ouvertures pennes'!D56*'Ouvertures pennes'!D56)/4))))</f>
        <v>0.91462008782720694</v>
      </c>
      <c r="Q21" s="784">
        <f>IF('Largeurs pennes'!I56="","",IF(SQRT(ABS('Largeurs pennes'!I56*'Largeurs pennes'!I56-('Ouvertures pennes'!E56*'Ouvertures pennes'!E56)/4))=0,0.01,SQRT(ABS('Largeurs pennes'!I56*'Largeurs pennes'!I56-('Ouvertures pennes'!E56*'Ouvertures pennes'!E56)/4))))</f>
        <v>0.91181272492228904</v>
      </c>
      <c r="R21" s="784" t="str">
        <f>IF('Largeurs pennes'!J56="","",IF(SQRT(ABS('Largeurs pennes'!J56*'Largeurs pennes'!J56-('Ouvertures pennes'!F56*'Ouvertures pennes'!F56)/4))=0,0.01,SQRT(ABS('Largeurs pennes'!J56*'Largeurs pennes'!J56-('Ouvertures pennes'!F56*'Ouvertures pennes'!F56)/4))))</f>
        <v/>
      </c>
      <c r="S21" s="787">
        <f>IF('Largeurs pennes'!K56="","",IF(SQRT(ABS('Largeurs pennes'!K56*'Largeurs pennes'!K56-('Ouvertures pennes'!G56*'Ouvertures pennes'!G56)/4))=0,0.01,SQRT(ABS('Largeurs pennes'!K56*'Largeurs pennes'!K56-('Ouvertures pennes'!G56*'Ouvertures pennes'!G56)/4))))</f>
        <v>0.90780201672685812</v>
      </c>
      <c r="T21" s="782">
        <f>IF('Sections rachis &amp; L pennes'!AH21="","",'Sections rachis &amp; L pennes'!AH21)</f>
        <v>50</v>
      </c>
      <c r="U21" s="783">
        <f>IF('Largeurs pennes'!V56="","",IF(SQRT(ABS('Largeurs pennes'!V56*'Largeurs pennes'!V56-('Ouvertures pennes'!N56*'Ouvertures pennes'!N56)/4))=0,0.01,SQRT(ABS('Largeurs pennes'!V56*'Largeurs pennes'!V56-('Ouvertures pennes'!N56*'Ouvertures pennes'!N56)/4))))</f>
        <v>0.8604577393588223</v>
      </c>
      <c r="V21" s="784" t="str">
        <f>IF('Largeurs pennes'!W56="","",IF(SQRT(ABS('Largeurs pennes'!W56*'Largeurs pennes'!W56-('Ouvertures pennes'!O56*'Ouvertures pennes'!O56)/4))=0,0.01,SQRT(ABS('Largeurs pennes'!W56*'Largeurs pennes'!W56-('Ouvertures pennes'!O56*'Ouvertures pennes'!O56)/4))))</f>
        <v/>
      </c>
      <c r="W21" s="784" t="str">
        <f>IF('Largeurs pennes'!X56="","",IF(SQRT(ABS('Largeurs pennes'!X56*'Largeurs pennes'!X56-('Ouvertures pennes'!P56*'Ouvertures pennes'!P56)/4))=0,0.01,SQRT(ABS('Largeurs pennes'!X56*'Largeurs pennes'!X56-('Ouvertures pennes'!P56*'Ouvertures pennes'!P56)/4))))</f>
        <v/>
      </c>
      <c r="X21" s="787">
        <f>IF('Largeurs pennes'!Y56="","",IF(SQRT(ABS('Largeurs pennes'!Y56*'Largeurs pennes'!Y56-('Ouvertures pennes'!Q56*'Ouvertures pennes'!Q56)/4))=0,0.01,SQRT(ABS('Largeurs pennes'!Y56*'Largeurs pennes'!Y56-('Ouvertures pennes'!Q56*'Ouvertures pennes'!Q56)/4))))</f>
        <v>0.85202835652163444</v>
      </c>
      <c r="Y21" s="781">
        <f t="shared" si="2"/>
        <v>0.91462008782720694</v>
      </c>
    </row>
    <row r="22" spans="1:25" s="345" customFormat="1">
      <c r="A22" s="345">
        <f t="shared" si="0"/>
        <v>60</v>
      </c>
      <c r="C22" s="782">
        <f>IF('Sections rachis &amp; L pennes'!Q22="","",'Sections rachis &amp; L pennes'!Q22)</f>
        <v>60</v>
      </c>
      <c r="D22" s="783">
        <f>IF('Largeurs pennes'!H23="","",IF(SQRT(ABS('Largeurs pennes'!H23*'Largeurs pennes'!H23-('Ouvertures pennes'!D23*'Ouvertures pennes'!D23)/4))=0,0.01,SQRT(ABS('Largeurs pennes'!H23*'Largeurs pennes'!H23-('Ouvertures pennes'!D23*'Ouvertures pennes'!D23)/4))))</f>
        <v>0.9887454244476741</v>
      </c>
      <c r="E22" s="784" t="str">
        <f>IF('Largeurs pennes'!I23="","",IF(SQRT(ABS('Largeurs pennes'!I23*'Largeurs pennes'!I23-('Ouvertures pennes'!E23*'Ouvertures pennes'!E23)/4))=0,0.01,SQRT(ABS('Largeurs pennes'!I23*'Largeurs pennes'!I23-('Ouvertures pennes'!E23*'Ouvertures pennes'!E23)/4))))</f>
        <v/>
      </c>
      <c r="F22" s="784" t="str">
        <f>IF('Largeurs pennes'!J23="","",IF(SQRT(ABS('Largeurs pennes'!J23*'Largeurs pennes'!J23-('Ouvertures pennes'!F23*'Ouvertures pennes'!F23)/4))=0,0.01,SQRT(ABS('Largeurs pennes'!J23*'Largeurs pennes'!J23-('Ouvertures pennes'!F23*'Ouvertures pennes'!F23)/4))))</f>
        <v/>
      </c>
      <c r="G22" s="787">
        <f>IF('Largeurs pennes'!K23="","",IF(SQRT(ABS('Largeurs pennes'!K23*'Largeurs pennes'!K23-('Ouvertures pennes'!G23*'Ouvertures pennes'!G23)/4))=0,0.01,SQRT(ABS('Largeurs pennes'!K23*'Largeurs pennes'!K23-('Ouvertures pennes'!G23*'Ouvertures pennes'!G23)/4))))</f>
        <v>0.98630389354619696</v>
      </c>
      <c r="H22" s="782">
        <f>IF('Sections rachis &amp; L pennes'!V22="","",'Sections rachis &amp; L pennes'!V22)</f>
        <v>60</v>
      </c>
      <c r="I22" s="783">
        <f>IF('Largeurs pennes'!V23="","",IF(SQRT(ABS('Largeurs pennes'!V23*'Largeurs pennes'!V23-('Ouvertures pennes'!N23*'Ouvertures pennes'!N23)/4))=0,0.01,SQRT(ABS('Largeurs pennes'!V23*'Largeurs pennes'!V23-('Ouvertures pennes'!N23*'Ouvertures pennes'!N23)/4))))</f>
        <v>0.99572080968329968</v>
      </c>
      <c r="J22" s="784">
        <f>IF('Largeurs pennes'!W23="","",IF(SQRT(ABS('Largeurs pennes'!W23*'Largeurs pennes'!W23-('Ouvertures pennes'!O23*'Ouvertures pennes'!O23)/4))=0,0.01,SQRT(ABS('Largeurs pennes'!W23*'Largeurs pennes'!W23-('Ouvertures pennes'!O23*'Ouvertures pennes'!O23)/4))))</f>
        <v>0.99188442388557918</v>
      </c>
      <c r="K22" s="784" t="str">
        <f>IF('Largeurs pennes'!X23="","",IF(SQRT(ABS('Largeurs pennes'!X23*'Largeurs pennes'!X23-('Ouvertures pennes'!P23*'Ouvertures pennes'!P23)/4))=0,0.01,SQRT(ABS('Largeurs pennes'!X23*'Largeurs pennes'!X23-('Ouvertures pennes'!P23*'Ouvertures pennes'!P23)/4))))</f>
        <v/>
      </c>
      <c r="L22" s="787">
        <f>IF('Largeurs pennes'!Y23="","",IF(SQRT(ABS('Largeurs pennes'!Y23*'Largeurs pennes'!Y23-('Ouvertures pennes'!Q23*'Ouvertures pennes'!Q23)/4))=0,0.01,SQRT(ABS('Largeurs pennes'!Y23*'Largeurs pennes'!Y23-('Ouvertures pennes'!Q23*'Ouvertures pennes'!Q23)/4))))</f>
        <v>0.98909420835221773</v>
      </c>
      <c r="M22" s="781">
        <f t="shared" si="1"/>
        <v>0.99572080968329968</v>
      </c>
      <c r="O22" s="782">
        <f>IF('Sections rachis &amp; L pennes'!AC22="","",'Sections rachis &amp; L pennes'!AC22)</f>
        <v>60</v>
      </c>
      <c r="P22" s="783">
        <f>IF('Largeurs pennes'!H57="","",IF(SQRT(ABS('Largeurs pennes'!H57*'Largeurs pennes'!H57-('Ouvertures pennes'!D57*'Ouvertures pennes'!D57)/4))=0,0.01,SQRT(ABS('Largeurs pennes'!H57*'Largeurs pennes'!H57-('Ouvertures pennes'!D57*'Ouvertures pennes'!D57)/4))))</f>
        <v>1.0372099009550326</v>
      </c>
      <c r="Q22" s="784" t="str">
        <f>IF('Largeurs pennes'!I57="","",IF(SQRT(ABS('Largeurs pennes'!I57*'Largeurs pennes'!I57-('Ouvertures pennes'!E57*'Ouvertures pennes'!E57)/4))=0,0.01,SQRT(ABS('Largeurs pennes'!I57*'Largeurs pennes'!I57-('Ouvertures pennes'!E57*'Ouvertures pennes'!E57)/4))))</f>
        <v/>
      </c>
      <c r="R22" s="784" t="str">
        <f>IF('Largeurs pennes'!J57="","",IF(SQRT(ABS('Largeurs pennes'!J57*'Largeurs pennes'!J57-('Ouvertures pennes'!F57*'Ouvertures pennes'!F57)/4))=0,0.01,SQRT(ABS('Largeurs pennes'!J57*'Largeurs pennes'!J57-('Ouvertures pennes'!F57*'Ouvertures pennes'!F57)/4))))</f>
        <v/>
      </c>
      <c r="S22" s="787">
        <f>IF('Largeurs pennes'!K57="","",IF(SQRT(ABS('Largeurs pennes'!K57*'Largeurs pennes'!K57-('Ouvertures pennes'!G57*'Ouvertures pennes'!G57)/4))=0,0.01,SQRT(ABS('Largeurs pennes'!K57*'Largeurs pennes'!K57-('Ouvertures pennes'!G57*'Ouvertures pennes'!G57)/4))))</f>
        <v>1.0284062724780361</v>
      </c>
      <c r="T22" s="782">
        <f>IF('Sections rachis &amp; L pennes'!AH22="","",'Sections rachis &amp; L pennes'!AH22)</f>
        <v>60</v>
      </c>
      <c r="U22" s="783">
        <f>IF('Largeurs pennes'!V57="","",IF(SQRT(ABS('Largeurs pennes'!V57*'Largeurs pennes'!V57-('Ouvertures pennes'!N57*'Ouvertures pennes'!N57)/4))=0,0.01,SQRT(ABS('Largeurs pennes'!V57*'Largeurs pennes'!V57-('Ouvertures pennes'!N57*'Ouvertures pennes'!N57)/4))))</f>
        <v>1.0067598338573109</v>
      </c>
      <c r="V22" s="784">
        <f>IF('Largeurs pennes'!W57="","",IF(SQRT(ABS('Largeurs pennes'!W57*'Largeurs pennes'!W57-('Ouvertures pennes'!O57*'Ouvertures pennes'!O57)/4))=0,0.01,SQRT(ABS('Largeurs pennes'!W57*'Largeurs pennes'!W57-('Ouvertures pennes'!O57*'Ouvertures pennes'!O57)/4))))</f>
        <v>1.0170334765473414</v>
      </c>
      <c r="W22" s="784" t="str">
        <f>IF('Largeurs pennes'!X57="","",IF(SQRT(ABS('Largeurs pennes'!X57*'Largeurs pennes'!X57-('Ouvertures pennes'!P57*'Ouvertures pennes'!P57)/4))=0,0.01,SQRT(ABS('Largeurs pennes'!X57*'Largeurs pennes'!X57-('Ouvertures pennes'!P57*'Ouvertures pennes'!P57)/4))))</f>
        <v/>
      </c>
      <c r="X22" s="787">
        <f>IF('Largeurs pennes'!Y57="","",IF(SQRT(ABS('Largeurs pennes'!Y57*'Largeurs pennes'!Y57-('Ouvertures pennes'!Q57*'Ouvertures pennes'!Q57)/4))=0,0.01,SQRT(ABS('Largeurs pennes'!Y57*'Largeurs pennes'!Y57-('Ouvertures pennes'!Q57*'Ouvertures pennes'!Q57)/4))))</f>
        <v>1.0063928922170977</v>
      </c>
      <c r="Y22" s="781">
        <f t="shared" si="2"/>
        <v>1.0372099009550326</v>
      </c>
    </row>
    <row r="23" spans="1:25" s="345" customFormat="1">
      <c r="A23" s="345">
        <f t="shared" si="0"/>
        <v>70</v>
      </c>
      <c r="C23" s="782">
        <f>IF('Sections rachis &amp; L pennes'!Q23="","",'Sections rachis &amp; L pennes'!Q23)</f>
        <v>70</v>
      </c>
      <c r="D23" s="783">
        <f>IF('Largeurs pennes'!H24="","",IF(SQRT(ABS('Largeurs pennes'!H24*'Largeurs pennes'!H24-('Ouvertures pennes'!D24*'Ouvertures pennes'!D24)/4))=0,0.01,SQRT(ABS('Largeurs pennes'!H24*'Largeurs pennes'!H24-('Ouvertures pennes'!D24*'Ouvertures pennes'!D24)/4))))</f>
        <v>1.0593096328027471</v>
      </c>
      <c r="E23" s="784" t="str">
        <f>IF('Largeurs pennes'!I24="","",IF(SQRT(ABS('Largeurs pennes'!I24*'Largeurs pennes'!I24-('Ouvertures pennes'!E24*'Ouvertures pennes'!E24)/4))=0,0.01,SQRT(ABS('Largeurs pennes'!I24*'Largeurs pennes'!I24-('Ouvertures pennes'!E24*'Ouvertures pennes'!E24)/4))))</f>
        <v/>
      </c>
      <c r="F23" s="784" t="str">
        <f>IF('Largeurs pennes'!J24="","",IF(SQRT(ABS('Largeurs pennes'!J24*'Largeurs pennes'!J24-('Ouvertures pennes'!F24*'Ouvertures pennes'!F24)/4))=0,0.01,SQRT(ABS('Largeurs pennes'!J24*'Largeurs pennes'!J24-('Ouvertures pennes'!F24*'Ouvertures pennes'!F24)/4))))</f>
        <v/>
      </c>
      <c r="G23" s="787">
        <f>IF('Largeurs pennes'!K24="","",IF(SQRT(ABS('Largeurs pennes'!K24*'Largeurs pennes'!K24-('Ouvertures pennes'!G24*'Ouvertures pennes'!G24)/4))=0,0.01,SQRT(ABS('Largeurs pennes'!K24*'Largeurs pennes'!K24-('Ouvertures pennes'!G24*'Ouvertures pennes'!G24)/4))))</f>
        <v>1.0583783262061899</v>
      </c>
      <c r="H23" s="782">
        <f>IF('Sections rachis &amp; L pennes'!V23="","",'Sections rachis &amp; L pennes'!V23)</f>
        <v>70</v>
      </c>
      <c r="I23" s="783">
        <f>IF('Largeurs pennes'!V24="","",IF(SQRT(ABS('Largeurs pennes'!V24*'Largeurs pennes'!V24-('Ouvertures pennes'!N24*'Ouvertures pennes'!N24)/4))=0,0.01,SQRT(ABS('Largeurs pennes'!V24*'Largeurs pennes'!V24-('Ouvertures pennes'!N24*'Ouvertures pennes'!N24)/4))))</f>
        <v>1.0472018393352676</v>
      </c>
      <c r="J23" s="784" t="str">
        <f>IF('Largeurs pennes'!W24="","",IF(SQRT(ABS('Largeurs pennes'!W24*'Largeurs pennes'!W24-('Ouvertures pennes'!O24*'Ouvertures pennes'!O24)/4))=0,0.01,SQRT(ABS('Largeurs pennes'!W24*'Largeurs pennes'!W24-('Ouvertures pennes'!O24*'Ouvertures pennes'!O24)/4))))</f>
        <v/>
      </c>
      <c r="K23" s="784" t="str">
        <f>IF('Largeurs pennes'!X24="","",IF(SQRT(ABS('Largeurs pennes'!X24*'Largeurs pennes'!X24-('Ouvertures pennes'!P24*'Ouvertures pennes'!P24)/4))=0,0.01,SQRT(ABS('Largeurs pennes'!X24*'Largeurs pennes'!X24-('Ouvertures pennes'!P24*'Ouvertures pennes'!P24)/4))))</f>
        <v/>
      </c>
      <c r="L23" s="787">
        <f>IF('Largeurs pennes'!Y24="","",IF(SQRT(ABS('Largeurs pennes'!Y24*'Largeurs pennes'!Y24-('Ouvertures pennes'!Q24*'Ouvertures pennes'!Q24)/4))=0,0.01,SQRT(ABS('Largeurs pennes'!Y24*'Largeurs pennes'!Y24-('Ouvertures pennes'!Q24*'Ouvertures pennes'!Q24)/4))))</f>
        <v>1.0403710165879678</v>
      </c>
      <c r="M23" s="781">
        <f t="shared" si="1"/>
        <v>1.0593096328027471</v>
      </c>
      <c r="O23" s="782">
        <f>IF('Sections rachis &amp; L pennes'!AC23="","",'Sections rachis &amp; L pennes'!AC23)</f>
        <v>70</v>
      </c>
      <c r="P23" s="783">
        <f>IF('Largeurs pennes'!H58="","",IF(SQRT(ABS('Largeurs pennes'!H58*'Largeurs pennes'!H58-('Ouvertures pennes'!D58*'Ouvertures pennes'!D58)/4))=0,0.01,SQRT(ABS('Largeurs pennes'!H58*'Largeurs pennes'!H58-('Ouvertures pennes'!D58*'Ouvertures pennes'!D58)/4))))</f>
        <v>1.0950471728748081</v>
      </c>
      <c r="Q23" s="784" t="str">
        <f>IF('Largeurs pennes'!I58="","",IF(SQRT(ABS('Largeurs pennes'!I58*'Largeurs pennes'!I58-('Ouvertures pennes'!E58*'Ouvertures pennes'!E58)/4))=0,0.01,SQRT(ABS('Largeurs pennes'!I58*'Largeurs pennes'!I58-('Ouvertures pennes'!E58*'Ouvertures pennes'!E58)/4))))</f>
        <v/>
      </c>
      <c r="R23" s="784" t="str">
        <f>IF('Largeurs pennes'!J58="","",IF(SQRT(ABS('Largeurs pennes'!J58*'Largeurs pennes'!J58-('Ouvertures pennes'!F58*'Ouvertures pennes'!F58)/4))=0,0.01,SQRT(ABS('Largeurs pennes'!J58*'Largeurs pennes'!J58-('Ouvertures pennes'!F58*'Ouvertures pennes'!F58)/4))))</f>
        <v/>
      </c>
      <c r="S23" s="787">
        <f>IF('Largeurs pennes'!K58="","",IF(SQRT(ABS('Largeurs pennes'!K58*'Largeurs pennes'!K58-('Ouvertures pennes'!G58*'Ouvertures pennes'!G58)/4))=0,0.01,SQRT(ABS('Largeurs pennes'!K58*'Largeurs pennes'!K58-('Ouvertures pennes'!G58*'Ouvertures pennes'!G58)/4))))</f>
        <v>1.0921083757160686</v>
      </c>
      <c r="T23" s="782">
        <f>IF('Sections rachis &amp; L pennes'!AH23="","",'Sections rachis &amp; L pennes'!AH23)</f>
        <v>70</v>
      </c>
      <c r="U23" s="783">
        <f>IF('Largeurs pennes'!V58="","",IF(SQRT(ABS('Largeurs pennes'!V58*'Largeurs pennes'!V58-('Ouvertures pennes'!N58*'Ouvertures pennes'!N58)/4))=0,0.01,SQRT(ABS('Largeurs pennes'!V58*'Largeurs pennes'!V58-('Ouvertures pennes'!N58*'Ouvertures pennes'!N58)/4))))</f>
        <v>1.0894960253521386</v>
      </c>
      <c r="V23" s="784">
        <f>IF('Largeurs pennes'!W58="","",IF(SQRT(ABS('Largeurs pennes'!W58*'Largeurs pennes'!W58-('Ouvertures pennes'!O58*'Ouvertures pennes'!O58)/4))=0,0.01,SQRT(ABS('Largeurs pennes'!W58*'Largeurs pennes'!W58-('Ouvertures pennes'!O58*'Ouvertures pennes'!O58)/4))))</f>
        <v>1.0885163729184231</v>
      </c>
      <c r="W23" s="784" t="str">
        <f>IF('Largeurs pennes'!X58="","",IF(SQRT(ABS('Largeurs pennes'!X58*'Largeurs pennes'!X58-('Ouvertures pennes'!P58*'Ouvertures pennes'!P58)/4))=0,0.01,SQRT(ABS('Largeurs pennes'!X58*'Largeurs pennes'!X58-('Ouvertures pennes'!P58*'Ouvertures pennes'!P58)/4))))</f>
        <v/>
      </c>
      <c r="X23" s="787">
        <f>IF('Largeurs pennes'!Y58="","",IF(SQRT(ABS('Largeurs pennes'!Y58*'Largeurs pennes'!Y58-('Ouvertures pennes'!Q58*'Ouvertures pennes'!Q58)/4))=0,0.01,SQRT(ABS('Largeurs pennes'!Y58*'Largeurs pennes'!Y58-('Ouvertures pennes'!Q58*'Ouvertures pennes'!Q58)/4))))</f>
        <v>1.083944508622573</v>
      </c>
      <c r="Y23" s="781">
        <f t="shared" si="2"/>
        <v>1.0950471728748081</v>
      </c>
    </row>
    <row r="24" spans="1:25" s="345" customFormat="1">
      <c r="A24" s="345">
        <f t="shared" si="0"/>
        <v>80</v>
      </c>
      <c r="C24" s="782">
        <f>IF('Sections rachis &amp; L pennes'!Q24="","",'Sections rachis &amp; L pennes'!Q24)</f>
        <v>80</v>
      </c>
      <c r="D24" s="783">
        <f>IF('Largeurs pennes'!H25="","",IF(SQRT(ABS('Largeurs pennes'!H25*'Largeurs pennes'!H25-('Ouvertures pennes'!D25*'Ouvertures pennes'!D25)/4))=0,0.01,SQRT(ABS('Largeurs pennes'!H25*'Largeurs pennes'!H25-('Ouvertures pennes'!D25*'Ouvertures pennes'!D25)/4))))</f>
        <v>1.0370197628759401</v>
      </c>
      <c r="E24" s="784" t="str">
        <f>IF('Largeurs pennes'!I25="","",IF(SQRT(ABS('Largeurs pennes'!I25*'Largeurs pennes'!I25-('Ouvertures pennes'!E25*'Ouvertures pennes'!E25)/4))=0,0.01,SQRT(ABS('Largeurs pennes'!I25*'Largeurs pennes'!I25-('Ouvertures pennes'!E25*'Ouvertures pennes'!E25)/4))))</f>
        <v/>
      </c>
      <c r="F24" s="784" t="str">
        <f>IF('Largeurs pennes'!J25="","",IF(SQRT(ABS('Largeurs pennes'!J25*'Largeurs pennes'!J25-('Ouvertures pennes'!F25*'Ouvertures pennes'!F25)/4))=0,0.01,SQRT(ABS('Largeurs pennes'!J25*'Largeurs pennes'!J25-('Ouvertures pennes'!F25*'Ouvertures pennes'!F25)/4))))</f>
        <v/>
      </c>
      <c r="G24" s="787">
        <f>IF('Largeurs pennes'!K25="","",IF(SQRT(ABS('Largeurs pennes'!K25*'Largeurs pennes'!K25-('Ouvertures pennes'!G25*'Ouvertures pennes'!G25)/4))=0,0.01,SQRT(ABS('Largeurs pennes'!K25*'Largeurs pennes'!K25-('Ouvertures pennes'!G25*'Ouvertures pennes'!G25)/4))))</f>
        <v>1.0321370202244173</v>
      </c>
      <c r="H24" s="782">
        <f>IF('Sections rachis &amp; L pennes'!V24="","",'Sections rachis &amp; L pennes'!V24)</f>
        <v>80</v>
      </c>
      <c r="I24" s="783">
        <f>IF('Largeurs pennes'!V25="","",IF(SQRT(ABS('Largeurs pennes'!V25*'Largeurs pennes'!V25-('Ouvertures pennes'!N25*'Ouvertures pennes'!N25)/4))=0,0.01,SQRT(ABS('Largeurs pennes'!V25*'Largeurs pennes'!V25-('Ouvertures pennes'!N25*'Ouvertures pennes'!N25)/4))))</f>
        <v>1.0172300391669298</v>
      </c>
      <c r="J24" s="784">
        <f>IF('Largeurs pennes'!W25="","",IF(SQRT(ABS('Largeurs pennes'!W25*'Largeurs pennes'!W25-('Ouvertures pennes'!O25*'Ouvertures pennes'!O25)/4))=0,0.01,SQRT(ABS('Largeurs pennes'!W25*'Largeurs pennes'!W25-('Ouvertures pennes'!O25*'Ouvertures pennes'!O25)/4))))</f>
        <v>1.0205714942014672</v>
      </c>
      <c r="K24" s="784" t="str">
        <f>IF('Largeurs pennes'!X25="","",IF(SQRT(ABS('Largeurs pennes'!X25*'Largeurs pennes'!X25-('Ouvertures pennes'!P25*'Ouvertures pennes'!P25)/4))=0,0.01,SQRT(ABS('Largeurs pennes'!X25*'Largeurs pennes'!X25-('Ouvertures pennes'!P25*'Ouvertures pennes'!P25)/4))))</f>
        <v/>
      </c>
      <c r="L24" s="787">
        <f>IF('Largeurs pennes'!Y25="","",IF(SQRT(ABS('Largeurs pennes'!Y25*'Largeurs pennes'!Y25-('Ouvertures pennes'!Q25*'Ouvertures pennes'!Q25)/4))=0,0.01,SQRT(ABS('Largeurs pennes'!Y25*'Largeurs pennes'!Y25-('Ouvertures pennes'!Q25*'Ouvertures pennes'!Q25)/4))))</f>
        <v>1.0226277060666946</v>
      </c>
      <c r="M24" s="781">
        <f t="shared" si="1"/>
        <v>1.0370197628759401</v>
      </c>
      <c r="O24" s="782">
        <f>IF('Sections rachis &amp; L pennes'!AC24="","",'Sections rachis &amp; L pennes'!AC24)</f>
        <v>80</v>
      </c>
      <c r="P24" s="783">
        <f>IF('Largeurs pennes'!H59="","",IF(SQRT(ABS('Largeurs pennes'!H59*'Largeurs pennes'!H59-('Ouvertures pennes'!D59*'Ouvertures pennes'!D59)/4))=0,0.01,SQRT(ABS('Largeurs pennes'!H59*'Largeurs pennes'!H59-('Ouvertures pennes'!D59*'Ouvertures pennes'!D59)/4))))</f>
        <v>1.0708134554629023</v>
      </c>
      <c r="Q24" s="784">
        <f>IF('Largeurs pennes'!I59="","",IF(SQRT(ABS('Largeurs pennes'!I59*'Largeurs pennes'!I59-('Ouvertures pennes'!E59*'Ouvertures pennes'!E59)/4))=0,0.01,SQRT(ABS('Largeurs pennes'!I59*'Largeurs pennes'!I59-('Ouvertures pennes'!E59*'Ouvertures pennes'!E59)/4))))</f>
        <v>1.0710837584977928</v>
      </c>
      <c r="R24" s="784" t="str">
        <f>IF('Largeurs pennes'!J59="","",IF(SQRT(ABS('Largeurs pennes'!J59*'Largeurs pennes'!J59-('Ouvertures pennes'!F59*'Ouvertures pennes'!F59)/4))=0,0.01,SQRT(ABS('Largeurs pennes'!J59*'Largeurs pennes'!J59-('Ouvertures pennes'!F59*'Ouvertures pennes'!F59)/4))))</f>
        <v/>
      </c>
      <c r="S24" s="787">
        <f>IF('Largeurs pennes'!K59="","",IF(SQRT(ABS('Largeurs pennes'!K59*'Largeurs pennes'!K59-('Ouvertures pennes'!G59*'Ouvertures pennes'!G59)/4))=0,0.01,SQRT(ABS('Largeurs pennes'!K59*'Largeurs pennes'!K59-('Ouvertures pennes'!G59*'Ouvertures pennes'!G59)/4))))</f>
        <v>1.0721649620703317</v>
      </c>
      <c r="T24" s="782">
        <f>IF('Sections rachis &amp; L pennes'!AH24="","",'Sections rachis &amp; L pennes'!AH24)</f>
        <v>80</v>
      </c>
      <c r="U24" s="783">
        <f>IF('Largeurs pennes'!V59="","",IF(SQRT(ABS('Largeurs pennes'!V59*'Largeurs pennes'!V59-('Ouvertures pennes'!N59*'Ouvertures pennes'!N59)/4))=0,0.01,SQRT(ABS('Largeurs pennes'!V59*'Largeurs pennes'!V59-('Ouvertures pennes'!N59*'Ouvertures pennes'!N59)/4))))</f>
        <v>1.0621633017483307</v>
      </c>
      <c r="V24" s="784">
        <f>IF('Largeurs pennes'!W59="","",IF(SQRT(ABS('Largeurs pennes'!W59*'Largeurs pennes'!W59-('Ouvertures pennes'!O59*'Ouvertures pennes'!O59)/4))=0,0.01,SQRT(ABS('Largeurs pennes'!W59*'Largeurs pennes'!W59-('Ouvertures pennes'!O59*'Ouvertures pennes'!O59)/4))))</f>
        <v>1.0602709613784964</v>
      </c>
      <c r="W24" s="784" t="str">
        <f>IF('Largeurs pennes'!X59="","",IF(SQRT(ABS('Largeurs pennes'!X59*'Largeurs pennes'!X59-('Ouvertures pennes'!P59*'Ouvertures pennes'!P59)/4))=0,0.01,SQRT(ABS('Largeurs pennes'!X59*'Largeurs pennes'!X59-('Ouvertures pennes'!P59*'Ouvertures pennes'!P59)/4))))</f>
        <v/>
      </c>
      <c r="X24" s="787">
        <f>IF('Largeurs pennes'!Y59="","",IF(SQRT(ABS('Largeurs pennes'!Y59*'Largeurs pennes'!Y59-('Ouvertures pennes'!Q59*'Ouvertures pennes'!Q59)/4))=0,0.01,SQRT(ABS('Largeurs pennes'!Y59*'Largeurs pennes'!Y59-('Ouvertures pennes'!Q59*'Ouvertures pennes'!Q59)/4))))</f>
        <v>1.0689213101582149</v>
      </c>
      <c r="Y24" s="781">
        <f t="shared" si="2"/>
        <v>1.0721649620703317</v>
      </c>
    </row>
    <row r="25" spans="1:25" s="345" customFormat="1" ht="13.5" thickBot="1">
      <c r="A25" s="345">
        <f t="shared" si="0"/>
        <v>90</v>
      </c>
      <c r="C25" s="794">
        <f>IF('Sections rachis &amp; L pennes'!Q25="","",'Sections rachis &amp; L pennes'!Q25)</f>
        <v>90</v>
      </c>
      <c r="D25" s="783" t="str">
        <f>IF('Largeurs pennes'!H26="","",IF(SQRT(ABS('Largeurs pennes'!H26*'Largeurs pennes'!H26-('Ouvertures pennes'!D26*'Ouvertures pennes'!D26)/4))=0,0.01,SQRT(ABS('Largeurs pennes'!H26*'Largeurs pennes'!H26-('Ouvertures pennes'!D26*'Ouvertures pennes'!D26)/4))))</f>
        <v/>
      </c>
      <c r="E25" s="784">
        <f>IF('Largeurs pennes'!I26="","",IF(SQRT(ABS('Largeurs pennes'!I26*'Largeurs pennes'!I26-('Ouvertures pennes'!E26*'Ouvertures pennes'!E26)/4))=0,0.01,SQRT(ABS('Largeurs pennes'!I26*'Largeurs pennes'!I26-('Ouvertures pennes'!E26*'Ouvertures pennes'!E26)/4))))</f>
        <v>0.84406121674443457</v>
      </c>
      <c r="F25" s="784" t="str">
        <f>IF('Largeurs pennes'!J26="","",IF(SQRT(ABS('Largeurs pennes'!J26*'Largeurs pennes'!J26-('Ouvertures pennes'!F26*'Ouvertures pennes'!F26)/4))=0,0.01,SQRT(ABS('Largeurs pennes'!J26*'Largeurs pennes'!J26-('Ouvertures pennes'!F26*'Ouvertures pennes'!F26)/4))))</f>
        <v/>
      </c>
      <c r="G25" s="787" t="str">
        <f>IF('Largeurs pennes'!K26="","",IF(SQRT(ABS('Largeurs pennes'!K26*'Largeurs pennes'!K26-('Ouvertures pennes'!G26*'Ouvertures pennes'!G26)/4))=0,0.01,SQRT(ABS('Largeurs pennes'!K26*'Largeurs pennes'!K26-('Ouvertures pennes'!G26*'Ouvertures pennes'!G26)/4))))</f>
        <v/>
      </c>
      <c r="H25" s="794">
        <f>IF('Sections rachis &amp; L pennes'!V25="","",'Sections rachis &amp; L pennes'!V25)</f>
        <v>90</v>
      </c>
      <c r="I25" s="783" t="str">
        <f>IF('Largeurs pennes'!V26="","",IF(SQRT(ABS('Largeurs pennes'!V26*'Largeurs pennes'!V26-('Ouvertures pennes'!N26*'Ouvertures pennes'!N26)/4))=0,0.01,SQRT(ABS('Largeurs pennes'!V26*'Largeurs pennes'!V26-('Ouvertures pennes'!N26*'Ouvertures pennes'!N26)/4))))</f>
        <v/>
      </c>
      <c r="J25" s="784">
        <f>IF('Largeurs pennes'!W26="","",IF(SQRT(ABS('Largeurs pennes'!W26*'Largeurs pennes'!W26-('Ouvertures pennes'!O26*'Ouvertures pennes'!O26)/4))=0,0.01,SQRT(ABS('Largeurs pennes'!W26*'Largeurs pennes'!W26-('Ouvertures pennes'!O26*'Ouvertures pennes'!O26)/4))))</f>
        <v>0.83609195307332607</v>
      </c>
      <c r="K25" s="784" t="str">
        <f>IF('Largeurs pennes'!X26="","",IF(SQRT(ABS('Largeurs pennes'!X26*'Largeurs pennes'!X26-('Ouvertures pennes'!P26*'Ouvertures pennes'!P26)/4))=0,0.01,SQRT(ABS('Largeurs pennes'!X26*'Largeurs pennes'!X26-('Ouvertures pennes'!P26*'Ouvertures pennes'!P26)/4))))</f>
        <v/>
      </c>
      <c r="L25" s="787" t="str">
        <f>IF('Largeurs pennes'!Y26="","",IF(SQRT(ABS('Largeurs pennes'!Y26*'Largeurs pennes'!Y26-('Ouvertures pennes'!Q26*'Ouvertures pennes'!Q26)/4))=0,0.01,SQRT(ABS('Largeurs pennes'!Y26*'Largeurs pennes'!Y26-('Ouvertures pennes'!Q26*'Ouvertures pennes'!Q26)/4))))</f>
        <v/>
      </c>
      <c r="M25" s="781">
        <f t="shared" si="1"/>
        <v>0.84406121674443457</v>
      </c>
      <c r="O25" s="794">
        <f>IF('Sections rachis &amp; L pennes'!AC25="","",'Sections rachis &amp; L pennes'!AC25)</f>
        <v>90</v>
      </c>
      <c r="P25" s="783">
        <f>IF('Largeurs pennes'!H60="","",IF(SQRT(ABS('Largeurs pennes'!H60*'Largeurs pennes'!H60-('Ouvertures pennes'!D60*'Ouvertures pennes'!D60)/4))=0,0.01,SQRT(ABS('Largeurs pennes'!H60*'Largeurs pennes'!H60-('Ouvertures pennes'!D60*'Ouvertures pennes'!D60)/4))))</f>
        <v>0.87048253764816919</v>
      </c>
      <c r="Q25" s="784" t="str">
        <f>IF('Largeurs pennes'!I60="","",IF(SQRT(ABS('Largeurs pennes'!I60*'Largeurs pennes'!I60-('Ouvertures pennes'!E60*'Ouvertures pennes'!E60)/4))=0,0.01,SQRT(ABS('Largeurs pennes'!I60*'Largeurs pennes'!I60-('Ouvertures pennes'!E60*'Ouvertures pennes'!E60)/4))))</f>
        <v/>
      </c>
      <c r="R25" s="784" t="str">
        <f>IF('Largeurs pennes'!J60="","",IF(SQRT(ABS('Largeurs pennes'!J60*'Largeurs pennes'!J60-('Ouvertures pennes'!F60*'Ouvertures pennes'!F60)/4))=0,0.01,SQRT(ABS('Largeurs pennes'!J60*'Largeurs pennes'!J60-('Ouvertures pennes'!F60*'Ouvertures pennes'!F60)/4))))</f>
        <v/>
      </c>
      <c r="S25" s="787" t="str">
        <f>IF('Largeurs pennes'!K60="","",IF(SQRT(ABS('Largeurs pennes'!K60*'Largeurs pennes'!K60-('Ouvertures pennes'!G60*'Ouvertures pennes'!G60)/4))=0,0.01,SQRT(ABS('Largeurs pennes'!K60*'Largeurs pennes'!K60-('Ouvertures pennes'!G60*'Ouvertures pennes'!G60)/4))))</f>
        <v/>
      </c>
      <c r="T25" s="788">
        <f>IF('Sections rachis &amp; L pennes'!AH25="","",'Sections rachis &amp; L pennes'!AH25)</f>
        <v>90</v>
      </c>
      <c r="U25" s="783">
        <f>IF('Largeurs pennes'!V60="","",IF(SQRT(ABS('Largeurs pennes'!V60*'Largeurs pennes'!V60-('Ouvertures pennes'!N60*'Ouvertures pennes'!N60)/4))=0,0.01,SQRT(ABS('Largeurs pennes'!V60*'Largeurs pennes'!V60-('Ouvertures pennes'!N60*'Ouvertures pennes'!N60)/4))))</f>
        <v>0.86400517446986735</v>
      </c>
      <c r="V25" s="784" t="str">
        <f>IF('Largeurs pennes'!W60="","",IF(SQRT(ABS('Largeurs pennes'!W60*'Largeurs pennes'!W60-('Ouvertures pennes'!O60*'Ouvertures pennes'!O60)/4))=0,0.01,SQRT(ABS('Largeurs pennes'!W60*'Largeurs pennes'!W60-('Ouvertures pennes'!O60*'Ouvertures pennes'!O60)/4))))</f>
        <v/>
      </c>
      <c r="W25" s="784" t="str">
        <f>IF('Largeurs pennes'!X60="","",IF(SQRT(ABS('Largeurs pennes'!X60*'Largeurs pennes'!X60-('Ouvertures pennes'!P60*'Ouvertures pennes'!P60)/4))=0,0.01,SQRT(ABS('Largeurs pennes'!X60*'Largeurs pennes'!X60-('Ouvertures pennes'!P60*'Ouvertures pennes'!P60)/4))))</f>
        <v/>
      </c>
      <c r="X25" s="787">
        <f>IF('Largeurs pennes'!Y60="","",IF(SQRT(ABS('Largeurs pennes'!Y60*'Largeurs pennes'!Y60-('Ouvertures pennes'!Q60*'Ouvertures pennes'!Q60)/4))=0,0.01,SQRT(ABS('Largeurs pennes'!Y60*'Largeurs pennes'!Y60-('Ouvertures pennes'!Q60*'Ouvertures pennes'!Q60)/4))))</f>
        <v>0.86229047722949048</v>
      </c>
      <c r="Y25" s="781">
        <f t="shared" si="2"/>
        <v>0.87048253764816919</v>
      </c>
    </row>
    <row r="26" spans="1:25" s="345" customFormat="1">
      <c r="A26" s="345">
        <f t="shared" si="0"/>
        <v>97.736572490101764</v>
      </c>
      <c r="B26" s="648" t="s">
        <v>1247</v>
      </c>
      <c r="C26" s="795">
        <f>IF('Sections rachis &amp; L pennes'!Q26="","",'Sections rachis &amp; L pennes'!Q26)</f>
        <v>97.59213759213759</v>
      </c>
      <c r="D26" s="776" t="str">
        <f>IF('Largeurs pennes'!H27="","",IF(SQRT(ABS('Largeurs pennes'!H27*'Largeurs pennes'!H27-('Ouvertures pennes'!D27*'Ouvertures pennes'!D27)/4))=0,0.01,SQRT(ABS('Largeurs pennes'!H27*'Largeurs pennes'!H27-('Ouvertures pennes'!D27*'Ouvertures pennes'!D27)/4))))</f>
        <v/>
      </c>
      <c r="E26" s="777" t="str">
        <f>IF('Largeurs pennes'!I27="","",IF(SQRT(ABS('Largeurs pennes'!I27*'Largeurs pennes'!I27-('Ouvertures pennes'!E27*'Ouvertures pennes'!E27)/4))=0,0.01,SQRT(ABS('Largeurs pennes'!I27*'Largeurs pennes'!I27-('Ouvertures pennes'!E27*'Ouvertures pennes'!E27)/4))))</f>
        <v/>
      </c>
      <c r="F26" s="777" t="str">
        <f>IF('Largeurs pennes'!J27="","",IF(SQRT(ABS('Largeurs pennes'!J27*'Largeurs pennes'!J27-('Ouvertures pennes'!F27*'Ouvertures pennes'!F27)/4))=0,0.01,SQRT(ABS('Largeurs pennes'!J27*'Largeurs pennes'!J27-('Ouvertures pennes'!F27*'Ouvertures pennes'!F27)/4))))</f>
        <v/>
      </c>
      <c r="G26" s="780">
        <f>IF('Largeurs pennes'!K27="","",IF(SQRT(ABS('Largeurs pennes'!K27*'Largeurs pennes'!K27-('Ouvertures pennes'!G27*'Ouvertures pennes'!G27)/4))=0,0.01,SQRT(ABS('Largeurs pennes'!K27*'Largeurs pennes'!K27-('Ouvertures pennes'!G27*'Ouvertures pennes'!G27)/4))))</f>
        <v>0.85099999999999998</v>
      </c>
      <c r="H26" s="795">
        <f>IF('Sections rachis &amp; L pennes'!V26="","",'Sections rachis &amp; L pennes'!V26)</f>
        <v>97.54299754299754</v>
      </c>
      <c r="I26" s="776">
        <f>IF('Largeurs pennes'!V27="","",IF(SQRT(ABS('Largeurs pennes'!V27*'Largeurs pennes'!V27-('Ouvertures pennes'!N27*'Ouvertures pennes'!N27)/4))=0,0.01,SQRT(ABS('Largeurs pennes'!V27*'Largeurs pennes'!V27-('Ouvertures pennes'!N27*'Ouvertures pennes'!N27)/4))))</f>
        <v>0.626</v>
      </c>
      <c r="J26" s="777" t="str">
        <f>IF('Largeurs pennes'!W27="","",IF(SQRT(ABS('Largeurs pennes'!W27*'Largeurs pennes'!W27-('Ouvertures pennes'!O27*'Ouvertures pennes'!O27)/4))=0,0.01,SQRT(ABS('Largeurs pennes'!W27*'Largeurs pennes'!W27-('Ouvertures pennes'!O27*'Ouvertures pennes'!O27)/4))))</f>
        <v/>
      </c>
      <c r="K26" s="777" t="str">
        <f>IF('Largeurs pennes'!X27="","",IF(SQRT(ABS('Largeurs pennes'!X27*'Largeurs pennes'!X27-('Ouvertures pennes'!P27*'Ouvertures pennes'!P27)/4))=0,0.01,SQRT(ABS('Largeurs pennes'!X27*'Largeurs pennes'!X27-('Ouvertures pennes'!P27*'Ouvertures pennes'!P27)/4))))</f>
        <v/>
      </c>
      <c r="L26" s="780" t="str">
        <f>IF('Largeurs pennes'!Y27="","",IF(SQRT(ABS('Largeurs pennes'!Y27*'Largeurs pennes'!Y27-('Ouvertures pennes'!Q27*'Ouvertures pennes'!Q27)/4))=0,0.01,SQRT(ABS('Largeurs pennes'!Y27*'Largeurs pennes'!Y27-('Ouvertures pennes'!Q27*'Ouvertures pennes'!Q27)/4))))</f>
        <v/>
      </c>
      <c r="M26" s="781">
        <f t="shared" si="1"/>
        <v>0.85099999999999998</v>
      </c>
      <c r="N26" s="648" t="s">
        <v>1247</v>
      </c>
      <c r="O26" s="795">
        <f>IF('Sections rachis &amp; L pennes'!AC26="","",'Sections rachis &amp; L pennes'!AC26)</f>
        <v>98.032862763249241</v>
      </c>
      <c r="P26" s="776" t="str">
        <f>IF('Largeurs pennes'!H61="","",IF(SQRT(ABS('Largeurs pennes'!H61*'Largeurs pennes'!H61-('Ouvertures pennes'!D61*'Ouvertures pennes'!D61)/4))=0,0.01,SQRT(ABS('Largeurs pennes'!H61*'Largeurs pennes'!H61-('Ouvertures pennes'!D61*'Ouvertures pennes'!D61)/4))))</f>
        <v/>
      </c>
      <c r="Q26" s="777" t="str">
        <f>IF('Largeurs pennes'!I61="","",IF(SQRT(ABS('Largeurs pennes'!I61*'Largeurs pennes'!I61-('Ouvertures pennes'!E61*'Ouvertures pennes'!E61)/4))=0,0.01,SQRT(ABS('Largeurs pennes'!I61*'Largeurs pennes'!I61-('Ouvertures pennes'!E61*'Ouvertures pennes'!E61)/4))))</f>
        <v/>
      </c>
      <c r="R26" s="777" t="str">
        <f>IF('Largeurs pennes'!J61="","",IF(SQRT(ABS('Largeurs pennes'!J61*'Largeurs pennes'!J61-('Ouvertures pennes'!F61*'Ouvertures pennes'!F61)/4))=0,0.01,SQRT(ABS('Largeurs pennes'!J61*'Largeurs pennes'!J61-('Ouvertures pennes'!F61*'Ouvertures pennes'!F61)/4))))</f>
        <v/>
      </c>
      <c r="S26" s="780">
        <f>IF('Largeurs pennes'!K61="","",IF(SQRT(ABS('Largeurs pennes'!K61*'Largeurs pennes'!K61-('Ouvertures pennes'!G61*'Ouvertures pennes'!G61)/4))=0,0.01,SQRT(ABS('Largeurs pennes'!K61*'Largeurs pennes'!K61-('Ouvertures pennes'!G61*'Ouvertures pennes'!G61)/4))))</f>
        <v>0.63500000000000001</v>
      </c>
      <c r="T26" s="796">
        <f>IF('Sections rachis &amp; L pennes'!AH26="","",'Sections rachis &amp; L pennes'!AH26)</f>
        <v>97.778292062022672</v>
      </c>
      <c r="U26" s="776" t="str">
        <f>IF('Largeurs pennes'!V61="","",IF(SQRT(ABS('Largeurs pennes'!V61*'Largeurs pennes'!V61-('Ouvertures pennes'!N61*'Ouvertures pennes'!N61)/4))=0,0.01,SQRT(ABS('Largeurs pennes'!V61*'Largeurs pennes'!V61-('Ouvertures pennes'!N61*'Ouvertures pennes'!N61)/4))))</f>
        <v/>
      </c>
      <c r="V26" s="777" t="str">
        <f>IF('Largeurs pennes'!W61="","",IF(SQRT(ABS('Largeurs pennes'!W61*'Largeurs pennes'!W61-('Ouvertures pennes'!O61*'Ouvertures pennes'!O61)/4))=0,0.01,SQRT(ABS('Largeurs pennes'!W61*'Largeurs pennes'!W61-('Ouvertures pennes'!O61*'Ouvertures pennes'!O61)/4))))</f>
        <v/>
      </c>
      <c r="W26" s="777" t="str">
        <f>IF('Largeurs pennes'!X61="","",IF(SQRT(ABS('Largeurs pennes'!X61*'Largeurs pennes'!X61-('Ouvertures pennes'!P61*'Ouvertures pennes'!P61)/4))=0,0.01,SQRT(ABS('Largeurs pennes'!X61*'Largeurs pennes'!X61-('Ouvertures pennes'!P61*'Ouvertures pennes'!P61)/4))))</f>
        <v/>
      </c>
      <c r="X26" s="780">
        <f>IF('Largeurs pennes'!Y61="","",IF(SQRT(ABS('Largeurs pennes'!Y61*'Largeurs pennes'!Y61-('Ouvertures pennes'!Q61*'Ouvertures pennes'!Q61)/4))=0,0.01,SQRT(ABS('Largeurs pennes'!Y61*'Largeurs pennes'!Y61-('Ouvertures pennes'!Q61*'Ouvertures pennes'!Q61)/4))))</f>
        <v>0.69099999999999995</v>
      </c>
      <c r="Y26" s="781">
        <f t="shared" si="2"/>
        <v>0.69099999999999995</v>
      </c>
    </row>
    <row r="27" spans="1:25" s="345" customFormat="1">
      <c r="A27" s="345">
        <f t="shared" si="0"/>
        <v>98.474693898206965</v>
      </c>
      <c r="B27" s="653" t="s">
        <v>1248</v>
      </c>
      <c r="C27" s="797">
        <f>IF('Sections rachis &amp; L pennes'!Q27="","",'Sections rachis &amp; L pennes'!Q27)</f>
        <v>98.599508599508596</v>
      </c>
      <c r="D27" s="783">
        <f>IF('Largeurs pennes'!H28="","",IF(SQRT(ABS('Largeurs pennes'!H28*'Largeurs pennes'!H28-('Ouvertures pennes'!D28*'Ouvertures pennes'!D28)/4))=0,0.01,SQRT(ABS('Largeurs pennes'!H28*'Largeurs pennes'!H28-('Ouvertures pennes'!D28*'Ouvertures pennes'!D28)/4))))</f>
        <v>0.80800000000000005</v>
      </c>
      <c r="E27" s="784" t="str">
        <f>IF('Largeurs pennes'!I28="","",IF(SQRT(ABS('Largeurs pennes'!I28*'Largeurs pennes'!I28-('Ouvertures pennes'!E28*'Ouvertures pennes'!E28)/4))=0,0.01,SQRT(ABS('Largeurs pennes'!I28*'Largeurs pennes'!I28-('Ouvertures pennes'!E28*'Ouvertures pennes'!E28)/4))))</f>
        <v/>
      </c>
      <c r="F27" s="784" t="str">
        <f>IF('Largeurs pennes'!J28="","",IF(SQRT(ABS('Largeurs pennes'!J28*'Largeurs pennes'!J28-('Ouvertures pennes'!F28*'Ouvertures pennes'!F28)/4))=0,0.01,SQRT(ABS('Largeurs pennes'!J28*'Largeurs pennes'!J28-('Ouvertures pennes'!F28*'Ouvertures pennes'!F28)/4))))</f>
        <v/>
      </c>
      <c r="G27" s="787" t="str">
        <f>IF('Largeurs pennes'!K28="","",IF(SQRT(ABS('Largeurs pennes'!K28*'Largeurs pennes'!K28-('Ouvertures pennes'!G28*'Ouvertures pennes'!G28)/4))=0,0.01,SQRT(ABS('Largeurs pennes'!K28*'Largeurs pennes'!K28-('Ouvertures pennes'!G28*'Ouvertures pennes'!G28)/4))))</f>
        <v/>
      </c>
      <c r="H27" s="797">
        <f>IF('Sections rachis &amp; L pennes'!V27="","",'Sections rachis &amp; L pennes'!V27)</f>
        <v>97.960687960687963</v>
      </c>
      <c r="I27" s="783" t="str">
        <f>IF('Largeurs pennes'!V28="","",IF(SQRT(ABS('Largeurs pennes'!V28*'Largeurs pennes'!V28-('Ouvertures pennes'!N28*'Ouvertures pennes'!N28)/4))=0,0.01,SQRT(ABS('Largeurs pennes'!V28*'Largeurs pennes'!V28-('Ouvertures pennes'!N28*'Ouvertures pennes'!N28)/4))))</f>
        <v/>
      </c>
      <c r="J27" s="784" t="str">
        <f>IF('Largeurs pennes'!W28="","",IF(SQRT(ABS('Largeurs pennes'!W28*'Largeurs pennes'!W28-('Ouvertures pennes'!O28*'Ouvertures pennes'!O28)/4))=0,0.01,SQRT(ABS('Largeurs pennes'!W28*'Largeurs pennes'!W28-('Ouvertures pennes'!O28*'Ouvertures pennes'!O28)/4))))</f>
        <v/>
      </c>
      <c r="K27" s="784" t="str">
        <f>IF('Largeurs pennes'!X28="","",IF(SQRT(ABS('Largeurs pennes'!X28*'Largeurs pennes'!X28-('Ouvertures pennes'!P28*'Ouvertures pennes'!P28)/4))=0,0.01,SQRT(ABS('Largeurs pennes'!X28*'Largeurs pennes'!X28-('Ouvertures pennes'!P28*'Ouvertures pennes'!P28)/4))))</f>
        <v/>
      </c>
      <c r="L27" s="787">
        <f>IF('Largeurs pennes'!Y28="","",IF(SQRT(ABS('Largeurs pennes'!Y28*'Largeurs pennes'!Y28-('Ouvertures pennes'!Q28*'Ouvertures pennes'!Q28)/4))=0,0.01,SQRT(ABS('Largeurs pennes'!Y28*'Largeurs pennes'!Y28-('Ouvertures pennes'!Q28*'Ouvertures pennes'!Q28)/4))))</f>
        <v>0.64200000000000002</v>
      </c>
      <c r="M27" s="781">
        <f t="shared" si="1"/>
        <v>0.80800000000000005</v>
      </c>
      <c r="N27" s="653" t="s">
        <v>1248</v>
      </c>
      <c r="O27" s="797">
        <f>IF('Sections rachis &amp; L pennes'!AC27="","",'Sections rachis &amp; L pennes'!AC27)</f>
        <v>98.704003702846563</v>
      </c>
      <c r="P27" s="783" t="str">
        <f>IF('Largeurs pennes'!H62="","",IF(SQRT(ABS('Largeurs pennes'!H62*'Largeurs pennes'!H62-('Ouvertures pennes'!D62*'Ouvertures pennes'!D62)/4))=0,0.01,SQRT(ABS('Largeurs pennes'!H62*'Largeurs pennes'!H62-('Ouvertures pennes'!D62*'Ouvertures pennes'!D62)/4))))</f>
        <v/>
      </c>
      <c r="Q27" s="784">
        <f>IF('Largeurs pennes'!I62="","",IF(SQRT(ABS('Largeurs pennes'!I62*'Largeurs pennes'!I62-('Ouvertures pennes'!E62*'Ouvertures pennes'!E62)/4))=0,0.01,SQRT(ABS('Largeurs pennes'!I62*'Largeurs pennes'!I62-('Ouvertures pennes'!E62*'Ouvertures pennes'!E62)/4))))</f>
        <v>0.51205077873195348</v>
      </c>
      <c r="R27" s="784" t="str">
        <f>IF('Largeurs pennes'!J62="","",IF(SQRT(ABS('Largeurs pennes'!J62*'Largeurs pennes'!J62-('Ouvertures pennes'!F62*'Ouvertures pennes'!F62)/4))=0,0.01,SQRT(ABS('Largeurs pennes'!J62*'Largeurs pennes'!J62-('Ouvertures pennes'!F62*'Ouvertures pennes'!F62)/4))))</f>
        <v/>
      </c>
      <c r="S27" s="787" t="str">
        <f>IF('Largeurs pennes'!K62="","",IF(SQRT(ABS('Largeurs pennes'!K62*'Largeurs pennes'!K62-('Ouvertures pennes'!G62*'Ouvertures pennes'!G62)/4))=0,0.01,SQRT(ABS('Largeurs pennes'!K62*'Largeurs pennes'!K62-('Ouvertures pennes'!G62*'Ouvertures pennes'!G62)/4))))</f>
        <v/>
      </c>
      <c r="T27" s="797">
        <f>IF('Sections rachis &amp; L pennes'!AH27="","",'Sections rachis &amp; L pennes'!AH27)</f>
        <v>98.634575329784766</v>
      </c>
      <c r="U27" s="783">
        <f>IF('Largeurs pennes'!V62="","",IF(SQRT(ABS('Largeurs pennes'!V62*'Largeurs pennes'!V62-('Ouvertures pennes'!N62*'Ouvertures pennes'!N62)/4))=0,0.01,SQRT(ABS('Largeurs pennes'!V62*'Largeurs pennes'!V62-('Ouvertures pennes'!N62*'Ouvertures pennes'!N62)/4))))</f>
        <v>0.68200000000000005</v>
      </c>
      <c r="V27" s="784" t="str">
        <f>IF('Largeurs pennes'!W62="","",IF(SQRT(ABS('Largeurs pennes'!W62*'Largeurs pennes'!W62-('Ouvertures pennes'!O62*'Ouvertures pennes'!O62)/4))=0,0.01,SQRT(ABS('Largeurs pennes'!W62*'Largeurs pennes'!W62-('Ouvertures pennes'!O62*'Ouvertures pennes'!O62)/4))))</f>
        <v/>
      </c>
      <c r="W27" s="784" t="str">
        <f>IF('Largeurs pennes'!X62="","",IF(SQRT(ABS('Largeurs pennes'!X62*'Largeurs pennes'!X62-('Ouvertures pennes'!P62*'Ouvertures pennes'!P62)/4))=0,0.01,SQRT(ABS('Largeurs pennes'!X62*'Largeurs pennes'!X62-('Ouvertures pennes'!P62*'Ouvertures pennes'!P62)/4))))</f>
        <v/>
      </c>
      <c r="X27" s="787" t="str">
        <f>IF('Largeurs pennes'!Y62="","",IF(SQRT(ABS('Largeurs pennes'!Y62*'Largeurs pennes'!Y62-('Ouvertures pennes'!Q62*'Ouvertures pennes'!Q62)/4))=0,0.01,SQRT(ABS('Largeurs pennes'!Y62*'Largeurs pennes'!Y62-('Ouvertures pennes'!Q62*'Ouvertures pennes'!Q62)/4))))</f>
        <v/>
      </c>
      <c r="Y27" s="781">
        <f t="shared" si="2"/>
        <v>0.68200000000000005</v>
      </c>
    </row>
    <row r="28" spans="1:25" s="345" customFormat="1">
      <c r="A28" s="345">
        <f t="shared" si="0"/>
        <v>99.115172061249353</v>
      </c>
      <c r="B28" s="653" t="s">
        <v>1249</v>
      </c>
      <c r="C28" s="797">
        <f>IF('Sections rachis &amp; L pennes'!Q28="","",'Sections rachis &amp; L pennes'!Q28)</f>
        <v>99.017199017199019</v>
      </c>
      <c r="D28" s="783" t="str">
        <f>IF('Largeurs pennes'!H29="","",IF(SQRT(ABS('Largeurs pennes'!H29*'Largeurs pennes'!H29-('Ouvertures pennes'!D29*'Ouvertures pennes'!D29)/4))=0,0.01,SQRT(ABS('Largeurs pennes'!H29*'Largeurs pennes'!H29-('Ouvertures pennes'!D29*'Ouvertures pennes'!D29)/4))))</f>
        <v/>
      </c>
      <c r="E28" s="784" t="str">
        <f>IF('Largeurs pennes'!I29="","",IF(SQRT(ABS('Largeurs pennes'!I29*'Largeurs pennes'!I29-('Ouvertures pennes'!E29*'Ouvertures pennes'!E29)/4))=0,0.01,SQRT(ABS('Largeurs pennes'!I29*'Largeurs pennes'!I29-('Ouvertures pennes'!E29*'Ouvertures pennes'!E29)/4))))</f>
        <v/>
      </c>
      <c r="F28" s="784" t="str">
        <f>IF('Largeurs pennes'!J29="","",IF(SQRT(ABS('Largeurs pennes'!J29*'Largeurs pennes'!J29-('Ouvertures pennes'!F29*'Ouvertures pennes'!F29)/4))=0,0.01,SQRT(ABS('Largeurs pennes'!J29*'Largeurs pennes'!J29-('Ouvertures pennes'!F29*'Ouvertures pennes'!F29)/4))))</f>
        <v/>
      </c>
      <c r="G28" s="787">
        <f>IF('Largeurs pennes'!K29="","",IF(SQRT(ABS('Largeurs pennes'!K29*'Largeurs pennes'!K29-('Ouvertures pennes'!G29*'Ouvertures pennes'!G29)/4))=0,0.01,SQRT(ABS('Largeurs pennes'!K29*'Largeurs pennes'!K29-('Ouvertures pennes'!G29*'Ouvertures pennes'!G29)/4))))</f>
        <v>0.80600000000000005</v>
      </c>
      <c r="H28" s="797">
        <f>IF('Sections rachis &amp; L pennes'!V28="","",'Sections rachis &amp; L pennes'!V28)</f>
        <v>99.017199017199019</v>
      </c>
      <c r="I28" s="783">
        <f>IF('Largeurs pennes'!V29="","",IF(SQRT(ABS('Largeurs pennes'!V29*'Largeurs pennes'!V29-('Ouvertures pennes'!N29*'Ouvertures pennes'!N29)/4))=0,0.01,SQRT(ABS('Largeurs pennes'!V29*'Largeurs pennes'!V29-('Ouvertures pennes'!N29*'Ouvertures pennes'!N29)/4))))</f>
        <v>0.58799999999999997</v>
      </c>
      <c r="J28" s="784" t="str">
        <f>IF('Largeurs pennes'!W29="","",IF(SQRT(ABS('Largeurs pennes'!W29*'Largeurs pennes'!W29-('Ouvertures pennes'!O29*'Ouvertures pennes'!O29)/4))=0,0.01,SQRT(ABS('Largeurs pennes'!W29*'Largeurs pennes'!W29-('Ouvertures pennes'!O29*'Ouvertures pennes'!O29)/4))))</f>
        <v/>
      </c>
      <c r="K28" s="784" t="str">
        <f>IF('Largeurs pennes'!X29="","",IF(SQRT(ABS('Largeurs pennes'!X29*'Largeurs pennes'!X29-('Ouvertures pennes'!P29*'Ouvertures pennes'!P29)/4))=0,0.01,SQRT(ABS('Largeurs pennes'!X29*'Largeurs pennes'!X29-('Ouvertures pennes'!P29*'Ouvertures pennes'!P29)/4))))</f>
        <v/>
      </c>
      <c r="L28" s="787" t="str">
        <f>IF('Largeurs pennes'!Y29="","",IF(SQRT(ABS('Largeurs pennes'!Y29*'Largeurs pennes'!Y29-('Ouvertures pennes'!Q29*'Ouvertures pennes'!Q29)/4))=0,0.01,SQRT(ABS('Largeurs pennes'!Y29*'Largeurs pennes'!Y29-('Ouvertures pennes'!Q29*'Ouvertures pennes'!Q29)/4))))</f>
        <v/>
      </c>
      <c r="M28" s="781">
        <f t="shared" si="1"/>
        <v>0.80600000000000005</v>
      </c>
      <c r="N28" s="653" t="s">
        <v>1249</v>
      </c>
      <c r="O28" s="797">
        <f>IF('Sections rachis &amp; L pennes'!AC28="","",'Sections rachis &amp; L pennes'!AC28)</f>
        <v>99.352001851423282</v>
      </c>
      <c r="P28" s="783">
        <f>IF('Largeurs pennes'!H63="","",IF(SQRT(ABS('Largeurs pennes'!H63*'Largeurs pennes'!H63-('Ouvertures pennes'!D63*'Ouvertures pennes'!D63)/4))=0,0.01,SQRT(ABS('Largeurs pennes'!H63*'Largeurs pennes'!H63-('Ouvertures pennes'!D63*'Ouvertures pennes'!D63)/4))))</f>
        <v>0.50800000000000001</v>
      </c>
      <c r="Q28" s="784" t="str">
        <f>IF('Largeurs pennes'!I63="","",IF(SQRT(ABS('Largeurs pennes'!I63*'Largeurs pennes'!I63-('Ouvertures pennes'!E63*'Ouvertures pennes'!E63)/4))=0,0.01,SQRT(ABS('Largeurs pennes'!I63*'Largeurs pennes'!I63-('Ouvertures pennes'!E63*'Ouvertures pennes'!E63)/4))))</f>
        <v/>
      </c>
      <c r="R28" s="784" t="str">
        <f>IF('Largeurs pennes'!J63="","",IF(SQRT(ABS('Largeurs pennes'!J63*'Largeurs pennes'!J63-('Ouvertures pennes'!F63*'Ouvertures pennes'!F63)/4))=0,0.01,SQRT(ABS('Largeurs pennes'!J63*'Largeurs pennes'!J63-('Ouvertures pennes'!F63*'Ouvertures pennes'!F63)/4))))</f>
        <v/>
      </c>
      <c r="S28" s="787" t="str">
        <f>IF('Largeurs pennes'!K63="","",IF(SQRT(ABS('Largeurs pennes'!K63*'Largeurs pennes'!K63-('Ouvertures pennes'!G63*'Ouvertures pennes'!G63)/4))=0,0.01,SQRT(ABS('Largeurs pennes'!K63*'Largeurs pennes'!K63-('Ouvertures pennes'!G63*'Ouvertures pennes'!G63)/4))))</f>
        <v/>
      </c>
      <c r="T28" s="797">
        <f>IF('Sections rachis &amp; L pennes'!AH28="","",'Sections rachis &amp; L pennes'!AH28)</f>
        <v>99.074288359176109</v>
      </c>
      <c r="U28" s="783" t="str">
        <f>IF('Largeurs pennes'!V63="","",IF(SQRT(ABS('Largeurs pennes'!V63*'Largeurs pennes'!V63-('Ouvertures pennes'!N63*'Ouvertures pennes'!N63)/4))=0,0.01,SQRT(ABS('Largeurs pennes'!V63*'Largeurs pennes'!V63-('Ouvertures pennes'!N63*'Ouvertures pennes'!N63)/4))))</f>
        <v/>
      </c>
      <c r="V28" s="784" t="str">
        <f>IF('Largeurs pennes'!W63="","",IF(SQRT(ABS('Largeurs pennes'!W63*'Largeurs pennes'!W63-('Ouvertures pennes'!O63*'Ouvertures pennes'!O63)/4))=0,0.01,SQRT(ABS('Largeurs pennes'!W63*'Largeurs pennes'!W63-('Ouvertures pennes'!O63*'Ouvertures pennes'!O63)/4))))</f>
        <v/>
      </c>
      <c r="W28" s="784" t="str">
        <f>IF('Largeurs pennes'!X63="","",IF(SQRT(ABS('Largeurs pennes'!X63*'Largeurs pennes'!X63-('Ouvertures pennes'!P63*'Ouvertures pennes'!P63)/4))=0,0.01,SQRT(ABS('Largeurs pennes'!X63*'Largeurs pennes'!X63-('Ouvertures pennes'!P63*'Ouvertures pennes'!P63)/4))))</f>
        <v/>
      </c>
      <c r="X28" s="787">
        <f>IF('Largeurs pennes'!Y63="","",IF(SQRT(ABS('Largeurs pennes'!Y63*'Largeurs pennes'!Y63-('Ouvertures pennes'!Q63*'Ouvertures pennes'!Q63)/4))=0,0.01,SQRT(ABS('Largeurs pennes'!Y63*'Largeurs pennes'!Y63-('Ouvertures pennes'!Q63*'Ouvertures pennes'!Q63)/4))))</f>
        <v>0.65900000000000003</v>
      </c>
      <c r="Y28" s="781">
        <f t="shared" si="2"/>
        <v>0.65900000000000003</v>
      </c>
    </row>
    <row r="29" spans="1:25" s="345" customFormat="1">
      <c r="A29" s="345">
        <f t="shared" si="0"/>
        <v>99.665653482478291</v>
      </c>
      <c r="B29" s="653" t="s">
        <v>1251</v>
      </c>
      <c r="C29" s="797">
        <f>IF('Sections rachis &amp; L pennes'!Q29="","",'Sections rachis &amp; L pennes'!Q29)</f>
        <v>99.656019656019652</v>
      </c>
      <c r="D29" s="783" t="str">
        <f>IF('Largeurs pennes'!H30="","",IF(SQRT(ABS('Largeurs pennes'!H30*'Largeurs pennes'!H30-('Ouvertures pennes'!D30*'Ouvertures pennes'!D30)/4))=0,0.01,SQRT(ABS('Largeurs pennes'!H30*'Largeurs pennes'!H30-('Ouvertures pennes'!D30*'Ouvertures pennes'!D30)/4))))</f>
        <v/>
      </c>
      <c r="E29" s="784">
        <f>IF('Largeurs pennes'!I30="","",IF(SQRT(ABS('Largeurs pennes'!I30*'Largeurs pennes'!I30-('Ouvertures pennes'!E30*'Ouvertures pennes'!E30)/4))=0,0.01,SQRT(ABS('Largeurs pennes'!I30*'Largeurs pennes'!I30-('Ouvertures pennes'!E30*'Ouvertures pennes'!E30)/4))))</f>
        <v>0.48394317848276369</v>
      </c>
      <c r="F29" s="784" t="str">
        <f>IF('Largeurs pennes'!J30="","",IF(SQRT(ABS('Largeurs pennes'!J30*'Largeurs pennes'!J30-('Ouvertures pennes'!F30*'Ouvertures pennes'!F30)/4))=0,0.01,SQRT(ABS('Largeurs pennes'!J30*'Largeurs pennes'!J30-('Ouvertures pennes'!F30*'Ouvertures pennes'!F30)/4))))</f>
        <v/>
      </c>
      <c r="G29" s="787" t="str">
        <f>IF('Largeurs pennes'!K30="","",IF(SQRT(ABS('Largeurs pennes'!K30*'Largeurs pennes'!K30-('Ouvertures pennes'!G30*'Ouvertures pennes'!G30)/4))=0,0.01,SQRT(ABS('Largeurs pennes'!K30*'Largeurs pennes'!K30-('Ouvertures pennes'!G30*'Ouvertures pennes'!G30)/4))))</f>
        <v/>
      </c>
      <c r="H29" s="797">
        <f>IF('Sections rachis &amp; L pennes'!V29="","",'Sections rachis &amp; L pennes'!V29)</f>
        <v>99.631449631449627</v>
      </c>
      <c r="I29" s="783" t="str">
        <f>IF('Largeurs pennes'!V30="","",IF(SQRT(ABS('Largeurs pennes'!V30*'Largeurs pennes'!V30-('Ouvertures pennes'!N30*'Ouvertures pennes'!N30)/4))=0,0.01,SQRT(ABS('Largeurs pennes'!V30*'Largeurs pennes'!V30-('Ouvertures pennes'!N30*'Ouvertures pennes'!N30)/4))))</f>
        <v/>
      </c>
      <c r="J29" s="784" t="str">
        <f>IF('Largeurs pennes'!W30="","",IF(SQRT(ABS('Largeurs pennes'!W30*'Largeurs pennes'!W30-('Ouvertures pennes'!O30*'Ouvertures pennes'!O30)/4))=0,0.01,SQRT(ABS('Largeurs pennes'!W30*'Largeurs pennes'!W30-('Ouvertures pennes'!O30*'Ouvertures pennes'!O30)/4))))</f>
        <v/>
      </c>
      <c r="K29" s="784" t="str">
        <f>IF('Largeurs pennes'!X30="","",IF(SQRT(ABS('Largeurs pennes'!X30*'Largeurs pennes'!X30-('Ouvertures pennes'!P30*'Ouvertures pennes'!P30)/4))=0,0.01,SQRT(ABS('Largeurs pennes'!X30*'Largeurs pennes'!X30-('Ouvertures pennes'!P30*'Ouvertures pennes'!P30)/4))))</f>
        <v/>
      </c>
      <c r="L29" s="787">
        <f>IF('Largeurs pennes'!Y30="","",IF(SQRT(ABS('Largeurs pennes'!Y30*'Largeurs pennes'!Y30-('Ouvertures pennes'!Q30*'Ouvertures pennes'!Q30)/4))=0,0.01,SQRT(ABS('Largeurs pennes'!Y30*'Largeurs pennes'!Y30-('Ouvertures pennes'!Q30*'Ouvertures pennes'!Q30)/4))))</f>
        <v>0.66800000000000004</v>
      </c>
      <c r="M29" s="781">
        <f t="shared" si="1"/>
        <v>0.66800000000000004</v>
      </c>
      <c r="N29" s="653" t="s">
        <v>1251</v>
      </c>
      <c r="O29" s="797">
        <f>IF('Sections rachis &amp; L pennes'!AC29="","",'Sections rachis &amp; L pennes'!AC29)</f>
        <v>99.745429298773431</v>
      </c>
      <c r="P29" s="783" t="str">
        <f>IF('Largeurs pennes'!H64="","",IF(SQRT(ABS('Largeurs pennes'!H64*'Largeurs pennes'!H64-('Ouvertures pennes'!D64*'Ouvertures pennes'!D64)/4))=0,0.01,SQRT(ABS('Largeurs pennes'!H64*'Largeurs pennes'!H64-('Ouvertures pennes'!D64*'Ouvertures pennes'!D64)/4))))</f>
        <v/>
      </c>
      <c r="Q29" s="784">
        <f>IF('Largeurs pennes'!I64="","",IF(SQRT(ABS('Largeurs pennes'!I64*'Largeurs pennes'!I64-('Ouvertures pennes'!E64*'Ouvertures pennes'!E64)/4))=0,0.01,SQRT(ABS('Largeurs pennes'!I64*'Largeurs pennes'!I64-('Ouvertures pennes'!E64*'Ouvertures pennes'!E64)/4))))</f>
        <v>0.28682921747967027</v>
      </c>
      <c r="R29" s="784" t="str">
        <f>IF('Largeurs pennes'!J64="","",IF(SQRT(ABS('Largeurs pennes'!J64*'Largeurs pennes'!J64-('Ouvertures pennes'!F64*'Ouvertures pennes'!F64)/4))=0,0.01,SQRT(ABS('Largeurs pennes'!J64*'Largeurs pennes'!J64-('Ouvertures pennes'!F64*'Ouvertures pennes'!F64)/4))))</f>
        <v/>
      </c>
      <c r="S29" s="787" t="str">
        <f>IF('Largeurs pennes'!K64="","",IF(SQRT(ABS('Largeurs pennes'!K64*'Largeurs pennes'!K64-('Ouvertures pennes'!G64*'Ouvertures pennes'!G64)/4))=0,0.01,SQRT(ABS('Largeurs pennes'!K64*'Largeurs pennes'!K64-('Ouvertures pennes'!G64*'Ouvertures pennes'!G64)/4))))</f>
        <v/>
      </c>
      <c r="T29" s="797">
        <f>IF('Sections rachis &amp; L pennes'!AH29="","",'Sections rachis &amp; L pennes'!AH29)</f>
        <v>99.629715343670441</v>
      </c>
      <c r="U29" s="783">
        <f>IF('Largeurs pennes'!V64="","",IF(SQRT(ABS('Largeurs pennes'!V64*'Largeurs pennes'!V64-('Ouvertures pennes'!N64*'Ouvertures pennes'!N64)/4))=0,0.01,SQRT(ABS('Largeurs pennes'!V64*'Largeurs pennes'!V64-('Ouvertures pennes'!N64*'Ouvertures pennes'!N64)/4))))</f>
        <v>0.66900000000000004</v>
      </c>
      <c r="V29" s="784" t="str">
        <f>IF('Largeurs pennes'!W64="","",IF(SQRT(ABS('Largeurs pennes'!W64*'Largeurs pennes'!W64-('Ouvertures pennes'!O64*'Ouvertures pennes'!O64)/4))=0,0.01,SQRT(ABS('Largeurs pennes'!W64*'Largeurs pennes'!W64-('Ouvertures pennes'!O64*'Ouvertures pennes'!O64)/4))))</f>
        <v/>
      </c>
      <c r="W29" s="784" t="str">
        <f>IF('Largeurs pennes'!X64="","",IF(SQRT(ABS('Largeurs pennes'!X64*'Largeurs pennes'!X64-('Ouvertures pennes'!P64*'Ouvertures pennes'!P64)/4))=0,0.01,SQRT(ABS('Largeurs pennes'!X64*'Largeurs pennes'!X64-('Ouvertures pennes'!P64*'Ouvertures pennes'!P64)/4))))</f>
        <v/>
      </c>
      <c r="X29" s="787" t="str">
        <f>IF('Largeurs pennes'!Y64="","",IF(SQRT(ABS('Largeurs pennes'!Y64*'Largeurs pennes'!Y64-('Ouvertures pennes'!Q64*'Ouvertures pennes'!Q64)/4))=0,0.01,SQRT(ABS('Largeurs pennes'!Y64*'Largeurs pennes'!Y64-('Ouvertures pennes'!Q64*'Ouvertures pennes'!Q64)/4))))</f>
        <v/>
      </c>
      <c r="Y29" s="781">
        <f t="shared" si="2"/>
        <v>0.66900000000000004</v>
      </c>
    </row>
    <row r="30" spans="1:25" s="345" customFormat="1" ht="13.5" thickBot="1">
      <c r="A30" s="345">
        <f t="shared" si="0"/>
        <v>99.951573567634654</v>
      </c>
      <c r="B30" s="657" t="s">
        <v>1252</v>
      </c>
      <c r="C30" s="798">
        <f>IF('Sections rachis &amp; L pennes'!Q30="","",'Sections rachis &amp; L pennes'!Q30)</f>
        <v>99.877149877149876</v>
      </c>
      <c r="D30" s="789" t="str">
        <f>IF('Largeurs pennes'!H31="","",IF(SQRT(ABS('Largeurs pennes'!H31*'Largeurs pennes'!H31-('Ouvertures pennes'!D31*'Ouvertures pennes'!D31)/4))=0,0.01,SQRT(ABS('Largeurs pennes'!H31*'Largeurs pennes'!H31-('Ouvertures pennes'!D31*'Ouvertures pennes'!D31)/4))))</f>
        <v/>
      </c>
      <c r="E30" s="790">
        <f>IF('Largeurs pennes'!I31="","",IF(SQRT(ABS('Largeurs pennes'!I31*'Largeurs pennes'!I31-('Ouvertures pennes'!E31*'Ouvertures pennes'!E31)/4))=0,0.01,SQRT(ABS('Largeurs pennes'!I31*'Largeurs pennes'!I31-('Ouvertures pennes'!E31*'Ouvertures pennes'!E31)/4))))</f>
        <v>0.57204982300495466</v>
      </c>
      <c r="F30" s="790" t="str">
        <f>IF('Largeurs pennes'!J31="","",IF(SQRT(ABS('Largeurs pennes'!J31*'Largeurs pennes'!J31-('Ouvertures pennes'!F31*'Ouvertures pennes'!F31)/4))=0,0.01,SQRT(ABS('Largeurs pennes'!J31*'Largeurs pennes'!J31-('Ouvertures pennes'!F31*'Ouvertures pennes'!F31)/4))))</f>
        <v/>
      </c>
      <c r="G30" s="793" t="str">
        <f>IF('Largeurs pennes'!K31="","",IF(SQRT(ABS('Largeurs pennes'!K31*'Largeurs pennes'!K31-('Ouvertures pennes'!G31*'Ouvertures pennes'!G31)/4))=0,0.01,SQRT(ABS('Largeurs pennes'!K31*'Largeurs pennes'!K31-('Ouvertures pennes'!G31*'Ouvertures pennes'!G31)/4))))</f>
        <v/>
      </c>
      <c r="H30" s="798">
        <f>IF('Sections rachis &amp; L pennes'!V30="","",'Sections rachis &amp; L pennes'!V30)</f>
        <v>99.975429975429975</v>
      </c>
      <c r="I30" s="783" t="str">
        <f>IF('Largeurs pennes'!V31="","",IF(SQRT(ABS('Largeurs pennes'!V31*'Largeurs pennes'!V31-('Ouvertures pennes'!N31*'Ouvertures pennes'!N31)/4))=0,0.01,SQRT(ABS('Largeurs pennes'!V31*'Largeurs pennes'!V31-('Ouvertures pennes'!N31*'Ouvertures pennes'!N31)/4))))</f>
        <v/>
      </c>
      <c r="J30" s="784">
        <f>IF('Largeurs pennes'!W31="","",IF(SQRT(ABS('Largeurs pennes'!W31*'Largeurs pennes'!W31-('Ouvertures pennes'!O31*'Ouvertures pennes'!O31)/4))=0,0.01,SQRT(ABS('Largeurs pennes'!W31*'Largeurs pennes'!W31-('Ouvertures pennes'!O31*'Ouvertures pennes'!O31)/4))))</f>
        <v>0.15620499351813319</v>
      </c>
      <c r="K30" s="784" t="str">
        <f>IF('Largeurs pennes'!X31="","",IF(SQRT(ABS('Largeurs pennes'!X31*'Largeurs pennes'!X31-('Ouvertures pennes'!P31*'Ouvertures pennes'!P31)/4))=0,0.01,SQRT(ABS('Largeurs pennes'!X31*'Largeurs pennes'!X31-('Ouvertures pennes'!P31*'Ouvertures pennes'!P31)/4))))</f>
        <v/>
      </c>
      <c r="L30" s="787" t="str">
        <f>IF('Largeurs pennes'!Y31="","",IF(SQRT(ABS('Largeurs pennes'!Y31*'Largeurs pennes'!Y31-('Ouvertures pennes'!Q31*'Ouvertures pennes'!Q31)/4))=0,0.01,SQRT(ABS('Largeurs pennes'!Y31*'Largeurs pennes'!Y31-('Ouvertures pennes'!Q31*'Ouvertures pennes'!Q31)/4))))</f>
        <v/>
      </c>
      <c r="M30" s="781">
        <f t="shared" si="1"/>
        <v>0.57204982300495466</v>
      </c>
      <c r="N30" s="799" t="s">
        <v>1252</v>
      </c>
      <c r="O30" s="798">
        <f>IF('Sections rachis &amp; L pennes'!AC30="","",'Sections rachis &amp; L pennes'!AC30)</f>
        <v>99.976857208979396</v>
      </c>
      <c r="P30" s="789" t="str">
        <f>IF('Largeurs pennes'!H65="","",IF(SQRT(ABS('Largeurs pennes'!H65*'Largeurs pennes'!H65-('Ouvertures pennes'!D65*'Ouvertures pennes'!D65)/4))=0,0.01,SQRT(ABS('Largeurs pennes'!H65*'Largeurs pennes'!H65-('Ouvertures pennes'!D65*'Ouvertures pennes'!D65)/4))))</f>
        <v/>
      </c>
      <c r="Q30" s="790" t="str">
        <f>IF('Largeurs pennes'!I65="","",IF(SQRT(ABS('Largeurs pennes'!I65*'Largeurs pennes'!I65-('Ouvertures pennes'!E65*'Ouvertures pennes'!E65)/4))=0,0.01,SQRT(ABS('Largeurs pennes'!I65*'Largeurs pennes'!I65-('Ouvertures pennes'!E65*'Ouvertures pennes'!E65)/4))))</f>
        <v/>
      </c>
      <c r="R30" s="790" t="str">
        <f>IF('Largeurs pennes'!J65="","",IF(SQRT(ABS('Largeurs pennes'!J65*'Largeurs pennes'!J65-('Ouvertures pennes'!F65*'Ouvertures pennes'!F65)/4))=0,0.01,SQRT(ABS('Largeurs pennes'!J65*'Largeurs pennes'!J65-('Ouvertures pennes'!F65*'Ouvertures pennes'!F65)/4))))</f>
        <v/>
      </c>
      <c r="S30" s="793">
        <f>IF('Largeurs pennes'!K65="","",IF(SQRT(ABS('Largeurs pennes'!K65*'Largeurs pennes'!K65-('Ouvertures pennes'!G65*'Ouvertures pennes'!G65)/4))=0,0.01,SQRT(ABS('Largeurs pennes'!K65*'Largeurs pennes'!K65-('Ouvertures pennes'!G65*'Ouvertures pennes'!G65)/4))))</f>
        <v>0.51</v>
      </c>
      <c r="T30" s="798">
        <f>IF('Sections rachis &amp; L pennes'!AH30="","",'Sections rachis &amp; L pennes'!AH30)</f>
        <v>99.976857208979396</v>
      </c>
      <c r="U30" s="789" t="str">
        <f>IF('Largeurs pennes'!V65="","",IF(SQRT(ABS('Largeurs pennes'!V65*'Largeurs pennes'!V65-('Ouvertures pennes'!N65*'Ouvertures pennes'!N65)/4))=0,0.01,SQRT(ABS('Largeurs pennes'!V65*'Largeurs pennes'!V65-('Ouvertures pennes'!N65*'Ouvertures pennes'!N65)/4))))</f>
        <v/>
      </c>
      <c r="V30" s="790" t="str">
        <f>IF('Largeurs pennes'!W65="","",IF(SQRT(ABS('Largeurs pennes'!W65*'Largeurs pennes'!W65-('Ouvertures pennes'!O65*'Ouvertures pennes'!O65)/4))=0,0.01,SQRT(ABS('Largeurs pennes'!W65*'Largeurs pennes'!W65-('Ouvertures pennes'!O65*'Ouvertures pennes'!O65)/4))))</f>
        <v/>
      </c>
      <c r="W30" s="790" t="str">
        <f>IF('Largeurs pennes'!X65="","",IF(SQRT(ABS('Largeurs pennes'!X65*'Largeurs pennes'!X65-('Ouvertures pennes'!P65*'Ouvertures pennes'!P65)/4))=0,0.01,SQRT(ABS('Largeurs pennes'!X65*'Largeurs pennes'!X65-('Ouvertures pennes'!P65*'Ouvertures pennes'!P65)/4))))</f>
        <v/>
      </c>
      <c r="X30" s="793">
        <f>IF('Largeurs pennes'!Y65="","",IF(SQRT(ABS('Largeurs pennes'!Y65*'Largeurs pennes'!Y65-('Ouvertures pennes'!Q65*'Ouvertures pennes'!Q65)/4))=0,0.01,SQRT(ABS('Largeurs pennes'!Y65*'Largeurs pennes'!Y65-('Ouvertures pennes'!Q65*'Ouvertures pennes'!Q65)/4))))</f>
        <v>0.59299999999999997</v>
      </c>
      <c r="Y30" s="781">
        <f t="shared" si="2"/>
        <v>0.59299999999999997</v>
      </c>
    </row>
    <row r="31" spans="1:25" s="345" customFormat="1" ht="13.5" thickBot="1">
      <c r="A31" s="345">
        <f t="shared" si="0"/>
        <v>100</v>
      </c>
      <c r="B31" s="660" t="s">
        <v>1254</v>
      </c>
      <c r="C31" s="800">
        <f>IF('Sections rachis &amp; L pennes'!Q31="","",'Sections rachis &amp; L pennes'!Q31)</f>
        <v>100</v>
      </c>
      <c r="D31" s="801" t="str">
        <f>IF('Largeurs pennes'!H32="","",IF(SQRT(ABS('Largeurs pennes'!H32*'Largeurs pennes'!H32-('Ouvertures pennes'!D32*'Ouvertures pennes'!D32)/4))=0,0.01,SQRT(ABS('Largeurs pennes'!H32*'Largeurs pennes'!H32-('Ouvertures pennes'!D32*'Ouvertures pennes'!D32)/4))))</f>
        <v/>
      </c>
      <c r="E31" s="802">
        <f>IF('Largeurs pennes'!I32="","",IF(SQRT(ABS('Largeurs pennes'!I32*'Largeurs pennes'!I32-('Ouvertures pennes'!E32*'Ouvertures pennes'!E32)/4))=0,0.01,SQRT(ABS('Largeurs pennes'!I32*'Largeurs pennes'!I32-('Ouvertures pennes'!E32*'Ouvertures pennes'!E32)/4))))</f>
        <v>0.63954984168554063</v>
      </c>
      <c r="F31" s="802" t="str">
        <f>IF('Largeurs pennes'!J32="","",IF(SQRT(ABS('Largeurs pennes'!J32*'Largeurs pennes'!J32-('Ouvertures pennes'!F32*'Ouvertures pennes'!F32)/4))=0,0.01,SQRT(ABS('Largeurs pennes'!J32*'Largeurs pennes'!J32-('Ouvertures pennes'!F32*'Ouvertures pennes'!F32)/4))))</f>
        <v/>
      </c>
      <c r="G31" s="803" t="str">
        <f>IF('Largeurs pennes'!K32="","",IF(SQRT(ABS('Largeurs pennes'!K32*'Largeurs pennes'!K32-('Ouvertures pennes'!G32*'Ouvertures pennes'!G32)/4))=0,0.01,SQRT(ABS('Largeurs pennes'!K32*'Largeurs pennes'!K32-('Ouvertures pennes'!G32*'Ouvertures pennes'!G32)/4))))</f>
        <v/>
      </c>
      <c r="H31" s="800" t="str">
        <f>IF('Sections rachis &amp; L pennes'!V31="","",'Sections rachis &amp; L pennes'!V31)</f>
        <v>XXX</v>
      </c>
      <c r="I31" s="789" t="str">
        <f>IF('Largeurs pennes'!V32="","",IF(SQRT(ABS('Largeurs pennes'!V32*'Largeurs pennes'!V32-('Ouvertures pennes'!N32*'Ouvertures pennes'!N32)/4))=0,0.01,SQRT(ABS('Largeurs pennes'!V32*'Largeurs pennes'!V32-('Ouvertures pennes'!N32*'Ouvertures pennes'!N32)/4))))</f>
        <v/>
      </c>
      <c r="J31" s="790" t="str">
        <f>IF('Largeurs pennes'!W32="","",IF(SQRT(ABS('Largeurs pennes'!W32*'Largeurs pennes'!W32-('Ouvertures pennes'!O32*'Ouvertures pennes'!O32)/4))=0,0.01,SQRT(ABS('Largeurs pennes'!W32*'Largeurs pennes'!W32-('Ouvertures pennes'!O32*'Ouvertures pennes'!O32)/4))))</f>
        <v/>
      </c>
      <c r="K31" s="790" t="str">
        <f>IF('Largeurs pennes'!X32="","",IF(SQRT(ABS('Largeurs pennes'!X32*'Largeurs pennes'!X32-('Ouvertures pennes'!P32*'Ouvertures pennes'!P32)/4))=0,0.01,SQRT(ABS('Largeurs pennes'!X32*'Largeurs pennes'!X32-('Ouvertures pennes'!P32*'Ouvertures pennes'!P32)/4))))</f>
        <v/>
      </c>
      <c r="L31" s="793" t="str">
        <f>IF('Largeurs pennes'!Y32="","",IF(SQRT(ABS('Largeurs pennes'!Y32*'Largeurs pennes'!Y32-('Ouvertures pennes'!Q32*'Ouvertures pennes'!Q32)/4))=0,0.01,SQRT(ABS('Largeurs pennes'!Y32*'Largeurs pennes'!Y32-('Ouvertures pennes'!Q32*'Ouvertures pennes'!Q32)/4))))</f>
        <v/>
      </c>
      <c r="M31" s="781">
        <f t="shared" si="1"/>
        <v>0.63954984168554063</v>
      </c>
      <c r="N31" s="660" t="s">
        <v>1254</v>
      </c>
      <c r="O31" s="961">
        <f>IF('Sections rachis &amp; L pennes'!AC31="","",'Sections rachis &amp; L pennes'!AC31)</f>
        <v>100</v>
      </c>
      <c r="P31" s="801" t="str">
        <f>IF('Largeurs pennes'!H66="","",IF(SQRT(ABS('Largeurs pennes'!H66*'Largeurs pennes'!H66-('Ouvertures pennes'!D66*'Ouvertures pennes'!D66)/4))=0,0.01,SQRT(ABS('Largeurs pennes'!H66*'Largeurs pennes'!H66-('Ouvertures pennes'!D66*'Ouvertures pennes'!D66)/4))))</f>
        <v/>
      </c>
      <c r="Q31" s="802">
        <f>IF('Largeurs pennes'!I66="","",IF(SQRT(ABS('Largeurs pennes'!I66*'Largeurs pennes'!I66-('Ouvertures pennes'!E66*'Ouvertures pennes'!E66)/4))=0,0.01,SQRT(ABS('Largeurs pennes'!I66*'Largeurs pennes'!I66-('Ouvertures pennes'!E66*'Ouvertures pennes'!E66)/4))))</f>
        <v>0.491020366176394</v>
      </c>
      <c r="R31" s="802" t="str">
        <f>IF('Largeurs pennes'!J66="","",IF(SQRT(ABS('Largeurs pennes'!J66*'Largeurs pennes'!J66-('Ouvertures pennes'!F66*'Ouvertures pennes'!F66)/4))=0,0.01,SQRT(ABS('Largeurs pennes'!J66*'Largeurs pennes'!J66-('Ouvertures pennes'!F66*'Ouvertures pennes'!F66)/4))))</f>
        <v/>
      </c>
      <c r="S31" s="803" t="str">
        <f>IF('Largeurs pennes'!K66="","",IF(SQRT(ABS('Largeurs pennes'!K66*'Largeurs pennes'!K66-('Ouvertures pennes'!G66*'Ouvertures pennes'!G66)/4))=0,0.01,SQRT(ABS('Largeurs pennes'!K66*'Largeurs pennes'!K66-('Ouvertures pennes'!G66*'Ouvertures pennes'!G66)/4))))</f>
        <v/>
      </c>
      <c r="T31" s="961" t="str">
        <f>IF('Sections rachis &amp; L pennes'!AH31="","",'Sections rachis &amp; L pennes'!AH31)</f>
        <v>XXX</v>
      </c>
      <c r="U31" s="801" t="str">
        <f>IF('Largeurs pennes'!V66="","",IF(SQRT(ABS('Largeurs pennes'!V66*'Largeurs pennes'!V66-('Ouvertures pennes'!N66*'Ouvertures pennes'!N66)/4))=0,0.01,SQRT(ABS('Largeurs pennes'!V66*'Largeurs pennes'!V66-('Ouvertures pennes'!N66*'Ouvertures pennes'!N66)/4))))</f>
        <v/>
      </c>
      <c r="V31" s="802" t="str">
        <f>IF('Largeurs pennes'!W66="","",IF(SQRT(ABS('Largeurs pennes'!W66*'Largeurs pennes'!W66-('Ouvertures pennes'!O66*'Ouvertures pennes'!O66)/4))=0,0.01,SQRT(ABS('Largeurs pennes'!W66*'Largeurs pennes'!W66-('Ouvertures pennes'!O66*'Ouvertures pennes'!O66)/4))))</f>
        <v/>
      </c>
      <c r="W31" s="802" t="str">
        <f>IF('Largeurs pennes'!X66="","",IF(SQRT(ABS('Largeurs pennes'!X66*'Largeurs pennes'!X66-('Ouvertures pennes'!P66*'Ouvertures pennes'!P66)/4))=0,0.01,SQRT(ABS('Largeurs pennes'!X66*'Largeurs pennes'!X66-('Ouvertures pennes'!P66*'Ouvertures pennes'!P66)/4))))</f>
        <v/>
      </c>
      <c r="X31" s="803" t="str">
        <f>IF('Largeurs pennes'!Y66="","",IF(SQRT(ABS('Largeurs pennes'!Y66*'Largeurs pennes'!Y66-('Ouvertures pennes'!Q66*'Ouvertures pennes'!Q66)/4))=0,0.01,SQRT(ABS('Largeurs pennes'!Y66*'Largeurs pennes'!Y66-('Ouvertures pennes'!Q66*'Ouvertures pennes'!Q66)/4))))</f>
        <v/>
      </c>
      <c r="Y31" s="781">
        <f t="shared" si="2"/>
        <v>0.491020366176394</v>
      </c>
    </row>
    <row r="32" spans="1:25" s="345" customFormat="1">
      <c r="D32" s="805"/>
      <c r="E32" s="806"/>
      <c r="F32" s="807"/>
      <c r="G32" s="807"/>
      <c r="H32" s="807"/>
      <c r="I32" s="807"/>
      <c r="J32" s="807"/>
      <c r="K32" s="807"/>
      <c r="L32" s="807"/>
      <c r="M32" s="807"/>
      <c r="N32" s="807"/>
      <c r="O32" s="807"/>
      <c r="P32" s="807"/>
      <c r="Q32" s="807"/>
      <c r="R32" s="807"/>
      <c r="S32" s="808"/>
      <c r="T32" s="808"/>
      <c r="Y32" s="807"/>
    </row>
    <row r="33" spans="1:30" s="345" customFormat="1">
      <c r="B33" s="694"/>
      <c r="C33" s="814"/>
      <c r="D33" s="817"/>
      <c r="E33" s="811"/>
      <c r="F33" s="1003"/>
      <c r="G33" s="476"/>
      <c r="H33" s="476"/>
      <c r="I33" s="476"/>
      <c r="J33" s="962"/>
      <c r="K33" s="476"/>
      <c r="L33" s="476"/>
      <c r="M33" s="806">
        <f>IF('Ouvertures pennes (MAX)'!M33="","",'Ouvertures pennes (MAX)'!M33)</f>
        <v>2.561997016660738</v>
      </c>
      <c r="N33" s="476"/>
      <c r="O33" s="476"/>
      <c r="P33" s="476"/>
      <c r="Q33" s="476"/>
      <c r="R33" s="817"/>
      <c r="S33" s="476"/>
      <c r="T33" s="476"/>
      <c r="U33" s="476"/>
      <c r="V33" s="476"/>
      <c r="W33" s="476"/>
      <c r="X33" s="476"/>
      <c r="Y33" s="806">
        <f>'Ouvertures pennes (MAX)'!Y33</f>
        <v>2.6550767173058456</v>
      </c>
      <c r="Z33" s="476"/>
      <c r="AA33" s="476"/>
      <c r="AB33" s="476"/>
      <c r="AC33" s="476"/>
      <c r="AD33" s="476"/>
    </row>
    <row r="34" spans="1:30" s="345" customFormat="1" ht="14.25" customHeight="1" thickBot="1">
      <c r="B34" s="694"/>
      <c r="C34" s="814"/>
      <c r="D34" s="815"/>
      <c r="E34" s="811"/>
      <c r="F34" s="816"/>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tr">
        <f>IF(C16="","",C16)</f>
        <v/>
      </c>
      <c r="C35" s="809">
        <f>SUMIF(D$35:D$54,A35,B$35:B$54)</f>
        <v>5.3605555861977985</v>
      </c>
      <c r="D35" s="809">
        <f>IF(B35="",0,RANK(B35,B$35:B$54,1))</f>
        <v>0</v>
      </c>
      <c r="E35" s="814"/>
      <c r="F35" s="819">
        <f>IF(MAX(M33,Y33)=0,"",MAX(M33,Y33))</f>
        <v>2.6550767173058456</v>
      </c>
      <c r="H35" s="1580" t="s">
        <v>1280</v>
      </c>
      <c r="I35" s="1581"/>
      <c r="J35" s="1581"/>
      <c r="K35" s="1581"/>
      <c r="L35" s="1581"/>
      <c r="M35" s="1581"/>
      <c r="N35" s="1581"/>
      <c r="O35" s="1581"/>
      <c r="P35" s="1581"/>
      <c r="Q35" s="1581"/>
      <c r="R35" s="1581"/>
      <c r="S35" s="1581"/>
      <c r="T35" s="1581"/>
      <c r="U35" s="1581"/>
      <c r="V35" s="1581"/>
      <c r="W35" s="1581"/>
      <c r="X35" s="1581"/>
      <c r="Y35" s="1581"/>
      <c r="Z35" s="1581"/>
      <c r="AA35" s="1582"/>
    </row>
    <row r="36" spans="1:30" s="345" customFormat="1" ht="15.75" customHeight="1" thickBot="1">
      <c r="A36" s="345">
        <v>2</v>
      </c>
      <c r="B36" s="818" t="str">
        <f>IF(O16="","",O16)</f>
        <v/>
      </c>
      <c r="C36" s="809">
        <f t="shared" ref="C36:C54" si="3">SUMIF(D$35:D$54,A36,B$35:B$54)</f>
        <v>10</v>
      </c>
      <c r="D36" s="809">
        <f t="shared" ref="D36:D54" si="4">IF(B36="",0,RANK(B36,B$35:B$54,1))</f>
        <v>0</v>
      </c>
      <c r="E36" s="1583" t="s">
        <v>1281</v>
      </c>
      <c r="F36" s="1584"/>
      <c r="G36" s="1585"/>
      <c r="H36" s="820">
        <f>IF($C35=0,"",$C35)</f>
        <v>5.3605555861977985</v>
      </c>
      <c r="I36" s="821">
        <f>IF($C36=0,"",$C36)</f>
        <v>10</v>
      </c>
      <c r="J36" s="821">
        <f>IF($C37=0,"",$C37)</f>
        <v>20</v>
      </c>
      <c r="K36" s="821">
        <f>IF($C38=0,"",$C38)</f>
        <v>26.922669813782981</v>
      </c>
      <c r="L36" s="821">
        <f>IF($C39=0,"",$C39)</f>
        <v>28.402760758696882</v>
      </c>
      <c r="M36" s="821">
        <f>IF($C40="",0,$C40)</f>
        <v>30</v>
      </c>
      <c r="N36" s="821">
        <f>IF($C41=0,"",$C41)</f>
        <v>40</v>
      </c>
      <c r="O36" s="821">
        <f>IF($C42=0,"",$C42)</f>
        <v>50</v>
      </c>
      <c r="P36" s="821">
        <f>IF($C43=0,"",$C43)</f>
        <v>60</v>
      </c>
      <c r="Q36" s="821">
        <f>IF($C44=0,"",$C44)</f>
        <v>70</v>
      </c>
      <c r="R36" s="821">
        <f>IF($C45=0,"",$C45)</f>
        <v>80</v>
      </c>
      <c r="S36" s="821">
        <f>IF($C46=0,"",$C46)</f>
        <v>90</v>
      </c>
      <c r="T36" s="821">
        <f>IF($C47=0,"",$C47)</f>
        <v>97.736572490101764</v>
      </c>
      <c r="U36" s="821">
        <f>IF($C48=0,"",$C48)</f>
        <v>98.474693898206965</v>
      </c>
      <c r="V36" s="821">
        <f>IF($C49=0,"",$C49)</f>
        <v>99.115172061249353</v>
      </c>
      <c r="W36" s="821">
        <f>IF($C50=0,"",$C50)</f>
        <v>99.665653482478291</v>
      </c>
      <c r="X36" s="821">
        <f>IF($C51=0,"",$C51)</f>
        <v>99.951573567634654</v>
      </c>
      <c r="Y36" s="821">
        <f>IF($C52=0,"",$C52)</f>
        <v>100</v>
      </c>
      <c r="Z36" s="821" t="str">
        <f>IF($C53=0,"",$C53)</f>
        <v/>
      </c>
      <c r="AA36" s="822" t="str">
        <f>IF($C54=0,"",$C54)</f>
        <v/>
      </c>
    </row>
    <row r="37" spans="1:30" s="345" customFormat="1" ht="13.5" customHeight="1">
      <c r="A37" s="345">
        <v>3</v>
      </c>
      <c r="B37" s="818">
        <f>IF(COUNTIF(C13,"")+COUNTIF(H13,"")+COUNTIF(O13,"")+COUNTIF(T13,"")=4,"",AVERAGE(C13,H13,O13,T13))</f>
        <v>5.3605555861977985</v>
      </c>
      <c r="C37" s="809">
        <f t="shared" si="3"/>
        <v>20</v>
      </c>
      <c r="D37" s="809">
        <f t="shared" si="4"/>
        <v>1</v>
      </c>
      <c r="E37" s="1571" t="s">
        <v>1282</v>
      </c>
      <c r="F37" s="1574" t="s">
        <v>1283</v>
      </c>
      <c r="G37" s="1575"/>
      <c r="H37" s="823">
        <f t="shared" ref="H37:AA37" si="5">IF(COUNTIF(H39:H42,"")=4,"",AVERAGE(H39:H42))</f>
        <v>6.6045706961149434E-2</v>
      </c>
      <c r="I37" s="824">
        <f t="shared" si="5"/>
        <v>0.19943132799546157</v>
      </c>
      <c r="J37" s="824">
        <f t="shared" si="5"/>
        <v>0.26334674959465992</v>
      </c>
      <c r="K37" s="824">
        <f t="shared" si="5"/>
        <v>9.2764331681353063E-2</v>
      </c>
      <c r="L37" s="824">
        <f t="shared" si="5"/>
        <v>0.10489428548181616</v>
      </c>
      <c r="M37" s="824">
        <f t="shared" si="5"/>
        <v>0.22555029108176522</v>
      </c>
      <c r="N37" s="824">
        <f t="shared" si="5"/>
        <v>0.27387249016163784</v>
      </c>
      <c r="O37" s="824">
        <f t="shared" si="5"/>
        <v>0.33817925585920938</v>
      </c>
      <c r="P37" s="824">
        <f t="shared" si="5"/>
        <v>0.38610310391489711</v>
      </c>
      <c r="Q37" s="824">
        <f t="shared" si="5"/>
        <v>0.41124858418275112</v>
      </c>
      <c r="R37" s="824">
        <f t="shared" si="5"/>
        <v>0.40129342687847436</v>
      </c>
      <c r="S37" s="824">
        <f t="shared" si="5"/>
        <v>0.32663608189032911</v>
      </c>
      <c r="T37" s="824">
        <f t="shared" si="5"/>
        <v>0.24434064361867111</v>
      </c>
      <c r="U37" s="824">
        <f t="shared" si="5"/>
        <v>0.28612268921109396</v>
      </c>
      <c r="V37" s="824">
        <f t="shared" si="5"/>
        <v>0.21042001759106127</v>
      </c>
      <c r="W37" s="824">
        <f t="shared" si="5"/>
        <v>0.2519701203507394</v>
      </c>
      <c r="X37" s="824" t="str">
        <f t="shared" si="5"/>
        <v/>
      </c>
      <c r="Y37" s="824" t="str">
        <f t="shared" si="5"/>
        <v/>
      </c>
      <c r="Z37" s="824" t="str">
        <f t="shared" si="5"/>
        <v/>
      </c>
      <c r="AA37" s="825" t="str">
        <f t="shared" si="5"/>
        <v/>
      </c>
    </row>
    <row r="38" spans="1:30" s="345" customFormat="1" ht="12.75" customHeight="1" thickBot="1">
      <c r="A38" s="345">
        <v>4</v>
      </c>
      <c r="B38" s="818">
        <f>IF(COUNTIF(C14,"")+COUNTIF(H14,"")+COUNTIF(O14,"")+COUNTIF(T14,"")=4,"",AVERAGE(C14,H14,O14,T14))</f>
        <v>26.922669813782981</v>
      </c>
      <c r="C38" s="809">
        <f t="shared" si="3"/>
        <v>26.922669813782981</v>
      </c>
      <c r="D38" s="809">
        <f t="shared" si="4"/>
        <v>4</v>
      </c>
      <c r="E38" s="1572"/>
      <c r="F38" s="1576" t="s">
        <v>1284</v>
      </c>
      <c r="G38" s="1577"/>
      <c r="H38" s="823">
        <f t="shared" ref="H38:AA38" si="6">IF(COUNTIF(H39:H42,"")=4,"",IF(COUNTIF(H39:H42,"")=3,0,STDEV(H39:H42)*$F$35))</f>
        <v>3.4899896129468803E-2</v>
      </c>
      <c r="I38" s="824">
        <f t="shared" si="6"/>
        <v>7.8970858651444993E-3</v>
      </c>
      <c r="J38" s="824">
        <f t="shared" si="6"/>
        <v>1.1489047700664678E-2</v>
      </c>
      <c r="K38" s="824">
        <f t="shared" si="6"/>
        <v>2.2320880859380315E-2</v>
      </c>
      <c r="L38" s="824">
        <f t="shared" si="6"/>
        <v>1.1179853253489533E-2</v>
      </c>
      <c r="M38" s="824">
        <f t="shared" si="6"/>
        <v>3.6259799217055612E-2</v>
      </c>
      <c r="N38" s="824">
        <f t="shared" si="6"/>
        <v>2.8645461315295037E-2</v>
      </c>
      <c r="O38" s="824">
        <f t="shared" si="6"/>
        <v>2.5141051720105421E-2</v>
      </c>
      <c r="P38" s="824">
        <f t="shared" si="6"/>
        <v>1.3283864724323377E-2</v>
      </c>
      <c r="Q38" s="824">
        <f t="shared" si="6"/>
        <v>5.6181978024006912E-3</v>
      </c>
      <c r="R38" s="824">
        <f t="shared" si="6"/>
        <v>9.1634525721778822E-3</v>
      </c>
      <c r="S38" s="824">
        <f t="shared" si="6"/>
        <v>4.5801874275853069E-3</v>
      </c>
      <c r="T38" s="824">
        <f t="shared" si="6"/>
        <v>0</v>
      </c>
      <c r="U38" s="824">
        <f t="shared" si="6"/>
        <v>0.10985284328198225</v>
      </c>
      <c r="V38" s="824">
        <f t="shared" si="6"/>
        <v>7.1674167055884336E-2</v>
      </c>
      <c r="W38" s="824">
        <f t="shared" si="6"/>
        <v>0</v>
      </c>
      <c r="X38" s="824" t="str">
        <f t="shared" si="6"/>
        <v/>
      </c>
      <c r="Y38" s="824" t="str">
        <f t="shared" si="6"/>
        <v/>
      </c>
      <c r="Z38" s="824" t="str">
        <f t="shared" si="6"/>
        <v/>
      </c>
      <c r="AA38" s="825" t="str">
        <f t="shared" si="6"/>
        <v/>
      </c>
    </row>
    <row r="39" spans="1:30" s="345" customFormat="1" ht="12.75" customHeight="1">
      <c r="A39" s="345">
        <v>5</v>
      </c>
      <c r="B39" s="818">
        <f>IF(COUNTIF(C15,"")+COUNTIF(H15,"")+COUNTIF(O15,"")+COUNTIF(T15,"")=4,"",AVERAGE(C15,H15,O15,T15))</f>
        <v>28.402760758696882</v>
      </c>
      <c r="C39" s="809">
        <f t="shared" si="3"/>
        <v>28.402760758696882</v>
      </c>
      <c r="D39" s="809">
        <f t="shared" si="4"/>
        <v>5</v>
      </c>
      <c r="E39" s="1572"/>
      <c r="F39" s="1578">
        <f>G7</f>
        <v>57</v>
      </c>
      <c r="G39" s="826" t="s">
        <v>1285</v>
      </c>
      <c r="H39" s="827" t="str">
        <f>IF(H36="","",IF(SUMIF($A$13:$A$31,H36,$D$13:$D$31)=0,"",SUMIF($A$13:$A$31,H36,$D$13:$D$31)/$M$33))</f>
        <v/>
      </c>
      <c r="I39" s="828">
        <f t="shared" ref="I39:AA39" si="7">IF(I36="","",IF(SUMIF($A$13:$A$31,I36,$D$13:$D$31)=0,"",SUMIF($A$13:$A$31,I36,$D$13:$D$31)/$M$33))</f>
        <v>0.19732815601159423</v>
      </c>
      <c r="J39" s="828">
        <f t="shared" si="7"/>
        <v>0.26011724316559609</v>
      </c>
      <c r="K39" s="828" t="str">
        <f t="shared" si="7"/>
        <v/>
      </c>
      <c r="L39" s="828">
        <f t="shared" si="7"/>
        <v>0.1078717324221195</v>
      </c>
      <c r="M39" s="828">
        <f t="shared" si="7"/>
        <v>0.21134311616242421</v>
      </c>
      <c r="N39" s="828">
        <f t="shared" si="7"/>
        <v>0.28136423791187015</v>
      </c>
      <c r="O39" s="828">
        <f t="shared" si="7"/>
        <v>0.34230181945775484</v>
      </c>
      <c r="P39" s="828">
        <f t="shared" si="7"/>
        <v>0.38592762521495344</v>
      </c>
      <c r="Q39" s="828">
        <f t="shared" si="7"/>
        <v>0.41347028349917159</v>
      </c>
      <c r="R39" s="828">
        <f t="shared" si="7"/>
        <v>0.4047700899463082</v>
      </c>
      <c r="S39" s="828" t="str">
        <f t="shared" si="7"/>
        <v/>
      </c>
      <c r="T39" s="828" t="str">
        <f t="shared" si="7"/>
        <v/>
      </c>
      <c r="U39" s="828">
        <f t="shared" si="7"/>
        <v>0.31537897770588863</v>
      </c>
      <c r="V39" s="828" t="str">
        <f t="shared" si="7"/>
        <v/>
      </c>
      <c r="W39" s="828" t="str">
        <f t="shared" si="7"/>
        <v/>
      </c>
      <c r="X39" s="828" t="str">
        <f t="shared" si="7"/>
        <v/>
      </c>
      <c r="Y39" s="828" t="str">
        <f t="shared" si="7"/>
        <v/>
      </c>
      <c r="Z39" s="828" t="str">
        <f t="shared" si="7"/>
        <v/>
      </c>
      <c r="AA39" s="829" t="str">
        <f t="shared" si="7"/>
        <v/>
      </c>
    </row>
    <row r="40" spans="1:30" s="345" customFormat="1" ht="12.75" customHeight="1" thickBot="1">
      <c r="A40" s="345">
        <v>6</v>
      </c>
      <c r="B40" s="818">
        <f t="shared" ref="B40:B48" si="8">IF(C17="","",C17)</f>
        <v>10</v>
      </c>
      <c r="C40" s="809">
        <f t="shared" si="3"/>
        <v>30</v>
      </c>
      <c r="D40" s="809">
        <f t="shared" si="4"/>
        <v>2</v>
      </c>
      <c r="E40" s="1572"/>
      <c r="F40" s="1579"/>
      <c r="G40" s="830" t="s">
        <v>1286</v>
      </c>
      <c r="H40" s="823" t="str">
        <f>IF(H36="","",IF(SUMIF($A$13:$A$31,H36,$I$13:$I$31)=0,"",SUMIF($A$13:$A$31,H36,$I$13:$I$31)/$M$33))</f>
        <v/>
      </c>
      <c r="I40" s="824">
        <f t="shared" ref="I40:AA40" si="9">IF(I36="","",IF(SUMIF($A$13:$A$31,I36,$I$13:$I$31)=0,"",SUMIF($A$13:$A$31,I36,$I$13:$I$31)/$M$33))</f>
        <v>0.2015344999793289</v>
      </c>
      <c r="J40" s="824">
        <f t="shared" si="9"/>
        <v>0.25944411295162983</v>
      </c>
      <c r="K40" s="824">
        <f t="shared" si="9"/>
        <v>8.6819777945918872E-2</v>
      </c>
      <c r="L40" s="824" t="str">
        <f t="shared" si="9"/>
        <v/>
      </c>
      <c r="M40" s="824">
        <f t="shared" si="9"/>
        <v>0.21637589535193075</v>
      </c>
      <c r="N40" s="824">
        <f t="shared" si="9"/>
        <v>0.28316540671659285</v>
      </c>
      <c r="O40" s="824">
        <f t="shared" si="9"/>
        <v>0.34185530301048378</v>
      </c>
      <c r="P40" s="824">
        <f t="shared" si="9"/>
        <v>0.38865026118613705</v>
      </c>
      <c r="Q40" s="824">
        <f t="shared" si="9"/>
        <v>0.40874436329366692</v>
      </c>
      <c r="R40" s="824">
        <f t="shared" si="9"/>
        <v>0.39704575475765758</v>
      </c>
      <c r="S40" s="824" t="str">
        <f t="shared" si="9"/>
        <v/>
      </c>
      <c r="T40" s="824">
        <f t="shared" si="9"/>
        <v>0.24434064361867111</v>
      </c>
      <c r="U40" s="824" t="str">
        <f t="shared" si="9"/>
        <v/>
      </c>
      <c r="V40" s="824">
        <f t="shared" si="9"/>
        <v>0.22950846397408725</v>
      </c>
      <c r="W40" s="824" t="str">
        <f t="shared" si="9"/>
        <v/>
      </c>
      <c r="X40" s="824" t="str">
        <f t="shared" si="9"/>
        <v/>
      </c>
      <c r="Y40" s="824" t="str">
        <f t="shared" si="9"/>
        <v/>
      </c>
      <c r="Z40" s="824" t="str">
        <f t="shared" si="9"/>
        <v/>
      </c>
      <c r="AA40" s="825" t="str">
        <f t="shared" si="9"/>
        <v/>
      </c>
    </row>
    <row r="41" spans="1:30" s="345" customFormat="1" ht="12.75" customHeight="1">
      <c r="A41" s="345">
        <v>7</v>
      </c>
      <c r="B41" s="818">
        <f t="shared" si="8"/>
        <v>20</v>
      </c>
      <c r="C41" s="809">
        <f t="shared" si="3"/>
        <v>40</v>
      </c>
      <c r="D41" s="809">
        <f t="shared" si="4"/>
        <v>3</v>
      </c>
      <c r="E41" s="1572"/>
      <c r="F41" s="1578">
        <f>U7</f>
        <v>83</v>
      </c>
      <c r="G41" s="826" t="s">
        <v>1285</v>
      </c>
      <c r="H41" s="827">
        <f>IF(H36="","",IF(SUMIF($A$13:$A$31,H36,$P$13:$P$31)=0,"",SUMIF($A$13:$A$31,H36,$P$13:$P$31)/$Y$33))</f>
        <v>7.5340336022148749E-2</v>
      </c>
      <c r="I41" s="828" t="str">
        <f t="shared" ref="I41:AA41" si="10">IF(I36="","",IF(SUMIF($A$13:$A$31,I36,$P$13:$P$31)=0,"",SUMIF($A$13:$A$31,I36,$P$13:$P$31)/$Y$33))</f>
        <v/>
      </c>
      <c r="J41" s="828">
        <f t="shared" si="10"/>
        <v>0.26850655259051226</v>
      </c>
      <c r="K41" s="828">
        <f t="shared" si="10"/>
        <v>9.8708885416787268E-2</v>
      </c>
      <c r="L41" s="828" t="str">
        <f t="shared" si="10"/>
        <v/>
      </c>
      <c r="M41" s="828">
        <f t="shared" si="10"/>
        <v>0.23695765146892692</v>
      </c>
      <c r="N41" s="828">
        <f t="shared" si="10"/>
        <v>0.27121847517581144</v>
      </c>
      <c r="O41" s="828">
        <f t="shared" si="10"/>
        <v>0.34447972138269833</v>
      </c>
      <c r="P41" s="828">
        <f t="shared" si="10"/>
        <v>0.39065157484696272</v>
      </c>
      <c r="Q41" s="828">
        <f t="shared" si="10"/>
        <v>0.41243522860837417</v>
      </c>
      <c r="R41" s="828">
        <f t="shared" si="10"/>
        <v>0.40330791516618625</v>
      </c>
      <c r="S41" s="828">
        <f t="shared" si="10"/>
        <v>0.32785588904996449</v>
      </c>
      <c r="T41" s="828" t="str">
        <f t="shared" si="10"/>
        <v/>
      </c>
      <c r="U41" s="828" t="str">
        <f t="shared" si="10"/>
        <v/>
      </c>
      <c r="V41" s="828">
        <f t="shared" si="10"/>
        <v>0.19133157120803529</v>
      </c>
      <c r="W41" s="828" t="str">
        <f t="shared" si="10"/>
        <v/>
      </c>
      <c r="X41" s="828" t="str">
        <f t="shared" si="10"/>
        <v/>
      </c>
      <c r="Y41" s="828" t="str">
        <f t="shared" si="10"/>
        <v/>
      </c>
      <c r="Z41" s="828" t="str">
        <f t="shared" si="10"/>
        <v/>
      </c>
      <c r="AA41" s="829" t="str">
        <f t="shared" si="10"/>
        <v/>
      </c>
    </row>
    <row r="42" spans="1:30" s="345" customFormat="1" ht="13.5" customHeight="1" thickBot="1">
      <c r="A42" s="345">
        <v>8</v>
      </c>
      <c r="B42" s="818">
        <f t="shared" si="8"/>
        <v>30</v>
      </c>
      <c r="C42" s="809">
        <f t="shared" si="3"/>
        <v>50</v>
      </c>
      <c r="D42" s="809">
        <f t="shared" si="4"/>
        <v>6</v>
      </c>
      <c r="E42" s="1573"/>
      <c r="F42" s="1579"/>
      <c r="G42" s="830" t="s">
        <v>1286</v>
      </c>
      <c r="H42" s="831">
        <f>IF(H36="","",IF(SUMIF($A$13:$A$31,H36,$U$13:$U$31)=0,"",SUMIF($A$13:$A$31,H36,$U$13:$U$31)/$Y$33))</f>
        <v>5.6751077900150111E-2</v>
      </c>
      <c r="I42" s="832" t="str">
        <f t="shared" ref="I42:AA42" si="11">IF(I36="","",IF(SUMIF($A$13:$A$31,I36,$U$13:$U$31)=0,"",SUMIF($A$13:$A$31,I36,$U$13:$U$31)/$Y$33))</f>
        <v/>
      </c>
      <c r="J42" s="832">
        <f t="shared" si="11"/>
        <v>0.26531908967090151</v>
      </c>
      <c r="K42" s="832" t="str">
        <f t="shared" si="11"/>
        <v/>
      </c>
      <c r="L42" s="832">
        <f t="shared" si="11"/>
        <v>0.10191683854151282</v>
      </c>
      <c r="M42" s="832">
        <f t="shared" si="11"/>
        <v>0.237524501343779</v>
      </c>
      <c r="N42" s="832">
        <f t="shared" si="11"/>
        <v>0.25974184084227692</v>
      </c>
      <c r="O42" s="832">
        <f t="shared" si="11"/>
        <v>0.32408017958590074</v>
      </c>
      <c r="P42" s="832">
        <f t="shared" si="11"/>
        <v>0.37918295441153516</v>
      </c>
      <c r="Q42" s="832">
        <f t="shared" si="11"/>
        <v>0.41034446132979163</v>
      </c>
      <c r="R42" s="832">
        <f t="shared" si="11"/>
        <v>0.4000499476437453</v>
      </c>
      <c r="S42" s="832">
        <f t="shared" si="11"/>
        <v>0.32541627473069368</v>
      </c>
      <c r="T42" s="832" t="str">
        <f t="shared" si="11"/>
        <v/>
      </c>
      <c r="U42" s="832">
        <f t="shared" si="11"/>
        <v>0.25686640071629935</v>
      </c>
      <c r="V42" s="832" t="str">
        <f t="shared" si="11"/>
        <v/>
      </c>
      <c r="W42" s="832">
        <f t="shared" si="11"/>
        <v>0.2519701203507394</v>
      </c>
      <c r="X42" s="832" t="str">
        <f t="shared" si="11"/>
        <v/>
      </c>
      <c r="Y42" s="832" t="str">
        <f t="shared" si="11"/>
        <v/>
      </c>
      <c r="Z42" s="832" t="str">
        <f t="shared" si="11"/>
        <v/>
      </c>
      <c r="AA42" s="833" t="str">
        <f t="shared" si="11"/>
        <v/>
      </c>
    </row>
    <row r="43" spans="1:30" s="345" customFormat="1" ht="12.75" customHeight="1">
      <c r="A43" s="345">
        <v>9</v>
      </c>
      <c r="B43" s="818">
        <f t="shared" si="8"/>
        <v>40</v>
      </c>
      <c r="C43" s="809">
        <f t="shared" si="3"/>
        <v>60</v>
      </c>
      <c r="D43" s="809">
        <f t="shared" si="4"/>
        <v>7</v>
      </c>
      <c r="E43" s="1590">
        <v>0</v>
      </c>
      <c r="F43" s="1574" t="s">
        <v>1283</v>
      </c>
      <c r="G43" s="1593"/>
      <c r="H43" s="834" t="str">
        <f t="shared" ref="H43:AA43" si="12">IF(COUNTIF(H45:H52,"")=8,"",AVERAGE(H45:H52))</f>
        <v/>
      </c>
      <c r="I43" s="835">
        <f t="shared" si="12"/>
        <v>0.20008556213998147</v>
      </c>
      <c r="J43" s="835" t="str">
        <f t="shared" si="12"/>
        <v/>
      </c>
      <c r="K43" s="835" t="str">
        <f t="shared" si="12"/>
        <v/>
      </c>
      <c r="L43" s="835" t="str">
        <f t="shared" si="12"/>
        <v/>
      </c>
      <c r="M43" s="835" t="str">
        <f t="shared" si="12"/>
        <v/>
      </c>
      <c r="N43" s="835">
        <f t="shared" si="12"/>
        <v>0.27776146223830828</v>
      </c>
      <c r="O43" s="835">
        <f t="shared" si="12"/>
        <v>0.34342236477728671</v>
      </c>
      <c r="P43" s="835">
        <f t="shared" si="12"/>
        <v>0.38510261448514854</v>
      </c>
      <c r="Q43" s="835">
        <f t="shared" si="12"/>
        <v>0.40997548802392436</v>
      </c>
      <c r="R43" s="835">
        <f t="shared" si="12"/>
        <v>0.40036564560917226</v>
      </c>
      <c r="S43" s="835">
        <f t="shared" si="12"/>
        <v>0.32789912690992179</v>
      </c>
      <c r="T43" s="835" t="str">
        <f t="shared" si="12"/>
        <v/>
      </c>
      <c r="U43" s="835">
        <f t="shared" si="12"/>
        <v>0.19285724415961158</v>
      </c>
      <c r="V43" s="835" t="str">
        <f t="shared" si="12"/>
        <v/>
      </c>
      <c r="W43" s="835">
        <f t="shared" si="12"/>
        <v>0.14846171679586098</v>
      </c>
      <c r="X43" s="835">
        <f t="shared" si="12"/>
        <v>0.14212639823294612</v>
      </c>
      <c r="Y43" s="835">
        <f t="shared" si="12"/>
        <v>0.21728291926120338</v>
      </c>
      <c r="Z43" s="835" t="str">
        <f t="shared" si="12"/>
        <v/>
      </c>
      <c r="AA43" s="836" t="str">
        <f t="shared" si="12"/>
        <v/>
      </c>
    </row>
    <row r="44" spans="1:30" s="345" customFormat="1" ht="13.5" customHeight="1" thickBot="1">
      <c r="A44" s="345">
        <v>10</v>
      </c>
      <c r="B44" s="818">
        <f t="shared" si="8"/>
        <v>50</v>
      </c>
      <c r="C44" s="809">
        <f t="shared" si="3"/>
        <v>70</v>
      </c>
      <c r="D44" s="809">
        <f t="shared" si="4"/>
        <v>8</v>
      </c>
      <c r="E44" s="1591"/>
      <c r="F44" s="1576" t="s">
        <v>1284</v>
      </c>
      <c r="G44" s="1594"/>
      <c r="H44" s="834" t="str">
        <f t="shared" ref="H44:AA44" si="13">IF(COUNTIF(H45:H52,"")=8,"",IF(COUNTIF(H45:H52,"")=7,0,STDEV(H45:H52)*$F$35))</f>
        <v/>
      </c>
      <c r="I44" s="835">
        <f t="shared" si="13"/>
        <v>9.7307293566430229E-3</v>
      </c>
      <c r="J44" s="835" t="str">
        <f t="shared" si="13"/>
        <v/>
      </c>
      <c r="K44" s="835" t="str">
        <f t="shared" si="13"/>
        <v/>
      </c>
      <c r="L44" s="835" t="str">
        <f t="shared" si="13"/>
        <v/>
      </c>
      <c r="M44" s="835" t="str">
        <f t="shared" si="13"/>
        <v/>
      </c>
      <c r="N44" s="835">
        <f t="shared" si="13"/>
        <v>0</v>
      </c>
      <c r="O44" s="835">
        <f t="shared" si="13"/>
        <v>0</v>
      </c>
      <c r="P44" s="835">
        <f t="shared" si="13"/>
        <v>7.6982841780288526E-3</v>
      </c>
      <c r="Q44" s="835">
        <f t="shared" si="13"/>
        <v>0</v>
      </c>
      <c r="R44" s="835">
        <f t="shared" si="13"/>
        <v>7.1210785229942723E-3</v>
      </c>
      <c r="S44" s="835">
        <f t="shared" si="13"/>
        <v>5.8398494731137047E-3</v>
      </c>
      <c r="T44" s="835" t="str">
        <f t="shared" si="13"/>
        <v/>
      </c>
      <c r="U44" s="835">
        <f t="shared" si="13"/>
        <v>0</v>
      </c>
      <c r="V44" s="835" t="str">
        <f t="shared" si="13"/>
        <v/>
      </c>
      <c r="W44" s="835">
        <f t="shared" si="13"/>
        <v>0.15181304019760808</v>
      </c>
      <c r="X44" s="835">
        <f t="shared" si="13"/>
        <v>0.30472968502470005</v>
      </c>
      <c r="Y44" s="835">
        <f t="shared" si="13"/>
        <v>0.12145613096533998</v>
      </c>
      <c r="Z44" s="835" t="str">
        <f t="shared" si="13"/>
        <v/>
      </c>
      <c r="AA44" s="836" t="str">
        <f t="shared" si="13"/>
        <v/>
      </c>
    </row>
    <row r="45" spans="1:30" s="345" customFormat="1">
      <c r="A45" s="345">
        <v>11</v>
      </c>
      <c r="B45" s="818">
        <f t="shared" si="8"/>
        <v>60</v>
      </c>
      <c r="C45" s="809">
        <f t="shared" si="3"/>
        <v>80</v>
      </c>
      <c r="D45" s="809">
        <f t="shared" si="4"/>
        <v>9</v>
      </c>
      <c r="E45" s="1591"/>
      <c r="F45" s="1578">
        <f>G7</f>
        <v>57</v>
      </c>
      <c r="G45" s="1596" t="s">
        <v>1285</v>
      </c>
      <c r="H45" s="837" t="str">
        <f>IF(H36="","",IF(SUMIF($A$13:$A$31,H36,$E$13:$E$31)=0,"",SUMIF($A$13:$A$31,H36,$E$13:$E$31)/$M$33))</f>
        <v/>
      </c>
      <c r="I45" s="838" t="str">
        <f t="shared" ref="I45:AA45" si="14">IF(I36="","",IF(SUMIF($A$13:$A$31,I36,$E$13:$E$31)=0,"",SUMIF($A$13:$A$31,I36,$E$13:$E$31)/$M$33))</f>
        <v/>
      </c>
      <c r="J45" s="838" t="str">
        <f t="shared" si="14"/>
        <v/>
      </c>
      <c r="K45" s="838" t="str">
        <f t="shared" si="14"/>
        <v/>
      </c>
      <c r="L45" s="838" t="str">
        <f t="shared" si="14"/>
        <v/>
      </c>
      <c r="M45" s="838" t="str">
        <f t="shared" si="14"/>
        <v/>
      </c>
      <c r="N45" s="838">
        <f t="shared" si="14"/>
        <v>0.27776146223830828</v>
      </c>
      <c r="O45" s="838" t="str">
        <f t="shared" si="14"/>
        <v/>
      </c>
      <c r="P45" s="838" t="str">
        <f t="shared" si="14"/>
        <v/>
      </c>
      <c r="Q45" s="838" t="str">
        <f t="shared" si="14"/>
        <v/>
      </c>
      <c r="R45" s="838" t="str">
        <f t="shared" si="14"/>
        <v/>
      </c>
      <c r="S45" s="838">
        <f t="shared" si="14"/>
        <v>0.32945441046788149</v>
      </c>
      <c r="T45" s="838" t="str">
        <f t="shared" si="14"/>
        <v/>
      </c>
      <c r="U45" s="838" t="str">
        <f t="shared" si="14"/>
        <v/>
      </c>
      <c r="V45" s="838" t="str">
        <f t="shared" si="14"/>
        <v/>
      </c>
      <c r="W45" s="838">
        <f t="shared" si="14"/>
        <v>0.18889295160598069</v>
      </c>
      <c r="X45" s="838">
        <f t="shared" si="14"/>
        <v>0.22328278264373405</v>
      </c>
      <c r="Y45" s="838">
        <f t="shared" si="14"/>
        <v>0.24962942483013453</v>
      </c>
      <c r="Z45" s="838" t="str">
        <f t="shared" si="14"/>
        <v/>
      </c>
      <c r="AA45" s="839" t="str">
        <f t="shared" si="14"/>
        <v/>
      </c>
    </row>
    <row r="46" spans="1:30" s="345" customFormat="1">
      <c r="A46" s="345">
        <v>12</v>
      </c>
      <c r="B46" s="818">
        <f t="shared" si="8"/>
        <v>70</v>
      </c>
      <c r="C46" s="809">
        <f t="shared" si="3"/>
        <v>90</v>
      </c>
      <c r="D46" s="809">
        <f t="shared" si="4"/>
        <v>10</v>
      </c>
      <c r="E46" s="1591"/>
      <c r="F46" s="1595"/>
      <c r="G46" s="1597"/>
      <c r="H46" s="834" t="str">
        <f>IF(H36="","",IF(SUMIF($A$13:$A$31,H36,$F$13:$F$31)=0,"",SUMIF($A$13:$A$31,H36,$F$13:$F$31)/$M$33))</f>
        <v/>
      </c>
      <c r="I46" s="835" t="str">
        <f t="shared" ref="I46:AA46" si="15">IF(I36="","",IF(SUMIF($A$13:$A$31,I36,$F$13:$F$31)=0,"",SUMIF($A$13:$A$31,I36,$F$13:$F$31)/$M$33))</f>
        <v/>
      </c>
      <c r="J46" s="835" t="str">
        <f t="shared" si="15"/>
        <v/>
      </c>
      <c r="K46" s="835" t="str">
        <f t="shared" si="15"/>
        <v/>
      </c>
      <c r="L46" s="835" t="str">
        <f t="shared" si="15"/>
        <v/>
      </c>
      <c r="M46" s="835" t="str">
        <f t="shared" si="15"/>
        <v/>
      </c>
      <c r="N46" s="835" t="str">
        <f t="shared" si="15"/>
        <v/>
      </c>
      <c r="O46" s="835" t="str">
        <f t="shared" si="15"/>
        <v/>
      </c>
      <c r="P46" s="835" t="str">
        <f t="shared" si="15"/>
        <v/>
      </c>
      <c r="Q46" s="835" t="str">
        <f t="shared" si="15"/>
        <v/>
      </c>
      <c r="R46" s="835" t="str">
        <f t="shared" si="15"/>
        <v/>
      </c>
      <c r="S46" s="835" t="str">
        <f t="shared" si="15"/>
        <v/>
      </c>
      <c r="T46" s="835" t="str">
        <f t="shared" si="15"/>
        <v/>
      </c>
      <c r="U46" s="835" t="str">
        <f t="shared" si="15"/>
        <v/>
      </c>
      <c r="V46" s="835" t="str">
        <f t="shared" si="15"/>
        <v/>
      </c>
      <c r="W46" s="835" t="str">
        <f t="shared" si="15"/>
        <v/>
      </c>
      <c r="X46" s="835" t="str">
        <f t="shared" si="15"/>
        <v/>
      </c>
      <c r="Y46" s="835" t="str">
        <f t="shared" si="15"/>
        <v/>
      </c>
      <c r="Z46" s="835" t="str">
        <f t="shared" si="15"/>
        <v/>
      </c>
      <c r="AA46" s="836" t="str">
        <f t="shared" si="15"/>
        <v/>
      </c>
    </row>
    <row r="47" spans="1:30" s="345" customFormat="1">
      <c r="A47" s="345">
        <v>13</v>
      </c>
      <c r="B47" s="818">
        <f t="shared" si="8"/>
        <v>80</v>
      </c>
      <c r="C47" s="809">
        <f t="shared" si="3"/>
        <v>97.736572490101764</v>
      </c>
      <c r="D47" s="809">
        <f t="shared" si="4"/>
        <v>11</v>
      </c>
      <c r="E47" s="1591"/>
      <c r="F47" s="1595"/>
      <c r="G47" s="1597" t="s">
        <v>1286</v>
      </c>
      <c r="H47" s="834" t="str">
        <f>IF(H36="","",IF(SUMIF($A$13:$A$31,H36,$J$13:$J$31)=0,"",SUMIF($A$13:$A$31,H36,$J$13:$J$31)/$M$33))</f>
        <v/>
      </c>
      <c r="I47" s="835" t="str">
        <f t="shared" ref="I47:AA47" si="16">IF(I36="","",IF(SUMIF($A$13:$A$31,I36,$J$13:$J$31)=0,"",SUMIF($A$13:$A$31,I36,$J$13:$J$31)/$M$33))</f>
        <v/>
      </c>
      <c r="J47" s="835" t="str">
        <f t="shared" si="16"/>
        <v/>
      </c>
      <c r="K47" s="835" t="str">
        <f t="shared" si="16"/>
        <v/>
      </c>
      <c r="L47" s="835" t="str">
        <f t="shared" si="16"/>
        <v/>
      </c>
      <c r="M47" s="835" t="str">
        <f t="shared" si="16"/>
        <v/>
      </c>
      <c r="N47" s="835" t="str">
        <f t="shared" si="16"/>
        <v/>
      </c>
      <c r="O47" s="835" t="str">
        <f t="shared" si="16"/>
        <v/>
      </c>
      <c r="P47" s="835">
        <f t="shared" si="16"/>
        <v>0.38715284109830228</v>
      </c>
      <c r="Q47" s="835" t="str">
        <f t="shared" si="16"/>
        <v/>
      </c>
      <c r="R47" s="835">
        <f t="shared" si="16"/>
        <v>0.39834999321414599</v>
      </c>
      <c r="S47" s="835">
        <f t="shared" si="16"/>
        <v>0.32634384335196209</v>
      </c>
      <c r="T47" s="835" t="str">
        <f t="shared" si="16"/>
        <v/>
      </c>
      <c r="U47" s="835" t="str">
        <f t="shared" si="16"/>
        <v/>
      </c>
      <c r="V47" s="835" t="str">
        <f t="shared" si="16"/>
        <v/>
      </c>
      <c r="W47" s="835" t="str">
        <f t="shared" si="16"/>
        <v/>
      </c>
      <c r="X47" s="835">
        <f t="shared" si="16"/>
        <v>6.0970013822158171E-2</v>
      </c>
      <c r="Y47" s="835" t="str">
        <f t="shared" si="16"/>
        <v/>
      </c>
      <c r="Z47" s="835" t="str">
        <f t="shared" si="16"/>
        <v/>
      </c>
      <c r="AA47" s="836" t="str">
        <f t="shared" si="16"/>
        <v/>
      </c>
    </row>
    <row r="48" spans="1:30" s="345" customFormat="1" ht="13.5" thickBot="1">
      <c r="A48" s="345">
        <v>14</v>
      </c>
      <c r="B48" s="818">
        <f t="shared" si="8"/>
        <v>90</v>
      </c>
      <c r="C48" s="809">
        <f t="shared" si="3"/>
        <v>98.474693898206965</v>
      </c>
      <c r="D48" s="809">
        <f t="shared" si="4"/>
        <v>12</v>
      </c>
      <c r="E48" s="1591"/>
      <c r="F48" s="1579"/>
      <c r="G48" s="1598"/>
      <c r="H48" s="834" t="str">
        <f>IF(H36="","",IF(SUMIF($A$13:$A$31,H36,$K$13:$K$31)=0,"",SUMIF($A$13:$A$31,H36,$K$13:$K$31)/$M$33))</f>
        <v/>
      </c>
      <c r="I48" s="835" t="str">
        <f t="shared" ref="I48:AA48" si="17">IF(I36="","",IF(SUMIF($A$13:$A$31,I36,$K$13:$K$31)=0,"",SUMIF($A$13:$A$31,I36,$K$13:$K$31)/$M$33))</f>
        <v/>
      </c>
      <c r="J48" s="835" t="str">
        <f t="shared" si="17"/>
        <v/>
      </c>
      <c r="K48" s="835" t="str">
        <f t="shared" si="17"/>
        <v/>
      </c>
      <c r="L48" s="835" t="str">
        <f t="shared" si="17"/>
        <v/>
      </c>
      <c r="M48" s="835" t="str">
        <f t="shared" si="17"/>
        <v/>
      </c>
      <c r="N48" s="835" t="str">
        <f t="shared" si="17"/>
        <v/>
      </c>
      <c r="O48" s="835" t="str">
        <f t="shared" si="17"/>
        <v/>
      </c>
      <c r="P48" s="835" t="str">
        <f t="shared" si="17"/>
        <v/>
      </c>
      <c r="Q48" s="835" t="str">
        <f t="shared" si="17"/>
        <v/>
      </c>
      <c r="R48" s="835" t="str">
        <f t="shared" si="17"/>
        <v/>
      </c>
      <c r="S48" s="835" t="str">
        <f t="shared" si="17"/>
        <v/>
      </c>
      <c r="T48" s="835" t="str">
        <f t="shared" si="17"/>
        <v/>
      </c>
      <c r="U48" s="835" t="str">
        <f t="shared" si="17"/>
        <v/>
      </c>
      <c r="V48" s="835" t="str">
        <f t="shared" si="17"/>
        <v/>
      </c>
      <c r="W48" s="835" t="str">
        <f t="shared" si="17"/>
        <v/>
      </c>
      <c r="X48" s="835" t="str">
        <f t="shared" si="17"/>
        <v/>
      </c>
      <c r="Y48" s="835" t="str">
        <f t="shared" si="17"/>
        <v/>
      </c>
      <c r="Z48" s="835" t="str">
        <f t="shared" si="17"/>
        <v/>
      </c>
      <c r="AA48" s="836" t="str">
        <f t="shared" si="17"/>
        <v/>
      </c>
    </row>
    <row r="49" spans="1:28" s="345" customFormat="1">
      <c r="A49" s="345">
        <v>15</v>
      </c>
      <c r="B49" s="818">
        <f t="shared" ref="B49:B54" si="18">IF(COUNTIF(C26,"")+COUNTIF(H26,"")+COUNTIF(O26,"")+COUNTIF(T26,"")=4,"",AVERAGE(C26,H26,O26,T26))</f>
        <v>97.736572490101764</v>
      </c>
      <c r="C49" s="809">
        <f t="shared" si="3"/>
        <v>99.115172061249353</v>
      </c>
      <c r="D49" s="809">
        <f t="shared" si="4"/>
        <v>13</v>
      </c>
      <c r="E49" s="1591"/>
      <c r="F49" s="1578">
        <f>U7</f>
        <v>83</v>
      </c>
      <c r="G49" s="1596" t="s">
        <v>1285</v>
      </c>
      <c r="H49" s="840" t="str">
        <f>IF(H36="","",IF(SUMIF($A$13:$A$31,H36,$Q$13:$Q$31)=0,"",SUMIF($A$13:$A$31,H36,$Q$13:$Q$31)/$Y$33))</f>
        <v/>
      </c>
      <c r="I49" s="841">
        <f t="shared" ref="I49:AA49" si="19">IF(I36="","",IF(SUMIF($A$13:$A$31,I36,$Q$13:$Q$31)=0,"",SUMIF($A$13:$A$31,I36,$Q$13:$Q$31)/$Y$33))</f>
        <v>0.20267707472006058</v>
      </c>
      <c r="J49" s="841" t="str">
        <f t="shared" si="19"/>
        <v/>
      </c>
      <c r="K49" s="841" t="str">
        <f t="shared" si="19"/>
        <v/>
      </c>
      <c r="L49" s="841" t="str">
        <f t="shared" si="19"/>
        <v/>
      </c>
      <c r="M49" s="841" t="str">
        <f t="shared" si="19"/>
        <v/>
      </c>
      <c r="N49" s="841" t="str">
        <f t="shared" si="19"/>
        <v/>
      </c>
      <c r="O49" s="841">
        <f t="shared" si="19"/>
        <v>0.34342236477728671</v>
      </c>
      <c r="P49" s="841" t="str">
        <f t="shared" si="19"/>
        <v/>
      </c>
      <c r="Q49" s="841" t="str">
        <f t="shared" si="19"/>
        <v/>
      </c>
      <c r="R49" s="841">
        <f t="shared" si="19"/>
        <v>0.40340972127714669</v>
      </c>
      <c r="S49" s="841" t="str">
        <f t="shared" si="19"/>
        <v/>
      </c>
      <c r="T49" s="841" t="str">
        <f t="shared" si="19"/>
        <v/>
      </c>
      <c r="U49" s="841">
        <f t="shared" si="19"/>
        <v>0.19285724415961158</v>
      </c>
      <c r="V49" s="841" t="str">
        <f t="shared" si="19"/>
        <v/>
      </c>
      <c r="W49" s="841">
        <f t="shared" si="19"/>
        <v>0.10803048198574129</v>
      </c>
      <c r="X49" s="841" t="str">
        <f t="shared" si="19"/>
        <v/>
      </c>
      <c r="Y49" s="841">
        <f t="shared" si="19"/>
        <v>0.18493641369227223</v>
      </c>
      <c r="Z49" s="841" t="str">
        <f t="shared" si="19"/>
        <v/>
      </c>
      <c r="AA49" s="842" t="str">
        <f t="shared" si="19"/>
        <v/>
      </c>
    </row>
    <row r="50" spans="1:28" s="345" customFormat="1">
      <c r="A50" s="345">
        <v>16</v>
      </c>
      <c r="B50" s="818">
        <f t="shared" si="18"/>
        <v>98.474693898206965</v>
      </c>
      <c r="C50" s="809">
        <f t="shared" si="3"/>
        <v>99.665653482478291</v>
      </c>
      <c r="D50" s="809">
        <f t="shared" si="4"/>
        <v>14</v>
      </c>
      <c r="E50" s="1591"/>
      <c r="F50" s="1595"/>
      <c r="G50" s="1597"/>
      <c r="H50" s="843" t="str">
        <f>IF(H36="","",IF(SUMIF($A$13:$A$31,H36,$R$13:$R$31)=0,"",SUMIF($A$13:$A$31,H36,$R$13:$R$31)/$Y$33))</f>
        <v/>
      </c>
      <c r="I50" s="844" t="str">
        <f t="shared" ref="I50:AA50" si="20">IF(I36="","",IF(SUMIF($A$13:$A$31,I36,$R$13:$R$31)=0,"",SUMIF($A$13:$A$31,I36,$R$13:$R$31)/$Y$33))</f>
        <v/>
      </c>
      <c r="J50" s="844" t="str">
        <f t="shared" si="20"/>
        <v/>
      </c>
      <c r="K50" s="844" t="str">
        <f t="shared" si="20"/>
        <v/>
      </c>
      <c r="L50" s="844" t="str">
        <f t="shared" si="20"/>
        <v/>
      </c>
      <c r="M50" s="844" t="str">
        <f t="shared" si="20"/>
        <v/>
      </c>
      <c r="N50" s="844" t="str">
        <f t="shared" si="20"/>
        <v/>
      </c>
      <c r="O50" s="844" t="str">
        <f t="shared" si="20"/>
        <v/>
      </c>
      <c r="P50" s="844" t="str">
        <f t="shared" si="20"/>
        <v/>
      </c>
      <c r="Q50" s="844" t="str">
        <f t="shared" si="20"/>
        <v/>
      </c>
      <c r="R50" s="844" t="str">
        <f t="shared" si="20"/>
        <v/>
      </c>
      <c r="S50" s="844" t="str">
        <f t="shared" si="20"/>
        <v/>
      </c>
      <c r="T50" s="844" t="str">
        <f t="shared" si="20"/>
        <v/>
      </c>
      <c r="U50" s="844" t="str">
        <f t="shared" si="20"/>
        <v/>
      </c>
      <c r="V50" s="844" t="str">
        <f t="shared" si="20"/>
        <v/>
      </c>
      <c r="W50" s="844" t="str">
        <f t="shared" si="20"/>
        <v/>
      </c>
      <c r="X50" s="844" t="str">
        <f t="shared" si="20"/>
        <v/>
      </c>
      <c r="Y50" s="844" t="str">
        <f t="shared" si="20"/>
        <v/>
      </c>
      <c r="Z50" s="844" t="str">
        <f t="shared" si="20"/>
        <v/>
      </c>
      <c r="AA50" s="845" t="str">
        <f t="shared" si="20"/>
        <v/>
      </c>
    </row>
    <row r="51" spans="1:28" s="345" customFormat="1">
      <c r="A51" s="345">
        <v>17</v>
      </c>
      <c r="B51" s="818">
        <f t="shared" si="18"/>
        <v>99.115172061249353</v>
      </c>
      <c r="C51" s="809">
        <f t="shared" si="3"/>
        <v>99.951573567634654</v>
      </c>
      <c r="D51" s="809">
        <f t="shared" si="4"/>
        <v>15</v>
      </c>
      <c r="E51" s="1591"/>
      <c r="F51" s="1595"/>
      <c r="G51" s="1597" t="s">
        <v>1286</v>
      </c>
      <c r="H51" s="843" t="str">
        <f>IF(H36="","",IF(SUMIF($A$13:$A$31,H36,$V$13:$V$31)=0,"",SUMIF($A$13:$A$31,H36,$V$13:$V$31)/$Y$33))</f>
        <v/>
      </c>
      <c r="I51" s="844">
        <f t="shared" ref="I51:AA51" si="21">IF(I36="","",IF(SUMIF($A$13:$A$31,I36,$V$13:$V$31)=0,"",SUMIF($A$13:$A$31,I36,$V$13:$V$31)/$Y$33))</f>
        <v>0.19749404955990232</v>
      </c>
      <c r="J51" s="844" t="str">
        <f t="shared" si="21"/>
        <v/>
      </c>
      <c r="K51" s="844" t="str">
        <f t="shared" si="21"/>
        <v/>
      </c>
      <c r="L51" s="844" t="str">
        <f t="shared" si="21"/>
        <v/>
      </c>
      <c r="M51" s="844" t="str">
        <f t="shared" si="21"/>
        <v/>
      </c>
      <c r="N51" s="844" t="str">
        <f t="shared" si="21"/>
        <v/>
      </c>
      <c r="O51" s="844" t="str">
        <f t="shared" si="21"/>
        <v/>
      </c>
      <c r="P51" s="844">
        <f t="shared" si="21"/>
        <v>0.3830523878719948</v>
      </c>
      <c r="Q51" s="844">
        <f t="shared" si="21"/>
        <v>0.40997548802392436</v>
      </c>
      <c r="R51" s="844">
        <f t="shared" si="21"/>
        <v>0.3993372223362241</v>
      </c>
      <c r="S51" s="844" t="str">
        <f t="shared" si="21"/>
        <v/>
      </c>
      <c r="T51" s="844" t="str">
        <f t="shared" si="21"/>
        <v/>
      </c>
      <c r="U51" s="844" t="str">
        <f t="shared" si="21"/>
        <v/>
      </c>
      <c r="V51" s="844" t="str">
        <f t="shared" si="21"/>
        <v/>
      </c>
      <c r="W51" s="844" t="str">
        <f t="shared" si="21"/>
        <v/>
      </c>
      <c r="X51" s="844" t="str">
        <f t="shared" si="21"/>
        <v/>
      </c>
      <c r="Y51" s="844" t="str">
        <f t="shared" si="21"/>
        <v/>
      </c>
      <c r="Z51" s="844" t="str">
        <f t="shared" si="21"/>
        <v/>
      </c>
      <c r="AA51" s="845" t="str">
        <f t="shared" si="21"/>
        <v/>
      </c>
    </row>
    <row r="52" spans="1:28" s="345" customFormat="1" ht="13.5" thickBot="1">
      <c r="A52" s="345">
        <v>18</v>
      </c>
      <c r="B52" s="818">
        <f t="shared" si="18"/>
        <v>99.665653482478291</v>
      </c>
      <c r="C52" s="809">
        <f t="shared" si="3"/>
        <v>100</v>
      </c>
      <c r="D52" s="809">
        <f t="shared" si="4"/>
        <v>16</v>
      </c>
      <c r="E52" s="1592"/>
      <c r="F52" s="1579"/>
      <c r="G52" s="1598"/>
      <c r="H52" s="846" t="str">
        <f>IF(H36="","",IF(SUMIF($A$13:$A$31,H36,$W$13:$W$31)=0,"",SUMIF($A$13:$A$31,H36,$W$13:$W$31)/$Y$33))</f>
        <v/>
      </c>
      <c r="I52" s="847" t="str">
        <f t="shared" ref="I52:AA52" si="22">IF(I36="","",IF(SUMIF($A$13:$A$31,I36,$W$13:$W$31)=0,"",SUMIF($A$13:$A$31,I36,$W$13:$W$31)/$Y$33))</f>
        <v/>
      </c>
      <c r="J52" s="847" t="str">
        <f t="shared" si="22"/>
        <v/>
      </c>
      <c r="K52" s="847" t="str">
        <f t="shared" si="22"/>
        <v/>
      </c>
      <c r="L52" s="847" t="str">
        <f t="shared" si="22"/>
        <v/>
      </c>
      <c r="M52" s="847" t="str">
        <f t="shared" si="22"/>
        <v/>
      </c>
      <c r="N52" s="847" t="str">
        <f t="shared" si="22"/>
        <v/>
      </c>
      <c r="O52" s="847" t="str">
        <f t="shared" si="22"/>
        <v/>
      </c>
      <c r="P52" s="847" t="str">
        <f t="shared" si="22"/>
        <v/>
      </c>
      <c r="Q52" s="847" t="str">
        <f t="shared" si="22"/>
        <v/>
      </c>
      <c r="R52" s="847" t="str">
        <f t="shared" si="22"/>
        <v/>
      </c>
      <c r="S52" s="847" t="str">
        <f t="shared" si="22"/>
        <v/>
      </c>
      <c r="T52" s="847" t="str">
        <f t="shared" si="22"/>
        <v/>
      </c>
      <c r="U52" s="847" t="str">
        <f t="shared" si="22"/>
        <v/>
      </c>
      <c r="V52" s="847" t="str">
        <f t="shared" si="22"/>
        <v/>
      </c>
      <c r="W52" s="847" t="str">
        <f t="shared" si="22"/>
        <v/>
      </c>
      <c r="X52" s="847" t="str">
        <f t="shared" si="22"/>
        <v/>
      </c>
      <c r="Y52" s="847" t="str">
        <f t="shared" si="22"/>
        <v/>
      </c>
      <c r="Z52" s="847" t="str">
        <f t="shared" si="22"/>
        <v/>
      </c>
      <c r="AA52" s="848" t="str">
        <f t="shared" si="22"/>
        <v/>
      </c>
    </row>
    <row r="53" spans="1:28" s="345" customFormat="1">
      <c r="A53" s="345">
        <v>19</v>
      </c>
      <c r="B53" s="818">
        <f t="shared" si="18"/>
        <v>99.951573567634654</v>
      </c>
      <c r="C53" s="809">
        <f t="shared" si="3"/>
        <v>0</v>
      </c>
      <c r="D53" s="809">
        <f t="shared" si="4"/>
        <v>17</v>
      </c>
      <c r="E53" s="1571" t="s">
        <v>1287</v>
      </c>
      <c r="F53" s="1574" t="s">
        <v>1283</v>
      </c>
      <c r="G53" s="1593"/>
      <c r="H53" s="834">
        <f t="shared" ref="H53:AA53" si="23">IF(COUNTIF(H55:H58,"")=4,"",AVERAGE(H55:H58))</f>
        <v>4.9043467475467534E-2</v>
      </c>
      <c r="I53" s="835">
        <f t="shared" si="23"/>
        <v>0.19402316895758726</v>
      </c>
      <c r="J53" s="835">
        <f t="shared" si="23"/>
        <v>0.25848834300837792</v>
      </c>
      <c r="K53" s="835">
        <f t="shared" si="23"/>
        <v>0.11502155806595613</v>
      </c>
      <c r="L53" s="835">
        <f t="shared" si="23"/>
        <v>0.10837803723750854</v>
      </c>
      <c r="M53" s="835">
        <f t="shared" si="23"/>
        <v>0.21123324710133404</v>
      </c>
      <c r="N53" s="835">
        <f t="shared" si="23"/>
        <v>0.27315730626402318</v>
      </c>
      <c r="O53" s="835">
        <f t="shared" si="23"/>
        <v>0.35976903657087966</v>
      </c>
      <c r="P53" s="835">
        <f t="shared" si="23"/>
        <v>0.38435474050725149</v>
      </c>
      <c r="Q53" s="835">
        <f t="shared" si="23"/>
        <v>0.4096917131137956</v>
      </c>
      <c r="R53" s="835">
        <f t="shared" si="23"/>
        <v>0.4021072590061186</v>
      </c>
      <c r="S53" s="835">
        <f t="shared" si="23"/>
        <v>0.32477045638985236</v>
      </c>
      <c r="T53" s="835">
        <f t="shared" si="23"/>
        <v>0.27719445240746726</v>
      </c>
      <c r="U53" s="835">
        <f t="shared" si="23"/>
        <v>0.25058577189007486</v>
      </c>
      <c r="V53" s="835">
        <f t="shared" si="23"/>
        <v>0.28140104375536668</v>
      </c>
      <c r="W53" s="835">
        <f t="shared" si="23"/>
        <v>0.26073410533110591</v>
      </c>
      <c r="X53" s="835">
        <f t="shared" si="23"/>
        <v>0.2077152785851013</v>
      </c>
      <c r="Y53" s="835" t="str">
        <f t="shared" si="23"/>
        <v/>
      </c>
      <c r="Z53" s="835" t="str">
        <f t="shared" si="23"/>
        <v/>
      </c>
      <c r="AA53" s="836" t="str">
        <f t="shared" si="23"/>
        <v/>
      </c>
    </row>
    <row r="54" spans="1:28" s="345" customFormat="1" ht="13.5" thickBot="1">
      <c r="A54" s="345">
        <v>20</v>
      </c>
      <c r="B54" s="818">
        <f t="shared" si="18"/>
        <v>100</v>
      </c>
      <c r="C54" s="809">
        <f t="shared" si="3"/>
        <v>0</v>
      </c>
      <c r="D54" s="809">
        <f t="shared" si="4"/>
        <v>18</v>
      </c>
      <c r="E54" s="1572"/>
      <c r="F54" s="1576" t="s">
        <v>1284</v>
      </c>
      <c r="G54" s="1594"/>
      <c r="H54" s="834">
        <f t="shared" ref="H54:AA54" si="24">IF(COUNTIF(H55:H58,"")=4,"",IF(COUNTIF(H55:H58,"")=3,0,STDEV(H55:H58)*$F$35))</f>
        <v>3.2281306404542791E-2</v>
      </c>
      <c r="I54" s="835">
        <f t="shared" si="24"/>
        <v>0</v>
      </c>
      <c r="J54" s="835">
        <f t="shared" si="24"/>
        <v>7.6948391047653919E-3</v>
      </c>
      <c r="K54" s="835">
        <f t="shared" si="24"/>
        <v>3.3770493255220496E-2</v>
      </c>
      <c r="L54" s="835">
        <f t="shared" si="24"/>
        <v>7.7421921432353963E-2</v>
      </c>
      <c r="M54" s="835">
        <f t="shared" si="24"/>
        <v>1.6097386942774874E-2</v>
      </c>
      <c r="N54" s="835">
        <f t="shared" si="24"/>
        <v>1.8014224657495807E-2</v>
      </c>
      <c r="O54" s="835">
        <f t="shared" si="24"/>
        <v>0.13337011118697342</v>
      </c>
      <c r="P54" s="835">
        <f t="shared" si="24"/>
        <v>9.7418482698993069E-3</v>
      </c>
      <c r="Q54" s="835">
        <f t="shared" si="24"/>
        <v>8.3212279277880084E-3</v>
      </c>
      <c r="R54" s="835">
        <f t="shared" si="24"/>
        <v>5.4119225029275828E-3</v>
      </c>
      <c r="S54" s="835">
        <f t="shared" si="24"/>
        <v>0</v>
      </c>
      <c r="T54" s="835">
        <f t="shared" si="24"/>
        <v>0.12945645353045643</v>
      </c>
      <c r="U54" s="835">
        <f t="shared" si="24"/>
        <v>0</v>
      </c>
      <c r="V54" s="835">
        <f t="shared" si="24"/>
        <v>0.12465070601152144</v>
      </c>
      <c r="W54" s="835">
        <f t="shared" si="24"/>
        <v>0</v>
      </c>
      <c r="X54" s="835">
        <f t="shared" si="24"/>
        <v>5.8689862838483403E-2</v>
      </c>
      <c r="Y54" s="835" t="str">
        <f t="shared" si="24"/>
        <v/>
      </c>
      <c r="Z54" s="835" t="str">
        <f t="shared" si="24"/>
        <v/>
      </c>
      <c r="AA54" s="836" t="str">
        <f t="shared" si="24"/>
        <v/>
      </c>
    </row>
    <row r="55" spans="1:28" s="345" customFormat="1">
      <c r="E55" s="1572"/>
      <c r="F55" s="1578">
        <f>G7</f>
        <v>57</v>
      </c>
      <c r="G55" s="982" t="s">
        <v>1285</v>
      </c>
      <c r="H55" s="827">
        <f>IF(H36="","",IF(SUMIF($A$13:$A$31,H36,$G$13:$G$31)=0,"",SUMIF($A$13:$A$31,H36,$G$13:$G$31)/$M$33))</f>
        <v>5.764070706384946E-2</v>
      </c>
      <c r="I55" s="828" t="str">
        <f t="shared" ref="I55:AA55" si="25">IF(I36="","",IF(SUMIF($A$13:$A$31,I36,$G$13:$G$31)=0,"",SUMIF($A$13:$A$31,I36,$G$13:$G$31)/$M$33))</f>
        <v/>
      </c>
      <c r="J55" s="828" t="str">
        <f t="shared" si="25"/>
        <v/>
      </c>
      <c r="K55" s="828">
        <f t="shared" si="25"/>
        <v>0.10602771444963614</v>
      </c>
      <c r="L55" s="828" t="str">
        <f t="shared" si="25"/>
        <v/>
      </c>
      <c r="M55" s="828">
        <f t="shared" si="25"/>
        <v>0.20313812887394364</v>
      </c>
      <c r="N55" s="828">
        <f t="shared" si="25"/>
        <v>0.27612363892189989</v>
      </c>
      <c r="O55" s="828">
        <f t="shared" si="25"/>
        <v>0.41648996330858934</v>
      </c>
      <c r="P55" s="828">
        <f t="shared" si="25"/>
        <v>0.3849746456113084</v>
      </c>
      <c r="Q55" s="828">
        <f t="shared" si="25"/>
        <v>0.41310677542695257</v>
      </c>
      <c r="R55" s="828">
        <f t="shared" si="25"/>
        <v>0.40286425531036979</v>
      </c>
      <c r="S55" s="828" t="str">
        <f t="shared" si="25"/>
        <v/>
      </c>
      <c r="T55" s="828">
        <f t="shared" si="25"/>
        <v>0.33216275993528616</v>
      </c>
      <c r="U55" s="828" t="str">
        <f t="shared" si="25"/>
        <v/>
      </c>
      <c r="V55" s="828">
        <f t="shared" si="25"/>
        <v>0.31459833667196313</v>
      </c>
      <c r="W55" s="828" t="str">
        <f t="shared" si="25"/>
        <v/>
      </c>
      <c r="X55" s="828" t="str">
        <f t="shared" si="25"/>
        <v/>
      </c>
      <c r="Y55" s="828" t="str">
        <f t="shared" si="25"/>
        <v/>
      </c>
      <c r="Z55" s="828" t="str">
        <f t="shared" si="25"/>
        <v/>
      </c>
      <c r="AA55" s="829" t="str">
        <f t="shared" si="25"/>
        <v/>
      </c>
    </row>
    <row r="56" spans="1:28" s="345" customFormat="1" ht="13.5" thickBot="1">
      <c r="E56" s="1572"/>
      <c r="F56" s="1579"/>
      <c r="G56" s="983" t="s">
        <v>1286</v>
      </c>
      <c r="H56" s="823">
        <f>IF(H36="","",IF(SUMIF($A$13:$A$31,H36,$L$13:$L$31)=0,"",SUMIF($A$13:$A$31,H36,$L$13:$L$31)/$M$33))</f>
        <v>4.0446227887085608E-2</v>
      </c>
      <c r="I56" s="824">
        <f t="shared" ref="I56:AA56" si="26">IF(I36="","",IF(SUMIF($A$13:$A$31,I36,$L$13:$L$31)=0,"",SUMIF($A$13:$A$31,I36,$L$13:$L$31)/$M$33))</f>
        <v>0.19402316895758726</v>
      </c>
      <c r="J56" s="824" t="str">
        <f t="shared" si="26"/>
        <v/>
      </c>
      <c r="K56" s="824" t="str">
        <f t="shared" si="26"/>
        <v/>
      </c>
      <c r="L56" s="824">
        <f t="shared" si="26"/>
        <v>0.12899724017822839</v>
      </c>
      <c r="M56" s="824">
        <f t="shared" si="26"/>
        <v>0.21003806947595544</v>
      </c>
      <c r="N56" s="824">
        <f t="shared" si="26"/>
        <v>0.28105311232051727</v>
      </c>
      <c r="O56" s="824" t="str">
        <f t="shared" si="26"/>
        <v/>
      </c>
      <c r="P56" s="824">
        <f t="shared" si="26"/>
        <v>0.38606376272888321</v>
      </c>
      <c r="Q56" s="824">
        <f t="shared" si="26"/>
        <v>0.40607815302766009</v>
      </c>
      <c r="R56" s="824">
        <f t="shared" si="26"/>
        <v>0.39915257489236644</v>
      </c>
      <c r="S56" s="824" t="str">
        <f t="shared" si="26"/>
        <v/>
      </c>
      <c r="T56" s="824" t="str">
        <f t="shared" si="26"/>
        <v/>
      </c>
      <c r="U56" s="824">
        <f t="shared" si="26"/>
        <v>0.25058577189007486</v>
      </c>
      <c r="V56" s="824" t="str">
        <f t="shared" si="26"/>
        <v/>
      </c>
      <c r="W56" s="824">
        <f t="shared" si="26"/>
        <v>0.26073410533110591</v>
      </c>
      <c r="X56" s="824" t="str">
        <f t="shared" si="26"/>
        <v/>
      </c>
      <c r="Y56" s="824" t="str">
        <f t="shared" si="26"/>
        <v/>
      </c>
      <c r="Z56" s="824" t="str">
        <f t="shared" si="26"/>
        <v/>
      </c>
      <c r="AA56" s="825" t="str">
        <f t="shared" si="26"/>
        <v/>
      </c>
    </row>
    <row r="57" spans="1:28" s="345" customFormat="1">
      <c r="E57" s="1572"/>
      <c r="F57" s="1578">
        <f>U7</f>
        <v>83</v>
      </c>
      <c r="G57" s="982" t="s">
        <v>1285</v>
      </c>
      <c r="H57" s="823" t="str">
        <f>IF(H36="","",IF(SUMIF($A$13:$A$31,H36,$S$13:$S$31)=0,"",SUMIF($A$13:$A$31,H36,$S$13:$S$31)/$Y$33))</f>
        <v/>
      </c>
      <c r="I57" s="824" t="str">
        <f t="shared" ref="I57:AA57" si="27">IF(I36="","",IF(SUMIF($A$13:$A$31,I36,$S$13:$S$31)=0,"",SUMIF($A$13:$A$31,I36,$S$13:$S$31)/$Y$33))</f>
        <v/>
      </c>
      <c r="J57" s="824">
        <f t="shared" si="27"/>
        <v>0.26053765212086194</v>
      </c>
      <c r="K57" s="824" t="str">
        <f t="shared" si="27"/>
        <v/>
      </c>
      <c r="L57" s="824">
        <f t="shared" si="27"/>
        <v>8.7758834296788685E-2</v>
      </c>
      <c r="M57" s="824">
        <f t="shared" si="27"/>
        <v>0.2161621358033016</v>
      </c>
      <c r="N57" s="824">
        <f t="shared" si="27"/>
        <v>0.26573054857181871</v>
      </c>
      <c r="O57" s="824">
        <f t="shared" si="27"/>
        <v>0.34191178387041909</v>
      </c>
      <c r="P57" s="824">
        <f t="shared" si="27"/>
        <v>0.38733580305791637</v>
      </c>
      <c r="Q57" s="824">
        <f t="shared" si="27"/>
        <v>0.41132836900632036</v>
      </c>
      <c r="R57" s="824">
        <f t="shared" si="27"/>
        <v>0.40381694249433098</v>
      </c>
      <c r="S57" s="824" t="str">
        <f t="shared" si="27"/>
        <v/>
      </c>
      <c r="T57" s="824">
        <f t="shared" si="27"/>
        <v>0.23916446401004413</v>
      </c>
      <c r="U57" s="824" t="str">
        <f t="shared" si="27"/>
        <v/>
      </c>
      <c r="V57" s="824" t="str">
        <f t="shared" si="27"/>
        <v/>
      </c>
      <c r="W57" s="824" t="str">
        <f t="shared" si="27"/>
        <v/>
      </c>
      <c r="X57" s="824">
        <f t="shared" si="27"/>
        <v>0.19208484511042914</v>
      </c>
      <c r="Y57" s="824" t="str">
        <f t="shared" si="27"/>
        <v/>
      </c>
      <c r="Z57" s="824" t="str">
        <f t="shared" si="27"/>
        <v/>
      </c>
      <c r="AA57" s="825" t="str">
        <f t="shared" si="27"/>
        <v/>
      </c>
    </row>
    <row r="58" spans="1:28" s="345" customFormat="1" ht="13.5" thickBot="1">
      <c r="E58" s="1573"/>
      <c r="F58" s="1579"/>
      <c r="G58" s="983" t="s">
        <v>1286</v>
      </c>
      <c r="H58" s="831" t="str">
        <f>IF(H36="","",IF(SUMIF($A$13:$A$31,H36,$X$13:$X$31)=0,"",SUMIF($A$13:$A$31,H36,$X$13:$X$31)/$Y$33))</f>
        <v/>
      </c>
      <c r="I58" s="832" t="str">
        <f t="shared" ref="I58:AA58" si="28">IF(I36="","",IF(SUMIF($A$13:$A$31,I36,$X$13:$X$31)=0,"",SUMIF($A$13:$A$31,I36,$X$13:$X$31)/$Y$33))</f>
        <v/>
      </c>
      <c r="J58" s="832">
        <f t="shared" si="28"/>
        <v>0.2564390338958939</v>
      </c>
      <c r="K58" s="832">
        <f t="shared" si="28"/>
        <v>0.12401540168227609</v>
      </c>
      <c r="L58" s="832" t="str">
        <f t="shared" si="28"/>
        <v/>
      </c>
      <c r="M58" s="832">
        <f t="shared" si="28"/>
        <v>0.21559465425213553</v>
      </c>
      <c r="N58" s="832">
        <f t="shared" si="28"/>
        <v>0.26972192524185673</v>
      </c>
      <c r="O58" s="832">
        <f t="shared" si="28"/>
        <v>0.32090536253363067</v>
      </c>
      <c r="P58" s="832">
        <f t="shared" si="28"/>
        <v>0.3790447506308981</v>
      </c>
      <c r="Q58" s="832">
        <f t="shared" si="28"/>
        <v>0.40825355499424931</v>
      </c>
      <c r="R58" s="832">
        <f t="shared" si="28"/>
        <v>0.40259526332740725</v>
      </c>
      <c r="S58" s="832">
        <f t="shared" si="28"/>
        <v>0.32477045638985236</v>
      </c>
      <c r="T58" s="832">
        <f t="shared" si="28"/>
        <v>0.26025613327707159</v>
      </c>
      <c r="U58" s="832" t="str">
        <f t="shared" si="28"/>
        <v/>
      </c>
      <c r="V58" s="832">
        <f t="shared" si="28"/>
        <v>0.24820375083877022</v>
      </c>
      <c r="W58" s="832" t="str">
        <f t="shared" si="28"/>
        <v/>
      </c>
      <c r="X58" s="832">
        <f t="shared" si="28"/>
        <v>0.22334571205977347</v>
      </c>
      <c r="Y58" s="832" t="str">
        <f t="shared" si="28"/>
        <v/>
      </c>
      <c r="Z58" s="832" t="str">
        <f t="shared" si="28"/>
        <v/>
      </c>
      <c r="AA58" s="833" t="str">
        <f t="shared" si="28"/>
        <v/>
      </c>
    </row>
    <row r="59" spans="1:28" s="345" customFormat="1">
      <c r="E59" s="1586" t="s">
        <v>1283</v>
      </c>
      <c r="F59" s="1587"/>
      <c r="G59" s="1587"/>
      <c r="H59" s="834">
        <f t="shared" ref="H59:AA59" si="29">IF(COUNTIF(H39:H42,"")+COUNTIF(H45:H52,"")+COUNTIF(H55:H58,"")=16,"",AVERAGE(H39:H42,H45:H52,H55:H58))</f>
        <v>5.7544587218308484E-2</v>
      </c>
      <c r="I59" s="835">
        <f t="shared" si="29"/>
        <v>0.19861138984569465</v>
      </c>
      <c r="J59" s="835">
        <f t="shared" si="29"/>
        <v>0.26172728073256596</v>
      </c>
      <c r="K59" s="835">
        <f t="shared" si="29"/>
        <v>0.10389294487365459</v>
      </c>
      <c r="L59" s="835">
        <f t="shared" si="29"/>
        <v>0.10663616135966233</v>
      </c>
      <c r="M59" s="835">
        <f t="shared" si="29"/>
        <v>0.21839176909154961</v>
      </c>
      <c r="N59" s="835">
        <f t="shared" si="29"/>
        <v>0.27398673866010581</v>
      </c>
      <c r="O59" s="835">
        <f t="shared" si="29"/>
        <v>0.34693081224084543</v>
      </c>
      <c r="P59" s="835">
        <f t="shared" si="29"/>
        <v>0.38520366066588918</v>
      </c>
      <c r="Q59" s="835">
        <f t="shared" si="29"/>
        <v>0.41041518635667906</v>
      </c>
      <c r="R59" s="835">
        <f t="shared" si="29"/>
        <v>0.40133633457871715</v>
      </c>
      <c r="S59" s="835">
        <f t="shared" si="29"/>
        <v>0.32676817479807085</v>
      </c>
      <c r="T59" s="835">
        <f t="shared" si="29"/>
        <v>0.26898100021026822</v>
      </c>
      <c r="U59" s="835">
        <f t="shared" si="29"/>
        <v>0.25392209861796861</v>
      </c>
      <c r="V59" s="835">
        <f t="shared" si="29"/>
        <v>0.24591053067321397</v>
      </c>
      <c r="W59" s="835">
        <f t="shared" si="29"/>
        <v>0.20240691481839185</v>
      </c>
      <c r="X59" s="835">
        <f t="shared" si="29"/>
        <v>0.17492083840902373</v>
      </c>
      <c r="Y59" s="835">
        <f t="shared" si="29"/>
        <v>0.21728291926120338</v>
      </c>
      <c r="Z59" s="835" t="str">
        <f t="shared" si="29"/>
        <v/>
      </c>
      <c r="AA59" s="836" t="str">
        <f t="shared" si="29"/>
        <v/>
      </c>
      <c r="AB59" s="851">
        <f>'Ouvertures pennes (MAX)'!AB59</f>
        <v>0.99487262409793209</v>
      </c>
    </row>
    <row r="60" spans="1:28" s="345" customFormat="1" ht="13.5" thickBot="1">
      <c r="E60" s="1588" t="s">
        <v>1284</v>
      </c>
      <c r="F60" s="1589"/>
      <c r="G60" s="1589"/>
      <c r="H60" s="831">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3.785017941919392E-2</v>
      </c>
      <c r="I60" s="832">
        <f t="shared" si="30"/>
        <v>9.2947857380433294E-3</v>
      </c>
      <c r="J60" s="832">
        <f t="shared" si="30"/>
        <v>1.1636717857770209E-2</v>
      </c>
      <c r="K60" s="832">
        <f t="shared" si="30"/>
        <v>4.1355551159752688E-2</v>
      </c>
      <c r="L60" s="832">
        <f t="shared" si="30"/>
        <v>4.5477828511743444E-2</v>
      </c>
      <c r="M60" s="832">
        <f t="shared" si="30"/>
        <v>3.2975424328301611E-2</v>
      </c>
      <c r="N60" s="832">
        <f t="shared" si="30"/>
        <v>2.1081494405937092E-2</v>
      </c>
      <c r="O60" s="832">
        <f t="shared" si="30"/>
        <v>7.8561606963068187E-2</v>
      </c>
      <c r="P60" s="832">
        <f t="shared" si="30"/>
        <v>1.0091991229497355E-2</v>
      </c>
      <c r="Q60" s="832">
        <f t="shared" si="30"/>
        <v>6.5012277929700464E-3</v>
      </c>
      <c r="R60" s="832">
        <f t="shared" si="30"/>
        <v>6.9132484961177947E-3</v>
      </c>
      <c r="S60" s="832">
        <f t="shared" si="30"/>
        <v>5.0372260350978497E-3</v>
      </c>
      <c r="T60" s="832">
        <f t="shared" si="30"/>
        <v>0.11434548619250853</v>
      </c>
      <c r="U60" s="832">
        <f t="shared" si="30"/>
        <v>0.1329807786378415</v>
      </c>
      <c r="V60" s="832">
        <f t="shared" si="30"/>
        <v>0.136860248299571</v>
      </c>
      <c r="W60" s="832">
        <f t="shared" si="30"/>
        <v>0.18741726709458076</v>
      </c>
      <c r="X60" s="832">
        <f t="shared" si="30"/>
        <v>0.2054512454005078</v>
      </c>
      <c r="Y60" s="832">
        <f t="shared" si="30"/>
        <v>0.12145613096533998</v>
      </c>
      <c r="Z60" s="832" t="str">
        <f t="shared" si="30"/>
        <v/>
      </c>
      <c r="AA60" s="833" t="str">
        <f t="shared" si="30"/>
        <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99" t="s">
        <v>1302</v>
      </c>
      <c r="I65" s="1600"/>
      <c r="J65" s="1600"/>
      <c r="K65" s="1600"/>
      <c r="L65" s="1600"/>
      <c r="M65" s="1600"/>
      <c r="N65" s="1600"/>
      <c r="O65" s="1600"/>
      <c r="P65" s="1600"/>
      <c r="Q65" s="1600"/>
      <c r="R65" s="1600"/>
      <c r="S65" s="1600"/>
      <c r="T65" s="1600"/>
      <c r="U65" s="1600"/>
      <c r="V65" s="1600"/>
      <c r="W65" s="1600"/>
      <c r="X65" s="1600"/>
      <c r="Y65" s="1600"/>
      <c r="Z65" s="1600"/>
      <c r="AA65" s="1601"/>
    </row>
    <row r="66" spans="5:27" s="345" customFormat="1" ht="13.5" thickBot="1">
      <c r="F66" s="854"/>
      <c r="G66" s="855"/>
      <c r="H66" s="1602"/>
      <c r="I66" s="1603"/>
      <c r="J66" s="1603"/>
      <c r="K66" s="1603"/>
      <c r="L66" s="1603"/>
      <c r="M66" s="1603"/>
      <c r="N66" s="1603"/>
      <c r="O66" s="1603"/>
      <c r="P66" s="1603"/>
      <c r="Q66" s="1603"/>
      <c r="R66" s="1603"/>
      <c r="S66" s="1603"/>
      <c r="T66" s="1603"/>
      <c r="U66" s="1603"/>
      <c r="V66" s="1603"/>
      <c r="W66" s="1603"/>
      <c r="X66" s="1603"/>
      <c r="Y66" s="1603"/>
      <c r="Z66" s="1603"/>
      <c r="AA66" s="1604"/>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1">IF(H37="","",RANK(H36,$H$36:$AA$36,1))</f>
        <v>1</v>
      </c>
      <c r="I68" s="860">
        <f t="shared" si="31"/>
        <v>2</v>
      </c>
      <c r="J68" s="860">
        <f t="shared" si="31"/>
        <v>3</v>
      </c>
      <c r="K68" s="860">
        <f t="shared" si="31"/>
        <v>4</v>
      </c>
      <c r="L68" s="860">
        <f t="shared" si="31"/>
        <v>5</v>
      </c>
      <c r="M68" s="860">
        <f t="shared" si="31"/>
        <v>6</v>
      </c>
      <c r="N68" s="860">
        <f t="shared" si="31"/>
        <v>7</v>
      </c>
      <c r="O68" s="860">
        <f t="shared" si="31"/>
        <v>8</v>
      </c>
      <c r="P68" s="860">
        <f t="shared" si="31"/>
        <v>9</v>
      </c>
      <c r="Q68" s="860">
        <f t="shared" si="31"/>
        <v>10</v>
      </c>
      <c r="R68" s="860">
        <f t="shared" si="31"/>
        <v>11</v>
      </c>
      <c r="S68" s="860">
        <f t="shared" si="31"/>
        <v>12</v>
      </c>
      <c r="T68" s="860">
        <f t="shared" si="31"/>
        <v>13</v>
      </c>
      <c r="U68" s="860">
        <f t="shared" si="31"/>
        <v>14</v>
      </c>
      <c r="V68" s="860">
        <f t="shared" si="31"/>
        <v>15</v>
      </c>
      <c r="W68" s="860">
        <f t="shared" si="31"/>
        <v>16</v>
      </c>
      <c r="X68" s="860" t="str">
        <f t="shared" si="31"/>
        <v/>
      </c>
      <c r="Y68" s="860" t="str">
        <f t="shared" si="31"/>
        <v/>
      </c>
      <c r="Z68" s="860" t="str">
        <f t="shared" si="31"/>
        <v/>
      </c>
      <c r="AA68" s="861" t="str">
        <f t="shared" si="31"/>
        <v/>
      </c>
    </row>
    <row r="69" spans="5:27" s="345" customFormat="1" ht="13.5" thickBot="1">
      <c r="F69" s="854"/>
      <c r="G69" s="855"/>
      <c r="H69" s="859">
        <f t="shared" ref="H69:AA69" si="32">IF(H68="","",RANK(H68,$H$68:$AA$68,1))</f>
        <v>1</v>
      </c>
      <c r="I69" s="860">
        <f t="shared" si="32"/>
        <v>2</v>
      </c>
      <c r="J69" s="860">
        <f t="shared" si="32"/>
        <v>3</v>
      </c>
      <c r="K69" s="860">
        <f t="shared" si="32"/>
        <v>4</v>
      </c>
      <c r="L69" s="860">
        <f t="shared" si="32"/>
        <v>5</v>
      </c>
      <c r="M69" s="860">
        <f t="shared" si="32"/>
        <v>6</v>
      </c>
      <c r="N69" s="860">
        <f t="shared" si="32"/>
        <v>7</v>
      </c>
      <c r="O69" s="860">
        <f t="shared" si="32"/>
        <v>8</v>
      </c>
      <c r="P69" s="860">
        <f t="shared" si="32"/>
        <v>9</v>
      </c>
      <c r="Q69" s="860">
        <f t="shared" si="32"/>
        <v>10</v>
      </c>
      <c r="R69" s="860">
        <f t="shared" si="32"/>
        <v>11</v>
      </c>
      <c r="S69" s="860">
        <f t="shared" si="32"/>
        <v>12</v>
      </c>
      <c r="T69" s="860">
        <f t="shared" si="32"/>
        <v>13</v>
      </c>
      <c r="U69" s="860">
        <f t="shared" si="32"/>
        <v>14</v>
      </c>
      <c r="V69" s="860">
        <f t="shared" si="32"/>
        <v>15</v>
      </c>
      <c r="W69" s="860">
        <f t="shared" si="32"/>
        <v>16</v>
      </c>
      <c r="X69" s="860" t="str">
        <f t="shared" si="32"/>
        <v/>
      </c>
      <c r="Y69" s="860" t="str">
        <f t="shared" si="32"/>
        <v/>
      </c>
      <c r="Z69" s="860" t="str">
        <f t="shared" si="32"/>
        <v/>
      </c>
      <c r="AA69" s="861" t="str">
        <f t="shared" si="32"/>
        <v/>
      </c>
    </row>
    <row r="70" spans="5:27" s="345" customFormat="1" ht="13.5" thickBot="1">
      <c r="E70" s="1605" t="s">
        <v>1281</v>
      </c>
      <c r="F70" s="1606"/>
      <c r="G70" s="1606"/>
      <c r="H70" s="862">
        <f>IF(SUMIF($H$69:$AA$69,H$67,$H$36:$AA$36)=0,"",SUMIF($H$69:$AA$69,H$67,$H$36:$AA$36))</f>
        <v>5.3605555861977985</v>
      </c>
      <c r="I70" s="863">
        <f>IF(SUMIF($H$69:$AA$69,I$67,$H$36:$AA$36)=0,"",SUMIF($H$69:$AA$69,I$67,$H$36:$AA$36))</f>
        <v>10</v>
      </c>
      <c r="J70" s="863">
        <f t="shared" ref="J70:AA70" si="33">IF(SUMIF($H$69:$AA$69,J$67,$H$36:$AA$36)=0,"",SUMIF($H$69:$AA$69,J$67,$H$36:$AA$36))</f>
        <v>20</v>
      </c>
      <c r="K70" s="863">
        <f t="shared" si="33"/>
        <v>26.922669813782981</v>
      </c>
      <c r="L70" s="863">
        <f t="shared" si="33"/>
        <v>28.402760758696882</v>
      </c>
      <c r="M70" s="863">
        <f t="shared" si="33"/>
        <v>30</v>
      </c>
      <c r="N70" s="863">
        <f t="shared" si="33"/>
        <v>40</v>
      </c>
      <c r="O70" s="863">
        <f t="shared" si="33"/>
        <v>50</v>
      </c>
      <c r="P70" s="863">
        <f t="shared" si="33"/>
        <v>60</v>
      </c>
      <c r="Q70" s="863">
        <f t="shared" si="33"/>
        <v>70</v>
      </c>
      <c r="R70" s="863">
        <f t="shared" si="33"/>
        <v>80</v>
      </c>
      <c r="S70" s="863">
        <f t="shared" si="33"/>
        <v>90</v>
      </c>
      <c r="T70" s="863">
        <f t="shared" si="33"/>
        <v>97.736572490101764</v>
      </c>
      <c r="U70" s="863">
        <f t="shared" si="33"/>
        <v>98.474693898206965</v>
      </c>
      <c r="V70" s="863">
        <f t="shared" si="33"/>
        <v>99.115172061249353</v>
      </c>
      <c r="W70" s="863">
        <f t="shared" si="33"/>
        <v>99.665653482478291</v>
      </c>
      <c r="X70" s="863" t="str">
        <f t="shared" si="33"/>
        <v/>
      </c>
      <c r="Y70" s="863" t="str">
        <f t="shared" si="33"/>
        <v/>
      </c>
      <c r="Z70" s="863" t="str">
        <f t="shared" si="33"/>
        <v/>
      </c>
      <c r="AA70" s="864" t="str">
        <f t="shared" si="33"/>
        <v/>
      </c>
    </row>
    <row r="71" spans="5:27" s="345" customFormat="1">
      <c r="E71" s="1574" t="s">
        <v>1283</v>
      </c>
      <c r="F71" s="1593"/>
      <c r="G71" s="1575"/>
      <c r="H71" s="865">
        <f>IF(SUMIF($H$36:$AA$36,H$70,$H37:$AA37)=0,"",SUMIF($H$36:$AA$36,H$70,$H37:$AA37)/$AB$59)</f>
        <v>6.6386093416766989E-2</v>
      </c>
      <c r="I71" s="866">
        <f t="shared" ref="I71:AA71" si="34">IF(SUMIF($H$36:$AA$36,I$70,$H37:$AA37)=0,"",SUMIF($H$36:$AA$36,I$70,$H37:$AA37)/$AB$59)</f>
        <v>0.20045915744871293</v>
      </c>
      <c r="J71" s="866">
        <f t="shared" si="34"/>
        <v>0.26470398643589266</v>
      </c>
      <c r="K71" s="866">
        <f t="shared" si="34"/>
        <v>9.3242420621900274E-2</v>
      </c>
      <c r="L71" s="866">
        <f t="shared" si="34"/>
        <v>0.10543488979498816</v>
      </c>
      <c r="M71" s="866">
        <f t="shared" si="34"/>
        <v>0.22671273248299048</v>
      </c>
      <c r="N71" s="866">
        <f t="shared" si="34"/>
        <v>0.27528397457912029</v>
      </c>
      <c r="O71" s="866">
        <f t="shared" si="34"/>
        <v>0.33992216457442709</v>
      </c>
      <c r="P71" s="866">
        <f t="shared" si="34"/>
        <v>0.38809300262431418</v>
      </c>
      <c r="Q71" s="866">
        <f t="shared" si="34"/>
        <v>0.4133680777030499</v>
      </c>
      <c r="R71" s="866">
        <f t="shared" si="34"/>
        <v>0.40336161349532956</v>
      </c>
      <c r="S71" s="866">
        <f t="shared" si="34"/>
        <v>0.32831949937962723</v>
      </c>
      <c r="T71" s="866">
        <f t="shared" si="34"/>
        <v>0.24559992676471415</v>
      </c>
      <c r="U71" s="866">
        <f t="shared" si="34"/>
        <v>0.28759730872133132</v>
      </c>
      <c r="V71" s="866">
        <f t="shared" si="34"/>
        <v>0.21150448056790452</v>
      </c>
      <c r="W71" s="866">
        <f t="shared" si="34"/>
        <v>0.25326872430448572</v>
      </c>
      <c r="X71" s="866" t="str">
        <f t="shared" si="34"/>
        <v/>
      </c>
      <c r="Y71" s="866" t="str">
        <f t="shared" si="34"/>
        <v/>
      </c>
      <c r="Z71" s="866" t="str">
        <f t="shared" si="34"/>
        <v/>
      </c>
      <c r="AA71" s="867" t="str">
        <f t="shared" si="34"/>
        <v/>
      </c>
    </row>
    <row r="72" spans="5:27" s="345" customFormat="1" ht="13.5" thickBot="1">
      <c r="E72" s="1576" t="s">
        <v>1284</v>
      </c>
      <c r="F72" s="1594"/>
      <c r="G72" s="1577"/>
      <c r="H72" s="868">
        <f>IF(SUMIF($H$36:$AA$36,H$70,$H37:$AA37)=0,"",SUMIF($H$36:$AA$36,H$70,$H38:$AA38)/$AB$59)</f>
        <v>3.5079763262270011E-2</v>
      </c>
      <c r="I72" s="869">
        <f t="shared" ref="I72:AA72" si="35">IF(SUMIF($H$36:$AA$36,I$70,$H37:$AA37)=0,"",SUMIF($H$36:$AA$36,I$70,$H38:$AA38)/$AB$59)</f>
        <v>7.9377858771668593E-3</v>
      </c>
      <c r="J72" s="869">
        <f t="shared" si="35"/>
        <v>1.1548259970548484E-2</v>
      </c>
      <c r="K72" s="869">
        <f t="shared" si="35"/>
        <v>2.2435918245935289E-2</v>
      </c>
      <c r="L72" s="869">
        <f t="shared" si="35"/>
        <v>1.1237471996605089E-2</v>
      </c>
      <c r="M72" s="869">
        <f t="shared" si="35"/>
        <v>3.6446675020265017E-2</v>
      </c>
      <c r="N72" s="869">
        <f t="shared" si="35"/>
        <v>2.8793094333325699E-2</v>
      </c>
      <c r="O72" s="869">
        <f t="shared" si="35"/>
        <v>2.5270623707131592E-2</v>
      </c>
      <c r="P72" s="869">
        <f t="shared" si="35"/>
        <v>1.3352327124658881E-2</v>
      </c>
      <c r="Q72" s="869">
        <f t="shared" si="35"/>
        <v>5.647152877982552E-3</v>
      </c>
      <c r="R72" s="869">
        <f t="shared" si="35"/>
        <v>9.2106791866813503E-3</v>
      </c>
      <c r="S72" s="869">
        <f t="shared" si="35"/>
        <v>4.6037928038659632E-3</v>
      </c>
      <c r="T72" s="869">
        <f t="shared" si="35"/>
        <v>0</v>
      </c>
      <c r="U72" s="869">
        <f t="shared" si="35"/>
        <v>0.11041900301718291</v>
      </c>
      <c r="V72" s="869">
        <f t="shared" si="35"/>
        <v>7.2043561476900136E-2</v>
      </c>
      <c r="W72" s="869">
        <f t="shared" si="35"/>
        <v>0</v>
      </c>
      <c r="X72" s="869" t="str">
        <f t="shared" si="35"/>
        <v/>
      </c>
      <c r="Y72" s="869" t="str">
        <f t="shared" si="35"/>
        <v/>
      </c>
      <c r="Z72" s="869" t="str">
        <f t="shared" si="35"/>
        <v/>
      </c>
      <c r="AA72" s="870" t="str">
        <f t="shared" si="35"/>
        <v/>
      </c>
    </row>
    <row r="73" spans="5:27" s="345" customFormat="1">
      <c r="F73" s="854"/>
      <c r="H73" s="871" t="str">
        <f t="shared" ref="H73:AA73" si="36">IF(H43="","",RANK(H36,$H$36:$AA$36,1))</f>
        <v/>
      </c>
      <c r="I73" s="872">
        <f t="shared" si="36"/>
        <v>2</v>
      </c>
      <c r="J73" s="872" t="str">
        <f t="shared" si="36"/>
        <v/>
      </c>
      <c r="K73" s="872" t="str">
        <f t="shared" si="36"/>
        <v/>
      </c>
      <c r="L73" s="872" t="str">
        <f t="shared" si="36"/>
        <v/>
      </c>
      <c r="M73" s="872" t="str">
        <f t="shared" si="36"/>
        <v/>
      </c>
      <c r="N73" s="872">
        <f t="shared" si="36"/>
        <v>7</v>
      </c>
      <c r="O73" s="872">
        <f t="shared" si="36"/>
        <v>8</v>
      </c>
      <c r="P73" s="872">
        <f t="shared" si="36"/>
        <v>9</v>
      </c>
      <c r="Q73" s="872">
        <f t="shared" si="36"/>
        <v>10</v>
      </c>
      <c r="R73" s="872">
        <f t="shared" si="36"/>
        <v>11</v>
      </c>
      <c r="S73" s="872">
        <f t="shared" si="36"/>
        <v>12</v>
      </c>
      <c r="T73" s="872" t="str">
        <f t="shared" si="36"/>
        <v/>
      </c>
      <c r="U73" s="872">
        <f t="shared" si="36"/>
        <v>14</v>
      </c>
      <c r="V73" s="872" t="str">
        <f t="shared" si="36"/>
        <v/>
      </c>
      <c r="W73" s="872">
        <f t="shared" si="36"/>
        <v>16</v>
      </c>
      <c r="X73" s="872">
        <f t="shared" si="36"/>
        <v>17</v>
      </c>
      <c r="Y73" s="872">
        <f t="shared" si="36"/>
        <v>18</v>
      </c>
      <c r="Z73" s="872" t="str">
        <f t="shared" si="36"/>
        <v/>
      </c>
      <c r="AA73" s="873" t="str">
        <f t="shared" si="36"/>
        <v/>
      </c>
    </row>
    <row r="74" spans="5:27" s="345" customFormat="1" ht="13.5" thickBot="1">
      <c r="F74" s="854"/>
      <c r="H74" s="874" t="str">
        <f t="shared" ref="H74:AA74" si="37">IF(H73="","",RANK(H73,$H$73:$AA$73,1))</f>
        <v/>
      </c>
      <c r="I74" s="875">
        <f t="shared" si="37"/>
        <v>1</v>
      </c>
      <c r="J74" s="875" t="str">
        <f t="shared" si="37"/>
        <v/>
      </c>
      <c r="K74" s="875" t="str">
        <f t="shared" si="37"/>
        <v/>
      </c>
      <c r="L74" s="875" t="str">
        <f t="shared" si="37"/>
        <v/>
      </c>
      <c r="M74" s="875" t="str">
        <f t="shared" si="37"/>
        <v/>
      </c>
      <c r="N74" s="875">
        <f t="shared" si="37"/>
        <v>2</v>
      </c>
      <c r="O74" s="875">
        <f t="shared" si="37"/>
        <v>3</v>
      </c>
      <c r="P74" s="875">
        <f t="shared" si="37"/>
        <v>4</v>
      </c>
      <c r="Q74" s="875">
        <f t="shared" si="37"/>
        <v>5</v>
      </c>
      <c r="R74" s="875">
        <f t="shared" si="37"/>
        <v>6</v>
      </c>
      <c r="S74" s="875">
        <f t="shared" si="37"/>
        <v>7</v>
      </c>
      <c r="T74" s="875" t="str">
        <f t="shared" si="37"/>
        <v/>
      </c>
      <c r="U74" s="875">
        <f t="shared" si="37"/>
        <v>8</v>
      </c>
      <c r="V74" s="875" t="str">
        <f t="shared" si="37"/>
        <v/>
      </c>
      <c r="W74" s="875">
        <f t="shared" si="37"/>
        <v>9</v>
      </c>
      <c r="X74" s="875">
        <f t="shared" si="37"/>
        <v>10</v>
      </c>
      <c r="Y74" s="875">
        <f t="shared" si="37"/>
        <v>11</v>
      </c>
      <c r="Z74" s="875" t="str">
        <f t="shared" si="37"/>
        <v/>
      </c>
      <c r="AA74" s="876" t="str">
        <f t="shared" si="37"/>
        <v/>
      </c>
    </row>
    <row r="75" spans="5:27" s="345" customFormat="1" ht="13.5" thickBot="1">
      <c r="E75" s="1605" t="s">
        <v>1281</v>
      </c>
      <c r="F75" s="1606"/>
      <c r="G75" s="1607"/>
      <c r="H75" s="877">
        <f>IF(SUMIF($H$74:$AA$74,H$67,$H$36:$AA$36)=0,"",SUMIF($H$74:$AA$74,H$67,$H$36:$AA$36))</f>
        <v>10</v>
      </c>
      <c r="I75" s="878">
        <f>IF(SUMIF($H$74:$AA$74,I$67,$H$36:$AA$36)=0,"",SUMIF($H$74:$AA$74,I$67,$H$36:$AA$36))</f>
        <v>40</v>
      </c>
      <c r="J75" s="878">
        <f t="shared" ref="J75:AA75" si="38">IF(SUMIF($H$74:$AA$74,J$67,$H$36:$AA$36)=0,"",SUMIF($H$74:$AA$74,J$67,$H$36:$AA$36))</f>
        <v>50</v>
      </c>
      <c r="K75" s="878">
        <f t="shared" si="38"/>
        <v>60</v>
      </c>
      <c r="L75" s="878">
        <f t="shared" si="38"/>
        <v>70</v>
      </c>
      <c r="M75" s="878">
        <f t="shared" si="38"/>
        <v>80</v>
      </c>
      <c r="N75" s="878">
        <f t="shared" si="38"/>
        <v>90</v>
      </c>
      <c r="O75" s="878">
        <f t="shared" si="38"/>
        <v>98.474693898206965</v>
      </c>
      <c r="P75" s="878">
        <f t="shared" si="38"/>
        <v>99.665653482478291</v>
      </c>
      <c r="Q75" s="878">
        <f t="shared" si="38"/>
        <v>99.951573567634654</v>
      </c>
      <c r="R75" s="878">
        <f t="shared" si="38"/>
        <v>100</v>
      </c>
      <c r="S75" s="878" t="str">
        <f t="shared" si="38"/>
        <v/>
      </c>
      <c r="T75" s="878" t="str">
        <f t="shared" si="38"/>
        <v/>
      </c>
      <c r="U75" s="878" t="str">
        <f t="shared" si="38"/>
        <v/>
      </c>
      <c r="V75" s="878" t="str">
        <f t="shared" si="38"/>
        <v/>
      </c>
      <c r="W75" s="878" t="str">
        <f t="shared" si="38"/>
        <v/>
      </c>
      <c r="X75" s="878" t="str">
        <f t="shared" si="38"/>
        <v/>
      </c>
      <c r="Y75" s="878" t="str">
        <f t="shared" si="38"/>
        <v/>
      </c>
      <c r="Z75" s="878" t="str">
        <f t="shared" si="38"/>
        <v/>
      </c>
      <c r="AA75" s="879" t="str">
        <f t="shared" si="38"/>
        <v/>
      </c>
    </row>
    <row r="76" spans="5:27" s="345" customFormat="1">
      <c r="E76" s="1574" t="s">
        <v>1283</v>
      </c>
      <c r="F76" s="1593"/>
      <c r="G76" s="1575"/>
      <c r="H76" s="880">
        <f>IF(SUMIF($H$36:$AA$36,H$75,$H43:$AA43)=0,"",SUMIF($H$36:$AA$36,H$75,$H43:$AA43)/$AB$59)</f>
        <v>0.2011167633860691</v>
      </c>
      <c r="I76" s="881">
        <f t="shared" ref="I76:AA76" si="39">IF(SUMIF($H$36:$AA$36,I$75,$H43:$AA43)=0,"",SUMIF($H$36:$AA$36,I$75,$H43:$AA43)/$AB$59)</f>
        <v>0.27919298964544259</v>
      </c>
      <c r="J76" s="881">
        <f t="shared" si="39"/>
        <v>0.34519229543447694</v>
      </c>
      <c r="K76" s="881">
        <f t="shared" si="39"/>
        <v>0.38708735687076284</v>
      </c>
      <c r="L76" s="881">
        <f t="shared" si="39"/>
        <v>0.41208842025948406</v>
      </c>
      <c r="M76" s="881">
        <f t="shared" si="39"/>
        <v>0.40242905062564227</v>
      </c>
      <c r="N76" s="881">
        <f t="shared" si="39"/>
        <v>0.32958905388238369</v>
      </c>
      <c r="O76" s="881">
        <f t="shared" si="39"/>
        <v>0.19385119209052368</v>
      </c>
      <c r="P76" s="881">
        <f t="shared" si="39"/>
        <v>0.14922685899662155</v>
      </c>
      <c r="Q76" s="881">
        <f t="shared" si="39"/>
        <v>0.14285888946016034</v>
      </c>
      <c r="R76" s="881">
        <f t="shared" si="39"/>
        <v>0.21840275227013861</v>
      </c>
      <c r="S76" s="881" t="str">
        <f t="shared" si="39"/>
        <v/>
      </c>
      <c r="T76" s="881" t="str">
        <f t="shared" si="39"/>
        <v/>
      </c>
      <c r="U76" s="881" t="str">
        <f t="shared" si="39"/>
        <v/>
      </c>
      <c r="V76" s="881" t="str">
        <f t="shared" si="39"/>
        <v/>
      </c>
      <c r="W76" s="881" t="str">
        <f t="shared" si="39"/>
        <v/>
      </c>
      <c r="X76" s="881" t="str">
        <f t="shared" si="39"/>
        <v/>
      </c>
      <c r="Y76" s="881" t="str">
        <f t="shared" si="39"/>
        <v/>
      </c>
      <c r="Z76" s="881" t="str">
        <f t="shared" si="39"/>
        <v/>
      </c>
      <c r="AA76" s="882" t="str">
        <f t="shared" si="39"/>
        <v/>
      </c>
    </row>
    <row r="77" spans="5:27" s="345" customFormat="1" ht="13.5" thickBot="1">
      <c r="E77" s="1576" t="s">
        <v>1284</v>
      </c>
      <c r="F77" s="1594"/>
      <c r="G77" s="1577"/>
      <c r="H77" s="883">
        <f>IF(SUMIF($H$36:$AA$36,H$75,$H43:$AA43)=0,"",SUMIF($H$36:$AA$36,H$75,$H44:$AA44)/$AB$59)</f>
        <v>9.7808796030205789E-3</v>
      </c>
      <c r="I77" s="884">
        <f t="shared" ref="I77:AA77" si="40">IF(SUMIF($H$36:$AA$36,I$75,$H43:$AA43)=0,"",SUMIF($H$36:$AA$36,I$75,$H44:$AA44)/$AB$59)</f>
        <v>0</v>
      </c>
      <c r="J77" s="884">
        <f t="shared" si="40"/>
        <v>0</v>
      </c>
      <c r="K77" s="884">
        <f t="shared" si="40"/>
        <v>7.7379596056419966E-3</v>
      </c>
      <c r="L77" s="884">
        <f t="shared" si="40"/>
        <v>0</v>
      </c>
      <c r="M77" s="884">
        <f t="shared" si="40"/>
        <v>7.1577791473064955E-3</v>
      </c>
      <c r="N77" s="884">
        <f t="shared" si="40"/>
        <v>5.8699468973817583E-3</v>
      </c>
      <c r="O77" s="884">
        <f t="shared" si="40"/>
        <v>0</v>
      </c>
      <c r="P77" s="884">
        <f t="shared" si="40"/>
        <v>0.15259545445353825</v>
      </c>
      <c r="Q77" s="884">
        <f t="shared" si="40"/>
        <v>0.30630020129562174</v>
      </c>
      <c r="R77" s="884">
        <f t="shared" si="40"/>
        <v>0.1220820917406048</v>
      </c>
      <c r="S77" s="884" t="str">
        <f t="shared" si="40"/>
        <v/>
      </c>
      <c r="T77" s="884" t="str">
        <f t="shared" si="40"/>
        <v/>
      </c>
      <c r="U77" s="884" t="str">
        <f t="shared" si="40"/>
        <v/>
      </c>
      <c r="V77" s="884" t="str">
        <f t="shared" si="40"/>
        <v/>
      </c>
      <c r="W77" s="884" t="str">
        <f t="shared" si="40"/>
        <v/>
      </c>
      <c r="X77" s="884" t="str">
        <f t="shared" si="40"/>
        <v/>
      </c>
      <c r="Y77" s="884" t="str">
        <f t="shared" si="40"/>
        <v/>
      </c>
      <c r="Z77" s="884" t="str">
        <f t="shared" si="40"/>
        <v/>
      </c>
      <c r="AA77" s="885" t="str">
        <f t="shared" si="40"/>
        <v/>
      </c>
    </row>
    <row r="78" spans="5:27" s="345" customFormat="1">
      <c r="F78" s="854"/>
      <c r="H78" s="886">
        <f t="shared" ref="H78:AA78" si="41">IF(H53="","",RANK(H36,$H$36:$AA$36,1))</f>
        <v>1</v>
      </c>
      <c r="I78" s="887">
        <f t="shared" si="41"/>
        <v>2</v>
      </c>
      <c r="J78" s="887">
        <f t="shared" si="41"/>
        <v>3</v>
      </c>
      <c r="K78" s="887">
        <f t="shared" si="41"/>
        <v>4</v>
      </c>
      <c r="L78" s="887">
        <f t="shared" si="41"/>
        <v>5</v>
      </c>
      <c r="M78" s="887">
        <f t="shared" si="41"/>
        <v>6</v>
      </c>
      <c r="N78" s="887">
        <f t="shared" si="41"/>
        <v>7</v>
      </c>
      <c r="O78" s="887">
        <f t="shared" si="41"/>
        <v>8</v>
      </c>
      <c r="P78" s="887">
        <f t="shared" si="41"/>
        <v>9</v>
      </c>
      <c r="Q78" s="887">
        <f t="shared" si="41"/>
        <v>10</v>
      </c>
      <c r="R78" s="887">
        <f t="shared" si="41"/>
        <v>11</v>
      </c>
      <c r="S78" s="887">
        <f t="shared" si="41"/>
        <v>12</v>
      </c>
      <c r="T78" s="887">
        <f t="shared" si="41"/>
        <v>13</v>
      </c>
      <c r="U78" s="887">
        <f t="shared" si="41"/>
        <v>14</v>
      </c>
      <c r="V78" s="887">
        <f t="shared" si="41"/>
        <v>15</v>
      </c>
      <c r="W78" s="887">
        <f t="shared" si="41"/>
        <v>16</v>
      </c>
      <c r="X78" s="887">
        <f t="shared" si="41"/>
        <v>17</v>
      </c>
      <c r="Y78" s="887" t="str">
        <f t="shared" si="41"/>
        <v/>
      </c>
      <c r="Z78" s="887" t="str">
        <f t="shared" si="41"/>
        <v/>
      </c>
      <c r="AA78" s="888" t="str">
        <f t="shared" si="41"/>
        <v/>
      </c>
    </row>
    <row r="79" spans="5:27" s="345" customFormat="1" ht="13.5" thickBot="1">
      <c r="F79" s="854"/>
      <c r="H79" s="859">
        <f t="shared" ref="H79:AA79" si="42">IF(H78="","",RANK(H78,$H$78:$AA$78,1))</f>
        <v>1</v>
      </c>
      <c r="I79" s="860">
        <f t="shared" si="42"/>
        <v>2</v>
      </c>
      <c r="J79" s="860">
        <f t="shared" si="42"/>
        <v>3</v>
      </c>
      <c r="K79" s="860">
        <f t="shared" si="42"/>
        <v>4</v>
      </c>
      <c r="L79" s="860">
        <f t="shared" si="42"/>
        <v>5</v>
      </c>
      <c r="M79" s="860">
        <f t="shared" si="42"/>
        <v>6</v>
      </c>
      <c r="N79" s="860">
        <f t="shared" si="42"/>
        <v>7</v>
      </c>
      <c r="O79" s="860">
        <f t="shared" si="42"/>
        <v>8</v>
      </c>
      <c r="P79" s="860">
        <f t="shared" si="42"/>
        <v>9</v>
      </c>
      <c r="Q79" s="860">
        <f t="shared" si="42"/>
        <v>10</v>
      </c>
      <c r="R79" s="860">
        <f t="shared" si="42"/>
        <v>11</v>
      </c>
      <c r="S79" s="860">
        <f t="shared" si="42"/>
        <v>12</v>
      </c>
      <c r="T79" s="860">
        <f t="shared" si="42"/>
        <v>13</v>
      </c>
      <c r="U79" s="860">
        <f t="shared" si="42"/>
        <v>14</v>
      </c>
      <c r="V79" s="860">
        <f t="shared" si="42"/>
        <v>15</v>
      </c>
      <c r="W79" s="860">
        <f t="shared" si="42"/>
        <v>16</v>
      </c>
      <c r="X79" s="860">
        <f t="shared" si="42"/>
        <v>17</v>
      </c>
      <c r="Y79" s="860" t="str">
        <f t="shared" si="42"/>
        <v/>
      </c>
      <c r="Z79" s="860" t="str">
        <f t="shared" si="42"/>
        <v/>
      </c>
      <c r="AA79" s="861" t="str">
        <f t="shared" si="42"/>
        <v/>
      </c>
    </row>
    <row r="80" spans="5:27" s="345" customFormat="1" ht="13.5" thickBot="1">
      <c r="E80" s="1605" t="s">
        <v>1281</v>
      </c>
      <c r="F80" s="1606"/>
      <c r="G80" s="1607"/>
      <c r="H80" s="862">
        <f>IF(SUMIF($H$79:$AA$79,H$67,$H$36:$AA$36)=0,"",SUMIF($H$79:$AA$79,H$67,$H$36:$AA$36))</f>
        <v>5.3605555861977985</v>
      </c>
      <c r="I80" s="863">
        <f>IF(SUMIF($H$79:$AA$79,I$67,$H$36:$AA$36)=0,"",SUMIF($H$79:$AA$79,I$67,$H$36:$AA$36))</f>
        <v>10</v>
      </c>
      <c r="J80" s="863">
        <f t="shared" ref="J80:AA80" si="43">IF(SUMIF($H$79:$AA$79,J$67,$H$36:$AA$36)=0,"",SUMIF($H$79:$AA$79,J$67,$H$36:$AA$36))</f>
        <v>20</v>
      </c>
      <c r="K80" s="863">
        <f t="shared" si="43"/>
        <v>26.922669813782981</v>
      </c>
      <c r="L80" s="863">
        <f t="shared" si="43"/>
        <v>28.402760758696882</v>
      </c>
      <c r="M80" s="863">
        <f t="shared" si="43"/>
        <v>30</v>
      </c>
      <c r="N80" s="863">
        <f t="shared" si="43"/>
        <v>40</v>
      </c>
      <c r="O80" s="863">
        <f t="shared" si="43"/>
        <v>50</v>
      </c>
      <c r="P80" s="863">
        <f t="shared" si="43"/>
        <v>60</v>
      </c>
      <c r="Q80" s="863">
        <f t="shared" si="43"/>
        <v>70</v>
      </c>
      <c r="R80" s="863">
        <f t="shared" si="43"/>
        <v>80</v>
      </c>
      <c r="S80" s="863">
        <f t="shared" si="43"/>
        <v>90</v>
      </c>
      <c r="T80" s="863">
        <f t="shared" si="43"/>
        <v>97.736572490101764</v>
      </c>
      <c r="U80" s="863">
        <f t="shared" si="43"/>
        <v>98.474693898206965</v>
      </c>
      <c r="V80" s="863">
        <f t="shared" si="43"/>
        <v>99.115172061249353</v>
      </c>
      <c r="W80" s="863">
        <f t="shared" si="43"/>
        <v>99.665653482478291</v>
      </c>
      <c r="X80" s="863">
        <f t="shared" si="43"/>
        <v>99.951573567634654</v>
      </c>
      <c r="Y80" s="863" t="str">
        <f t="shared" si="43"/>
        <v/>
      </c>
      <c r="Z80" s="863" t="str">
        <f t="shared" si="43"/>
        <v/>
      </c>
      <c r="AA80" s="864" t="str">
        <f t="shared" si="43"/>
        <v/>
      </c>
    </row>
    <row r="81" spans="5:28" s="345" customFormat="1">
      <c r="E81" s="1574" t="s">
        <v>1283</v>
      </c>
      <c r="F81" s="1593"/>
      <c r="G81" s="1575"/>
      <c r="H81" s="865">
        <f>IF(SUMIF($H$36:$AA$36,H$80,$H53:$AA53)=0,"",SUMIF($H$36:$AA$36,H$80,$H53:$AA53)/$AB$59)</f>
        <v>4.9296227765776628E-2</v>
      </c>
      <c r="I81" s="866">
        <f t="shared" ref="I81:AA81" si="44">IF(SUMIF($H$36:$AA$36,I$80,$H53:$AA53)=0,"",SUMIF($H$36:$AA$36,I$80,$H53:$AA53)/$AB$59)</f>
        <v>0.19502312583333103</v>
      </c>
      <c r="J81" s="866">
        <f t="shared" si="44"/>
        <v>0.25982054058704618</v>
      </c>
      <c r="K81" s="866">
        <f t="shared" si="44"/>
        <v>0.11561435633053842</v>
      </c>
      <c r="L81" s="866">
        <f t="shared" si="44"/>
        <v>0.10893659611528335</v>
      </c>
      <c r="M81" s="866">
        <f t="shared" si="44"/>
        <v>0.21232190130154885</v>
      </c>
      <c r="N81" s="866">
        <f t="shared" si="44"/>
        <v>0.2745651047657478</v>
      </c>
      <c r="O81" s="866">
        <f t="shared" si="44"/>
        <v>0.36162321472770281</v>
      </c>
      <c r="P81" s="866">
        <f t="shared" si="44"/>
        <v>0.38633562849892716</v>
      </c>
      <c r="Q81" s="866">
        <f t="shared" si="44"/>
        <v>0.41180318282983214</v>
      </c>
      <c r="R81" s="866">
        <f t="shared" si="44"/>
        <v>0.40417963995211559</v>
      </c>
      <c r="S81" s="866">
        <f t="shared" si="44"/>
        <v>0.3264442588158733</v>
      </c>
      <c r="T81" s="866">
        <f t="shared" si="44"/>
        <v>0.27862305755855349</v>
      </c>
      <c r="U81" s="866">
        <f t="shared" si="44"/>
        <v>0.25187724118681548</v>
      </c>
      <c r="V81" s="866">
        <f t="shared" si="44"/>
        <v>0.28285132884274283</v>
      </c>
      <c r="W81" s="866">
        <f t="shared" si="44"/>
        <v>0.26207787712273012</v>
      </c>
      <c r="X81" s="866">
        <f t="shared" si="44"/>
        <v>0.20878580187432563</v>
      </c>
      <c r="Y81" s="866" t="str">
        <f t="shared" si="44"/>
        <v/>
      </c>
      <c r="Z81" s="866" t="str">
        <f t="shared" si="44"/>
        <v/>
      </c>
      <c r="AA81" s="867" t="str">
        <f t="shared" si="44"/>
        <v/>
      </c>
    </row>
    <row r="82" spans="5:28" s="345" customFormat="1" ht="13.5" thickBot="1">
      <c r="E82" s="1576" t="s">
        <v>1284</v>
      </c>
      <c r="F82" s="1594"/>
      <c r="G82" s="1577"/>
      <c r="H82" s="868">
        <f>IF(SUMIF($H$36:$AA$36,H$80,$H53:$AA53)=0,"",SUMIF($H$36:$AA$36,H$80,$H54:$AA54)/$AB$59)</f>
        <v>3.244767784600848E-2</v>
      </c>
      <c r="I82" s="869">
        <f t="shared" ref="I82:AA82" si="45">IF(SUMIF($H$36:$AA$36,I$80,$H53:$AA53)=0,"",SUMIF($H$36:$AA$36,I$80,$H54:$AA54)/$AB$59)</f>
        <v>0</v>
      </c>
      <c r="J82" s="869">
        <f t="shared" si="45"/>
        <v>7.7344967771551991E-3</v>
      </c>
      <c r="K82" s="869">
        <f t="shared" si="45"/>
        <v>3.3944539669930891E-2</v>
      </c>
      <c r="L82" s="869">
        <f t="shared" si="45"/>
        <v>7.7820938637801734E-2</v>
      </c>
      <c r="M82" s="869">
        <f t="shared" si="45"/>
        <v>1.6180349677799858E-2</v>
      </c>
      <c r="N82" s="869">
        <f t="shared" si="45"/>
        <v>1.8107066393378359E-2</v>
      </c>
      <c r="O82" s="869">
        <f t="shared" si="45"/>
        <v>0.13405747424993464</v>
      </c>
      <c r="P82" s="869">
        <f t="shared" si="45"/>
        <v>9.7920558209473353E-3</v>
      </c>
      <c r="Q82" s="869">
        <f t="shared" si="45"/>
        <v>8.36411388375774E-3</v>
      </c>
      <c r="R82" s="869">
        <f t="shared" si="45"/>
        <v>5.4398144765865526E-3</v>
      </c>
      <c r="S82" s="869">
        <f t="shared" si="45"/>
        <v>0</v>
      </c>
      <c r="T82" s="869">
        <f t="shared" si="45"/>
        <v>0.1301236463791903</v>
      </c>
      <c r="U82" s="869">
        <f t="shared" si="45"/>
        <v>0</v>
      </c>
      <c r="V82" s="869">
        <f t="shared" si="45"/>
        <v>0.12529313099206479</v>
      </c>
      <c r="W82" s="869">
        <f t="shared" si="45"/>
        <v>0</v>
      </c>
      <c r="X82" s="869">
        <f t="shared" si="45"/>
        <v>5.8992338734517397E-2</v>
      </c>
      <c r="Y82" s="869" t="str">
        <f t="shared" si="45"/>
        <v/>
      </c>
      <c r="Z82" s="869" t="str">
        <f t="shared" si="45"/>
        <v/>
      </c>
      <c r="AA82" s="870" t="str">
        <f t="shared" si="45"/>
        <v/>
      </c>
    </row>
    <row r="83" spans="5:28" s="345" customFormat="1">
      <c r="F83" s="889"/>
      <c r="H83" s="871">
        <f t="shared" ref="H83:AA83" si="46">IF(H59="","",RANK(H36,$H$36:$AA$36,1))</f>
        <v>1</v>
      </c>
      <c r="I83" s="872">
        <f t="shared" si="46"/>
        <v>2</v>
      </c>
      <c r="J83" s="872">
        <f t="shared" si="46"/>
        <v>3</v>
      </c>
      <c r="K83" s="872">
        <f t="shared" si="46"/>
        <v>4</v>
      </c>
      <c r="L83" s="872">
        <f t="shared" si="46"/>
        <v>5</v>
      </c>
      <c r="M83" s="872">
        <f t="shared" si="46"/>
        <v>6</v>
      </c>
      <c r="N83" s="872">
        <f t="shared" si="46"/>
        <v>7</v>
      </c>
      <c r="O83" s="872">
        <f t="shared" si="46"/>
        <v>8</v>
      </c>
      <c r="P83" s="872">
        <f t="shared" si="46"/>
        <v>9</v>
      </c>
      <c r="Q83" s="872">
        <f t="shared" si="46"/>
        <v>10</v>
      </c>
      <c r="R83" s="872">
        <f t="shared" si="46"/>
        <v>11</v>
      </c>
      <c r="S83" s="872">
        <f t="shared" si="46"/>
        <v>12</v>
      </c>
      <c r="T83" s="872">
        <f t="shared" si="46"/>
        <v>13</v>
      </c>
      <c r="U83" s="872">
        <f t="shared" si="46"/>
        <v>14</v>
      </c>
      <c r="V83" s="872">
        <f t="shared" si="46"/>
        <v>15</v>
      </c>
      <c r="W83" s="872">
        <f t="shared" si="46"/>
        <v>16</v>
      </c>
      <c r="X83" s="872">
        <f t="shared" si="46"/>
        <v>17</v>
      </c>
      <c r="Y83" s="872">
        <f t="shared" si="46"/>
        <v>18</v>
      </c>
      <c r="Z83" s="872" t="str">
        <f t="shared" si="46"/>
        <v/>
      </c>
      <c r="AA83" s="873" t="str">
        <f t="shared" si="46"/>
        <v/>
      </c>
    </row>
    <row r="84" spans="5:28" s="345" customFormat="1" ht="13.5" thickBot="1">
      <c r="F84" s="889"/>
      <c r="H84" s="874">
        <f t="shared" ref="H84:AA84" si="47">IF(H83="","",RANK(H83,$H$83:$AA$83,1))</f>
        <v>1</v>
      </c>
      <c r="I84" s="875">
        <f t="shared" si="47"/>
        <v>2</v>
      </c>
      <c r="J84" s="875">
        <f t="shared" si="47"/>
        <v>3</v>
      </c>
      <c r="K84" s="875">
        <f t="shared" si="47"/>
        <v>4</v>
      </c>
      <c r="L84" s="875">
        <f t="shared" si="47"/>
        <v>5</v>
      </c>
      <c r="M84" s="875">
        <f t="shared" si="47"/>
        <v>6</v>
      </c>
      <c r="N84" s="875">
        <f t="shared" si="47"/>
        <v>7</v>
      </c>
      <c r="O84" s="875">
        <f t="shared" si="47"/>
        <v>8</v>
      </c>
      <c r="P84" s="875">
        <f t="shared" si="47"/>
        <v>9</v>
      </c>
      <c r="Q84" s="875">
        <f t="shared" si="47"/>
        <v>10</v>
      </c>
      <c r="R84" s="875">
        <f t="shared" si="47"/>
        <v>11</v>
      </c>
      <c r="S84" s="875">
        <f t="shared" si="47"/>
        <v>12</v>
      </c>
      <c r="T84" s="875">
        <f t="shared" si="47"/>
        <v>13</v>
      </c>
      <c r="U84" s="875">
        <f t="shared" si="47"/>
        <v>14</v>
      </c>
      <c r="V84" s="875">
        <f t="shared" si="47"/>
        <v>15</v>
      </c>
      <c r="W84" s="875">
        <f t="shared" si="47"/>
        <v>16</v>
      </c>
      <c r="X84" s="875">
        <f t="shared" si="47"/>
        <v>17</v>
      </c>
      <c r="Y84" s="875">
        <f t="shared" si="47"/>
        <v>18</v>
      </c>
      <c r="Z84" s="875" t="str">
        <f t="shared" si="47"/>
        <v/>
      </c>
      <c r="AA84" s="876" t="str">
        <f t="shared" si="47"/>
        <v/>
      </c>
    </row>
    <row r="85" spans="5:28" s="345" customFormat="1" ht="13.5" thickBot="1">
      <c r="E85" s="1605" t="s">
        <v>1281</v>
      </c>
      <c r="F85" s="1606"/>
      <c r="G85" s="1607"/>
      <c r="H85" s="877">
        <f>IF(SUMIF($H$84:$AA$84,H$67,$H$36:$AA$36)=0,"",SUMIF($H$84:$AA$84,H$67,$H$36:$AA$36))</f>
        <v>5.3605555861977985</v>
      </c>
      <c r="I85" s="878">
        <f>IF(SUMIF($H$84:$AA$84,I$67,$H$36:$AA$36)=0,"",SUMIF($H$84:$AA$84,I$67,$H$36:$AA$36))</f>
        <v>10</v>
      </c>
      <c r="J85" s="878">
        <f t="shared" ref="J85:AA85" si="48">IF(SUMIF($H$84:$AA$84,J$67,$H$36:$AA$36)=0,"",SUMIF($H$84:$AA$84,J$67,$H$36:$AA$36))</f>
        <v>20</v>
      </c>
      <c r="K85" s="878">
        <f t="shared" si="48"/>
        <v>26.922669813782981</v>
      </c>
      <c r="L85" s="878">
        <f t="shared" si="48"/>
        <v>28.402760758696882</v>
      </c>
      <c r="M85" s="878">
        <f t="shared" si="48"/>
        <v>30</v>
      </c>
      <c r="N85" s="878">
        <f t="shared" si="48"/>
        <v>40</v>
      </c>
      <c r="O85" s="878">
        <f t="shared" si="48"/>
        <v>50</v>
      </c>
      <c r="P85" s="878">
        <f t="shared" si="48"/>
        <v>60</v>
      </c>
      <c r="Q85" s="878">
        <f t="shared" si="48"/>
        <v>70</v>
      </c>
      <c r="R85" s="878">
        <f t="shared" si="48"/>
        <v>80</v>
      </c>
      <c r="S85" s="878">
        <f t="shared" si="48"/>
        <v>90</v>
      </c>
      <c r="T85" s="878">
        <f t="shared" si="48"/>
        <v>97.736572490101764</v>
      </c>
      <c r="U85" s="878">
        <f t="shared" si="48"/>
        <v>98.474693898206965</v>
      </c>
      <c r="V85" s="878">
        <f t="shared" si="48"/>
        <v>99.115172061249353</v>
      </c>
      <c r="W85" s="878">
        <f t="shared" si="48"/>
        <v>99.665653482478291</v>
      </c>
      <c r="X85" s="878">
        <f t="shared" si="48"/>
        <v>99.951573567634654</v>
      </c>
      <c r="Y85" s="878">
        <f t="shared" si="48"/>
        <v>100</v>
      </c>
      <c r="Z85" s="878" t="str">
        <f t="shared" si="48"/>
        <v/>
      </c>
      <c r="AA85" s="879" t="str">
        <f t="shared" si="48"/>
        <v/>
      </c>
    </row>
    <row r="86" spans="5:28" s="345" customFormat="1">
      <c r="E86" s="1574" t="s">
        <v>1283</v>
      </c>
      <c r="F86" s="1593"/>
      <c r="G86" s="1575"/>
      <c r="H86" s="880">
        <f>IF(SUMIF($H$36:$AA$36,H$85,$H59:$AA59)=0,"",SUMIF($H$36:$AA$36,H$85,$H59:$AA59)/$AB$59)</f>
        <v>5.7841160591271812E-2</v>
      </c>
      <c r="I86" s="881">
        <f t="shared" ref="I86:AA86" si="49">IF(SUMIF($H$36:$AA$36,I$85,$H59:$AA59)=0,"",SUMIF($H$36:$AA$36,I$85,$H59:$AA59)/$AB$59)</f>
        <v>0.19963499350057901</v>
      </c>
      <c r="J86" s="881">
        <f t="shared" si="49"/>
        <v>0.26307617115294385</v>
      </c>
      <c r="K86" s="881">
        <f t="shared" si="49"/>
        <v>0.10442838847621935</v>
      </c>
      <c r="L86" s="881">
        <f t="shared" si="49"/>
        <v>0.10718574295513575</v>
      </c>
      <c r="M86" s="881">
        <f t="shared" si="49"/>
        <v>0.21951731689226964</v>
      </c>
      <c r="N86" s="881">
        <f t="shared" si="49"/>
        <v>0.27539881189165721</v>
      </c>
      <c r="O86" s="881">
        <f t="shared" si="49"/>
        <v>0.34871882473941174</v>
      </c>
      <c r="P86" s="881">
        <f t="shared" si="49"/>
        <v>0.38718892382344916</v>
      </c>
      <c r="Q86" s="881">
        <f t="shared" si="49"/>
        <v>0.4125303847101125</v>
      </c>
      <c r="R86" s="881">
        <f t="shared" si="49"/>
        <v>0.40340474233333701</v>
      </c>
      <c r="S86" s="881">
        <f t="shared" si="49"/>
        <v>0.32845227306797903</v>
      </c>
      <c r="T86" s="881">
        <f t="shared" si="49"/>
        <v>0.27036727486009365</v>
      </c>
      <c r="U86" s="881">
        <f t="shared" si="49"/>
        <v>0.25523076268000044</v>
      </c>
      <c r="V86" s="881">
        <f t="shared" si="49"/>
        <v>0.24717790470532369</v>
      </c>
      <c r="W86" s="881">
        <f t="shared" si="49"/>
        <v>0.20345007985511476</v>
      </c>
      <c r="X86" s="881">
        <f t="shared" si="49"/>
        <v>0.175822345667243</v>
      </c>
      <c r="Y86" s="881">
        <f t="shared" si="49"/>
        <v>0.21840275227013861</v>
      </c>
      <c r="Z86" s="881" t="str">
        <f t="shared" si="49"/>
        <v/>
      </c>
      <c r="AA86" s="882" t="str">
        <f t="shared" si="49"/>
        <v/>
      </c>
      <c r="AB86" s="851">
        <v>1</v>
      </c>
    </row>
    <row r="87" spans="5:28" s="345" customFormat="1" ht="13.5" thickBot="1">
      <c r="E87" s="1576" t="s">
        <v>1284</v>
      </c>
      <c r="F87" s="1594"/>
      <c r="G87" s="1577"/>
      <c r="H87" s="883">
        <f>IF(SUMIF($H$36:$AA$36,H$85,$H59:$AA59)=0,"",SUMIF($H$36:$AA$36,H$85,$H60:$AA60)/$AB$59)</f>
        <v>3.8045251726082342E-2</v>
      </c>
      <c r="I87" s="884">
        <f t="shared" ref="I87:AA87" si="50">IF(SUMIF($H$36:$AA$36,I$85,$H59:$AA59)=0,"",SUMIF($H$36:$AA$36,I$85,$H60:$AA60)/$AB$59)</f>
        <v>9.3426892175981525E-3</v>
      </c>
      <c r="J87" s="884">
        <f t="shared" si="50"/>
        <v>1.1696691190313351E-2</v>
      </c>
      <c r="K87" s="884">
        <f t="shared" si="50"/>
        <v>4.1568689456351733E-2</v>
      </c>
      <c r="L87" s="884">
        <f t="shared" si="50"/>
        <v>4.5712212207044058E-2</v>
      </c>
      <c r="M87" s="884">
        <f t="shared" si="50"/>
        <v>3.3145373115679999E-2</v>
      </c>
      <c r="N87" s="884">
        <f t="shared" si="50"/>
        <v>2.119014424087912E-2</v>
      </c>
      <c r="O87" s="884">
        <f t="shared" si="50"/>
        <v>7.8966497881375844E-2</v>
      </c>
      <c r="P87" s="884">
        <f t="shared" si="50"/>
        <v>1.0144003347813429E-2</v>
      </c>
      <c r="Q87" s="884">
        <f t="shared" si="50"/>
        <v>6.5347338297350576E-3</v>
      </c>
      <c r="R87" s="884">
        <f t="shared" si="50"/>
        <v>6.9488780057508914E-3</v>
      </c>
      <c r="S87" s="884">
        <f t="shared" si="50"/>
        <v>5.0631868975841892E-3</v>
      </c>
      <c r="T87" s="884">
        <f t="shared" si="50"/>
        <v>0.1149348001169371</v>
      </c>
      <c r="U87" s="884">
        <f t="shared" si="50"/>
        <v>0.13366613515817408</v>
      </c>
      <c r="V87" s="884">
        <f t="shared" si="50"/>
        <v>0.13756559883599623</v>
      </c>
      <c r="W87" s="884">
        <f t="shared" si="50"/>
        <v>0.18838317846419303</v>
      </c>
      <c r="X87" s="884">
        <f t="shared" si="50"/>
        <v>0.20651010031238315</v>
      </c>
      <c r="Y87" s="884">
        <f t="shared" si="50"/>
        <v>0.1220820917406048</v>
      </c>
      <c r="Z87" s="884" t="str">
        <f t="shared" si="50"/>
        <v/>
      </c>
      <c r="AA87" s="885" t="str">
        <f t="shared" si="50"/>
        <v/>
      </c>
    </row>
    <row r="88" spans="5:28" s="345" customFormat="1">
      <c r="F88" s="889"/>
      <c r="R88" s="694"/>
    </row>
    <row r="89" spans="5:28" s="345" customFormat="1">
      <c r="F89" s="889"/>
      <c r="R89" s="694"/>
    </row>
    <row r="90" spans="5:28" s="345" customFormat="1">
      <c r="R90" s="694"/>
    </row>
    <row r="91" spans="5:28" s="345" customFormat="1">
      <c r="R91" s="694"/>
    </row>
    <row r="92" spans="5:28" s="345" customFormat="1">
      <c r="R92" s="694"/>
    </row>
    <row r="93" spans="5:28" s="345" customFormat="1">
      <c r="R93" s="694"/>
    </row>
    <row r="94" spans="5:28" s="345" customFormat="1">
      <c r="R94" s="694"/>
    </row>
    <row r="95" spans="5:28" s="345" customFormat="1">
      <c r="R95" s="694"/>
    </row>
    <row r="96" spans="5:28" s="345" customFormat="1">
      <c r="R96" s="694"/>
    </row>
    <row r="97" spans="18:18" s="345" customFormat="1">
      <c r="R97" s="694"/>
    </row>
    <row r="98" spans="18:18" s="345" customFormat="1">
      <c r="R98" s="694"/>
    </row>
    <row r="99" spans="18:18" s="345" customFormat="1">
      <c r="R99" s="694"/>
    </row>
    <row r="100" spans="18:18" s="345" customFormat="1">
      <c r="R100" s="694"/>
    </row>
    <row r="101" spans="18:18" s="345" customFormat="1">
      <c r="R101" s="694"/>
    </row>
    <row r="102" spans="18:18" s="345" customFormat="1">
      <c r="R102" s="694"/>
    </row>
    <row r="103" spans="18:18" s="345" customFormat="1">
      <c r="R103" s="694"/>
    </row>
    <row r="104" spans="18:18" s="345" customFormat="1">
      <c r="R104" s="694"/>
    </row>
    <row r="105" spans="18:18" s="345" customFormat="1">
      <c r="R105" s="694"/>
    </row>
    <row r="106" spans="18:18" s="345" customFormat="1">
      <c r="R106" s="694"/>
    </row>
    <row r="107" spans="18:18" s="345" customFormat="1">
      <c r="R107" s="694"/>
    </row>
    <row r="108" spans="18:18" s="345" customFormat="1">
      <c r="R108" s="694"/>
    </row>
    <row r="109" spans="18:18" s="345" customFormat="1">
      <c r="R109" s="694"/>
    </row>
    <row r="110" spans="18:18" s="345" customFormat="1">
      <c r="R110" s="694"/>
    </row>
    <row r="111" spans="18:18" s="345" customFormat="1">
      <c r="R111" s="694"/>
    </row>
    <row r="112" spans="18:18" s="345" customFormat="1">
      <c r="R112" s="694"/>
    </row>
    <row r="113" spans="18:18" s="345" customFormat="1">
      <c r="R113" s="694"/>
    </row>
    <row r="114" spans="18:18" s="345" customFormat="1">
      <c r="R114" s="694"/>
    </row>
    <row r="115" spans="18:18" s="345" customFormat="1">
      <c r="R115" s="694"/>
    </row>
    <row r="116" spans="18:18" s="345" customFormat="1">
      <c r="R116" s="694"/>
    </row>
    <row r="117" spans="18:18" s="345" customFormat="1">
      <c r="R117" s="694"/>
    </row>
    <row r="118" spans="18:18" s="345" customFormat="1">
      <c r="R118" s="694"/>
    </row>
    <row r="119" spans="18:18" s="345" customFormat="1">
      <c r="R119" s="694"/>
    </row>
    <row r="120" spans="18:18" s="345" customFormat="1">
      <c r="R120" s="694"/>
    </row>
    <row r="121" spans="18:18" s="345" customFormat="1">
      <c r="R121" s="694"/>
    </row>
  </sheetData>
  <sheetProtection sheet="1" objects="1" scenarios="1" selectLockedCells="1" selectUnlockedCells="1"/>
  <mergeCells count="55">
    <mergeCell ref="U3:V3"/>
    <mergeCell ref="D1:E1"/>
    <mergeCell ref="L1:M1"/>
    <mergeCell ref="D3:H3"/>
    <mergeCell ref="J3:K3"/>
    <mergeCell ref="Q3:T3"/>
    <mergeCell ref="C11:C12"/>
    <mergeCell ref="D11:G11"/>
    <mergeCell ref="H11:H12"/>
    <mergeCell ref="I11:L11"/>
    <mergeCell ref="N11:N12"/>
    <mergeCell ref="F38:G38"/>
    <mergeCell ref="F39:F40"/>
    <mergeCell ref="F41:F42"/>
    <mergeCell ref="D7:F7"/>
    <mergeCell ref="R7:T7"/>
    <mergeCell ref="D9:F9"/>
    <mergeCell ref="R9:T9"/>
    <mergeCell ref="O11:O12"/>
    <mergeCell ref="P11:S11"/>
    <mergeCell ref="T11:T12"/>
    <mergeCell ref="E59:G59"/>
    <mergeCell ref="E60:G60"/>
    <mergeCell ref="U11:X11"/>
    <mergeCell ref="H35:AA35"/>
    <mergeCell ref="E36:G36"/>
    <mergeCell ref="E43:E52"/>
    <mergeCell ref="F43:G43"/>
    <mergeCell ref="F44:G44"/>
    <mergeCell ref="F45:F48"/>
    <mergeCell ref="G45:G46"/>
    <mergeCell ref="G47:G48"/>
    <mergeCell ref="F49:F52"/>
    <mergeCell ref="G49:G50"/>
    <mergeCell ref="G51:G52"/>
    <mergeCell ref="E37:E42"/>
    <mergeCell ref="F37:G37"/>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1" stopIfTrue="1"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0"/>
  <sheetViews>
    <sheetView workbookViewId="0">
      <selection activeCell="D13" sqref="D13"/>
    </sheetView>
  </sheetViews>
  <sheetFormatPr baseColWidth="10" defaultRowHeight="12.75"/>
  <sheetData>
    <row r="1" spans="1:27" s="345" customFormat="1" ht="18">
      <c r="B1" s="345">
        <v>1E-3</v>
      </c>
      <c r="D1" s="1228" t="s">
        <v>1101</v>
      </c>
      <c r="E1" s="1228"/>
      <c r="L1" s="1249" t="str">
        <f>IF('Stipe=phyllotaxie&amp;croissance'!S9&gt;0,'Stipe=phyllotaxie&amp;croissance'!S9,"")</f>
        <v/>
      </c>
      <c r="M1" s="1249"/>
      <c r="N1" s="975"/>
      <c r="O1" s="975"/>
    </row>
    <row r="2" spans="1:27" s="345" customFormat="1" ht="18">
      <c r="D2" s="974"/>
      <c r="E2" s="974"/>
    </row>
    <row r="3" spans="1:27" s="345" customFormat="1" ht="15.75">
      <c r="D3" s="1323" t="s">
        <v>1102</v>
      </c>
      <c r="E3" s="1323"/>
      <c r="F3" s="1323"/>
      <c r="G3" s="1323"/>
      <c r="H3" s="1323"/>
      <c r="I3" s="978"/>
      <c r="J3" s="1322" t="str">
        <f>IF('Stipe=phyllotaxie&amp;croissance'!$E$11&gt;0,'Stipe=phyllotaxie&amp;croissance'!$E$11,"")</f>
        <v>Rochdi</v>
      </c>
      <c r="K3" s="1322"/>
      <c r="Q3" s="1323" t="s">
        <v>1103</v>
      </c>
      <c r="R3" s="1323"/>
      <c r="S3" s="1323"/>
      <c r="T3" s="1323"/>
      <c r="U3" s="1512" t="str">
        <f>IF('Stipe=phyllotaxie&amp;croissance'!$E$10&gt;0,'Stipe=phyllotaxie&amp;croissance'!$E$10,"")</f>
        <v>01</v>
      </c>
      <c r="V3" s="1512"/>
      <c r="W3" s="980"/>
    </row>
    <row r="4" spans="1:27" s="345" customFormat="1" ht="18">
      <c r="D4" s="974"/>
      <c r="E4" s="974"/>
    </row>
    <row r="5" spans="1:27" s="345" customFormat="1" ht="18">
      <c r="D5" s="446" t="s">
        <v>1228</v>
      </c>
      <c r="E5" s="446"/>
      <c r="F5" s="446"/>
      <c r="G5" s="446"/>
      <c r="H5" s="446"/>
      <c r="I5" s="446"/>
      <c r="J5" s="446"/>
      <c r="K5" s="446"/>
      <c r="L5" s="446"/>
      <c r="M5" s="446"/>
      <c r="N5" s="976"/>
      <c r="O5" s="976"/>
    </row>
    <row r="6" spans="1:27" s="345" customFormat="1" ht="13.5" thickBot="1"/>
    <row r="7" spans="1:27" s="345" customFormat="1" ht="15.75" thickBot="1">
      <c r="D7" s="1496" t="s">
        <v>1229</v>
      </c>
      <c r="E7" s="1497"/>
      <c r="F7" s="1497"/>
      <c r="G7" s="577">
        <f>IF('Folioles=disposition&amp;groupes'!$D$7&gt;0,'Folioles=disposition&amp;groupes'!$D$7,"")</f>
        <v>57</v>
      </c>
      <c r="R7" s="1498" t="s">
        <v>1229</v>
      </c>
      <c r="S7" s="1499"/>
      <c r="T7" s="1513"/>
      <c r="U7" s="577">
        <f>IF('Folioles=disposition&amp;groupes'!$P$7&gt;0,'Folioles=disposition&amp;groupes'!$P$7,"")</f>
        <v>83</v>
      </c>
    </row>
    <row r="8" spans="1:27" s="345" customFormat="1"/>
    <row r="9" spans="1:27" s="345" customFormat="1" ht="15">
      <c r="C9" s="582"/>
      <c r="D9" s="1514" t="s">
        <v>1371</v>
      </c>
      <c r="E9" s="1514"/>
      <c r="F9" s="1514"/>
      <c r="Q9" s="582"/>
      <c r="R9" s="1514" t="s">
        <v>1371</v>
      </c>
      <c r="S9" s="1514"/>
      <c r="T9" s="1514"/>
    </row>
    <row r="10" spans="1:27" s="345" customFormat="1" ht="13.5" thickBot="1"/>
    <row r="11" spans="1:27" s="345" customFormat="1" ht="15.75" thickBot="1">
      <c r="C11" s="1520" t="s">
        <v>1233</v>
      </c>
      <c r="D11" s="1520" t="s">
        <v>1237</v>
      </c>
      <c r="E11" s="1521"/>
      <c r="F11" s="1521"/>
      <c r="G11" s="1522"/>
      <c r="H11" s="1520" t="s">
        <v>1233</v>
      </c>
      <c r="I11" s="1520" t="s">
        <v>1238</v>
      </c>
      <c r="J11" s="1521"/>
      <c r="K11" s="1521"/>
      <c r="L11" s="1522"/>
      <c r="M11" s="583"/>
      <c r="O11" s="1520" t="s">
        <v>1233</v>
      </c>
      <c r="P11" s="1520" t="s">
        <v>1237</v>
      </c>
      <c r="Q11" s="1521"/>
      <c r="R11" s="1521"/>
      <c r="S11" s="1522"/>
      <c r="T11" s="1520" t="s">
        <v>1233</v>
      </c>
      <c r="U11" s="1520" t="s">
        <v>1238</v>
      </c>
      <c r="V11" s="1521"/>
      <c r="W11" s="1521"/>
      <c r="X11" s="1522"/>
    </row>
    <row r="12" spans="1:27" s="345" customFormat="1" ht="13.5" thickBot="1">
      <c r="C12" s="1523"/>
      <c r="D12" s="584" t="s">
        <v>1239</v>
      </c>
      <c r="E12" s="585" t="s">
        <v>1240</v>
      </c>
      <c r="F12" s="585" t="s">
        <v>1240</v>
      </c>
      <c r="G12" s="586" t="s">
        <v>1241</v>
      </c>
      <c r="H12" s="1523"/>
      <c r="I12" s="584" t="s">
        <v>1239</v>
      </c>
      <c r="J12" s="585" t="s">
        <v>1240</v>
      </c>
      <c r="K12" s="585" t="s">
        <v>1240</v>
      </c>
      <c r="L12" s="586" t="s">
        <v>1241</v>
      </c>
      <c r="M12" s="587"/>
      <c r="O12" s="1523"/>
      <c r="P12" s="584" t="s">
        <v>1239</v>
      </c>
      <c r="Q12" s="585" t="s">
        <v>1240</v>
      </c>
      <c r="R12" s="585" t="s">
        <v>1240</v>
      </c>
      <c r="S12" s="586" t="s">
        <v>1241</v>
      </c>
      <c r="T12" s="1523"/>
      <c r="U12" s="584" t="s">
        <v>1239</v>
      </c>
      <c r="V12" s="585" t="s">
        <v>1240</v>
      </c>
      <c r="W12" s="585" t="s">
        <v>1240</v>
      </c>
      <c r="X12" s="586" t="s">
        <v>1241</v>
      </c>
    </row>
    <row r="13" spans="1:27" s="345" customFormat="1">
      <c r="A13" s="345">
        <f>IF(COUNTIF(C13,"")+COUNTIF(H13,"")+COUNTIF(O13,"")+COUNTIF(T13,"")=4,"",AVERAGE(C13,H13,O13,T13))</f>
        <v>5.3605555861977985</v>
      </c>
      <c r="B13" s="595" t="s">
        <v>1243</v>
      </c>
      <c r="C13" s="775">
        <f>IF('Sections rachis &amp; L pennes'!Q13="","",'Sections rachis &amp; L pennes'!Q13)</f>
        <v>5.15970515970516</v>
      </c>
      <c r="D13" s="776" t="str">
        <f>IF('Largeurs pennes'!L14="","",IF(SQRT(ABS('Largeurs pennes'!L14*'Largeurs pennes'!L14-('Ouvertures pennes'!H14*'Ouvertures pennes'!H14)/4))=0,0.01,SQRT(ABS('Largeurs pennes'!L14*'Largeurs pennes'!L14-('Ouvertures pennes'!H14*'Ouvertures pennes'!H14)/4))))</f>
        <v/>
      </c>
      <c r="E13" s="777" t="str">
        <f>IF('Largeurs pennes'!M14="","",IF(SQRT(ABS('Largeurs pennes'!M14*'Largeurs pennes'!M14-('Ouvertures pennes'!I14*'Ouvertures pennes'!I14)/4))=0,0.01,SQRT(ABS('Largeurs pennes'!M14*'Largeurs pennes'!M14-('Ouvertures pennes'!I14*'Ouvertures pennes'!I14)/4))))</f>
        <v/>
      </c>
      <c r="F13" s="777" t="str">
        <f>IF('Largeurs pennes'!N14="","",IF(SQRT(ABS('Largeurs pennes'!N14*'Largeurs pennes'!N14-('Ouvertures pennes'!J14*'Ouvertures pennes'!J14)/4))=0,0.01,SQRT(ABS('Largeurs pennes'!N14*'Largeurs pennes'!N14-('Ouvertures pennes'!J14*'Ouvertures pennes'!J14)/4))))</f>
        <v/>
      </c>
      <c r="G13" s="780">
        <f>IF('Largeurs pennes'!O14="","",IF(SQRT(ABS('Largeurs pennes'!O14*'Largeurs pennes'!O14-('Ouvertures pennes'!K14*'Ouvertures pennes'!K14)/4))=0,0.01,SQRT(ABS('Largeurs pennes'!O14*'Largeurs pennes'!O14-('Ouvertures pennes'!K14*'Ouvertures pennes'!K14)/4))))</f>
        <v>0.10307278981380101</v>
      </c>
      <c r="H13" s="775">
        <f>IF('Sections rachis &amp; L pennes'!V13="","",'Sections rachis &amp; L pennes'!V13)</f>
        <v>5.4054054054054053</v>
      </c>
      <c r="I13" s="776" t="str">
        <f>IF('Largeurs pennes'!Z14="","",IF(SQRT(ABS('Largeurs pennes'!Z14*'Largeurs pennes'!Z14-('Ouvertures pennes'!R14*'Ouvertures pennes'!R14)/4))=0,0.01,SQRT(ABS('Largeurs pennes'!Z14*'Largeurs pennes'!Z14-('Ouvertures pennes'!R14*'Ouvertures pennes'!R14)/4))))</f>
        <v/>
      </c>
      <c r="J13" s="777" t="str">
        <f>IF('Largeurs pennes'!AA14="","",IF(SQRT(ABS('Largeurs pennes'!AA14*'Largeurs pennes'!AA14-('Ouvertures pennes'!S14*'Ouvertures pennes'!S14)/4))=0,0.01,SQRT(ABS('Largeurs pennes'!AA14*'Largeurs pennes'!AA14-('Ouvertures pennes'!S14*'Ouvertures pennes'!S14)/4))))</f>
        <v/>
      </c>
      <c r="K13" s="777" t="str">
        <f>IF('Largeurs pennes'!AB14="","",IF(SQRT(ABS('Largeurs pennes'!AB14*'Largeurs pennes'!AB14-('Ouvertures pennes'!T14*'Ouvertures pennes'!T14)/4))=0,0.01,SQRT(ABS('Largeurs pennes'!AB14*'Largeurs pennes'!AB14-('Ouvertures pennes'!T14*'Ouvertures pennes'!T14)/4))))</f>
        <v/>
      </c>
      <c r="L13" s="780">
        <f>IF('Largeurs pennes'!AC14="","",IF(SQRT(ABS('Largeurs pennes'!AC14*'Largeurs pennes'!AC14-('Ouvertures pennes'!U14*'Ouvertures pennes'!U14)/4))=0,0.01,SQRT(ABS('Largeurs pennes'!AC14*'Largeurs pennes'!AC14-('Ouvertures pennes'!U14*'Ouvertures pennes'!U14)/4))))</f>
        <v>0.10931033802893483</v>
      </c>
      <c r="M13" s="781">
        <f>IF(COUNTIF(D13:G13,"")+COUNTIF(I13:L13,"")=8,"",MAX(D13:G13,I13:L13))</f>
        <v>0.10931033802893483</v>
      </c>
      <c r="N13" s="595" t="s">
        <v>1243</v>
      </c>
      <c r="O13" s="775">
        <f>IF('Sections rachis &amp; L pennes'!AC13="","",'Sections rachis &amp; L pennes'!AC13)</f>
        <v>5.3228419347373288</v>
      </c>
      <c r="P13" s="776">
        <f>IF('Largeurs pennes'!L48="","",IF(SQRT(ABS('Largeurs pennes'!L48*'Largeurs pennes'!L48-('Ouvertures pennes'!H48*'Ouvertures pennes'!H48)/4))=0,0.01,SQRT(ABS('Largeurs pennes'!L48*'Largeurs pennes'!L48-('Ouvertures pennes'!H48*'Ouvertures pennes'!H48)/4))))</f>
        <v>0.13159027319676783</v>
      </c>
      <c r="Q13" s="777" t="str">
        <f>IF('Largeurs pennes'!M48="","",IF(SQRT(ABS('Largeurs pennes'!M48*'Largeurs pennes'!M48-('Ouvertures pennes'!I48*'Ouvertures pennes'!I48)/4))=0,0.01,SQRT(ABS('Largeurs pennes'!M48*'Largeurs pennes'!M48-('Ouvertures pennes'!I48*'Ouvertures pennes'!I48)/4))))</f>
        <v/>
      </c>
      <c r="R13" s="777" t="str">
        <f>IF('Largeurs pennes'!N48="","",IF(SQRT(ABS('Largeurs pennes'!N48*'Largeurs pennes'!N48-('Ouvertures pennes'!J48*'Ouvertures pennes'!J48)/4))=0,0.01,SQRT(ABS('Largeurs pennes'!N48*'Largeurs pennes'!N48-('Ouvertures pennes'!J48*'Ouvertures pennes'!J48)/4))))</f>
        <v/>
      </c>
      <c r="S13" s="780" t="str">
        <f>IF('Largeurs pennes'!O48="","",IF(SQRT(ABS('Largeurs pennes'!O48*'Largeurs pennes'!O48-('Ouvertures pennes'!K48*'Ouvertures pennes'!K48)/4))=0,0.01,SQRT(ABS('Largeurs pennes'!O48*'Largeurs pennes'!O48-('Ouvertures pennes'!K48*'Ouvertures pennes'!K48)/4))))</f>
        <v/>
      </c>
      <c r="T13" s="775">
        <f>IF('Sections rachis &amp; L pennes'!AH13="","",'Sections rachis &amp; L pennes'!AH13)</f>
        <v>5.5542698449432999</v>
      </c>
      <c r="U13" s="776">
        <f>IF('Largeurs pennes'!Z48="","",IF(SQRT(ABS('Largeurs pennes'!Z48*'Largeurs pennes'!Z48-('Ouvertures pennes'!R48*'Ouvertures pennes'!R48)/4))=0,0.01,SQRT(ABS('Largeurs pennes'!Z48*'Largeurs pennes'!Z48-('Ouvertures pennes'!R48*'Ouvertures pennes'!R48)/4))))</f>
        <v>0.10542770034483347</v>
      </c>
      <c r="V13" s="777" t="str">
        <f>IF('Largeurs pennes'!AA48="","",IF(SQRT(ABS('Largeurs pennes'!AA48*'Largeurs pennes'!AA48-('Ouvertures pennes'!S48*'Ouvertures pennes'!S48)/4))=0,0.01,SQRT(ABS('Largeurs pennes'!AA48*'Largeurs pennes'!AA48-('Ouvertures pennes'!S48*'Ouvertures pennes'!S48)/4))))</f>
        <v/>
      </c>
      <c r="W13" s="777" t="str">
        <f>IF('Largeurs pennes'!AB48="","",IF(SQRT(ABS('Largeurs pennes'!AB48*'Largeurs pennes'!AB48-('Ouvertures pennes'!T48*'Ouvertures pennes'!T48)/4))=0,0.01,SQRT(ABS('Largeurs pennes'!AB48*'Largeurs pennes'!AB48-('Ouvertures pennes'!T48*'Ouvertures pennes'!T48)/4))))</f>
        <v/>
      </c>
      <c r="X13" s="780" t="str">
        <f>IF('Largeurs pennes'!AC48="","",IF(SQRT(ABS('Largeurs pennes'!AC48*'Largeurs pennes'!AC48-('Ouvertures pennes'!U48*'Ouvertures pennes'!U48)/4))=0,0.01,SQRT(ABS('Largeurs pennes'!AC48*'Largeurs pennes'!AC48-('Ouvertures pennes'!U48*'Ouvertures pennes'!U48)/4))))</f>
        <v/>
      </c>
      <c r="Y13" s="781">
        <f>IF(COUNTIF(P13:S13,"")+COUNTIF(U13:X13,"")=8,"",MAX(P13:S13,U13:X13))</f>
        <v>0.13159027319676783</v>
      </c>
    </row>
    <row r="14" spans="1:27" s="345" customFormat="1">
      <c r="A14" s="345">
        <f t="shared" ref="A14:A31" si="0">IF(COUNTIF(C14,"")+COUNTIF(H14,"")+COUNTIF(O14,"")+COUNTIF(T14,"")=4,"",AVERAGE(C14,H14,O14,T14))</f>
        <v>26.922669813782981</v>
      </c>
      <c r="B14" s="609" t="s">
        <v>1244</v>
      </c>
      <c r="C14" s="782">
        <f>IF('Sections rachis &amp; L pennes'!Q14="","",'Sections rachis &amp; L pennes'!Q14)</f>
        <v>27.346437346437348</v>
      </c>
      <c r="D14" s="783" t="str">
        <f>IF('Largeurs pennes'!L15="","",IF(SQRT(ABS('Largeurs pennes'!L15*'Largeurs pennes'!L15-('Ouvertures pennes'!H15*'Ouvertures pennes'!H15)/4))=0,0.01,SQRT(ABS('Largeurs pennes'!L15*'Largeurs pennes'!L15-('Ouvertures pennes'!H15*'Ouvertures pennes'!H15)/4))))</f>
        <v/>
      </c>
      <c r="E14" s="784" t="str">
        <f>IF('Largeurs pennes'!M15="","",IF(SQRT(ABS('Largeurs pennes'!M15*'Largeurs pennes'!M15-('Ouvertures pennes'!I15*'Ouvertures pennes'!I15)/4))=0,0.01,SQRT(ABS('Largeurs pennes'!M15*'Largeurs pennes'!M15-('Ouvertures pennes'!I15*'Ouvertures pennes'!I15)/4))))</f>
        <v/>
      </c>
      <c r="F14" s="784" t="str">
        <f>IF('Largeurs pennes'!N15="","",IF(SQRT(ABS('Largeurs pennes'!N15*'Largeurs pennes'!N15-('Ouvertures pennes'!J15*'Ouvertures pennes'!J15)/4))=0,0.01,SQRT(ABS('Largeurs pennes'!N15*'Largeurs pennes'!N15-('Ouvertures pennes'!J15*'Ouvertures pennes'!J15)/4))))</f>
        <v/>
      </c>
      <c r="G14" s="787">
        <f>IF('Largeurs pennes'!O15="","",IF(SQRT(ABS('Largeurs pennes'!O15*'Largeurs pennes'!O15-('Ouvertures pennes'!K15*'Ouvertures pennes'!K15)/4))=0,0.01,SQRT(ABS('Largeurs pennes'!O15*'Largeurs pennes'!O15-('Ouvertures pennes'!K15*'Ouvertures pennes'!K15)/4))))</f>
        <v>0.18871075751000524</v>
      </c>
      <c r="H14" s="782">
        <f>IF('Sections rachis &amp; L pennes'!V14="","",'Sections rachis &amp; L pennes'!V14)</f>
        <v>28.157248157248159</v>
      </c>
      <c r="I14" s="783">
        <f>IF('Largeurs pennes'!Z15="","",IF(SQRT(ABS('Largeurs pennes'!Z15*'Largeurs pennes'!Z15-('Ouvertures pennes'!R15*'Ouvertures pennes'!R15)/4))=0,0.01,SQRT(ABS('Largeurs pennes'!Z15*'Largeurs pennes'!Z15-('Ouvertures pennes'!R15*'Ouvertures pennes'!R15)/4))))</f>
        <v>0.19600765291181871</v>
      </c>
      <c r="J14" s="784" t="str">
        <f>IF('Largeurs pennes'!AA15="","",IF(SQRT(ABS('Largeurs pennes'!AA15*'Largeurs pennes'!AA15-('Ouvertures pennes'!S15*'Ouvertures pennes'!S15)/4))=0,0.01,SQRT(ABS('Largeurs pennes'!AA15*'Largeurs pennes'!AA15-('Ouvertures pennes'!S15*'Ouvertures pennes'!S15)/4))))</f>
        <v/>
      </c>
      <c r="K14" s="784" t="str">
        <f>IF('Largeurs pennes'!AB15="","",IF(SQRT(ABS('Largeurs pennes'!AB15*'Largeurs pennes'!AB15-('Ouvertures pennes'!T15*'Ouvertures pennes'!T15)/4))=0,0.01,SQRT(ABS('Largeurs pennes'!AB15*'Largeurs pennes'!AB15-('Ouvertures pennes'!T15*'Ouvertures pennes'!T15)/4))))</f>
        <v/>
      </c>
      <c r="L14" s="787" t="str">
        <f>IF('Largeurs pennes'!AC15="","",IF(SQRT(ABS('Largeurs pennes'!AC15*'Largeurs pennes'!AC15-('Ouvertures pennes'!U15*'Ouvertures pennes'!U15)/4))=0,0.01,SQRT(ABS('Largeurs pennes'!AC15*'Largeurs pennes'!AC15-('Ouvertures pennes'!U15*'Ouvertures pennes'!U15)/4))))</f>
        <v/>
      </c>
      <c r="M14" s="781">
        <f t="shared" ref="M14:M31" si="1">IF(COUNTIF(D14:G14,"")+COUNTIF(I14:L14,"")=8,"",MAX(D14:G14,I14:L14))</f>
        <v>0.19600765291181871</v>
      </c>
      <c r="N14" s="609" t="s">
        <v>1244</v>
      </c>
      <c r="O14" s="782">
        <f>IF('Sections rachis &amp; L pennes'!AC14="","",'Sections rachis &amp; L pennes'!AC14)</f>
        <v>26.429067345521869</v>
      </c>
      <c r="P14" s="783">
        <f>IF('Largeurs pennes'!L49="","",IF(SQRT(ABS('Largeurs pennes'!L49*'Largeurs pennes'!L49-('Ouvertures pennes'!H49*'Ouvertures pennes'!H49)/4))=0,0.01,SQRT(ABS('Largeurs pennes'!L49*'Largeurs pennes'!L49-('Ouvertures pennes'!H49*'Ouvertures pennes'!H49)/4))))</f>
        <v>0.18735994769427111</v>
      </c>
      <c r="Q14" s="784" t="str">
        <f>IF('Largeurs pennes'!M49="","",IF(SQRT(ABS('Largeurs pennes'!M49*'Largeurs pennes'!M49-('Ouvertures pennes'!I49*'Ouvertures pennes'!I49)/4))=0,0.01,SQRT(ABS('Largeurs pennes'!M49*'Largeurs pennes'!M49-('Ouvertures pennes'!I49*'Ouvertures pennes'!I49)/4))))</f>
        <v/>
      </c>
      <c r="R14" s="784" t="str">
        <f>IF('Largeurs pennes'!N49="","",IF(SQRT(ABS('Largeurs pennes'!N49*'Largeurs pennes'!N49-('Ouvertures pennes'!J49*'Ouvertures pennes'!J49)/4))=0,0.01,SQRT(ABS('Largeurs pennes'!N49*'Largeurs pennes'!N49-('Ouvertures pennes'!J49*'Ouvertures pennes'!J49)/4))))</f>
        <v/>
      </c>
      <c r="S14" s="787" t="str">
        <f>IF('Largeurs pennes'!O49="","",IF(SQRT(ABS('Largeurs pennes'!O49*'Largeurs pennes'!O49-('Ouvertures pennes'!K49*'Ouvertures pennes'!K49)/4))=0,0.01,SQRT(ABS('Largeurs pennes'!O49*'Largeurs pennes'!O49-('Ouvertures pennes'!K49*'Ouvertures pennes'!K49)/4))))</f>
        <v/>
      </c>
      <c r="T14" s="782">
        <f>IF('Sections rachis &amp; L pennes'!AH14="","",'Sections rachis &amp; L pennes'!AH14)</f>
        <v>25.757926405924554</v>
      </c>
      <c r="U14" s="783" t="str">
        <f>IF('Largeurs pennes'!Z49="","",IF(SQRT(ABS('Largeurs pennes'!Z49*'Largeurs pennes'!Z49-('Ouvertures pennes'!R49*'Ouvertures pennes'!R49)/4))=0,0.01,SQRT(ABS('Largeurs pennes'!Z49*'Largeurs pennes'!Z49-('Ouvertures pennes'!R49*'Ouvertures pennes'!R49)/4))))</f>
        <v/>
      </c>
      <c r="V14" s="784" t="str">
        <f>IF('Largeurs pennes'!AA49="","",IF(SQRT(ABS('Largeurs pennes'!AA49*'Largeurs pennes'!AA49-('Ouvertures pennes'!S49*'Ouvertures pennes'!S49)/4))=0,0.01,SQRT(ABS('Largeurs pennes'!AA49*'Largeurs pennes'!AA49-('Ouvertures pennes'!S49*'Ouvertures pennes'!S49)/4))))</f>
        <v/>
      </c>
      <c r="W14" s="784" t="str">
        <f>IF('Largeurs pennes'!AB49="","",IF(SQRT(ABS('Largeurs pennes'!AB49*'Largeurs pennes'!AB49-('Ouvertures pennes'!T49*'Ouvertures pennes'!T49)/4))=0,0.01,SQRT(ABS('Largeurs pennes'!AB49*'Largeurs pennes'!AB49-('Ouvertures pennes'!T49*'Ouvertures pennes'!T49)/4))))</f>
        <v/>
      </c>
      <c r="X14" s="787">
        <f>IF('Largeurs pennes'!AC49="","",IF(SQRT(ABS('Largeurs pennes'!AC49*'Largeurs pennes'!AC49-('Ouvertures pennes'!U49*'Ouvertures pennes'!U49)/4))=0,0.01,SQRT(ABS('Largeurs pennes'!AC49*'Largeurs pennes'!AC49-('Ouvertures pennes'!U49*'Ouvertures pennes'!U49)/4))))</f>
        <v>0.20162775106616654</v>
      </c>
      <c r="Y14" s="781">
        <f t="shared" ref="Y14:Y31" si="2">IF(COUNTIF(P14:S14,"")+COUNTIF(U14:X14,"")=8,"",MAX(P14:S14,U14:X14))</f>
        <v>0.20162775106616654</v>
      </c>
    </row>
    <row r="15" spans="1:27" s="345" customFormat="1" ht="13.5" thickBot="1">
      <c r="A15" s="345">
        <f t="shared" si="0"/>
        <v>28.402760758696882</v>
      </c>
      <c r="B15" s="620" t="s">
        <v>1245</v>
      </c>
      <c r="C15" s="788">
        <f>IF('Sections rachis &amp; L pennes'!Q15="","",'Sections rachis &amp; L pennes'!Q15)</f>
        <v>30.466830466830466</v>
      </c>
      <c r="D15" s="789">
        <f>IF('Largeurs pennes'!L16="","",IF(SQRT(ABS('Largeurs pennes'!L16*'Largeurs pennes'!L16-('Ouvertures pennes'!H16*'Ouvertures pennes'!H16)/4))=0,0.01,SQRT(ABS('Largeurs pennes'!L16*'Largeurs pennes'!L16-('Ouvertures pennes'!H16*'Ouvertures pennes'!H16)/4))))</f>
        <v>0.20210145966815779</v>
      </c>
      <c r="E15" s="790" t="str">
        <f>IF('Largeurs pennes'!M16="","",IF(SQRT(ABS('Largeurs pennes'!M16*'Largeurs pennes'!M16-('Ouvertures pennes'!I16*'Ouvertures pennes'!I16)/4))=0,0.01,SQRT(ABS('Largeurs pennes'!M16*'Largeurs pennes'!M16-('Ouvertures pennes'!I16*'Ouvertures pennes'!I16)/4))))</f>
        <v/>
      </c>
      <c r="F15" s="790" t="str">
        <f>IF('Largeurs pennes'!N16="","",IF(SQRT(ABS('Largeurs pennes'!N16*'Largeurs pennes'!N16-('Ouvertures pennes'!J16*'Ouvertures pennes'!J16)/4))=0,0.01,SQRT(ABS('Largeurs pennes'!N16*'Largeurs pennes'!N16-('Ouvertures pennes'!J16*'Ouvertures pennes'!J16)/4))))</f>
        <v/>
      </c>
      <c r="G15" s="793" t="str">
        <f>IF('Largeurs pennes'!O16="","",IF(SQRT(ABS('Largeurs pennes'!O16*'Largeurs pennes'!O16-('Ouvertures pennes'!K16*'Ouvertures pennes'!K16)/4))=0,0.01,SQRT(ABS('Largeurs pennes'!O16*'Largeurs pennes'!O16-('Ouvertures pennes'!K16*'Ouvertures pennes'!K16)/4))))</f>
        <v/>
      </c>
      <c r="H15" s="788">
        <f>IF('Sections rachis &amp; L pennes'!V15="","",'Sections rachis &amp; L pennes'!V15)</f>
        <v>28.55036855036855</v>
      </c>
      <c r="I15" s="789" t="str">
        <f>IF('Largeurs pennes'!Z16="","",IF(SQRT(ABS('Largeurs pennes'!Z16*'Largeurs pennes'!Z16-('Ouvertures pennes'!R16*'Ouvertures pennes'!R16)/4))=0,0.01,SQRT(ABS('Largeurs pennes'!Z16*'Largeurs pennes'!Z16-('Ouvertures pennes'!R16*'Ouvertures pennes'!R16)/4))))</f>
        <v/>
      </c>
      <c r="J15" s="790" t="str">
        <f>IF('Largeurs pennes'!AA16="","",IF(SQRT(ABS('Largeurs pennes'!AA16*'Largeurs pennes'!AA16-('Ouvertures pennes'!S16*'Ouvertures pennes'!S16)/4))=0,0.01,SQRT(ABS('Largeurs pennes'!AA16*'Largeurs pennes'!AA16-('Ouvertures pennes'!S16*'Ouvertures pennes'!S16)/4))))</f>
        <v/>
      </c>
      <c r="K15" s="790" t="str">
        <f>IF('Largeurs pennes'!AB16="","",IF(SQRT(ABS('Largeurs pennes'!AB16*'Largeurs pennes'!AB16-('Ouvertures pennes'!T16*'Ouvertures pennes'!T16)/4))=0,0.01,SQRT(ABS('Largeurs pennes'!AB16*'Largeurs pennes'!AB16-('Ouvertures pennes'!T16*'Ouvertures pennes'!T16)/4))))</f>
        <v/>
      </c>
      <c r="L15" s="793">
        <f>IF('Largeurs pennes'!AC16="","",IF(SQRT(ABS('Largeurs pennes'!AC16*'Largeurs pennes'!AC16-('Ouvertures pennes'!U16*'Ouvertures pennes'!U16)/4))=0,0.01,SQRT(ABS('Largeurs pennes'!AC16*'Largeurs pennes'!AC16-('Ouvertures pennes'!U16*'Ouvertures pennes'!U16)/4))))</f>
        <v>0.242313846075704</v>
      </c>
      <c r="M15" s="781">
        <f t="shared" si="1"/>
        <v>0.242313846075704</v>
      </c>
      <c r="N15" s="620" t="s">
        <v>1245</v>
      </c>
      <c r="O15" s="782">
        <f>IF('Sections rachis &amp; L pennes'!AC15="","",'Sections rachis &amp; L pennes'!AC15)</f>
        <v>26.799352001851421</v>
      </c>
      <c r="P15" s="789" t="str">
        <f>IF('Largeurs pennes'!L50="","",IF(SQRT(ABS('Largeurs pennes'!L50*'Largeurs pennes'!L50-('Ouvertures pennes'!H50*'Ouvertures pennes'!H50)/4))=0,0.01,SQRT(ABS('Largeurs pennes'!L50*'Largeurs pennes'!L50-('Ouvertures pennes'!H50*'Ouvertures pennes'!H50)/4))))</f>
        <v/>
      </c>
      <c r="Q15" s="790" t="str">
        <f>IF('Largeurs pennes'!M50="","",IF(SQRT(ABS('Largeurs pennes'!M50*'Largeurs pennes'!M50-('Ouvertures pennes'!I50*'Ouvertures pennes'!I50)/4))=0,0.01,SQRT(ABS('Largeurs pennes'!M50*'Largeurs pennes'!M50-('Ouvertures pennes'!I50*'Ouvertures pennes'!I50)/4))))</f>
        <v/>
      </c>
      <c r="R15" s="790" t="str">
        <f>IF('Largeurs pennes'!N50="","",IF(SQRT(ABS('Largeurs pennes'!N50*'Largeurs pennes'!N50-('Ouvertures pennes'!J50*'Ouvertures pennes'!J50)/4))=0,0.01,SQRT(ABS('Largeurs pennes'!N50*'Largeurs pennes'!N50-('Ouvertures pennes'!J50*'Ouvertures pennes'!J50)/4))))</f>
        <v/>
      </c>
      <c r="S15" s="793">
        <f>IF('Largeurs pennes'!O50="","",IF(SQRT(ABS('Largeurs pennes'!O50*'Largeurs pennes'!O50-('Ouvertures pennes'!K50*'Ouvertures pennes'!K50)/4))=0,0.01,SQRT(ABS('Largeurs pennes'!O50*'Largeurs pennes'!O50-('Ouvertures pennes'!K50*'Ouvertures pennes'!K50)/4))))</f>
        <v>0.16115753162666643</v>
      </c>
      <c r="T15" s="782">
        <f>IF('Sections rachis &amp; L pennes'!AH15="","",'Sections rachis &amp; L pennes'!AH15)</f>
        <v>27.794492015737095</v>
      </c>
      <c r="U15" s="789">
        <f>IF('Largeurs pennes'!Z50="","",IF(SQRT(ABS('Largeurs pennes'!Z50*'Largeurs pennes'!Z50-('Ouvertures pennes'!R50*'Ouvertures pennes'!R50)/4))=0,0.01,SQRT(ABS('Largeurs pennes'!Z50*'Largeurs pennes'!Z50-('Ouvertures pennes'!R50*'Ouvertures pennes'!R50)/4))))</f>
        <v>6.8051451123396361E-2</v>
      </c>
      <c r="V15" s="790" t="str">
        <f>IF('Largeurs pennes'!AA50="","",IF(SQRT(ABS('Largeurs pennes'!AA50*'Largeurs pennes'!AA50-('Ouvertures pennes'!S50*'Ouvertures pennes'!S50)/4))=0,0.01,SQRT(ABS('Largeurs pennes'!AA50*'Largeurs pennes'!AA50-('Ouvertures pennes'!S50*'Ouvertures pennes'!S50)/4))))</f>
        <v/>
      </c>
      <c r="W15" s="790" t="str">
        <f>IF('Largeurs pennes'!AB50="","",IF(SQRT(ABS('Largeurs pennes'!AB50*'Largeurs pennes'!AB50-('Ouvertures pennes'!T50*'Ouvertures pennes'!T50)/4))=0,0.01,SQRT(ABS('Largeurs pennes'!AB50*'Largeurs pennes'!AB50-('Ouvertures pennes'!T50*'Ouvertures pennes'!T50)/4))))</f>
        <v/>
      </c>
      <c r="X15" s="793" t="str">
        <f>IF('Largeurs pennes'!AC50="","",IF(SQRT(ABS('Largeurs pennes'!AC50*'Largeurs pennes'!AC50-('Ouvertures pennes'!U50*'Ouvertures pennes'!U50)/4))=0,0.01,SQRT(ABS('Largeurs pennes'!AC50*'Largeurs pennes'!AC50-('Ouvertures pennes'!U50*'Ouvertures pennes'!U50)/4))))</f>
        <v/>
      </c>
      <c r="Y15" s="781">
        <f t="shared" si="2"/>
        <v>0.16115753162666643</v>
      </c>
      <c r="Z15" s="656">
        <f>IF(MAX(M13:M14,Y13:Y14)=0,"",MAX(M13:M14,Y13:Y14))</f>
        <v>0.20162775106616654</v>
      </c>
      <c r="AA15" s="656">
        <f>IF('Ouvertures pennes (MAX)'!Z15="","",Z15/'Ouvertures pennes (MAX)'!Z15)</f>
        <v>0.48236304082814963</v>
      </c>
    </row>
    <row r="16" spans="1:27" s="345" customFormat="1">
      <c r="A16" s="345" t="str">
        <f t="shared" si="0"/>
        <v/>
      </c>
      <c r="C16" s="775" t="str">
        <f>IF('Sections rachis &amp; L pennes'!Q16="","",'Sections rachis &amp; L pennes'!Q16)</f>
        <v/>
      </c>
      <c r="D16" s="776" t="str">
        <f>IF('Largeurs pennes'!L17="","",IF(SQRT(ABS('Largeurs pennes'!L17*'Largeurs pennes'!L17-('Ouvertures pennes'!H17*'Ouvertures pennes'!H17)/4))=0,0.01,SQRT(ABS('Largeurs pennes'!L17*'Largeurs pennes'!L17-('Ouvertures pennes'!H17*'Ouvertures pennes'!H17)/4))))</f>
        <v/>
      </c>
      <c r="E16" s="777" t="str">
        <f>IF('Largeurs pennes'!M17="","",IF(SQRT(ABS('Largeurs pennes'!M17*'Largeurs pennes'!M17-('Ouvertures pennes'!I17*'Ouvertures pennes'!I17)/4))=0,0.01,SQRT(ABS('Largeurs pennes'!M17*'Largeurs pennes'!M17-('Ouvertures pennes'!I17*'Ouvertures pennes'!I17)/4))))</f>
        <v/>
      </c>
      <c r="F16" s="777" t="str">
        <f>IF('Largeurs pennes'!N17="","",IF(SQRT(ABS('Largeurs pennes'!N17*'Largeurs pennes'!N17-('Ouvertures pennes'!J17*'Ouvertures pennes'!J17)/4))=0,0.01,SQRT(ABS('Largeurs pennes'!N17*'Largeurs pennes'!N17-('Ouvertures pennes'!J17*'Ouvertures pennes'!J17)/4))))</f>
        <v/>
      </c>
      <c r="G16" s="780" t="str">
        <f>IF('Largeurs pennes'!O17="","",IF(SQRT(ABS('Largeurs pennes'!O17*'Largeurs pennes'!O17-('Ouvertures pennes'!K17*'Ouvertures pennes'!K17)/4))=0,0.01,SQRT(ABS('Largeurs pennes'!O17*'Largeurs pennes'!O17-('Ouvertures pennes'!K17*'Ouvertures pennes'!K17)/4))))</f>
        <v/>
      </c>
      <c r="H16" s="775" t="str">
        <f>IF('Sections rachis &amp; L pennes'!V16="","",'Sections rachis &amp; L pennes'!V16)</f>
        <v/>
      </c>
      <c r="I16" s="776" t="str">
        <f>IF('Largeurs pennes'!Z17="","",IF(SQRT(ABS('Largeurs pennes'!Z17*'Largeurs pennes'!Z17-('Ouvertures pennes'!R17*'Ouvertures pennes'!R17)/4))=0,0.01,SQRT(ABS('Largeurs pennes'!Z17*'Largeurs pennes'!Z17-('Ouvertures pennes'!R17*'Ouvertures pennes'!R17)/4))))</f>
        <v/>
      </c>
      <c r="J16" s="777" t="str">
        <f>IF('Largeurs pennes'!AA17="","",IF(SQRT(ABS('Largeurs pennes'!AA17*'Largeurs pennes'!AA17-('Ouvertures pennes'!S17*'Ouvertures pennes'!S17)/4))=0,0.01,SQRT(ABS('Largeurs pennes'!AA17*'Largeurs pennes'!AA17-('Ouvertures pennes'!S17*'Ouvertures pennes'!S17)/4))))</f>
        <v/>
      </c>
      <c r="K16" s="777" t="str">
        <f>IF('Largeurs pennes'!AB17="","",IF(SQRT(ABS('Largeurs pennes'!AB17*'Largeurs pennes'!AB17-('Ouvertures pennes'!T17*'Ouvertures pennes'!T17)/4))=0,0.01,SQRT(ABS('Largeurs pennes'!AB17*'Largeurs pennes'!AB17-('Ouvertures pennes'!T17*'Ouvertures pennes'!T17)/4))))</f>
        <v/>
      </c>
      <c r="L16" s="780" t="str">
        <f>IF('Largeurs pennes'!AC17="","",IF(SQRT(ABS('Largeurs pennes'!AC17*'Largeurs pennes'!AC17-('Ouvertures pennes'!U17*'Ouvertures pennes'!U17)/4))=0,0.01,SQRT(ABS('Largeurs pennes'!AC17*'Largeurs pennes'!AC17-('Ouvertures pennes'!U17*'Ouvertures pennes'!U17)/4))))</f>
        <v/>
      </c>
      <c r="M16" s="781" t="str">
        <f t="shared" si="1"/>
        <v/>
      </c>
      <c r="O16" s="782" t="str">
        <f>IF('Sections rachis &amp; L pennes'!AC16="","",'Sections rachis &amp; L pennes'!AC16)</f>
        <v/>
      </c>
      <c r="P16" s="776" t="str">
        <f>IF('Largeurs pennes'!L51="","",IF(SQRT(ABS('Largeurs pennes'!L51*'Largeurs pennes'!L51-('Ouvertures pennes'!H51*'Ouvertures pennes'!H51)/4))=0,0.01,SQRT(ABS('Largeurs pennes'!L51*'Largeurs pennes'!L51-('Ouvertures pennes'!H51*'Ouvertures pennes'!H51)/4))))</f>
        <v/>
      </c>
      <c r="Q16" s="777" t="str">
        <f>IF('Largeurs pennes'!M51="","",IF(SQRT(ABS('Largeurs pennes'!M51*'Largeurs pennes'!M51-('Ouvertures pennes'!I51*'Ouvertures pennes'!I51)/4))=0,0.01,SQRT(ABS('Largeurs pennes'!M51*'Largeurs pennes'!M51-('Ouvertures pennes'!I51*'Ouvertures pennes'!I51)/4))))</f>
        <v/>
      </c>
      <c r="R16" s="777" t="str">
        <f>IF('Largeurs pennes'!N51="","",IF(SQRT(ABS('Largeurs pennes'!N51*'Largeurs pennes'!N51-('Ouvertures pennes'!J51*'Ouvertures pennes'!J51)/4))=0,0.01,SQRT(ABS('Largeurs pennes'!N51*'Largeurs pennes'!N51-('Ouvertures pennes'!J51*'Ouvertures pennes'!J51)/4))))</f>
        <v/>
      </c>
      <c r="S16" s="780" t="str">
        <f>IF('Largeurs pennes'!O51="","",IF(SQRT(ABS('Largeurs pennes'!O51*'Largeurs pennes'!O51-('Ouvertures pennes'!K51*'Ouvertures pennes'!K51)/4))=0,0.01,SQRT(ABS('Largeurs pennes'!O51*'Largeurs pennes'!O51-('Ouvertures pennes'!K51*'Ouvertures pennes'!K51)/4))))</f>
        <v/>
      </c>
      <c r="T16" s="782" t="str">
        <f>IF('Sections rachis &amp; L pennes'!AH16="","",'Sections rachis &amp; L pennes'!AH16)</f>
        <v/>
      </c>
      <c r="U16" s="776" t="str">
        <f>IF('Largeurs pennes'!Z51="","",IF(SQRT(ABS('Largeurs pennes'!Z51*'Largeurs pennes'!Z51-('Ouvertures pennes'!R51*'Ouvertures pennes'!R51)/4))=0,0.01,SQRT(ABS('Largeurs pennes'!Z51*'Largeurs pennes'!Z51-('Ouvertures pennes'!R51*'Ouvertures pennes'!R51)/4))))</f>
        <v/>
      </c>
      <c r="V16" s="777" t="str">
        <f>IF('Largeurs pennes'!AA51="","",IF(SQRT(ABS('Largeurs pennes'!AA51*'Largeurs pennes'!AA51-('Ouvertures pennes'!S51*'Ouvertures pennes'!S51)/4))=0,0.01,SQRT(ABS('Largeurs pennes'!AA51*'Largeurs pennes'!AA51-('Ouvertures pennes'!S51*'Ouvertures pennes'!S51)/4))))</f>
        <v/>
      </c>
      <c r="W16" s="777" t="str">
        <f>IF('Largeurs pennes'!AB51="","",IF(SQRT(ABS('Largeurs pennes'!AB51*'Largeurs pennes'!AB51-('Ouvertures pennes'!T51*'Ouvertures pennes'!T51)/4))=0,0.01,SQRT(ABS('Largeurs pennes'!AB51*'Largeurs pennes'!AB51-('Ouvertures pennes'!T51*'Ouvertures pennes'!T51)/4))))</f>
        <v/>
      </c>
      <c r="X16" s="780" t="str">
        <f>IF('Largeurs pennes'!AC51="","",IF(SQRT(ABS('Largeurs pennes'!AC51*'Largeurs pennes'!AC51-('Ouvertures pennes'!U51*'Ouvertures pennes'!U51)/4))=0,0.01,SQRT(ABS('Largeurs pennes'!AC51*'Largeurs pennes'!AC51-('Ouvertures pennes'!U51*'Ouvertures pennes'!U51)/4))))</f>
        <v/>
      </c>
      <c r="Y16" s="781" t="str">
        <f t="shared" si="2"/>
        <v/>
      </c>
    </row>
    <row r="17" spans="1:25" s="345" customFormat="1">
      <c r="A17" s="345">
        <f t="shared" si="0"/>
        <v>10</v>
      </c>
      <c r="C17" s="782">
        <f>IF('Sections rachis &amp; L pennes'!Q17="","",'Sections rachis &amp; L pennes'!Q17)</f>
        <v>10</v>
      </c>
      <c r="D17" s="783">
        <f>IF('Largeurs pennes'!L18="","",IF(SQRT(ABS('Largeurs pennes'!L18*'Largeurs pennes'!L18-('Ouvertures pennes'!H18*'Ouvertures pennes'!H18)/4))=0,0.01,SQRT(ABS('Largeurs pennes'!L18*'Largeurs pennes'!L18-('Ouvertures pennes'!H18*'Ouvertures pennes'!H18)/4))))</f>
        <v>0.31046631609530234</v>
      </c>
      <c r="E17" s="784" t="str">
        <f>IF('Largeurs pennes'!M18="","",IF(SQRT(ABS('Largeurs pennes'!M18*'Largeurs pennes'!M18-('Ouvertures pennes'!I18*'Ouvertures pennes'!I18)/4))=0,0.01,SQRT(ABS('Largeurs pennes'!M18*'Largeurs pennes'!M18-('Ouvertures pennes'!I18*'Ouvertures pennes'!I18)/4))))</f>
        <v/>
      </c>
      <c r="F17" s="784" t="str">
        <f>IF('Largeurs pennes'!N18="","",IF(SQRT(ABS('Largeurs pennes'!N18*'Largeurs pennes'!N18-('Ouvertures pennes'!J18*'Ouvertures pennes'!J18)/4))=0,0.01,SQRT(ABS('Largeurs pennes'!N18*'Largeurs pennes'!N18-('Ouvertures pennes'!J18*'Ouvertures pennes'!J18)/4))))</f>
        <v/>
      </c>
      <c r="G17" s="787" t="str">
        <f>IF('Largeurs pennes'!O18="","",IF(SQRT(ABS('Largeurs pennes'!O18*'Largeurs pennes'!O18-('Ouvertures pennes'!K18*'Ouvertures pennes'!K18)/4))=0,0.01,SQRT(ABS('Largeurs pennes'!O18*'Largeurs pennes'!O18-('Ouvertures pennes'!K18*'Ouvertures pennes'!K18)/4))))</f>
        <v/>
      </c>
      <c r="H17" s="782">
        <f>IF('Sections rachis &amp; L pennes'!V17="","",'Sections rachis &amp; L pennes'!V17)</f>
        <v>10</v>
      </c>
      <c r="I17" s="783">
        <f>IF('Largeurs pennes'!Z18="","",IF(SQRT(ABS('Largeurs pennes'!Z18*'Largeurs pennes'!Z18-('Ouvertures pennes'!R18*'Ouvertures pennes'!R18)/4))=0,0.01,SQRT(ABS('Largeurs pennes'!Z18*'Largeurs pennes'!Z18-('Ouvertures pennes'!R18*'Ouvertures pennes'!R18)/4))))</f>
        <v>0.32612819801378323</v>
      </c>
      <c r="J17" s="784" t="str">
        <f>IF('Largeurs pennes'!AA18="","",IF(SQRT(ABS('Largeurs pennes'!AA18*'Largeurs pennes'!AA18-('Ouvertures pennes'!S18*'Ouvertures pennes'!S18)/4))=0,0.01,SQRT(ABS('Largeurs pennes'!AA18*'Largeurs pennes'!AA18-('Ouvertures pennes'!S18*'Ouvertures pennes'!S18)/4))))</f>
        <v/>
      </c>
      <c r="K17" s="784" t="str">
        <f>IF('Largeurs pennes'!AB18="","",IF(SQRT(ABS('Largeurs pennes'!AB18*'Largeurs pennes'!AB18-('Ouvertures pennes'!T18*'Ouvertures pennes'!T18)/4))=0,0.01,SQRT(ABS('Largeurs pennes'!AB18*'Largeurs pennes'!AB18-('Ouvertures pennes'!T18*'Ouvertures pennes'!T18)/4))))</f>
        <v/>
      </c>
      <c r="L17" s="787">
        <f>IF('Largeurs pennes'!AC18="","",IF(SQRT(ABS('Largeurs pennes'!AC18*'Largeurs pennes'!AC18-('Ouvertures pennes'!U18*'Ouvertures pennes'!U18)/4))=0,0.01,SQRT(ABS('Largeurs pennes'!AC18*'Largeurs pennes'!AC18-('Ouvertures pennes'!U18*'Ouvertures pennes'!U18)/4))))</f>
        <v>0.29810866099565364</v>
      </c>
      <c r="M17" s="781">
        <f t="shared" si="1"/>
        <v>0.32612819801378323</v>
      </c>
      <c r="O17" s="782">
        <f>IF('Sections rachis &amp; L pennes'!AC17="","",'Sections rachis &amp; L pennes'!AC17)</f>
        <v>10</v>
      </c>
      <c r="P17" s="783" t="str">
        <f>IF('Largeurs pennes'!L52="","",IF(SQRT(ABS('Largeurs pennes'!L52*'Largeurs pennes'!L52-('Ouvertures pennes'!H52*'Ouvertures pennes'!H52)/4))=0,0.01,SQRT(ABS('Largeurs pennes'!L52*'Largeurs pennes'!L52-('Ouvertures pennes'!H52*'Ouvertures pennes'!H52)/4))))</f>
        <v/>
      </c>
      <c r="Q17" s="784">
        <f>IF('Largeurs pennes'!M52="","",IF(SQRT(ABS('Largeurs pennes'!M52*'Largeurs pennes'!M52-('Ouvertures pennes'!I52*'Ouvertures pennes'!I52)/4))=0,0.01,SQRT(ABS('Largeurs pennes'!M52*'Largeurs pennes'!M52-('Ouvertures pennes'!I52*'Ouvertures pennes'!I52)/4))))</f>
        <v>0.33591083814007527</v>
      </c>
      <c r="R17" s="784" t="str">
        <f>IF('Largeurs pennes'!N52="","",IF(SQRT(ABS('Largeurs pennes'!N52*'Largeurs pennes'!N52-('Ouvertures pennes'!J52*'Ouvertures pennes'!J52)/4))=0,0.01,SQRT(ABS('Largeurs pennes'!N52*'Largeurs pennes'!N52-('Ouvertures pennes'!J52*'Ouvertures pennes'!J52)/4))))</f>
        <v/>
      </c>
      <c r="S17" s="787" t="str">
        <f>IF('Largeurs pennes'!O52="","",IF(SQRT(ABS('Largeurs pennes'!O52*'Largeurs pennes'!O52-('Ouvertures pennes'!K52*'Ouvertures pennes'!K52)/4))=0,0.01,SQRT(ABS('Largeurs pennes'!O52*'Largeurs pennes'!O52-('Ouvertures pennes'!K52*'Ouvertures pennes'!K52)/4))))</f>
        <v/>
      </c>
      <c r="T17" s="782">
        <f>IF('Sections rachis &amp; L pennes'!AH17="","",'Sections rachis &amp; L pennes'!AH17)</f>
        <v>10</v>
      </c>
      <c r="U17" s="783" t="str">
        <f>IF('Largeurs pennes'!Z52="","",IF(SQRT(ABS('Largeurs pennes'!Z52*'Largeurs pennes'!Z52-('Ouvertures pennes'!R52*'Ouvertures pennes'!R52)/4))=0,0.01,SQRT(ABS('Largeurs pennes'!Z52*'Largeurs pennes'!Z52-('Ouvertures pennes'!R52*'Ouvertures pennes'!R52)/4))))</f>
        <v/>
      </c>
      <c r="V17" s="784">
        <f>IF('Largeurs pennes'!AA52="","",IF(SQRT(ABS('Largeurs pennes'!AA52*'Largeurs pennes'!AA52-('Ouvertures pennes'!S52*'Ouvertures pennes'!S52)/4))=0,0.01,SQRT(ABS('Largeurs pennes'!AA52*'Largeurs pennes'!AA52-('Ouvertures pennes'!S52*'Ouvertures pennes'!S52)/4))))</f>
        <v>0.31586160575413053</v>
      </c>
      <c r="W17" s="784" t="str">
        <f>IF('Largeurs pennes'!AB52="","",IF(SQRT(ABS('Largeurs pennes'!AB52*'Largeurs pennes'!AB52-('Ouvertures pennes'!T52*'Ouvertures pennes'!T52)/4))=0,0.01,SQRT(ABS('Largeurs pennes'!AB52*'Largeurs pennes'!AB52-('Ouvertures pennes'!T52*'Ouvertures pennes'!T52)/4))))</f>
        <v/>
      </c>
      <c r="X17" s="787" t="str">
        <f>IF('Largeurs pennes'!AC52="","",IF(SQRT(ABS('Largeurs pennes'!AC52*'Largeurs pennes'!AC52-('Ouvertures pennes'!U52*'Ouvertures pennes'!U52)/4))=0,0.01,SQRT(ABS('Largeurs pennes'!AC52*'Largeurs pennes'!AC52-('Ouvertures pennes'!U52*'Ouvertures pennes'!U52)/4))))</f>
        <v/>
      </c>
      <c r="Y17" s="781">
        <f t="shared" si="2"/>
        <v>0.33591083814007527</v>
      </c>
    </row>
    <row r="18" spans="1:25" s="345" customFormat="1">
      <c r="A18" s="345">
        <f t="shared" si="0"/>
        <v>20</v>
      </c>
      <c r="C18" s="782">
        <f>IF('Sections rachis &amp; L pennes'!Q18="","",'Sections rachis &amp; L pennes'!Q18)</f>
        <v>20</v>
      </c>
      <c r="D18" s="783">
        <f>IF('Largeurs pennes'!L19="","",IF(SQRT(ABS('Largeurs pennes'!L19*'Largeurs pennes'!L19-('Ouvertures pennes'!H19*'Ouvertures pennes'!H19)/4))=0,0.01,SQRT(ABS('Largeurs pennes'!L19*'Largeurs pennes'!L19-('Ouvertures pennes'!H19*'Ouvertures pennes'!H19)/4))))</f>
        <v>0.41897089619255501</v>
      </c>
      <c r="E18" s="784" t="str">
        <f>IF('Largeurs pennes'!M19="","",IF(SQRT(ABS('Largeurs pennes'!M19*'Largeurs pennes'!M19-('Ouvertures pennes'!I19*'Ouvertures pennes'!I19)/4))=0,0.01,SQRT(ABS('Largeurs pennes'!M19*'Largeurs pennes'!M19-('Ouvertures pennes'!I19*'Ouvertures pennes'!I19)/4))))</f>
        <v/>
      </c>
      <c r="F18" s="784" t="str">
        <f>IF('Largeurs pennes'!N19="","",IF(SQRT(ABS('Largeurs pennes'!N19*'Largeurs pennes'!N19-('Ouvertures pennes'!J19*'Ouvertures pennes'!J19)/4))=0,0.01,SQRT(ABS('Largeurs pennes'!N19*'Largeurs pennes'!N19-('Ouvertures pennes'!J19*'Ouvertures pennes'!J19)/4))))</f>
        <v/>
      </c>
      <c r="G18" s="787" t="str">
        <f>IF('Largeurs pennes'!O19="","",IF(SQRT(ABS('Largeurs pennes'!O19*'Largeurs pennes'!O19-('Ouvertures pennes'!K19*'Ouvertures pennes'!K19)/4))=0,0.01,SQRT(ABS('Largeurs pennes'!O19*'Largeurs pennes'!O19-('Ouvertures pennes'!K19*'Ouvertures pennes'!K19)/4))))</f>
        <v/>
      </c>
      <c r="H18" s="782">
        <f>IF('Sections rachis &amp; L pennes'!V18="","",'Sections rachis &amp; L pennes'!V18)</f>
        <v>20</v>
      </c>
      <c r="I18" s="783">
        <f>IF('Largeurs pennes'!Z19="","",IF(SQRT(ABS('Largeurs pennes'!Z19*'Largeurs pennes'!Z19-('Ouvertures pennes'!R19*'Ouvertures pennes'!R19)/4))=0,0.01,SQRT(ABS('Largeurs pennes'!Z19*'Largeurs pennes'!Z19-('Ouvertures pennes'!R19*'Ouvertures pennes'!R19)/4))))</f>
        <v>0.41649940019468212</v>
      </c>
      <c r="J18" s="784" t="str">
        <f>IF('Largeurs pennes'!AA19="","",IF(SQRT(ABS('Largeurs pennes'!AA19*'Largeurs pennes'!AA19-('Ouvertures pennes'!S19*'Ouvertures pennes'!S19)/4))=0,0.01,SQRT(ABS('Largeurs pennes'!AA19*'Largeurs pennes'!AA19-('Ouvertures pennes'!S19*'Ouvertures pennes'!S19)/4))))</f>
        <v/>
      </c>
      <c r="K18" s="784" t="str">
        <f>IF('Largeurs pennes'!AB19="","",IF(SQRT(ABS('Largeurs pennes'!AB19*'Largeurs pennes'!AB19-('Ouvertures pennes'!T19*'Ouvertures pennes'!T19)/4))=0,0.01,SQRT(ABS('Largeurs pennes'!AB19*'Largeurs pennes'!AB19-('Ouvertures pennes'!T19*'Ouvertures pennes'!T19)/4))))</f>
        <v/>
      </c>
      <c r="L18" s="787" t="str">
        <f>IF('Largeurs pennes'!AC19="","",IF(SQRT(ABS('Largeurs pennes'!AC19*'Largeurs pennes'!AC19-('Ouvertures pennes'!U19*'Ouvertures pennes'!U19)/4))=0,0.01,SQRT(ABS('Largeurs pennes'!AC19*'Largeurs pennes'!AC19-('Ouvertures pennes'!U19*'Ouvertures pennes'!U19)/4))))</f>
        <v/>
      </c>
      <c r="M18" s="781">
        <f t="shared" si="1"/>
        <v>0.41897089619255501</v>
      </c>
      <c r="O18" s="782">
        <f>IF('Sections rachis &amp; L pennes'!AC18="","",'Sections rachis &amp; L pennes'!AC18)</f>
        <v>20</v>
      </c>
      <c r="P18" s="783">
        <f>IF('Largeurs pennes'!L53="","",IF(SQRT(ABS('Largeurs pennes'!L53*'Largeurs pennes'!L53-('Ouvertures pennes'!H53*'Ouvertures pennes'!H53)/4))=0,0.01,SQRT(ABS('Largeurs pennes'!L53*'Largeurs pennes'!L53-('Ouvertures pennes'!H53*'Ouvertures pennes'!H53)/4))))</f>
        <v>0.45789690576186287</v>
      </c>
      <c r="Q18" s="784" t="str">
        <f>IF('Largeurs pennes'!M53="","",IF(SQRT(ABS('Largeurs pennes'!M53*'Largeurs pennes'!M53-('Ouvertures pennes'!I53*'Ouvertures pennes'!I53)/4))=0,0.01,SQRT(ABS('Largeurs pennes'!M53*'Largeurs pennes'!M53-('Ouvertures pennes'!I53*'Ouvertures pennes'!I53)/4))))</f>
        <v/>
      </c>
      <c r="R18" s="784" t="str">
        <f>IF('Largeurs pennes'!N53="","",IF(SQRT(ABS('Largeurs pennes'!N53*'Largeurs pennes'!N53-('Ouvertures pennes'!J53*'Ouvertures pennes'!J53)/4))=0,0.01,SQRT(ABS('Largeurs pennes'!N53*'Largeurs pennes'!N53-('Ouvertures pennes'!J53*'Ouvertures pennes'!J53)/4))))</f>
        <v/>
      </c>
      <c r="S18" s="787">
        <f>IF('Largeurs pennes'!O53="","",IF(SQRT(ABS('Largeurs pennes'!O53*'Largeurs pennes'!O53-('Ouvertures pennes'!K53*'Ouvertures pennes'!K53)/4))=0,0.01,SQRT(ABS('Largeurs pennes'!O53*'Largeurs pennes'!O53-('Ouvertures pennes'!K53*'Ouvertures pennes'!K53)/4))))</f>
        <v>0.42758929564471393</v>
      </c>
      <c r="T18" s="782">
        <f>IF('Sections rachis &amp; L pennes'!AH18="","",'Sections rachis &amp; L pennes'!AH18)</f>
        <v>20</v>
      </c>
      <c r="U18" s="783">
        <f>IF('Largeurs pennes'!Z53="","",IF(SQRT(ABS('Largeurs pennes'!Z53*'Largeurs pennes'!Z53-('Ouvertures pennes'!R53*'Ouvertures pennes'!R53)/4))=0,0.01,SQRT(ABS('Largeurs pennes'!Z53*'Largeurs pennes'!Z53-('Ouvertures pennes'!R53*'Ouvertures pennes'!R53)/4))))</f>
        <v>0.44579025888327101</v>
      </c>
      <c r="V18" s="784" t="str">
        <f>IF('Largeurs pennes'!AA53="","",IF(SQRT(ABS('Largeurs pennes'!AA53*'Largeurs pennes'!AA53-('Ouvertures pennes'!S53*'Ouvertures pennes'!S53)/4))=0,0.01,SQRT(ABS('Largeurs pennes'!AA53*'Largeurs pennes'!AA53-('Ouvertures pennes'!S53*'Ouvertures pennes'!S53)/4))))</f>
        <v/>
      </c>
      <c r="W18" s="784" t="str">
        <f>IF('Largeurs pennes'!AB53="","",IF(SQRT(ABS('Largeurs pennes'!AB53*'Largeurs pennes'!AB53-('Ouvertures pennes'!T53*'Ouvertures pennes'!T53)/4))=0,0.01,SQRT(ABS('Largeurs pennes'!AB53*'Largeurs pennes'!AB53-('Ouvertures pennes'!T53*'Ouvertures pennes'!T53)/4))))</f>
        <v/>
      </c>
      <c r="X18" s="787">
        <f>IF('Largeurs pennes'!AC53="","",IF(SQRT(ABS('Largeurs pennes'!AC53*'Largeurs pennes'!AC53-('Ouvertures pennes'!U53*'Ouvertures pennes'!U53)/4))=0,0.01,SQRT(ABS('Largeurs pennes'!AC53*'Largeurs pennes'!AC53-('Ouvertures pennes'!U53*'Ouvertures pennes'!U53)/4))))</f>
        <v>0.41194495118477165</v>
      </c>
      <c r="Y18" s="781">
        <f t="shared" si="2"/>
        <v>0.45789690576186287</v>
      </c>
    </row>
    <row r="19" spans="1:25" s="345" customFormat="1">
      <c r="A19" s="345">
        <f t="shared" si="0"/>
        <v>30</v>
      </c>
      <c r="C19" s="782">
        <f>IF('Sections rachis &amp; L pennes'!Q19="","",'Sections rachis &amp; L pennes'!Q19)</f>
        <v>30</v>
      </c>
      <c r="D19" s="783">
        <f>IF('Largeurs pennes'!L20="","",IF(SQRT(ABS('Largeurs pennes'!L20*'Largeurs pennes'!L20-('Ouvertures pennes'!H20*'Ouvertures pennes'!H20)/4))=0,0.01,SQRT(ABS('Largeurs pennes'!L20*'Largeurs pennes'!L20-('Ouvertures pennes'!H20*'Ouvertures pennes'!H20)/4))))</f>
        <v>0.12142581543137362</v>
      </c>
      <c r="E19" s="784" t="str">
        <f>IF('Largeurs pennes'!M20="","",IF(SQRT(ABS('Largeurs pennes'!M20*'Largeurs pennes'!M20-('Ouvertures pennes'!I20*'Ouvertures pennes'!I20)/4))=0,0.01,SQRT(ABS('Largeurs pennes'!M20*'Largeurs pennes'!M20-('Ouvertures pennes'!I20*'Ouvertures pennes'!I20)/4))))</f>
        <v/>
      </c>
      <c r="F19" s="784" t="str">
        <f>IF('Largeurs pennes'!N20="","",IF(SQRT(ABS('Largeurs pennes'!N20*'Largeurs pennes'!N20-('Ouvertures pennes'!J20*'Ouvertures pennes'!J20)/4))=0,0.01,SQRT(ABS('Largeurs pennes'!N20*'Largeurs pennes'!N20-('Ouvertures pennes'!J20*'Ouvertures pennes'!J20)/4))))</f>
        <v/>
      </c>
      <c r="G19" s="787">
        <f>IF('Largeurs pennes'!O20="","",IF(SQRT(ABS('Largeurs pennes'!O20*'Largeurs pennes'!O20-('Ouvertures pennes'!K20*'Ouvertures pennes'!K20)/4))=0,0.01,SQRT(ABS('Largeurs pennes'!O20*'Largeurs pennes'!O20-('Ouvertures pennes'!K20*'Ouvertures pennes'!K20)/4))))</f>
        <v>7.4454884731663284E-2</v>
      </c>
      <c r="H19" s="782">
        <f>IF('Sections rachis &amp; L pennes'!V19="","",'Sections rachis &amp; L pennes'!V19)</f>
        <v>30</v>
      </c>
      <c r="I19" s="783">
        <f>IF('Largeurs pennes'!Z20="","",IF(SQRT(ABS('Largeurs pennes'!Z20*'Largeurs pennes'!Z20-('Ouvertures pennes'!R20*'Ouvertures pennes'!R20)/4))=0,0.01,SQRT(ABS('Largeurs pennes'!Z20*'Largeurs pennes'!Z20-('Ouvertures pennes'!R20*'Ouvertures pennes'!R20)/4))))</f>
        <v>0.1456700562263453</v>
      </c>
      <c r="J19" s="784" t="str">
        <f>IF('Largeurs pennes'!AA20="","",IF(SQRT(ABS('Largeurs pennes'!AA20*'Largeurs pennes'!AA20-('Ouvertures pennes'!S20*'Ouvertures pennes'!S20)/4))=0,0.01,SQRT(ABS('Largeurs pennes'!AA20*'Largeurs pennes'!AA20-('Ouvertures pennes'!S20*'Ouvertures pennes'!S20)/4))))</f>
        <v/>
      </c>
      <c r="K19" s="784" t="str">
        <f>IF('Largeurs pennes'!AB20="","",IF(SQRT(ABS('Largeurs pennes'!AB20*'Largeurs pennes'!AB20-('Ouvertures pennes'!T20*'Ouvertures pennes'!T20)/4))=0,0.01,SQRT(ABS('Largeurs pennes'!AB20*'Largeurs pennes'!AB20-('Ouvertures pennes'!T20*'Ouvertures pennes'!T20)/4))))</f>
        <v/>
      </c>
      <c r="L19" s="787">
        <f>IF('Largeurs pennes'!AC20="","",IF(SQRT(ABS('Largeurs pennes'!AC20*'Largeurs pennes'!AC20-('Ouvertures pennes'!U20*'Ouvertures pennes'!U20)/4))=0,0.01,SQRT(ABS('Largeurs pennes'!AC20*'Largeurs pennes'!AC20-('Ouvertures pennes'!U20*'Ouvertures pennes'!U20)/4))))</f>
        <v>0.11475360213985374</v>
      </c>
      <c r="M19" s="781">
        <f t="shared" si="1"/>
        <v>0.1456700562263453</v>
      </c>
      <c r="O19" s="782">
        <f>IF('Sections rachis &amp; L pennes'!AC19="","",'Sections rachis &amp; L pennes'!AC19)</f>
        <v>30</v>
      </c>
      <c r="P19" s="783">
        <f>IF('Largeurs pennes'!L54="","",IF(SQRT(ABS('Largeurs pennes'!L54*'Largeurs pennes'!L54-('Ouvertures pennes'!H54*'Ouvertures pennes'!H54)/4))=0,0.01,SQRT(ABS('Largeurs pennes'!L54*'Largeurs pennes'!L54-('Ouvertures pennes'!H54*'Ouvertures pennes'!H54)/4))))</f>
        <v>0.23045134574784001</v>
      </c>
      <c r="Q19" s="784" t="str">
        <f>IF('Largeurs pennes'!M54="","",IF(SQRT(ABS('Largeurs pennes'!M54*'Largeurs pennes'!M54-('Ouvertures pennes'!I54*'Ouvertures pennes'!I54)/4))=0,0.01,SQRT(ABS('Largeurs pennes'!M54*'Largeurs pennes'!M54-('Ouvertures pennes'!I54*'Ouvertures pennes'!I54)/4))))</f>
        <v/>
      </c>
      <c r="R19" s="784" t="str">
        <f>IF('Largeurs pennes'!N54="","",IF(SQRT(ABS('Largeurs pennes'!N54*'Largeurs pennes'!N54-('Ouvertures pennes'!J54*'Ouvertures pennes'!J54)/4))=0,0.01,SQRT(ABS('Largeurs pennes'!N54*'Largeurs pennes'!N54-('Ouvertures pennes'!J54*'Ouvertures pennes'!J54)/4))))</f>
        <v/>
      </c>
      <c r="S19" s="787">
        <f>IF('Largeurs pennes'!O54="","",IF(SQRT(ABS('Largeurs pennes'!O54*'Largeurs pennes'!O54-('Ouvertures pennes'!K54*'Ouvertures pennes'!K54)/4))=0,0.01,SQRT(ABS('Largeurs pennes'!O54*'Largeurs pennes'!O54-('Ouvertures pennes'!K54*'Ouvertures pennes'!K54)/4))))</f>
        <v>0.13643691346828329</v>
      </c>
      <c r="T19" s="782">
        <f>IF('Sections rachis &amp; L pennes'!AH19="","",'Sections rachis &amp; L pennes'!AH19)</f>
        <v>30</v>
      </c>
      <c r="U19" s="783">
        <f>IF('Largeurs pennes'!Z54="","",IF(SQRT(ABS('Largeurs pennes'!Z54*'Largeurs pennes'!Z54-('Ouvertures pennes'!R54*'Ouvertures pennes'!R54)/4))=0,0.01,SQRT(ABS('Largeurs pennes'!Z54*'Largeurs pennes'!Z54-('Ouvertures pennes'!R54*'Ouvertures pennes'!R54)/4))))</f>
        <v>0.2328320977549404</v>
      </c>
      <c r="V19" s="784" t="str">
        <f>IF('Largeurs pennes'!AA54="","",IF(SQRT(ABS('Largeurs pennes'!AA54*'Largeurs pennes'!AA54-('Ouvertures pennes'!S54*'Ouvertures pennes'!S54)/4))=0,0.01,SQRT(ABS('Largeurs pennes'!AA54*'Largeurs pennes'!AA54-('Ouvertures pennes'!S54*'Ouvertures pennes'!S54)/4))))</f>
        <v/>
      </c>
      <c r="W19" s="784" t="str">
        <f>IF('Largeurs pennes'!AB54="","",IF(SQRT(ABS('Largeurs pennes'!AB54*'Largeurs pennes'!AB54-('Ouvertures pennes'!T54*'Ouvertures pennes'!T54)/4))=0,0.01,SQRT(ABS('Largeurs pennes'!AB54*'Largeurs pennes'!AB54-('Ouvertures pennes'!T54*'Ouvertures pennes'!T54)/4))))</f>
        <v/>
      </c>
      <c r="X19" s="787">
        <f>IF('Largeurs pennes'!AC54="","",IF(SQRT(ABS('Largeurs pennes'!AC54*'Largeurs pennes'!AC54-('Ouvertures pennes'!U54*'Ouvertures pennes'!U54)/4))=0,0.01,SQRT(ABS('Largeurs pennes'!AC54*'Largeurs pennes'!AC54-('Ouvertures pennes'!U54*'Ouvertures pennes'!U54)/4))))</f>
        <v>0.13355361979092883</v>
      </c>
      <c r="Y19" s="781">
        <f t="shared" si="2"/>
        <v>0.2328320977549404</v>
      </c>
    </row>
    <row r="20" spans="1:25" s="345" customFormat="1">
      <c r="A20" s="345">
        <f t="shared" si="0"/>
        <v>40</v>
      </c>
      <c r="C20" s="782">
        <f>IF('Sections rachis &amp; L pennes'!Q20="","",'Sections rachis &amp; L pennes'!Q20)</f>
        <v>40</v>
      </c>
      <c r="D20" s="783">
        <f>IF('Largeurs pennes'!L21="","",IF(SQRT(ABS('Largeurs pennes'!L21*'Largeurs pennes'!L21-('Ouvertures pennes'!H21*'Ouvertures pennes'!H21)/4))=0,0.01,SQRT(ABS('Largeurs pennes'!L21*'Largeurs pennes'!L21-('Ouvertures pennes'!H21*'Ouvertures pennes'!H21)/4))))</f>
        <v>0.31147316022643123</v>
      </c>
      <c r="E20" s="784">
        <f>IF('Largeurs pennes'!M21="","",IF(SQRT(ABS('Largeurs pennes'!M21*'Largeurs pennes'!M21-('Ouvertures pennes'!I21*'Ouvertures pennes'!I21)/4))=0,0.01,SQRT(ABS('Largeurs pennes'!M21*'Largeurs pennes'!M21-('Ouvertures pennes'!I21*'Ouvertures pennes'!I21)/4))))</f>
        <v>0.29754528090299015</v>
      </c>
      <c r="F20" s="784" t="str">
        <f>IF('Largeurs pennes'!N21="","",IF(SQRT(ABS('Largeurs pennes'!N21*'Largeurs pennes'!N21-('Ouvertures pennes'!J21*'Ouvertures pennes'!J21)/4))=0,0.01,SQRT(ABS('Largeurs pennes'!N21*'Largeurs pennes'!N21-('Ouvertures pennes'!J21*'Ouvertures pennes'!J21)/4))))</f>
        <v/>
      </c>
      <c r="G20" s="787">
        <f>IF('Largeurs pennes'!O21="","",IF(SQRT(ABS('Largeurs pennes'!O21*'Largeurs pennes'!O21-('Ouvertures pennes'!K21*'Ouvertures pennes'!K21)/4))=0,0.01,SQRT(ABS('Largeurs pennes'!O21*'Largeurs pennes'!O21-('Ouvertures pennes'!K21*'Ouvertures pennes'!K21)/4))))</f>
        <v>0.29117776538655366</v>
      </c>
      <c r="H20" s="782">
        <f>IF('Sections rachis &amp; L pennes'!V20="","",'Sections rachis &amp; L pennes'!V20)</f>
        <v>40</v>
      </c>
      <c r="I20" s="783">
        <f>IF('Largeurs pennes'!Z21="","",IF(SQRT(ABS('Largeurs pennes'!Z21*'Largeurs pennes'!Z21-('Ouvertures pennes'!R21*'Ouvertures pennes'!R21)/4))=0,0.01,SQRT(ABS('Largeurs pennes'!Z21*'Largeurs pennes'!Z21-('Ouvertures pennes'!R21*'Ouvertures pennes'!R21)/4))))</f>
        <v>0.31839906763310588</v>
      </c>
      <c r="J20" s="784" t="str">
        <f>IF('Largeurs pennes'!AA21="","",IF(SQRT(ABS('Largeurs pennes'!AA21*'Largeurs pennes'!AA21-('Ouvertures pennes'!S21*'Ouvertures pennes'!S21)/4))=0,0.01,SQRT(ABS('Largeurs pennes'!AA21*'Largeurs pennes'!AA21-('Ouvertures pennes'!S21*'Ouvertures pennes'!S21)/4))))</f>
        <v/>
      </c>
      <c r="K20" s="784" t="str">
        <f>IF('Largeurs pennes'!AB21="","",IF(SQRT(ABS('Largeurs pennes'!AB21*'Largeurs pennes'!AB21-('Ouvertures pennes'!T21*'Ouvertures pennes'!T21)/4))=0,0.01,SQRT(ABS('Largeurs pennes'!AB21*'Largeurs pennes'!AB21-('Ouvertures pennes'!T21*'Ouvertures pennes'!T21)/4))))</f>
        <v/>
      </c>
      <c r="L20" s="787">
        <f>IF('Largeurs pennes'!AC21="","",IF(SQRT(ABS('Largeurs pennes'!AC21*'Largeurs pennes'!AC21-('Ouvertures pennes'!U21*'Ouvertures pennes'!U21)/4))=0,0.01,SQRT(ABS('Largeurs pennes'!AC21*'Largeurs pennes'!AC21-('Ouvertures pennes'!U21*'Ouvertures pennes'!U21)/4))))</f>
        <v>0.31027440421255414</v>
      </c>
      <c r="M20" s="781">
        <f t="shared" si="1"/>
        <v>0.31839906763310588</v>
      </c>
      <c r="O20" s="782">
        <f>IF('Sections rachis &amp; L pennes'!AC20="","",'Sections rachis &amp; L pennes'!AC20)</f>
        <v>40</v>
      </c>
      <c r="P20" s="783">
        <f>IF('Largeurs pennes'!L55="","",IF(SQRT(ABS('Largeurs pennes'!L55*'Largeurs pennes'!L55-('Ouvertures pennes'!H55*'Ouvertures pennes'!H55)/4))=0,0.01,SQRT(ABS('Largeurs pennes'!L55*'Largeurs pennes'!L55-('Ouvertures pennes'!H55*'Ouvertures pennes'!H55)/4))))</f>
        <v>0.26954144616357217</v>
      </c>
      <c r="Q20" s="784" t="str">
        <f>IF('Largeurs pennes'!M55="","",IF(SQRT(ABS('Largeurs pennes'!M55*'Largeurs pennes'!M55-('Ouvertures pennes'!I55*'Ouvertures pennes'!I55)/4))=0,0.01,SQRT(ABS('Largeurs pennes'!M55*'Largeurs pennes'!M55-('Ouvertures pennes'!I55*'Ouvertures pennes'!I55)/4))))</f>
        <v/>
      </c>
      <c r="R20" s="784" t="str">
        <f>IF('Largeurs pennes'!N55="","",IF(SQRT(ABS('Largeurs pennes'!N55*'Largeurs pennes'!N55-('Ouvertures pennes'!J55*'Ouvertures pennes'!J55)/4))=0,0.01,SQRT(ABS('Largeurs pennes'!N55*'Largeurs pennes'!N55-('Ouvertures pennes'!J55*'Ouvertures pennes'!J55)/4))))</f>
        <v/>
      </c>
      <c r="S20" s="787">
        <f>IF('Largeurs pennes'!O55="","",IF(SQRT(ABS('Largeurs pennes'!O55*'Largeurs pennes'!O55-('Ouvertures pennes'!K55*'Ouvertures pennes'!K55)/4))=0,0.01,SQRT(ABS('Largeurs pennes'!O55*'Largeurs pennes'!O55-('Ouvertures pennes'!K55*'Ouvertures pennes'!K55)/4))))</f>
        <v>0.24660272958047336</v>
      </c>
      <c r="T20" s="782">
        <f>IF('Sections rachis &amp; L pennes'!AH20="","",'Sections rachis &amp; L pennes'!AH20)</f>
        <v>40</v>
      </c>
      <c r="U20" s="783">
        <f>IF('Largeurs pennes'!Z55="","",IF(SQRT(ABS('Largeurs pennes'!Z55*'Largeurs pennes'!Z55-('Ouvertures pennes'!R55*'Ouvertures pennes'!R55)/4))=0,0.01,SQRT(ABS('Largeurs pennes'!Z55*'Largeurs pennes'!Z55-('Ouvertures pennes'!R55*'Ouvertures pennes'!R55)/4))))</f>
        <v>0.22094026118528989</v>
      </c>
      <c r="V20" s="784" t="str">
        <f>IF('Largeurs pennes'!AA55="","",IF(SQRT(ABS('Largeurs pennes'!AA55*'Largeurs pennes'!AA55-('Ouvertures pennes'!S55*'Ouvertures pennes'!S55)/4))=0,0.01,SQRT(ABS('Largeurs pennes'!AA55*'Largeurs pennes'!AA55-('Ouvertures pennes'!S55*'Ouvertures pennes'!S55)/4))))</f>
        <v/>
      </c>
      <c r="W20" s="784" t="str">
        <f>IF('Largeurs pennes'!AB55="","",IF(SQRT(ABS('Largeurs pennes'!AB55*'Largeurs pennes'!AB55-('Ouvertures pennes'!T55*'Ouvertures pennes'!T55)/4))=0,0.01,SQRT(ABS('Largeurs pennes'!AB55*'Largeurs pennes'!AB55-('Ouvertures pennes'!T55*'Ouvertures pennes'!T55)/4))))</f>
        <v/>
      </c>
      <c r="X20" s="787">
        <f>IF('Largeurs pennes'!AC55="","",IF(SQRT(ABS('Largeurs pennes'!AC55*'Largeurs pennes'!AC55-('Ouvertures pennes'!U55*'Ouvertures pennes'!U55)/4))=0,0.01,SQRT(ABS('Largeurs pennes'!AC55*'Largeurs pennes'!AC55-('Ouvertures pennes'!U55*'Ouvertures pennes'!U55)/4))))</f>
        <v>0.26333208141515196</v>
      </c>
      <c r="Y20" s="781">
        <f t="shared" si="2"/>
        <v>0.26954144616357217</v>
      </c>
    </row>
    <row r="21" spans="1:25" s="345" customFormat="1">
      <c r="A21" s="345">
        <f t="shared" si="0"/>
        <v>50</v>
      </c>
      <c r="C21" s="782">
        <f>IF('Sections rachis &amp; L pennes'!Q21="","",'Sections rachis &amp; L pennes'!Q21)</f>
        <v>50</v>
      </c>
      <c r="D21" s="783">
        <f>IF('Largeurs pennes'!L22="","",IF(SQRT(ABS('Largeurs pennes'!L22*'Largeurs pennes'!L22-('Ouvertures pennes'!H22*'Ouvertures pennes'!H22)/4))=0,0.01,SQRT(ABS('Largeurs pennes'!L22*'Largeurs pennes'!L22-('Ouvertures pennes'!H22*'Ouvertures pennes'!H22)/4))))</f>
        <v>0.45422814819963236</v>
      </c>
      <c r="E21" s="784" t="str">
        <f>IF('Largeurs pennes'!M22="","",IF(SQRT(ABS('Largeurs pennes'!M22*'Largeurs pennes'!M22-('Ouvertures pennes'!I22*'Ouvertures pennes'!I22)/4))=0,0.01,SQRT(ABS('Largeurs pennes'!M22*'Largeurs pennes'!M22-('Ouvertures pennes'!I22*'Ouvertures pennes'!I22)/4))))</f>
        <v/>
      </c>
      <c r="F21" s="784" t="str">
        <f>IF('Largeurs pennes'!N22="","",IF(SQRT(ABS('Largeurs pennes'!N22*'Largeurs pennes'!N22-('Ouvertures pennes'!J22*'Ouvertures pennes'!J22)/4))=0,0.01,SQRT(ABS('Largeurs pennes'!N22*'Largeurs pennes'!N22-('Ouvertures pennes'!J22*'Ouvertures pennes'!J22)/4))))</f>
        <v/>
      </c>
      <c r="G21" s="787">
        <f>IF('Largeurs pennes'!O22="","",IF(SQRT(ABS('Largeurs pennes'!O22*'Largeurs pennes'!O22-('Ouvertures pennes'!K22*'Ouvertures pennes'!K22)/4))=0,0.01,SQRT(ABS('Largeurs pennes'!O22*'Largeurs pennes'!O22-('Ouvertures pennes'!K22*'Ouvertures pennes'!K22)/4))))</f>
        <v>0.72501735111458998</v>
      </c>
      <c r="H21" s="782">
        <f>IF('Sections rachis &amp; L pennes'!V21="","",'Sections rachis &amp; L pennes'!V21)</f>
        <v>50</v>
      </c>
      <c r="I21" s="783">
        <f>IF('Largeurs pennes'!Z22="","",IF(SQRT(ABS('Largeurs pennes'!Z22*'Largeurs pennes'!Z22-('Ouvertures pennes'!R22*'Ouvertures pennes'!R22)/4))=0,0.01,SQRT(ABS('Largeurs pennes'!Z22*'Largeurs pennes'!Z22-('Ouvertures pennes'!R22*'Ouvertures pennes'!R22)/4))))</f>
        <v>0.45256950923466654</v>
      </c>
      <c r="J21" s="784" t="str">
        <f>IF('Largeurs pennes'!AA22="","",IF(SQRT(ABS('Largeurs pennes'!AA22*'Largeurs pennes'!AA22-('Ouvertures pennes'!S22*'Ouvertures pennes'!S22)/4))=0,0.01,SQRT(ABS('Largeurs pennes'!AA22*'Largeurs pennes'!AA22-('Ouvertures pennes'!S22*'Ouvertures pennes'!S22)/4))))</f>
        <v/>
      </c>
      <c r="K21" s="784" t="str">
        <f>IF('Largeurs pennes'!AB22="","",IF(SQRT(ABS('Largeurs pennes'!AB22*'Largeurs pennes'!AB22-('Ouvertures pennes'!T22*'Ouvertures pennes'!T22)/4))=0,0.01,SQRT(ABS('Largeurs pennes'!AB22*'Largeurs pennes'!AB22-('Ouvertures pennes'!T22*'Ouvertures pennes'!T22)/4))))</f>
        <v/>
      </c>
      <c r="L21" s="787" t="str">
        <f>IF('Largeurs pennes'!AC22="","",IF(SQRT(ABS('Largeurs pennes'!AC22*'Largeurs pennes'!AC22-('Ouvertures pennes'!U22*'Ouvertures pennes'!U22)/4))=0,0.01,SQRT(ABS('Largeurs pennes'!AC22*'Largeurs pennes'!AC22-('Ouvertures pennes'!U22*'Ouvertures pennes'!U22)/4))))</f>
        <v/>
      </c>
      <c r="M21" s="781">
        <f t="shared" si="1"/>
        <v>0.72501735111458998</v>
      </c>
      <c r="O21" s="782">
        <f>IF('Sections rachis &amp; L pennes'!AC21="","",'Sections rachis &amp; L pennes'!AC21)</f>
        <v>50</v>
      </c>
      <c r="P21" s="783">
        <f>IF('Largeurs pennes'!L56="","",IF(SQRT(ABS('Largeurs pennes'!L56*'Largeurs pennes'!L56-('Ouvertures pennes'!H56*'Ouvertures pennes'!H56)/4))=0,0.01,SQRT(ABS('Largeurs pennes'!L56*'Largeurs pennes'!L56-('Ouvertures pennes'!H56*'Ouvertures pennes'!H56)/4))))</f>
        <v>0.46661462180931323</v>
      </c>
      <c r="Q21" s="784">
        <f>IF('Largeurs pennes'!M56="","",IF(SQRT(ABS('Largeurs pennes'!M56*'Largeurs pennes'!M56-('Ouvertures pennes'!I56*'Ouvertures pennes'!I56)/4))=0,0.01,SQRT(ABS('Largeurs pennes'!M56*'Largeurs pennes'!M56-('Ouvertures pennes'!I56*'Ouvertures pennes'!I56)/4))))</f>
        <v>0.46253421254358068</v>
      </c>
      <c r="R21" s="784" t="str">
        <f>IF('Largeurs pennes'!N56="","",IF(SQRT(ABS('Largeurs pennes'!N56*'Largeurs pennes'!N56-('Ouvertures pennes'!J56*'Ouvertures pennes'!J56)/4))=0,0.01,SQRT(ABS('Largeurs pennes'!N56*'Largeurs pennes'!N56-('Ouvertures pennes'!J56*'Ouvertures pennes'!J56)/4))))</f>
        <v/>
      </c>
      <c r="S21" s="787">
        <f>IF('Largeurs pennes'!O56="","",IF(SQRT(ABS('Largeurs pennes'!O56*'Largeurs pennes'!O56-('Ouvertures pennes'!K56*'Ouvertures pennes'!K56)/4))=0,0.01,SQRT(ABS('Largeurs pennes'!O56*'Largeurs pennes'!O56-('Ouvertures pennes'!K56*'Ouvertures pennes'!K56)/4))))</f>
        <v>0.45669863633824914</v>
      </c>
      <c r="T21" s="782">
        <f>IF('Sections rachis &amp; L pennes'!AH21="","",'Sections rachis &amp; L pennes'!AH21)</f>
        <v>50</v>
      </c>
      <c r="U21" s="783">
        <f>IF('Largeurs pennes'!Z56="","",IF(SQRT(ABS('Largeurs pennes'!Z56*'Largeurs pennes'!Z56-('Ouvertures pennes'!R56*'Ouvertures pennes'!R56)/4))=0,0.01,SQRT(ABS('Largeurs pennes'!Z56*'Largeurs pennes'!Z56-('Ouvertures pennes'!R56*'Ouvertures pennes'!R56)/4))))</f>
        <v>0.3871519592726303</v>
      </c>
      <c r="V21" s="784" t="str">
        <f>IF('Largeurs pennes'!AA56="","",IF(SQRT(ABS('Largeurs pennes'!AA56*'Largeurs pennes'!AA56-('Ouvertures pennes'!S56*'Ouvertures pennes'!S56)/4))=0,0.01,SQRT(ABS('Largeurs pennes'!AA56*'Largeurs pennes'!AA56-('Ouvertures pennes'!S56*'Ouvertures pennes'!S56)/4))))</f>
        <v/>
      </c>
      <c r="W21" s="784" t="str">
        <f>IF('Largeurs pennes'!AB56="","",IF(SQRT(ABS('Largeurs pennes'!AB56*'Largeurs pennes'!AB56-('Ouvertures pennes'!T56*'Ouvertures pennes'!T56)/4))=0,0.01,SQRT(ABS('Largeurs pennes'!AB56*'Largeurs pennes'!AB56-('Ouvertures pennes'!T56*'Ouvertures pennes'!T56)/4))))</f>
        <v/>
      </c>
      <c r="X21" s="787">
        <f>IF('Largeurs pennes'!AC56="","",IF(SQRT(ABS('Largeurs pennes'!AC56*'Largeurs pennes'!AC56-('Ouvertures pennes'!U56*'Ouvertures pennes'!U56)/4))=0,0.01,SQRT(ABS('Largeurs pennes'!AC56*'Largeurs pennes'!AC56-('Ouvertures pennes'!U56*'Ouvertures pennes'!U56)/4))))</f>
        <v>0.37461113159070508</v>
      </c>
      <c r="Y21" s="781">
        <f t="shared" si="2"/>
        <v>0.46661462180931323</v>
      </c>
    </row>
    <row r="22" spans="1:25" s="345" customFormat="1">
      <c r="A22" s="345">
        <f t="shared" si="0"/>
        <v>60</v>
      </c>
      <c r="C22" s="782">
        <f>IF('Sections rachis &amp; L pennes'!Q22="","",'Sections rachis &amp; L pennes'!Q22)</f>
        <v>60</v>
      </c>
      <c r="D22" s="783">
        <f>IF('Largeurs pennes'!L23="","",IF(SQRT(ABS('Largeurs pennes'!L23*'Largeurs pennes'!L23-('Ouvertures pennes'!H23*'Ouvertures pennes'!H23)/4))=0,0.01,SQRT(ABS('Largeurs pennes'!L23*'Largeurs pennes'!L23-('Ouvertures pennes'!H23*'Ouvertures pennes'!H23)/4))))</f>
        <v>0.54691860061349606</v>
      </c>
      <c r="E22" s="784" t="str">
        <f>IF('Largeurs pennes'!M23="","",IF(SQRT(ABS('Largeurs pennes'!M23*'Largeurs pennes'!M23-('Ouvertures pennes'!I23*'Ouvertures pennes'!I23)/4))=0,0.01,SQRT(ABS('Largeurs pennes'!M23*'Largeurs pennes'!M23-('Ouvertures pennes'!I23*'Ouvertures pennes'!I23)/4))))</f>
        <v/>
      </c>
      <c r="F22" s="784" t="str">
        <f>IF('Largeurs pennes'!N23="","",IF(SQRT(ABS('Largeurs pennes'!N23*'Largeurs pennes'!N23-('Ouvertures pennes'!J23*'Ouvertures pennes'!J23)/4))=0,0.01,SQRT(ABS('Largeurs pennes'!N23*'Largeurs pennes'!N23-('Ouvertures pennes'!J23*'Ouvertures pennes'!J23)/4))))</f>
        <v/>
      </c>
      <c r="G22" s="787">
        <f>IF('Largeurs pennes'!O23="","",IF(SQRT(ABS('Largeurs pennes'!O23*'Largeurs pennes'!O23-('Ouvertures pennes'!K23*'Ouvertures pennes'!K23)/4))=0,0.01,SQRT(ABS('Largeurs pennes'!O23*'Largeurs pennes'!O23-('Ouvertures pennes'!K23*'Ouvertures pennes'!K23)/4))))</f>
        <v>0.54341567081126574</v>
      </c>
      <c r="H22" s="782">
        <f>IF('Sections rachis &amp; L pennes'!V22="","",'Sections rachis &amp; L pennes'!V22)</f>
        <v>60</v>
      </c>
      <c r="I22" s="783">
        <f>IF('Largeurs pennes'!Z23="","",IF(SQRT(ABS('Largeurs pennes'!Z23*'Largeurs pennes'!Z23-('Ouvertures pennes'!R23*'Ouvertures pennes'!R23)/4))=0,0.01,SQRT(ABS('Largeurs pennes'!Z23*'Largeurs pennes'!Z23-('Ouvertures pennes'!R23*'Ouvertures pennes'!R23)/4))))</f>
        <v>0.55691750902589843</v>
      </c>
      <c r="J22" s="784">
        <f>IF('Largeurs pennes'!AA23="","",IF(SQRT(ABS('Largeurs pennes'!AA23*'Largeurs pennes'!AA23-('Ouvertures pennes'!S23*'Ouvertures pennes'!S23)/4))=0,0.01,SQRT(ABS('Largeurs pennes'!AA23*'Largeurs pennes'!AA23-('Ouvertures pennes'!S23*'Ouvertures pennes'!S23)/4))))</f>
        <v>0.55141981900835957</v>
      </c>
      <c r="K22" s="784" t="str">
        <f>IF('Largeurs pennes'!AB23="","",IF(SQRT(ABS('Largeurs pennes'!AB23*'Largeurs pennes'!AB23-('Ouvertures pennes'!T23*'Ouvertures pennes'!T23)/4))=0,0.01,SQRT(ABS('Largeurs pennes'!AB23*'Largeurs pennes'!AB23-('Ouvertures pennes'!T23*'Ouvertures pennes'!T23)/4))))</f>
        <v/>
      </c>
      <c r="L22" s="787">
        <f>IF('Largeurs pennes'!AC23="","",IF(SQRT(ABS('Largeurs pennes'!AC23*'Largeurs pennes'!AC23-('Ouvertures pennes'!U23*'Ouvertures pennes'!U23)/4))=0,0.01,SQRT(ABS('Largeurs pennes'!AC23*'Largeurs pennes'!AC23-('Ouvertures pennes'!U23*'Ouvertures pennes'!U23)/4))))</f>
        <v>0.54741887653858334</v>
      </c>
      <c r="M22" s="781">
        <f t="shared" si="1"/>
        <v>0.55691750902589843</v>
      </c>
      <c r="O22" s="782">
        <f>IF('Sections rachis &amp; L pennes'!AC22="","",'Sections rachis &amp; L pennes'!AC22)</f>
        <v>60</v>
      </c>
      <c r="P22" s="783">
        <f>IF('Largeurs pennes'!L57="","",IF(SQRT(ABS('Largeurs pennes'!L57*'Largeurs pennes'!L57-('Ouvertures pennes'!H57*'Ouvertures pennes'!H57)/4))=0,0.01,SQRT(ABS('Largeurs pennes'!L57*'Largeurs pennes'!L57-('Ouvertures pennes'!H57*'Ouvertures pennes'!H57)/4))))</f>
        <v>0.57146293124023417</v>
      </c>
      <c r="Q22" s="784" t="str">
        <f>IF('Largeurs pennes'!M57="","",IF(SQRT(ABS('Largeurs pennes'!M57*'Largeurs pennes'!M57-('Ouvertures pennes'!I57*'Ouvertures pennes'!I57)/4))=0,0.01,SQRT(ABS('Largeurs pennes'!M57*'Largeurs pennes'!M57-('Ouvertures pennes'!I57*'Ouvertures pennes'!I57)/4))))</f>
        <v/>
      </c>
      <c r="R22" s="784" t="str">
        <f>IF('Largeurs pennes'!N57="","",IF(SQRT(ABS('Largeurs pennes'!N57*'Largeurs pennes'!N57-('Ouvertures pennes'!J57*'Ouvertures pennes'!J57)/4))=0,0.01,SQRT(ABS('Largeurs pennes'!N57*'Largeurs pennes'!N57-('Ouvertures pennes'!J57*'Ouvertures pennes'!J57)/4))))</f>
        <v/>
      </c>
      <c r="S22" s="787">
        <f>IF('Largeurs pennes'!O57="","",IF(SQRT(ABS('Largeurs pennes'!O57*'Largeurs pennes'!O57-('Ouvertures pennes'!K57*'Ouvertures pennes'!K57)/4))=0,0.01,SQRT(ABS('Largeurs pennes'!O57*'Largeurs pennes'!O57-('Ouvertures pennes'!K57*'Ouvertures pennes'!K57)/4))))</f>
        <v>0.55881864436896689</v>
      </c>
      <c r="T22" s="782">
        <f>IF('Sections rachis &amp; L pennes'!AH22="","",'Sections rachis &amp; L pennes'!AH22)</f>
        <v>60</v>
      </c>
      <c r="U22" s="783">
        <f>IF('Largeurs pennes'!Z57="","",IF(SQRT(ABS('Largeurs pennes'!Z57*'Largeurs pennes'!Z57-('Ouvertures pennes'!R57*'Ouvertures pennes'!R57)/4))=0,0.01,SQRT(ABS('Largeurs pennes'!Z57*'Largeurs pennes'!Z57-('Ouvertures pennes'!R57*'Ouvertures pennes'!R57)/4))))</f>
        <v>0.52763169191351211</v>
      </c>
      <c r="V22" s="784">
        <f>IF('Largeurs pennes'!AA57="","",IF(SQRT(ABS('Largeurs pennes'!AA57*'Largeurs pennes'!AA57-('Ouvertures pennes'!S57*'Ouvertures pennes'!S57)/4))=0,0.01,SQRT(ABS('Largeurs pennes'!AA57*'Largeurs pennes'!AA57-('Ouvertures pennes'!S57*'Ouvertures pennes'!S57)/4))))</f>
        <v>0.54245152891833259</v>
      </c>
      <c r="W22" s="784" t="str">
        <f>IF('Largeurs pennes'!AB57="","",IF(SQRT(ABS('Largeurs pennes'!AB57*'Largeurs pennes'!AB57-('Ouvertures pennes'!T57*'Ouvertures pennes'!T57)/4))=0,0.01,SQRT(ABS('Largeurs pennes'!AB57*'Largeurs pennes'!AB57-('Ouvertures pennes'!T57*'Ouvertures pennes'!T57)/4))))</f>
        <v/>
      </c>
      <c r="X22" s="787">
        <f>IF('Largeurs pennes'!AC57="","",IF(SQRT(ABS('Largeurs pennes'!AC57*'Largeurs pennes'!AC57-('Ouvertures pennes'!U57*'Ouvertures pennes'!U57)/4))=0,0.01,SQRT(ABS('Largeurs pennes'!AC57*'Largeurs pennes'!AC57-('Ouvertures pennes'!U57*'Ouvertures pennes'!U57)/4))))</f>
        <v>0.52710173017279882</v>
      </c>
      <c r="Y22" s="781">
        <f t="shared" si="2"/>
        <v>0.57146293124023417</v>
      </c>
    </row>
    <row r="23" spans="1:25" s="345" customFormat="1">
      <c r="A23" s="345">
        <f t="shared" si="0"/>
        <v>70</v>
      </c>
      <c r="C23" s="782">
        <f>IF('Sections rachis &amp; L pennes'!Q23="","",'Sections rachis &amp; L pennes'!Q23)</f>
        <v>70</v>
      </c>
      <c r="D23" s="783">
        <f>IF('Largeurs pennes'!L24="","",IF(SQRT(ABS('Largeurs pennes'!L24*'Largeurs pennes'!L24-('Ouvertures pennes'!H24*'Ouvertures pennes'!H24)/4))=0,0.01,SQRT(ABS('Largeurs pennes'!L24*'Largeurs pennes'!L24-('Ouvertures pennes'!H24*'Ouvertures pennes'!H24)/4))))</f>
        <v>0.62206582353373263</v>
      </c>
      <c r="E23" s="784" t="str">
        <f>IF('Largeurs pennes'!M24="","",IF(SQRT(ABS('Largeurs pennes'!M24*'Largeurs pennes'!M24-('Ouvertures pennes'!I24*'Ouvertures pennes'!I24)/4))=0,0.01,SQRT(ABS('Largeurs pennes'!M24*'Largeurs pennes'!M24-('Ouvertures pennes'!I24*'Ouvertures pennes'!I24)/4))))</f>
        <v/>
      </c>
      <c r="F23" s="784" t="str">
        <f>IF('Largeurs pennes'!N24="","",IF(SQRT(ABS('Largeurs pennes'!N24*'Largeurs pennes'!N24-('Ouvertures pennes'!J24*'Ouvertures pennes'!J24)/4))=0,0.01,SQRT(ABS('Largeurs pennes'!N24*'Largeurs pennes'!N24-('Ouvertures pennes'!J24*'Ouvertures pennes'!J24)/4))))</f>
        <v/>
      </c>
      <c r="G23" s="787">
        <f>IF('Largeurs pennes'!O24="","",IF(SQRT(ABS('Largeurs pennes'!O24*'Largeurs pennes'!O24-('Ouvertures pennes'!K24*'Ouvertures pennes'!K24)/4))=0,0.01,SQRT(ABS('Largeurs pennes'!O24*'Largeurs pennes'!O24-('Ouvertures pennes'!K24*'Ouvertures pennes'!K24)/4))))</f>
        <v>0.62074016986864566</v>
      </c>
      <c r="H23" s="782">
        <f>IF('Sections rachis &amp; L pennes'!V23="","",'Sections rachis &amp; L pennes'!V23)</f>
        <v>70</v>
      </c>
      <c r="I23" s="783">
        <f>IF('Largeurs pennes'!Z24="","",IF(SQRT(ABS('Largeurs pennes'!Z24*'Largeurs pennes'!Z24-('Ouvertures pennes'!R24*'Ouvertures pennes'!R24)/4))=0,0.01,SQRT(ABS('Largeurs pennes'!Z24*'Largeurs pennes'!Z24-('Ouvertures pennes'!R24*'Ouvertures pennes'!R24)/4))))</f>
        <v>0.60481802248727512</v>
      </c>
      <c r="J23" s="784" t="str">
        <f>IF('Largeurs pennes'!AA24="","",IF(SQRT(ABS('Largeurs pennes'!AA24*'Largeurs pennes'!AA24-('Ouvertures pennes'!S24*'Ouvertures pennes'!S24)/4))=0,0.01,SQRT(ABS('Largeurs pennes'!AA24*'Largeurs pennes'!AA24-('Ouvertures pennes'!S24*'Ouvertures pennes'!S24)/4))))</f>
        <v/>
      </c>
      <c r="K23" s="784" t="str">
        <f>IF('Largeurs pennes'!AB24="","",IF(SQRT(ABS('Largeurs pennes'!AB24*'Largeurs pennes'!AB24-('Ouvertures pennes'!T24*'Ouvertures pennes'!T24)/4))=0,0.01,SQRT(ABS('Largeurs pennes'!AB24*'Largeurs pennes'!AB24-('Ouvertures pennes'!T24*'Ouvertures pennes'!T24)/4))))</f>
        <v/>
      </c>
      <c r="L23" s="787">
        <f>IF('Largeurs pennes'!AC24="","",IF(SQRT(ABS('Largeurs pennes'!AC24*'Largeurs pennes'!AC24-('Ouvertures pennes'!U24*'Ouvertures pennes'!U24)/4))=0,0.01,SQRT(ABS('Largeurs pennes'!AC24*'Largeurs pennes'!AC24-('Ouvertures pennes'!U24*'Ouvertures pennes'!U24)/4))))</f>
        <v>0.59507423243442514</v>
      </c>
      <c r="M23" s="781">
        <f t="shared" si="1"/>
        <v>0.62206582353373263</v>
      </c>
      <c r="O23" s="782">
        <f>IF('Sections rachis &amp; L pennes'!AC23="","",'Sections rachis &amp; L pennes'!AC23)</f>
        <v>70</v>
      </c>
      <c r="P23" s="783">
        <f>IF('Largeurs pennes'!L58="","",IF(SQRT(ABS('Largeurs pennes'!L58*'Largeurs pennes'!L58-('Ouvertures pennes'!H58*'Ouvertures pennes'!H58)/4))=0,0.01,SQRT(ABS('Largeurs pennes'!L58*'Largeurs pennes'!L58-('Ouvertures pennes'!H58*'Ouvertures pennes'!H58)/4))))</f>
        <v>0.62718568226107085</v>
      </c>
      <c r="Q23" s="784" t="str">
        <f>IF('Largeurs pennes'!M58="","",IF(SQRT(ABS('Largeurs pennes'!M58*'Largeurs pennes'!M58-('Ouvertures pennes'!I58*'Ouvertures pennes'!I58)/4))=0,0.01,SQRT(ABS('Largeurs pennes'!M58*'Largeurs pennes'!M58-('Ouvertures pennes'!I58*'Ouvertures pennes'!I58)/4))))</f>
        <v/>
      </c>
      <c r="R23" s="784" t="str">
        <f>IF('Largeurs pennes'!N58="","",IF(SQRT(ABS('Largeurs pennes'!N58*'Largeurs pennes'!N58-('Ouvertures pennes'!J58*'Ouvertures pennes'!J58)/4))=0,0.01,SQRT(ABS('Largeurs pennes'!N58*'Largeurs pennes'!N58-('Ouvertures pennes'!J58*'Ouvertures pennes'!J58)/4))))</f>
        <v/>
      </c>
      <c r="S23" s="787">
        <f>IF('Largeurs pennes'!O58="","",IF(SQRT(ABS('Largeurs pennes'!O58*'Largeurs pennes'!O58-('Ouvertures pennes'!K58*'Ouvertures pennes'!K58)/4))=0,0.01,SQRT(ABS('Largeurs pennes'!O58*'Largeurs pennes'!O58-('Ouvertures pennes'!K58*'Ouvertures pennes'!K58)/4))))</f>
        <v>0.62299121646461553</v>
      </c>
      <c r="T23" s="782">
        <f>IF('Sections rachis &amp; L pennes'!AH23="","",'Sections rachis &amp; L pennes'!AH23)</f>
        <v>70</v>
      </c>
      <c r="U23" s="783">
        <f>IF('Largeurs pennes'!Z58="","",IF(SQRT(ABS('Largeurs pennes'!Z58*'Largeurs pennes'!Z58-('Ouvertures pennes'!R58*'Ouvertures pennes'!R58)/4))=0,0.01,SQRT(ABS('Largeurs pennes'!Z58*'Largeurs pennes'!Z58-('Ouvertures pennes'!R58*'Ouvertures pennes'!R58)/4))))</f>
        <v>0.61926116689530486</v>
      </c>
      <c r="V23" s="784">
        <f>IF('Largeurs pennes'!AA58="","",IF(SQRT(ABS('Largeurs pennes'!AA58*'Largeurs pennes'!AA58-('Ouvertures pennes'!S58*'Ouvertures pennes'!S58)/4))=0,0.01,SQRT(ABS('Largeurs pennes'!AA58*'Largeurs pennes'!AA58-('Ouvertures pennes'!S58*'Ouvertures pennes'!S58)/4))))</f>
        <v>0.61786199546163734</v>
      </c>
      <c r="W23" s="784" t="str">
        <f>IF('Largeurs pennes'!AB58="","",IF(SQRT(ABS('Largeurs pennes'!AB58*'Largeurs pennes'!AB58-('Ouvertures pennes'!T58*'Ouvertures pennes'!T58)/4))=0,0.01,SQRT(ABS('Largeurs pennes'!AB58*'Largeurs pennes'!AB58-('Ouvertures pennes'!T58*'Ouvertures pennes'!T58)/4))))</f>
        <v/>
      </c>
      <c r="X23" s="787">
        <f>IF('Largeurs pennes'!AC58="","",IF(SQRT(ABS('Largeurs pennes'!AC58*'Largeurs pennes'!AC58-('Ouvertures pennes'!U58*'Ouvertures pennes'!U58)/4))=0,0.01,SQRT(ABS('Largeurs pennes'!AC58*'Largeurs pennes'!AC58-('Ouvertures pennes'!U58*'Ouvertures pennes'!U58)/4))))</f>
        <v>0.61132956798511429</v>
      </c>
      <c r="Y23" s="781">
        <f t="shared" si="2"/>
        <v>0.62718568226107085</v>
      </c>
    </row>
    <row r="24" spans="1:25" s="345" customFormat="1">
      <c r="A24" s="345">
        <f t="shared" si="0"/>
        <v>80</v>
      </c>
      <c r="C24" s="782">
        <f>IF('Sections rachis &amp; L pennes'!Q24="","",'Sections rachis &amp; L pennes'!Q24)</f>
        <v>80</v>
      </c>
      <c r="D24" s="783">
        <f>IF('Largeurs pennes'!L25="","",IF(SQRT(ABS('Largeurs pennes'!L25*'Largeurs pennes'!L25-('Ouvertures pennes'!H25*'Ouvertures pennes'!H25)/4))=0,0.01,SQRT(ABS('Largeurs pennes'!L25*'Largeurs pennes'!L25-('Ouvertures pennes'!H25*'Ouvertures pennes'!H25)/4))))</f>
        <v>0.64311670383707609</v>
      </c>
      <c r="E24" s="784" t="str">
        <f>IF('Largeurs pennes'!M25="","",IF(SQRT(ABS('Largeurs pennes'!M25*'Largeurs pennes'!M25-('Ouvertures pennes'!I25*'Ouvertures pennes'!I25)/4))=0,0.01,SQRT(ABS('Largeurs pennes'!M25*'Largeurs pennes'!M25-('Ouvertures pennes'!I25*'Ouvertures pennes'!I25)/4))))</f>
        <v/>
      </c>
      <c r="F24" s="784" t="str">
        <f>IF('Largeurs pennes'!N25="","",IF(SQRT(ABS('Largeurs pennes'!N25*'Largeurs pennes'!N25-('Ouvertures pennes'!J25*'Ouvertures pennes'!J25)/4))=0,0.01,SQRT(ABS('Largeurs pennes'!N25*'Largeurs pennes'!N25-('Ouvertures pennes'!J25*'Ouvertures pennes'!J25)/4))))</f>
        <v/>
      </c>
      <c r="G24" s="787">
        <f>IF('Largeurs pennes'!O25="","",IF(SQRT(ABS('Largeurs pennes'!O25*'Largeurs pennes'!O25-('Ouvertures pennes'!K25*'Ouvertures pennes'!K25)/4))=0,0.01,SQRT(ABS('Largeurs pennes'!O25*'Largeurs pennes'!O25-('Ouvertures pennes'!K25*'Ouvertures pennes'!K25)/4))))</f>
        <v>0.63620510775216632</v>
      </c>
      <c r="H24" s="782">
        <f>IF('Sections rachis &amp; L pennes'!V24="","",'Sections rachis &amp; L pennes'!V24)</f>
        <v>80</v>
      </c>
      <c r="I24" s="783">
        <f>IF('Largeurs pennes'!Z25="","",IF(SQRT(ABS('Largeurs pennes'!Z25*'Largeurs pennes'!Z25-('Ouvertures pennes'!R25*'Ouvertures pennes'!R25)/4))=0,0.01,SQRT(ABS('Largeurs pennes'!Z25*'Largeurs pennes'!Z25-('Ouvertures pennes'!R25*'Ouvertures pennes'!R25)/4))))</f>
        <v>0.61508142851834491</v>
      </c>
      <c r="J24" s="784">
        <f>IF('Largeurs pennes'!AA25="","",IF(SQRT(ABS('Largeurs pennes'!AA25*'Largeurs pennes'!AA25-('Ouvertures pennes'!S25*'Ouvertures pennes'!S25)/4))=0,0.01,SQRT(ABS('Largeurs pennes'!AA25*'Largeurs pennes'!AA25-('Ouvertures pennes'!S25*'Ouvertures pennes'!S25)/4))))</f>
        <v>0.61981946082488282</v>
      </c>
      <c r="K24" s="784" t="str">
        <f>IF('Largeurs pennes'!AB25="","",IF(SQRT(ABS('Largeurs pennes'!AB25*'Largeurs pennes'!AB25-('Ouvertures pennes'!T25*'Ouvertures pennes'!T25)/4))=0,0.01,SQRT(ABS('Largeurs pennes'!AB25*'Largeurs pennes'!AB25-('Ouvertures pennes'!T25*'Ouvertures pennes'!T25)/4))))</f>
        <v/>
      </c>
      <c r="L24" s="787">
        <f>IF('Largeurs pennes'!AC25="","",IF(SQRT(ABS('Largeurs pennes'!AC25*'Largeurs pennes'!AC25-('Ouvertures pennes'!U25*'Ouvertures pennes'!U25)/4))=0,0.01,SQRT(ABS('Largeurs pennes'!AC25*'Largeurs pennes'!AC25-('Ouvertures pennes'!U25*'Ouvertures pennes'!U25)/4))))</f>
        <v>0.62273417120240893</v>
      </c>
      <c r="M24" s="781">
        <f t="shared" si="1"/>
        <v>0.64311670383707609</v>
      </c>
      <c r="O24" s="782">
        <f>IF('Sections rachis &amp; L pennes'!AC24="","",'Sections rachis &amp; L pennes'!AC24)</f>
        <v>80</v>
      </c>
      <c r="P24" s="783">
        <f>IF('Largeurs pennes'!L59="","",IF(SQRT(ABS('Largeurs pennes'!L59*'Largeurs pennes'!L59-('Ouvertures pennes'!H59*'Ouvertures pennes'!H59)/4))=0,0.01,SQRT(ABS('Largeurs pennes'!L59*'Largeurs pennes'!L59-('Ouvertures pennes'!H59*'Ouvertures pennes'!H59)/4))))</f>
        <v>0.64836089506651384</v>
      </c>
      <c r="Q24" s="784">
        <f>IF('Largeurs pennes'!M59="","",IF(SQRT(ABS('Largeurs pennes'!M59*'Largeurs pennes'!M59-('Ouvertures pennes'!I59*'Ouvertures pennes'!I59)/4))=0,0.01,SQRT(ABS('Largeurs pennes'!M59*'Largeurs pennes'!M59-('Ouvertures pennes'!I59*'Ouvertures pennes'!I59)/4))))</f>
        <v>0.64874419532258787</v>
      </c>
      <c r="R24" s="784" t="str">
        <f>IF('Largeurs pennes'!N59="","",IF(SQRT(ABS('Largeurs pennes'!N59*'Largeurs pennes'!N59-('Ouvertures pennes'!J59*'Ouvertures pennes'!J59)/4))=0,0.01,SQRT(ABS('Largeurs pennes'!N59*'Largeurs pennes'!N59-('Ouvertures pennes'!J59*'Ouvertures pennes'!J59)/4))))</f>
        <v/>
      </c>
      <c r="S24" s="787">
        <f>IF('Largeurs pennes'!O59="","",IF(SQRT(ABS('Largeurs pennes'!O59*'Largeurs pennes'!O59-('Ouvertures pennes'!K59*'Ouvertures pennes'!K59)/4))=0,0.01,SQRT(ABS('Largeurs pennes'!O59*'Largeurs pennes'!O59-('Ouvertures pennes'!K59*'Ouvertures pennes'!K59)/4))))</f>
        <v>0.65027726974432065</v>
      </c>
      <c r="T24" s="782">
        <f>IF('Sections rachis &amp; L pennes'!AH24="","",'Sections rachis &amp; L pennes'!AH24)</f>
        <v>80</v>
      </c>
      <c r="U24" s="783">
        <f>IF('Largeurs pennes'!Z59="","",IF(SQRT(ABS('Largeurs pennes'!Z59*'Largeurs pennes'!Z59-('Ouvertures pennes'!R59*'Ouvertures pennes'!R59)/4))=0,0.01,SQRT(ABS('Largeurs pennes'!Z59*'Largeurs pennes'!Z59-('Ouvertures pennes'!R59*'Ouvertures pennes'!R59)/4))))</f>
        <v>0.63608845318351726</v>
      </c>
      <c r="V24" s="784">
        <f>IF('Largeurs pennes'!AA59="","",IF(SQRT(ABS('Largeurs pennes'!AA59*'Largeurs pennes'!AA59-('Ouvertures pennes'!S59*'Ouvertures pennes'!S59)/4))=0,0.01,SQRT(ABS('Largeurs pennes'!AA59*'Largeurs pennes'!AA59-('Ouvertures pennes'!S59*'Ouvertures pennes'!S59)/4))))</f>
        <v>0.63340204706826619</v>
      </c>
      <c r="W24" s="784" t="str">
        <f>IF('Largeurs pennes'!AB59="","",IF(SQRT(ABS('Largeurs pennes'!AB59*'Largeurs pennes'!AB59-('Ouvertures pennes'!T59*'Ouvertures pennes'!T59)/4))=0,0.01,SQRT(ABS('Largeurs pennes'!AB59*'Largeurs pennes'!AB59-('Ouvertures pennes'!T59*'Ouvertures pennes'!T59)/4))))</f>
        <v/>
      </c>
      <c r="X24" s="787">
        <f>IF('Largeurs pennes'!AC59="","",IF(SQRT(ABS('Largeurs pennes'!AC59*'Largeurs pennes'!AC59-('Ouvertures pennes'!U59*'Ouvertures pennes'!U59)/4))=0,0.01,SQRT(ABS('Largeurs pennes'!AC59*'Largeurs pennes'!AC59-('Ouvertures pennes'!U59*'Ouvertures pennes'!U59)/4))))</f>
        <v>0.64567743626150775</v>
      </c>
      <c r="Y24" s="781">
        <f t="shared" si="2"/>
        <v>0.65027726974432065</v>
      </c>
    </row>
    <row r="25" spans="1:25" s="345" customFormat="1" ht="13.5" thickBot="1">
      <c r="A25" s="345">
        <f t="shared" si="0"/>
        <v>90</v>
      </c>
      <c r="C25" s="794">
        <f>IF('Sections rachis &amp; L pennes'!Q25="","",'Sections rachis &amp; L pennes'!Q25)</f>
        <v>90</v>
      </c>
      <c r="D25" s="783" t="str">
        <f>IF('Largeurs pennes'!L26="","",IF(SQRT(ABS('Largeurs pennes'!L26*'Largeurs pennes'!L26-('Ouvertures pennes'!H26*'Ouvertures pennes'!H26)/4))=0,0.01,SQRT(ABS('Largeurs pennes'!L26*'Largeurs pennes'!L26-('Ouvertures pennes'!H26*'Ouvertures pennes'!H26)/4))))</f>
        <v/>
      </c>
      <c r="E25" s="784">
        <f>IF('Largeurs pennes'!M26="","",IF(SQRT(ABS('Largeurs pennes'!M26*'Largeurs pennes'!M26-('Ouvertures pennes'!I26*'Ouvertures pennes'!I26)/4))=0,0.01,SQRT(ABS('Largeurs pennes'!M26*'Largeurs pennes'!M26-('Ouvertures pennes'!I26*'Ouvertures pennes'!I26)/4))))</f>
        <v>0.5439037861890863</v>
      </c>
      <c r="F25" s="784" t="str">
        <f>IF('Largeurs pennes'!N26="","",IF(SQRT(ABS('Largeurs pennes'!N26*'Largeurs pennes'!N26-('Ouvertures pennes'!J26*'Ouvertures pennes'!J26)/4))=0,0.01,SQRT(ABS('Largeurs pennes'!N26*'Largeurs pennes'!N26-('Ouvertures pennes'!J26*'Ouvertures pennes'!J26)/4))))</f>
        <v/>
      </c>
      <c r="G25" s="787" t="str">
        <f>IF('Largeurs pennes'!O26="","",IF(SQRT(ABS('Largeurs pennes'!O26*'Largeurs pennes'!O26-('Ouvertures pennes'!K26*'Ouvertures pennes'!K26)/4))=0,0.01,SQRT(ABS('Largeurs pennes'!O26*'Largeurs pennes'!O26-('Ouvertures pennes'!K26*'Ouvertures pennes'!K26)/4))))</f>
        <v/>
      </c>
      <c r="H25" s="794">
        <f>IF('Sections rachis &amp; L pennes'!V25="","",'Sections rachis &amp; L pennes'!V25)</f>
        <v>90</v>
      </c>
      <c r="I25" s="783" t="str">
        <f>IF('Largeurs pennes'!Z26="","",IF(SQRT(ABS('Largeurs pennes'!Z26*'Largeurs pennes'!Z26-('Ouvertures pennes'!R26*'Ouvertures pennes'!R26)/4))=0,0.01,SQRT(ABS('Largeurs pennes'!Z26*'Largeurs pennes'!Z26-('Ouvertures pennes'!R26*'Ouvertures pennes'!R26)/4))))</f>
        <v/>
      </c>
      <c r="J25" s="784">
        <f>IF('Largeurs pennes'!AA26="","",IF(SQRT(ABS('Largeurs pennes'!AA26*'Largeurs pennes'!AA26-('Ouvertures pennes'!S26*'Ouvertures pennes'!S26)/4))=0,0.01,SQRT(ABS('Largeurs pennes'!AA26*'Largeurs pennes'!AA26-('Ouvertures pennes'!S26*'Ouvertures pennes'!S26)/4))))</f>
        <v>0.53266137230696287</v>
      </c>
      <c r="K25" s="784" t="str">
        <f>IF('Largeurs pennes'!AB26="","",IF(SQRT(ABS('Largeurs pennes'!AB26*'Largeurs pennes'!AB26-('Ouvertures pennes'!T26*'Ouvertures pennes'!T26)/4))=0,0.01,SQRT(ABS('Largeurs pennes'!AB26*'Largeurs pennes'!AB26-('Ouvertures pennes'!T26*'Ouvertures pennes'!T26)/4))))</f>
        <v/>
      </c>
      <c r="L25" s="787" t="str">
        <f>IF('Largeurs pennes'!AC26="","",IF(SQRT(ABS('Largeurs pennes'!AC26*'Largeurs pennes'!AC26-('Ouvertures pennes'!U26*'Ouvertures pennes'!U26)/4))=0,0.01,SQRT(ABS('Largeurs pennes'!AC26*'Largeurs pennes'!AC26-('Ouvertures pennes'!U26*'Ouvertures pennes'!U26)/4))))</f>
        <v/>
      </c>
      <c r="M25" s="781">
        <f t="shared" si="1"/>
        <v>0.5439037861890863</v>
      </c>
      <c r="O25" s="794">
        <f>IF('Sections rachis &amp; L pennes'!AC25="","",'Sections rachis &amp; L pennes'!AC25)</f>
        <v>90</v>
      </c>
      <c r="P25" s="783">
        <f>IF('Largeurs pennes'!L60="","",IF(SQRT(ABS('Largeurs pennes'!L60*'Largeurs pennes'!L60-('Ouvertures pennes'!H60*'Ouvertures pennes'!H60)/4))=0,0.01,SQRT(ABS('Largeurs pennes'!L60*'Largeurs pennes'!L60-('Ouvertures pennes'!H60*'Ouvertures pennes'!H60)/4))))</f>
        <v>0.54778106031596507</v>
      </c>
      <c r="Q25" s="784" t="str">
        <f>IF('Largeurs pennes'!M60="","",IF(SQRT(ABS('Largeurs pennes'!M60*'Largeurs pennes'!M60-('Ouvertures pennes'!I60*'Ouvertures pennes'!I60)/4))=0,0.01,SQRT(ABS('Largeurs pennes'!M60*'Largeurs pennes'!M60-('Ouvertures pennes'!I60*'Ouvertures pennes'!I60)/4))))</f>
        <v/>
      </c>
      <c r="R25" s="784" t="str">
        <f>IF('Largeurs pennes'!N60="","",IF(SQRT(ABS('Largeurs pennes'!N60*'Largeurs pennes'!N60-('Ouvertures pennes'!J60*'Ouvertures pennes'!J60)/4))=0,0.01,SQRT(ABS('Largeurs pennes'!N60*'Largeurs pennes'!N60-('Ouvertures pennes'!J60*'Ouvertures pennes'!J60)/4))))</f>
        <v/>
      </c>
      <c r="S25" s="787" t="str">
        <f>IF('Largeurs pennes'!O60="","",IF(SQRT(ABS('Largeurs pennes'!O60*'Largeurs pennes'!O60-('Ouvertures pennes'!K60*'Ouvertures pennes'!K60)/4))=0,0.01,SQRT(ABS('Largeurs pennes'!O60*'Largeurs pennes'!O60-('Ouvertures pennes'!K60*'Ouvertures pennes'!K60)/4))))</f>
        <v/>
      </c>
      <c r="T25" s="788">
        <f>IF('Sections rachis &amp; L pennes'!AH25="","",'Sections rachis &amp; L pennes'!AH25)</f>
        <v>90</v>
      </c>
      <c r="U25" s="783">
        <f>IF('Largeurs pennes'!Z60="","",IF(SQRT(ABS('Largeurs pennes'!Z60*'Largeurs pennes'!Z60-('Ouvertures pennes'!R60*'Ouvertures pennes'!R60)/4))=0,0.01,SQRT(ABS('Largeurs pennes'!Z60*'Largeurs pennes'!Z60-('Ouvertures pennes'!R60*'Ouvertures pennes'!R60)/4))))</f>
        <v>0.5386274738194391</v>
      </c>
      <c r="V25" s="784" t="str">
        <f>IF('Largeurs pennes'!AA60="","",IF(SQRT(ABS('Largeurs pennes'!AA60*'Largeurs pennes'!AA60-('Ouvertures pennes'!S60*'Ouvertures pennes'!S60)/4))=0,0.01,SQRT(ABS('Largeurs pennes'!AA60*'Largeurs pennes'!AA60-('Ouvertures pennes'!S60*'Ouvertures pennes'!S60)/4))))</f>
        <v/>
      </c>
      <c r="W25" s="784" t="str">
        <f>IF('Largeurs pennes'!AB60="","",IF(SQRT(ABS('Largeurs pennes'!AB60*'Largeurs pennes'!AB60-('Ouvertures pennes'!T60*'Ouvertures pennes'!T60)/4))=0,0.01,SQRT(ABS('Largeurs pennes'!AB60*'Largeurs pennes'!AB60-('Ouvertures pennes'!T60*'Ouvertures pennes'!T60)/4))))</f>
        <v/>
      </c>
      <c r="X25" s="787">
        <f>IF('Largeurs pennes'!AC60="","",IF(SQRT(ABS('Largeurs pennes'!AC60*'Largeurs pennes'!AC60-('Ouvertures pennes'!U60*'Ouvertures pennes'!U60)/4))=0,0.01,SQRT(ABS('Largeurs pennes'!AC60*'Largeurs pennes'!AC60-('Ouvertures pennes'!U60*'Ouvertures pennes'!U60)/4))))</f>
        <v>0.53620317451322907</v>
      </c>
      <c r="Y25" s="781">
        <f t="shared" si="2"/>
        <v>0.54778106031596507</v>
      </c>
    </row>
    <row r="26" spans="1:25" s="345" customFormat="1">
      <c r="A26" s="345">
        <f t="shared" si="0"/>
        <v>97.736572490101764</v>
      </c>
      <c r="B26" s="648" t="s">
        <v>1247</v>
      </c>
      <c r="C26" s="795">
        <f>IF('Sections rachis &amp; L pennes'!Q26="","",'Sections rachis &amp; L pennes'!Q26)</f>
        <v>97.59213759213759</v>
      </c>
      <c r="D26" s="776" t="str">
        <f>IF('Largeurs pennes'!L27="","",IF(SQRT(ABS('Largeurs pennes'!L27*'Largeurs pennes'!L27-('Ouvertures pennes'!H27*'Ouvertures pennes'!H27)/4))=0,0.01,SQRT(ABS('Largeurs pennes'!L27*'Largeurs pennes'!L27-('Ouvertures pennes'!H27*'Ouvertures pennes'!H27)/4))))</f>
        <v/>
      </c>
      <c r="E26" s="777" t="str">
        <f>IF('Largeurs pennes'!M27="","",IF(SQRT(ABS('Largeurs pennes'!M27*'Largeurs pennes'!M27-('Ouvertures pennes'!I27*'Ouvertures pennes'!I27)/4))=0,0.01,SQRT(ABS('Largeurs pennes'!M27*'Largeurs pennes'!M27-('Ouvertures pennes'!I27*'Ouvertures pennes'!I27)/4))))</f>
        <v/>
      </c>
      <c r="F26" s="777" t="str">
        <f>IF('Largeurs pennes'!N27="","",IF(SQRT(ABS('Largeurs pennes'!N27*'Largeurs pennes'!N27-('Ouvertures pennes'!J27*'Ouvertures pennes'!J27)/4))=0,0.01,SQRT(ABS('Largeurs pennes'!N27*'Largeurs pennes'!N27-('Ouvertures pennes'!J27*'Ouvertures pennes'!J27)/4))))</f>
        <v/>
      </c>
      <c r="G26" s="780">
        <f>IF('Largeurs pennes'!O27="","",IF(SQRT(ABS('Largeurs pennes'!O27*'Largeurs pennes'!O27-('Ouvertures pennes'!K27*'Ouvertures pennes'!K27)/4))=0,0.01,SQRT(ABS('Largeurs pennes'!O27*'Largeurs pennes'!O27-('Ouvertures pennes'!K27*'Ouvertures pennes'!K27)/4))))</f>
        <v>0.75</v>
      </c>
      <c r="H26" s="795">
        <f>IF('Sections rachis &amp; L pennes'!V26="","",'Sections rachis &amp; L pennes'!V26)</f>
        <v>97.54299754299754</v>
      </c>
      <c r="I26" s="776">
        <f>IF('Largeurs pennes'!Z27="","",IF(SQRT(ABS('Largeurs pennes'!Z27*'Largeurs pennes'!Z27-('Ouvertures pennes'!R27*'Ouvertures pennes'!R27)/4))=0,0.01,SQRT(ABS('Largeurs pennes'!Z27*'Largeurs pennes'!Z27-('Ouvertures pennes'!R27*'Ouvertures pennes'!R27)/4))))</f>
        <v>0.57599999999999996</v>
      </c>
      <c r="J26" s="777" t="str">
        <f>IF('Largeurs pennes'!AA27="","",IF(SQRT(ABS('Largeurs pennes'!AA27*'Largeurs pennes'!AA27-('Ouvertures pennes'!S27*'Ouvertures pennes'!S27)/4))=0,0.01,SQRT(ABS('Largeurs pennes'!AA27*'Largeurs pennes'!AA27-('Ouvertures pennes'!S27*'Ouvertures pennes'!S27)/4))))</f>
        <v/>
      </c>
      <c r="K26" s="777" t="str">
        <f>IF('Largeurs pennes'!AB27="","",IF(SQRT(ABS('Largeurs pennes'!AB27*'Largeurs pennes'!AB27-('Ouvertures pennes'!T27*'Ouvertures pennes'!T27)/4))=0,0.01,SQRT(ABS('Largeurs pennes'!AB27*'Largeurs pennes'!AB27-('Ouvertures pennes'!T27*'Ouvertures pennes'!T27)/4))))</f>
        <v/>
      </c>
      <c r="L26" s="780" t="str">
        <f>IF('Largeurs pennes'!AC27="","",IF(SQRT(ABS('Largeurs pennes'!AC27*'Largeurs pennes'!AC27-('Ouvertures pennes'!U27*'Ouvertures pennes'!U27)/4))=0,0.01,SQRT(ABS('Largeurs pennes'!AC27*'Largeurs pennes'!AC27-('Ouvertures pennes'!U27*'Ouvertures pennes'!U27)/4))))</f>
        <v/>
      </c>
      <c r="M26" s="781">
        <f t="shared" si="1"/>
        <v>0.75</v>
      </c>
      <c r="N26" s="648" t="s">
        <v>1247</v>
      </c>
      <c r="O26" s="795">
        <f>IF('Sections rachis &amp; L pennes'!AC26="","",'Sections rachis &amp; L pennes'!AC26)</f>
        <v>98.032862763249241</v>
      </c>
      <c r="P26" s="776" t="str">
        <f>IF('Largeurs pennes'!L61="","",IF(SQRT(ABS('Largeurs pennes'!L61*'Largeurs pennes'!L61-('Ouvertures pennes'!H61*'Ouvertures pennes'!H61)/4))=0,0.01,SQRT(ABS('Largeurs pennes'!L61*'Largeurs pennes'!L61-('Ouvertures pennes'!H61*'Ouvertures pennes'!H61)/4))))</f>
        <v/>
      </c>
      <c r="Q26" s="777" t="str">
        <f>IF('Largeurs pennes'!M61="","",IF(SQRT(ABS('Largeurs pennes'!M61*'Largeurs pennes'!M61-('Ouvertures pennes'!I61*'Ouvertures pennes'!I61)/4))=0,0.01,SQRT(ABS('Largeurs pennes'!M61*'Largeurs pennes'!M61-('Ouvertures pennes'!I61*'Ouvertures pennes'!I61)/4))))</f>
        <v/>
      </c>
      <c r="R26" s="777" t="str">
        <f>IF('Largeurs pennes'!N61="","",IF(SQRT(ABS('Largeurs pennes'!N61*'Largeurs pennes'!N61-('Ouvertures pennes'!J61*'Ouvertures pennes'!J61)/4))=0,0.01,SQRT(ABS('Largeurs pennes'!N61*'Largeurs pennes'!N61-('Ouvertures pennes'!J61*'Ouvertures pennes'!J61)/4))))</f>
        <v/>
      </c>
      <c r="S26" s="780">
        <f>IF('Largeurs pennes'!O61="","",IF(SQRT(ABS('Largeurs pennes'!O61*'Largeurs pennes'!O61-('Ouvertures pennes'!K61*'Ouvertures pennes'!K61)/4))=0,0.01,SQRT(ABS('Largeurs pennes'!O61*'Largeurs pennes'!O61-('Ouvertures pennes'!K61*'Ouvertures pennes'!K61)/4))))</f>
        <v>0.41199999999999998</v>
      </c>
      <c r="T26" s="796">
        <f>IF('Sections rachis &amp; L pennes'!AH26="","",'Sections rachis &amp; L pennes'!AH26)</f>
        <v>97.778292062022672</v>
      </c>
      <c r="U26" s="776" t="str">
        <f>IF('Largeurs pennes'!Z61="","",IF(SQRT(ABS('Largeurs pennes'!Z61*'Largeurs pennes'!Z61-('Ouvertures pennes'!R61*'Ouvertures pennes'!R61)/4))=0,0.01,SQRT(ABS('Largeurs pennes'!Z61*'Largeurs pennes'!Z61-('Ouvertures pennes'!R61*'Ouvertures pennes'!R61)/4))))</f>
        <v/>
      </c>
      <c r="V26" s="777" t="str">
        <f>IF('Largeurs pennes'!AA61="","",IF(SQRT(ABS('Largeurs pennes'!AA61*'Largeurs pennes'!AA61-('Ouvertures pennes'!S61*'Ouvertures pennes'!S61)/4))=0,0.01,SQRT(ABS('Largeurs pennes'!AA61*'Largeurs pennes'!AA61-('Ouvertures pennes'!S61*'Ouvertures pennes'!S61)/4))))</f>
        <v/>
      </c>
      <c r="W26" s="777" t="str">
        <f>IF('Largeurs pennes'!AB61="","",IF(SQRT(ABS('Largeurs pennes'!AB61*'Largeurs pennes'!AB61-('Ouvertures pennes'!T61*'Ouvertures pennes'!T61)/4))=0,0.01,SQRT(ABS('Largeurs pennes'!AB61*'Largeurs pennes'!AB61-('Ouvertures pennes'!T61*'Ouvertures pennes'!T61)/4))))</f>
        <v/>
      </c>
      <c r="X26" s="780">
        <f>IF('Largeurs pennes'!AC61="","",IF(SQRT(ABS('Largeurs pennes'!AC61*'Largeurs pennes'!AC61-('Ouvertures pennes'!U61*'Ouvertures pennes'!U61)/4))=0,0.01,SQRT(ABS('Largeurs pennes'!AC61*'Largeurs pennes'!AC61-('Ouvertures pennes'!U61*'Ouvertures pennes'!U61)/4))))</f>
        <v>0.40100000000000002</v>
      </c>
      <c r="Y26" s="781">
        <f t="shared" si="2"/>
        <v>0.41199999999999998</v>
      </c>
    </row>
    <row r="27" spans="1:25" s="345" customFormat="1">
      <c r="A27" s="345">
        <f t="shared" si="0"/>
        <v>98.474693898206965</v>
      </c>
      <c r="B27" s="653" t="s">
        <v>1248</v>
      </c>
      <c r="C27" s="797">
        <f>IF('Sections rachis &amp; L pennes'!Q27="","",'Sections rachis &amp; L pennes'!Q27)</f>
        <v>98.599508599508596</v>
      </c>
      <c r="D27" s="783">
        <f>IF('Largeurs pennes'!L28="","",IF(SQRT(ABS('Largeurs pennes'!L28*'Largeurs pennes'!L28-('Ouvertures pennes'!H28*'Ouvertures pennes'!H28)/4))=0,0.01,SQRT(ABS('Largeurs pennes'!L28*'Largeurs pennes'!L28-('Ouvertures pennes'!H28*'Ouvertures pennes'!H28)/4))))</f>
        <v>0.67100000000000004</v>
      </c>
      <c r="E27" s="784" t="str">
        <f>IF('Largeurs pennes'!M28="","",IF(SQRT(ABS('Largeurs pennes'!M28*'Largeurs pennes'!M28-('Ouvertures pennes'!I28*'Ouvertures pennes'!I28)/4))=0,0.01,SQRT(ABS('Largeurs pennes'!M28*'Largeurs pennes'!M28-('Ouvertures pennes'!I28*'Ouvertures pennes'!I28)/4))))</f>
        <v/>
      </c>
      <c r="F27" s="784" t="str">
        <f>IF('Largeurs pennes'!N28="","",IF(SQRT(ABS('Largeurs pennes'!N28*'Largeurs pennes'!N28-('Ouvertures pennes'!J28*'Ouvertures pennes'!J28)/4))=0,0.01,SQRT(ABS('Largeurs pennes'!N28*'Largeurs pennes'!N28-('Ouvertures pennes'!J28*'Ouvertures pennes'!J28)/4))))</f>
        <v/>
      </c>
      <c r="G27" s="787" t="str">
        <f>IF('Largeurs pennes'!O28="","",IF(SQRT(ABS('Largeurs pennes'!O28*'Largeurs pennes'!O28-('Ouvertures pennes'!K28*'Ouvertures pennes'!K28)/4))=0,0.01,SQRT(ABS('Largeurs pennes'!O28*'Largeurs pennes'!O28-('Ouvertures pennes'!K28*'Ouvertures pennes'!K28)/4))))</f>
        <v/>
      </c>
      <c r="H27" s="797">
        <f>IF('Sections rachis &amp; L pennes'!V27="","",'Sections rachis &amp; L pennes'!V27)</f>
        <v>97.960687960687963</v>
      </c>
      <c r="I27" s="783" t="str">
        <f>IF('Largeurs pennes'!Z28="","",IF(SQRT(ABS('Largeurs pennes'!Z28*'Largeurs pennes'!Z28-('Ouvertures pennes'!R28*'Ouvertures pennes'!R28)/4))=0,0.01,SQRT(ABS('Largeurs pennes'!Z28*'Largeurs pennes'!Z28-('Ouvertures pennes'!R28*'Ouvertures pennes'!R28)/4))))</f>
        <v/>
      </c>
      <c r="J27" s="784" t="str">
        <f>IF('Largeurs pennes'!AA28="","",IF(SQRT(ABS('Largeurs pennes'!AA28*'Largeurs pennes'!AA28-('Ouvertures pennes'!S28*'Ouvertures pennes'!S28)/4))=0,0.01,SQRT(ABS('Largeurs pennes'!AA28*'Largeurs pennes'!AA28-('Ouvertures pennes'!S28*'Ouvertures pennes'!S28)/4))))</f>
        <v/>
      </c>
      <c r="K27" s="784" t="str">
        <f>IF('Largeurs pennes'!AB28="","",IF(SQRT(ABS('Largeurs pennes'!AB28*'Largeurs pennes'!AB28-('Ouvertures pennes'!T28*'Ouvertures pennes'!T28)/4))=0,0.01,SQRT(ABS('Largeurs pennes'!AB28*'Largeurs pennes'!AB28-('Ouvertures pennes'!T28*'Ouvertures pennes'!T28)/4))))</f>
        <v/>
      </c>
      <c r="L27" s="787">
        <f>IF('Largeurs pennes'!AC28="","",IF(SQRT(ABS('Largeurs pennes'!AC28*'Largeurs pennes'!AC28-('Ouvertures pennes'!U28*'Ouvertures pennes'!U28)/4))=0,0.01,SQRT(ABS('Largeurs pennes'!AC28*'Largeurs pennes'!AC28-('Ouvertures pennes'!U28*'Ouvertures pennes'!U28)/4))))</f>
        <v>0.59499999999999997</v>
      </c>
      <c r="M27" s="781">
        <f t="shared" si="1"/>
        <v>0.67100000000000004</v>
      </c>
      <c r="N27" s="653" t="s">
        <v>1248</v>
      </c>
      <c r="O27" s="797">
        <f>IF('Sections rachis &amp; L pennes'!AC27="","",'Sections rachis &amp; L pennes'!AC27)</f>
        <v>98.704003702846563</v>
      </c>
      <c r="P27" s="783" t="str">
        <f>IF('Largeurs pennes'!L62="","",IF(SQRT(ABS('Largeurs pennes'!L62*'Largeurs pennes'!L62-('Ouvertures pennes'!H62*'Ouvertures pennes'!H62)/4))=0,0.01,SQRT(ABS('Largeurs pennes'!L62*'Largeurs pennes'!L62-('Ouvertures pennes'!H62*'Ouvertures pennes'!H62)/4))))</f>
        <v/>
      </c>
      <c r="Q27" s="784">
        <f>IF('Largeurs pennes'!M62="","",IF(SQRT(ABS('Largeurs pennes'!M62*'Largeurs pennes'!M62-('Ouvertures pennes'!I62*'Ouvertures pennes'!I62)/4))=0,0.01,SQRT(ABS('Largeurs pennes'!M62*'Largeurs pennes'!M62-('Ouvertures pennes'!I62*'Ouvertures pennes'!I62)/4))))</f>
        <v>0.40326666115611398</v>
      </c>
      <c r="R27" s="784" t="str">
        <f>IF('Largeurs pennes'!N62="","",IF(SQRT(ABS('Largeurs pennes'!N62*'Largeurs pennes'!N62-('Ouvertures pennes'!J62*'Ouvertures pennes'!J62)/4))=0,0.01,SQRT(ABS('Largeurs pennes'!N62*'Largeurs pennes'!N62-('Ouvertures pennes'!J62*'Ouvertures pennes'!J62)/4))))</f>
        <v/>
      </c>
      <c r="S27" s="787" t="str">
        <f>IF('Largeurs pennes'!O62="","",IF(SQRT(ABS('Largeurs pennes'!O62*'Largeurs pennes'!O62-('Ouvertures pennes'!K62*'Ouvertures pennes'!K62)/4))=0,0.01,SQRT(ABS('Largeurs pennes'!O62*'Largeurs pennes'!O62-('Ouvertures pennes'!K62*'Ouvertures pennes'!K62)/4))))</f>
        <v/>
      </c>
      <c r="T27" s="797">
        <f>IF('Sections rachis &amp; L pennes'!AH27="","",'Sections rachis &amp; L pennes'!AH27)</f>
        <v>98.634575329784766</v>
      </c>
      <c r="U27" s="783">
        <f>IF('Largeurs pennes'!Z62="","",IF(SQRT(ABS('Largeurs pennes'!Z62*'Largeurs pennes'!Z62-('Ouvertures pennes'!R62*'Ouvertures pennes'!R62)/4))=0,0.01,SQRT(ABS('Largeurs pennes'!Z62*'Largeurs pennes'!Z62-('Ouvertures pennes'!R62*'Ouvertures pennes'!R62)/4))))</f>
        <v>0.45100000000000001</v>
      </c>
      <c r="V27" s="784" t="str">
        <f>IF('Largeurs pennes'!AA62="","",IF(SQRT(ABS('Largeurs pennes'!AA62*'Largeurs pennes'!AA62-('Ouvertures pennes'!S62*'Ouvertures pennes'!S62)/4))=0,0.01,SQRT(ABS('Largeurs pennes'!AA62*'Largeurs pennes'!AA62-('Ouvertures pennes'!S62*'Ouvertures pennes'!S62)/4))))</f>
        <v/>
      </c>
      <c r="W27" s="784" t="str">
        <f>IF('Largeurs pennes'!AB62="","",IF(SQRT(ABS('Largeurs pennes'!AB62*'Largeurs pennes'!AB62-('Ouvertures pennes'!T62*'Ouvertures pennes'!T62)/4))=0,0.01,SQRT(ABS('Largeurs pennes'!AB62*'Largeurs pennes'!AB62-('Ouvertures pennes'!T62*'Ouvertures pennes'!T62)/4))))</f>
        <v/>
      </c>
      <c r="X27" s="787" t="str">
        <f>IF('Largeurs pennes'!AC62="","",IF(SQRT(ABS('Largeurs pennes'!AC62*'Largeurs pennes'!AC62-('Ouvertures pennes'!U62*'Ouvertures pennes'!U62)/4))=0,0.01,SQRT(ABS('Largeurs pennes'!AC62*'Largeurs pennes'!AC62-('Ouvertures pennes'!U62*'Ouvertures pennes'!U62)/4))))</f>
        <v/>
      </c>
      <c r="Y27" s="781">
        <f t="shared" si="2"/>
        <v>0.45100000000000001</v>
      </c>
    </row>
    <row r="28" spans="1:25" s="345" customFormat="1">
      <c r="A28" s="345">
        <f t="shared" si="0"/>
        <v>99.115172061249353</v>
      </c>
      <c r="B28" s="653" t="s">
        <v>1249</v>
      </c>
      <c r="C28" s="797">
        <f>IF('Sections rachis &amp; L pennes'!Q28="","",'Sections rachis &amp; L pennes'!Q28)</f>
        <v>99.017199017199019</v>
      </c>
      <c r="D28" s="783" t="str">
        <f>IF('Largeurs pennes'!L29="","",IF(SQRT(ABS('Largeurs pennes'!L29*'Largeurs pennes'!L29-('Ouvertures pennes'!H29*'Ouvertures pennes'!H29)/4))=0,0.01,SQRT(ABS('Largeurs pennes'!L29*'Largeurs pennes'!L29-('Ouvertures pennes'!H29*'Ouvertures pennes'!H29)/4))))</f>
        <v/>
      </c>
      <c r="E28" s="784" t="str">
        <f>IF('Largeurs pennes'!M29="","",IF(SQRT(ABS('Largeurs pennes'!M29*'Largeurs pennes'!M29-('Ouvertures pennes'!I29*'Ouvertures pennes'!I29)/4))=0,0.01,SQRT(ABS('Largeurs pennes'!M29*'Largeurs pennes'!M29-('Ouvertures pennes'!I29*'Ouvertures pennes'!I29)/4))))</f>
        <v/>
      </c>
      <c r="F28" s="784" t="str">
        <f>IF('Largeurs pennes'!N29="","",IF(SQRT(ABS('Largeurs pennes'!N29*'Largeurs pennes'!N29-('Ouvertures pennes'!J29*'Ouvertures pennes'!J29)/4))=0,0.01,SQRT(ABS('Largeurs pennes'!N29*'Largeurs pennes'!N29-('Ouvertures pennes'!J29*'Ouvertures pennes'!J29)/4))))</f>
        <v/>
      </c>
      <c r="G28" s="787">
        <f>IF('Largeurs pennes'!O29="","",IF(SQRT(ABS('Largeurs pennes'!O29*'Largeurs pennes'!O29-('Ouvertures pennes'!K29*'Ouvertures pennes'!K29)/4))=0,0.01,SQRT(ABS('Largeurs pennes'!O29*'Largeurs pennes'!O29-('Ouvertures pennes'!K29*'Ouvertures pennes'!K29)/4))))</f>
        <v>0.66500000000000004</v>
      </c>
      <c r="H28" s="797">
        <f>IF('Sections rachis &amp; L pennes'!V28="","",'Sections rachis &amp; L pennes'!V28)</f>
        <v>99.017199017199019</v>
      </c>
      <c r="I28" s="783">
        <f>IF('Largeurs pennes'!Z29="","",IF(SQRT(ABS('Largeurs pennes'!Z29*'Largeurs pennes'!Z29-('Ouvertures pennes'!R29*'Ouvertures pennes'!R29)/4))=0,0.01,SQRT(ABS('Largeurs pennes'!Z29*'Largeurs pennes'!Z29-('Ouvertures pennes'!R29*'Ouvertures pennes'!R29)/4))))</f>
        <v>0.60799999999999998</v>
      </c>
      <c r="J28" s="784" t="str">
        <f>IF('Largeurs pennes'!AA29="","",IF(SQRT(ABS('Largeurs pennes'!AA29*'Largeurs pennes'!AA29-('Ouvertures pennes'!S29*'Ouvertures pennes'!S29)/4))=0,0.01,SQRT(ABS('Largeurs pennes'!AA29*'Largeurs pennes'!AA29-('Ouvertures pennes'!S29*'Ouvertures pennes'!S29)/4))))</f>
        <v/>
      </c>
      <c r="K28" s="784" t="str">
        <f>IF('Largeurs pennes'!AB29="","",IF(SQRT(ABS('Largeurs pennes'!AB29*'Largeurs pennes'!AB29-('Ouvertures pennes'!T29*'Ouvertures pennes'!T29)/4))=0,0.01,SQRT(ABS('Largeurs pennes'!AB29*'Largeurs pennes'!AB29-('Ouvertures pennes'!T29*'Ouvertures pennes'!T29)/4))))</f>
        <v/>
      </c>
      <c r="L28" s="787" t="str">
        <f>IF('Largeurs pennes'!AC29="","",IF(SQRT(ABS('Largeurs pennes'!AC29*'Largeurs pennes'!AC29-('Ouvertures pennes'!U29*'Ouvertures pennes'!U29)/4))=0,0.01,SQRT(ABS('Largeurs pennes'!AC29*'Largeurs pennes'!AC29-('Ouvertures pennes'!U29*'Ouvertures pennes'!U29)/4))))</f>
        <v/>
      </c>
      <c r="M28" s="781">
        <f t="shared" si="1"/>
        <v>0.66500000000000004</v>
      </c>
      <c r="N28" s="653" t="s">
        <v>1249</v>
      </c>
      <c r="O28" s="797">
        <f>IF('Sections rachis &amp; L pennes'!AC28="","",'Sections rachis &amp; L pennes'!AC28)</f>
        <v>99.352001851423282</v>
      </c>
      <c r="P28" s="783">
        <f>IF('Largeurs pennes'!L63="","",IF(SQRT(ABS('Largeurs pennes'!L63*'Largeurs pennes'!L63-('Ouvertures pennes'!H63*'Ouvertures pennes'!H63)/4))=0,0.01,SQRT(ABS('Largeurs pennes'!L63*'Largeurs pennes'!L63-('Ouvertures pennes'!H63*'Ouvertures pennes'!H63)/4))))</f>
        <v>0.37</v>
      </c>
      <c r="Q28" s="784" t="str">
        <f>IF('Largeurs pennes'!M63="","",IF(SQRT(ABS('Largeurs pennes'!M63*'Largeurs pennes'!M63-('Ouvertures pennes'!I63*'Ouvertures pennes'!I63)/4))=0,0.01,SQRT(ABS('Largeurs pennes'!M63*'Largeurs pennes'!M63-('Ouvertures pennes'!I63*'Ouvertures pennes'!I63)/4))))</f>
        <v/>
      </c>
      <c r="R28" s="784" t="str">
        <f>IF('Largeurs pennes'!N63="","",IF(SQRT(ABS('Largeurs pennes'!N63*'Largeurs pennes'!N63-('Ouvertures pennes'!J63*'Ouvertures pennes'!J63)/4))=0,0.01,SQRT(ABS('Largeurs pennes'!N63*'Largeurs pennes'!N63-('Ouvertures pennes'!J63*'Ouvertures pennes'!J63)/4))))</f>
        <v/>
      </c>
      <c r="S28" s="787" t="str">
        <f>IF('Largeurs pennes'!O63="","",IF(SQRT(ABS('Largeurs pennes'!O63*'Largeurs pennes'!O63-('Ouvertures pennes'!K63*'Ouvertures pennes'!K63)/4))=0,0.01,SQRT(ABS('Largeurs pennes'!O63*'Largeurs pennes'!O63-('Ouvertures pennes'!K63*'Ouvertures pennes'!K63)/4))))</f>
        <v/>
      </c>
      <c r="T28" s="797">
        <f>IF('Sections rachis &amp; L pennes'!AH28="","",'Sections rachis &amp; L pennes'!AH28)</f>
        <v>99.074288359176109</v>
      </c>
      <c r="U28" s="783" t="str">
        <f>IF('Largeurs pennes'!Z63="","",IF(SQRT(ABS('Largeurs pennes'!Z63*'Largeurs pennes'!Z63-('Ouvertures pennes'!R63*'Ouvertures pennes'!R63)/4))=0,0.01,SQRT(ABS('Largeurs pennes'!Z63*'Largeurs pennes'!Z63-('Ouvertures pennes'!R63*'Ouvertures pennes'!R63)/4))))</f>
        <v/>
      </c>
      <c r="V28" s="784" t="str">
        <f>IF('Largeurs pennes'!AA63="","",IF(SQRT(ABS('Largeurs pennes'!AA63*'Largeurs pennes'!AA63-('Ouvertures pennes'!S63*'Ouvertures pennes'!S63)/4))=0,0.01,SQRT(ABS('Largeurs pennes'!AA63*'Largeurs pennes'!AA63-('Ouvertures pennes'!S63*'Ouvertures pennes'!S63)/4))))</f>
        <v/>
      </c>
      <c r="W28" s="784" t="str">
        <f>IF('Largeurs pennes'!AB63="","",IF(SQRT(ABS('Largeurs pennes'!AB63*'Largeurs pennes'!AB63-('Ouvertures pennes'!T63*'Ouvertures pennes'!T63)/4))=0,0.01,SQRT(ABS('Largeurs pennes'!AB63*'Largeurs pennes'!AB63-('Ouvertures pennes'!T63*'Ouvertures pennes'!T63)/4))))</f>
        <v/>
      </c>
      <c r="X28" s="787">
        <f>IF('Largeurs pennes'!AC63="","",IF(SQRT(ABS('Largeurs pennes'!AC63*'Largeurs pennes'!AC63-('Ouvertures pennes'!U63*'Ouvertures pennes'!U63)/4))=0,0.01,SQRT(ABS('Largeurs pennes'!AC63*'Largeurs pennes'!AC63-('Ouvertures pennes'!U63*'Ouvertures pennes'!U63)/4))))</f>
        <v>0.34499999999999997</v>
      </c>
      <c r="Y28" s="781">
        <f t="shared" si="2"/>
        <v>0.37</v>
      </c>
    </row>
    <row r="29" spans="1:25" s="345" customFormat="1">
      <c r="A29" s="345">
        <f t="shared" si="0"/>
        <v>99.665653482478291</v>
      </c>
      <c r="B29" s="653" t="s">
        <v>1251</v>
      </c>
      <c r="C29" s="797">
        <f>IF('Sections rachis &amp; L pennes'!Q29="","",'Sections rachis &amp; L pennes'!Q29)</f>
        <v>99.656019656019652</v>
      </c>
      <c r="D29" s="783" t="str">
        <f>IF('Largeurs pennes'!L30="","",IF(SQRT(ABS('Largeurs pennes'!L30*'Largeurs pennes'!L30-('Ouvertures pennes'!H30*'Ouvertures pennes'!H30)/4))=0,0.01,SQRT(ABS('Largeurs pennes'!L30*'Largeurs pennes'!L30-('Ouvertures pennes'!H30*'Ouvertures pennes'!H30)/4))))</f>
        <v/>
      </c>
      <c r="E29" s="784">
        <f>IF('Largeurs pennes'!M30="","",IF(SQRT(ABS('Largeurs pennes'!M30*'Largeurs pennes'!M30-('Ouvertures pennes'!I30*'Ouvertures pennes'!I30)/4))=0,0.01,SQRT(ABS('Largeurs pennes'!M30*'Largeurs pennes'!M30-('Ouvertures pennes'!I30*'Ouvertures pennes'!I30)/4))))</f>
        <v>0.52846854211012406</v>
      </c>
      <c r="F29" s="784" t="str">
        <f>IF('Largeurs pennes'!N30="","",IF(SQRT(ABS('Largeurs pennes'!N30*'Largeurs pennes'!N30-('Ouvertures pennes'!J30*'Ouvertures pennes'!J30)/4))=0,0.01,SQRT(ABS('Largeurs pennes'!N30*'Largeurs pennes'!N30-('Ouvertures pennes'!J30*'Ouvertures pennes'!J30)/4))))</f>
        <v/>
      </c>
      <c r="G29" s="787" t="str">
        <f>IF('Largeurs pennes'!O30="","",IF(SQRT(ABS('Largeurs pennes'!O30*'Largeurs pennes'!O30-('Ouvertures pennes'!K30*'Ouvertures pennes'!K30)/4))=0,0.01,SQRT(ABS('Largeurs pennes'!O30*'Largeurs pennes'!O30-('Ouvertures pennes'!K30*'Ouvertures pennes'!K30)/4))))</f>
        <v/>
      </c>
      <c r="H29" s="797">
        <f>IF('Sections rachis &amp; L pennes'!V29="","",'Sections rachis &amp; L pennes'!V29)</f>
        <v>99.631449631449627</v>
      </c>
      <c r="I29" s="783" t="str">
        <f>IF('Largeurs pennes'!Z30="","",IF(SQRT(ABS('Largeurs pennes'!Z30*'Largeurs pennes'!Z30-('Ouvertures pennes'!R30*'Ouvertures pennes'!R30)/4))=0,0.01,SQRT(ABS('Largeurs pennes'!Z30*'Largeurs pennes'!Z30-('Ouvertures pennes'!R30*'Ouvertures pennes'!R30)/4))))</f>
        <v/>
      </c>
      <c r="J29" s="784" t="str">
        <f>IF('Largeurs pennes'!AA30="","",IF(SQRT(ABS('Largeurs pennes'!AA30*'Largeurs pennes'!AA30-('Ouvertures pennes'!S30*'Ouvertures pennes'!S30)/4))=0,0.01,SQRT(ABS('Largeurs pennes'!AA30*'Largeurs pennes'!AA30-('Ouvertures pennes'!S30*'Ouvertures pennes'!S30)/4))))</f>
        <v/>
      </c>
      <c r="K29" s="784" t="str">
        <f>IF('Largeurs pennes'!AB30="","",IF(SQRT(ABS('Largeurs pennes'!AB30*'Largeurs pennes'!AB30-('Ouvertures pennes'!T30*'Ouvertures pennes'!T30)/4))=0,0.01,SQRT(ABS('Largeurs pennes'!AB30*'Largeurs pennes'!AB30-('Ouvertures pennes'!T30*'Ouvertures pennes'!T30)/4))))</f>
        <v/>
      </c>
      <c r="L29" s="787">
        <f>IF('Largeurs pennes'!AC30="","",IF(SQRT(ABS('Largeurs pennes'!AC30*'Largeurs pennes'!AC30-('Ouvertures pennes'!U30*'Ouvertures pennes'!U30)/4))=0,0.01,SQRT(ABS('Largeurs pennes'!AC30*'Largeurs pennes'!AC30-('Ouvertures pennes'!U30*'Ouvertures pennes'!U30)/4))))</f>
        <v>0.57599999999999996</v>
      </c>
      <c r="M29" s="781">
        <f t="shared" si="1"/>
        <v>0.57599999999999996</v>
      </c>
      <c r="N29" s="653" t="s">
        <v>1251</v>
      </c>
      <c r="O29" s="797">
        <f>IF('Sections rachis &amp; L pennes'!AC29="","",'Sections rachis &amp; L pennes'!AC29)</f>
        <v>99.745429298773431</v>
      </c>
      <c r="P29" s="783" t="str">
        <f>IF('Largeurs pennes'!L64="","",IF(SQRT(ABS('Largeurs pennes'!L64*'Largeurs pennes'!L64-('Ouvertures pennes'!H64*'Ouvertures pennes'!H64)/4))=0,0.01,SQRT(ABS('Largeurs pennes'!L64*'Largeurs pennes'!L64-('Ouvertures pennes'!H64*'Ouvertures pennes'!H64)/4))))</f>
        <v/>
      </c>
      <c r="Q29" s="784">
        <f>IF('Largeurs pennes'!M64="","",IF(SQRT(ABS('Largeurs pennes'!M64*'Largeurs pennes'!M64-('Ouvertures pennes'!I64*'Ouvertures pennes'!I64)/4))=0,0.01,SQRT(ABS('Largeurs pennes'!M64*'Largeurs pennes'!M64-('Ouvertures pennes'!I64*'Ouvertures pennes'!I64)/4))))</f>
        <v>0.15087743370033835</v>
      </c>
      <c r="R29" s="784" t="str">
        <f>IF('Largeurs pennes'!N64="","",IF(SQRT(ABS('Largeurs pennes'!N64*'Largeurs pennes'!N64-('Ouvertures pennes'!J64*'Ouvertures pennes'!J64)/4))=0,0.01,SQRT(ABS('Largeurs pennes'!N64*'Largeurs pennes'!N64-('Ouvertures pennes'!J64*'Ouvertures pennes'!J64)/4))))</f>
        <v/>
      </c>
      <c r="S29" s="787" t="str">
        <f>IF('Largeurs pennes'!O64="","",IF(SQRT(ABS('Largeurs pennes'!O64*'Largeurs pennes'!O64-('Ouvertures pennes'!K64*'Ouvertures pennes'!K64)/4))=0,0.01,SQRT(ABS('Largeurs pennes'!O64*'Largeurs pennes'!O64-('Ouvertures pennes'!K64*'Ouvertures pennes'!K64)/4))))</f>
        <v/>
      </c>
      <c r="T29" s="797">
        <f>IF('Sections rachis &amp; L pennes'!AH29="","",'Sections rachis &amp; L pennes'!AH29)</f>
        <v>99.629715343670441</v>
      </c>
      <c r="U29" s="783">
        <f>IF('Largeurs pennes'!Z64="","",IF(SQRT(ABS('Largeurs pennes'!Z64*'Largeurs pennes'!Z64-('Ouvertures pennes'!R64*'Ouvertures pennes'!R64)/4))=0,0.01,SQRT(ABS('Largeurs pennes'!Z64*'Largeurs pennes'!Z64-('Ouvertures pennes'!R64*'Ouvertures pennes'!R64)/4))))</f>
        <v>0.34499999999999997</v>
      </c>
      <c r="V29" s="784" t="str">
        <f>IF('Largeurs pennes'!AA64="","",IF(SQRT(ABS('Largeurs pennes'!AA64*'Largeurs pennes'!AA64-('Ouvertures pennes'!S64*'Ouvertures pennes'!S64)/4))=0,0.01,SQRT(ABS('Largeurs pennes'!AA64*'Largeurs pennes'!AA64-('Ouvertures pennes'!S64*'Ouvertures pennes'!S64)/4))))</f>
        <v/>
      </c>
      <c r="W29" s="784" t="str">
        <f>IF('Largeurs pennes'!AB64="","",IF(SQRT(ABS('Largeurs pennes'!AB64*'Largeurs pennes'!AB64-('Ouvertures pennes'!T64*'Ouvertures pennes'!T64)/4))=0,0.01,SQRT(ABS('Largeurs pennes'!AB64*'Largeurs pennes'!AB64-('Ouvertures pennes'!T64*'Ouvertures pennes'!T64)/4))))</f>
        <v/>
      </c>
      <c r="X29" s="787" t="str">
        <f>IF('Largeurs pennes'!AC64="","",IF(SQRT(ABS('Largeurs pennes'!AC64*'Largeurs pennes'!AC64-('Ouvertures pennes'!U64*'Ouvertures pennes'!U64)/4))=0,0.01,SQRT(ABS('Largeurs pennes'!AC64*'Largeurs pennes'!AC64-('Ouvertures pennes'!U64*'Ouvertures pennes'!U64)/4))))</f>
        <v/>
      </c>
      <c r="Y29" s="781">
        <f t="shared" si="2"/>
        <v>0.34499999999999997</v>
      </c>
    </row>
    <row r="30" spans="1:25" s="345" customFormat="1" ht="13.5" thickBot="1">
      <c r="A30" s="345">
        <f t="shared" si="0"/>
        <v>99.951573567634654</v>
      </c>
      <c r="B30" s="657" t="s">
        <v>1252</v>
      </c>
      <c r="C30" s="798">
        <f>IF('Sections rachis &amp; L pennes'!Q30="","",'Sections rachis &amp; L pennes'!Q30)</f>
        <v>99.877149877149876</v>
      </c>
      <c r="D30" s="789" t="str">
        <f>IF('Largeurs pennes'!L31="","",IF(SQRT(ABS('Largeurs pennes'!L31*'Largeurs pennes'!L31-('Ouvertures pennes'!H31*'Ouvertures pennes'!H31)/4))=0,0.01,SQRT(ABS('Largeurs pennes'!L31*'Largeurs pennes'!L31-('Ouvertures pennes'!H31*'Ouvertures pennes'!H31)/4))))</f>
        <v/>
      </c>
      <c r="E30" s="790">
        <f>IF('Largeurs pennes'!M31="","",IF(SQRT(ABS('Largeurs pennes'!M31*'Largeurs pennes'!M31-('Ouvertures pennes'!I31*'Ouvertures pennes'!I31)/4))=0,0.01,SQRT(ABS('Largeurs pennes'!M31*'Largeurs pennes'!M31-('Ouvertures pennes'!I31*'Ouvertures pennes'!I31)/4))))</f>
        <v>0.664529909033446</v>
      </c>
      <c r="F30" s="790" t="str">
        <f>IF('Largeurs pennes'!N31="","",IF(SQRT(ABS('Largeurs pennes'!N31*'Largeurs pennes'!N31-('Ouvertures pennes'!J31*'Ouvertures pennes'!J31)/4))=0,0.01,SQRT(ABS('Largeurs pennes'!N31*'Largeurs pennes'!N31-('Ouvertures pennes'!J31*'Ouvertures pennes'!J31)/4))))</f>
        <v/>
      </c>
      <c r="G30" s="793" t="str">
        <f>IF('Largeurs pennes'!O31="","",IF(SQRT(ABS('Largeurs pennes'!O31*'Largeurs pennes'!O31-('Ouvertures pennes'!K31*'Ouvertures pennes'!K31)/4))=0,0.01,SQRT(ABS('Largeurs pennes'!O31*'Largeurs pennes'!O31-('Ouvertures pennes'!K31*'Ouvertures pennes'!K31)/4))))</f>
        <v/>
      </c>
      <c r="H30" s="798">
        <f>IF('Sections rachis &amp; L pennes'!V30="","",'Sections rachis &amp; L pennes'!V30)</f>
        <v>99.975429975429975</v>
      </c>
      <c r="I30" s="789" t="str">
        <f>IF('Largeurs pennes'!Z31="","",IF(SQRT(ABS('Largeurs pennes'!Z31*'Largeurs pennes'!Z31-('Ouvertures pennes'!R31*'Ouvertures pennes'!R31)/4))=0,0.01,SQRT(ABS('Largeurs pennes'!Z31*'Largeurs pennes'!Z31-('Ouvertures pennes'!R31*'Ouvertures pennes'!R31)/4))))</f>
        <v/>
      </c>
      <c r="J30" s="790">
        <f>IF('Largeurs pennes'!AA31="","",IF(SQRT(ABS('Largeurs pennes'!AA31*'Largeurs pennes'!AA31-('Ouvertures pennes'!S31*'Ouvertures pennes'!S31)/4))=0,0.01,SQRT(ABS('Largeurs pennes'!AA31*'Largeurs pennes'!AA31-('Ouvertures pennes'!S31*'Ouvertures pennes'!S31)/4))))</f>
        <v>0.52335456432518102</v>
      </c>
      <c r="K30" s="790" t="str">
        <f>IF('Largeurs pennes'!AB31="","",IF(SQRT(ABS('Largeurs pennes'!AB31*'Largeurs pennes'!AB31-('Ouvertures pennes'!T31*'Ouvertures pennes'!T31)/4))=0,0.01,SQRT(ABS('Largeurs pennes'!AB31*'Largeurs pennes'!AB31-('Ouvertures pennes'!T31*'Ouvertures pennes'!T31)/4))))</f>
        <v/>
      </c>
      <c r="L30" s="793" t="str">
        <f>IF('Largeurs pennes'!AC31="","",IF(SQRT(ABS('Largeurs pennes'!AC31*'Largeurs pennes'!AC31-('Ouvertures pennes'!U31*'Ouvertures pennes'!U31)/4))=0,0.01,SQRT(ABS('Largeurs pennes'!AC31*'Largeurs pennes'!AC31-('Ouvertures pennes'!U31*'Ouvertures pennes'!U31)/4))))</f>
        <v/>
      </c>
      <c r="M30" s="781">
        <f t="shared" si="1"/>
        <v>0.664529909033446</v>
      </c>
      <c r="N30" s="799" t="s">
        <v>1252</v>
      </c>
      <c r="O30" s="798">
        <f>IF('Sections rachis &amp; L pennes'!AC30="","",'Sections rachis &amp; L pennes'!AC30)</f>
        <v>99.976857208979396</v>
      </c>
      <c r="P30" s="789" t="str">
        <f>IF('Largeurs pennes'!L65="","",IF(SQRT(ABS('Largeurs pennes'!L65*'Largeurs pennes'!L65-('Ouvertures pennes'!H65*'Ouvertures pennes'!H65)/4))=0,0.01,SQRT(ABS('Largeurs pennes'!L65*'Largeurs pennes'!L65-('Ouvertures pennes'!H65*'Ouvertures pennes'!H65)/4))))</f>
        <v/>
      </c>
      <c r="Q30" s="790" t="str">
        <f>IF('Largeurs pennes'!M65="","",IF(SQRT(ABS('Largeurs pennes'!M65*'Largeurs pennes'!M65-('Ouvertures pennes'!I65*'Ouvertures pennes'!I65)/4))=0,0.01,SQRT(ABS('Largeurs pennes'!M65*'Largeurs pennes'!M65-('Ouvertures pennes'!I65*'Ouvertures pennes'!I65)/4))))</f>
        <v/>
      </c>
      <c r="R30" s="790" t="str">
        <f>IF('Largeurs pennes'!N65="","",IF(SQRT(ABS('Largeurs pennes'!N65*'Largeurs pennes'!N65-('Ouvertures pennes'!J65*'Ouvertures pennes'!J65)/4))=0,0.01,SQRT(ABS('Largeurs pennes'!N65*'Largeurs pennes'!N65-('Ouvertures pennes'!J65*'Ouvertures pennes'!J65)/4))))</f>
        <v/>
      </c>
      <c r="S30" s="793">
        <f>IF('Largeurs pennes'!O65="","",IF(SQRT(ABS('Largeurs pennes'!O65*'Largeurs pennes'!O65-('Ouvertures pennes'!K65*'Ouvertures pennes'!K65)/4))=0,0.01,SQRT(ABS('Largeurs pennes'!O65*'Largeurs pennes'!O65-('Ouvertures pennes'!K65*'Ouvertures pennes'!K65)/4))))</f>
        <v>0.36499999999999999</v>
      </c>
      <c r="T30" s="798">
        <f>IF('Sections rachis &amp; L pennes'!AH30="","",'Sections rachis &amp; L pennes'!AH30)</f>
        <v>99.976857208979396</v>
      </c>
      <c r="U30" s="789" t="str">
        <f>IF('Largeurs pennes'!Z65="","",IF(SQRT(ABS('Largeurs pennes'!Z65*'Largeurs pennes'!Z65-('Ouvertures pennes'!R65*'Ouvertures pennes'!R65)/4))=0,0.01,SQRT(ABS('Largeurs pennes'!Z65*'Largeurs pennes'!Z65-('Ouvertures pennes'!R65*'Ouvertures pennes'!R65)/4))))</f>
        <v/>
      </c>
      <c r="V30" s="790" t="str">
        <f>IF('Largeurs pennes'!AA65="","",IF(SQRT(ABS('Largeurs pennes'!AA65*'Largeurs pennes'!AA65-('Ouvertures pennes'!S65*'Ouvertures pennes'!S65)/4))=0,0.01,SQRT(ABS('Largeurs pennes'!AA65*'Largeurs pennes'!AA65-('Ouvertures pennes'!S65*'Ouvertures pennes'!S65)/4))))</f>
        <v/>
      </c>
      <c r="W30" s="790" t="str">
        <f>IF('Largeurs pennes'!AB65="","",IF(SQRT(ABS('Largeurs pennes'!AB65*'Largeurs pennes'!AB65-('Ouvertures pennes'!T65*'Ouvertures pennes'!T65)/4))=0,0.01,SQRT(ABS('Largeurs pennes'!AB65*'Largeurs pennes'!AB65-('Ouvertures pennes'!T65*'Ouvertures pennes'!T65)/4))))</f>
        <v/>
      </c>
      <c r="X30" s="793">
        <f>IF('Largeurs pennes'!AC65="","",IF(SQRT(ABS('Largeurs pennes'!AC65*'Largeurs pennes'!AC65-('Ouvertures pennes'!U65*'Ouvertures pennes'!U65)/4))=0,0.01,SQRT(ABS('Largeurs pennes'!AC65*'Largeurs pennes'!AC65-('Ouvertures pennes'!U65*'Ouvertures pennes'!U65)/4))))</f>
        <v>0.376</v>
      </c>
      <c r="Y30" s="781">
        <f t="shared" si="2"/>
        <v>0.376</v>
      </c>
    </row>
    <row r="31" spans="1:25" s="345" customFormat="1" ht="13.5" thickBot="1">
      <c r="A31" s="345">
        <f t="shared" si="0"/>
        <v>100</v>
      </c>
      <c r="B31" s="660" t="s">
        <v>1254</v>
      </c>
      <c r="C31" s="800">
        <f>IF('Sections rachis &amp; L pennes'!Q31="","",'Sections rachis &amp; L pennes'!Q31)</f>
        <v>100</v>
      </c>
      <c r="D31" s="801" t="str">
        <f>IF('Largeurs pennes'!L32="","",IF(SQRT(ABS('Largeurs pennes'!L32*'Largeurs pennes'!L32-('Ouvertures pennes'!H32*'Ouvertures pennes'!H32)/4))=0,0.01,SQRT(ABS('Largeurs pennes'!L32*'Largeurs pennes'!L32-('Ouvertures pennes'!H32*'Ouvertures pennes'!H32)/4))))</f>
        <v/>
      </c>
      <c r="E31" s="802">
        <f>IF('Largeurs pennes'!M32="","",IF(SQRT(ABS('Largeurs pennes'!M32*'Largeurs pennes'!M32-('Ouvertures pennes'!I32*'Ouvertures pennes'!I32)/4))=0,0.01,SQRT(ABS('Largeurs pennes'!M32*'Largeurs pennes'!M32-('Ouvertures pennes'!I32*'Ouvertures pennes'!I32)/4))))</f>
        <v>0.74564334637948726</v>
      </c>
      <c r="F31" s="802" t="str">
        <f>IF('Largeurs pennes'!N32="","",IF(SQRT(ABS('Largeurs pennes'!N32*'Largeurs pennes'!N32-('Ouvertures pennes'!J32*'Ouvertures pennes'!J32)/4))=0,0.01,SQRT(ABS('Largeurs pennes'!N32*'Largeurs pennes'!N32-('Ouvertures pennes'!J32*'Ouvertures pennes'!J32)/4))))</f>
        <v/>
      </c>
      <c r="G31" s="803" t="str">
        <f>IF('Largeurs pennes'!O32="","",IF(SQRT(ABS('Largeurs pennes'!O32*'Largeurs pennes'!O32-('Ouvertures pennes'!K32*'Ouvertures pennes'!K32)/4))=0,0.01,SQRT(ABS('Largeurs pennes'!O32*'Largeurs pennes'!O32-('Ouvertures pennes'!K32*'Ouvertures pennes'!K32)/4))))</f>
        <v/>
      </c>
      <c r="H31" s="800" t="str">
        <f>IF('Sections rachis &amp; L pennes'!V31="","",'Sections rachis &amp; L pennes'!V31)</f>
        <v>XXX</v>
      </c>
      <c r="I31" s="801" t="str">
        <f>IF('Largeurs pennes'!Z32="","",IF(SQRT(ABS('Largeurs pennes'!Z32*'Largeurs pennes'!Z32-('Ouvertures pennes'!R32*'Ouvertures pennes'!R32)/4))=0,0.01,SQRT(ABS('Largeurs pennes'!Z32*'Largeurs pennes'!Z32-('Ouvertures pennes'!R32*'Ouvertures pennes'!R32)/4))))</f>
        <v/>
      </c>
      <c r="J31" s="802" t="str">
        <f>IF('Largeurs pennes'!AA32="","",IF(SQRT(ABS('Largeurs pennes'!AA32*'Largeurs pennes'!AA32-('Ouvertures pennes'!S32*'Ouvertures pennes'!S32)/4))=0,0.01,SQRT(ABS('Largeurs pennes'!AA32*'Largeurs pennes'!AA32-('Ouvertures pennes'!S32*'Ouvertures pennes'!S32)/4))))</f>
        <v/>
      </c>
      <c r="K31" s="802" t="str">
        <f>IF('Largeurs pennes'!AB32="","",IF(SQRT(ABS('Largeurs pennes'!AB32*'Largeurs pennes'!AB32-('Ouvertures pennes'!T32*'Ouvertures pennes'!T32)/4))=0,0.01,SQRT(ABS('Largeurs pennes'!AB32*'Largeurs pennes'!AB32-('Ouvertures pennes'!T32*'Ouvertures pennes'!T32)/4))))</f>
        <v/>
      </c>
      <c r="L31" s="803" t="str">
        <f>IF('Largeurs pennes'!AC32="","",IF(SQRT(ABS('Largeurs pennes'!AC32*'Largeurs pennes'!AC32-('Ouvertures pennes'!U32*'Ouvertures pennes'!U32)/4))=0,0.01,SQRT(ABS('Largeurs pennes'!AC32*'Largeurs pennes'!AC32-('Ouvertures pennes'!U32*'Ouvertures pennes'!U32)/4))))</f>
        <v/>
      </c>
      <c r="M31" s="781">
        <f t="shared" si="1"/>
        <v>0.74564334637948726</v>
      </c>
      <c r="N31" s="660" t="s">
        <v>1254</v>
      </c>
      <c r="O31" s="961">
        <f>IF('Sections rachis &amp; L pennes'!AC31="","",'Sections rachis &amp; L pennes'!AC31)</f>
        <v>100</v>
      </c>
      <c r="P31" s="801" t="str">
        <f>IF('Largeurs pennes'!L66="","",IF(SQRT(ABS('Largeurs pennes'!L66*'Largeurs pennes'!L66-('Ouvertures pennes'!H66*'Ouvertures pennes'!H66)/4))=0,0.01,SQRT(ABS('Largeurs pennes'!L66*'Largeurs pennes'!L66-('Ouvertures pennes'!H66*'Ouvertures pennes'!H66)/4))))</f>
        <v/>
      </c>
      <c r="Q31" s="802">
        <f>IF('Largeurs pennes'!M66="","",IF(SQRT(ABS('Largeurs pennes'!M66*'Largeurs pennes'!M66-('Ouvertures pennes'!I66*'Ouvertures pennes'!I66)/4))=0,0.01,SQRT(ABS('Largeurs pennes'!M66*'Largeurs pennes'!M66-('Ouvertures pennes'!I66*'Ouvertures pennes'!I66)/4))))</f>
        <v>0.24129857024027307</v>
      </c>
      <c r="R31" s="802" t="str">
        <f>IF('Largeurs pennes'!N66="","",IF(SQRT(ABS('Largeurs pennes'!N66*'Largeurs pennes'!N66-('Ouvertures pennes'!J66*'Ouvertures pennes'!J66)/4))=0,0.01,SQRT(ABS('Largeurs pennes'!N66*'Largeurs pennes'!N66-('Ouvertures pennes'!J66*'Ouvertures pennes'!J66)/4))))</f>
        <v/>
      </c>
      <c r="S31" s="803" t="str">
        <f>IF('Largeurs pennes'!O66="","",IF(SQRT(ABS('Largeurs pennes'!O66*'Largeurs pennes'!O66-('Ouvertures pennes'!K66*'Ouvertures pennes'!K66)/4))=0,0.01,SQRT(ABS('Largeurs pennes'!O66*'Largeurs pennes'!O66-('Ouvertures pennes'!K66*'Ouvertures pennes'!K66)/4))))</f>
        <v/>
      </c>
      <c r="T31" s="961" t="str">
        <f>IF('Sections rachis &amp; L pennes'!AH31="","",'Sections rachis &amp; L pennes'!AH31)</f>
        <v>XXX</v>
      </c>
      <c r="U31" s="801" t="str">
        <f>IF('Largeurs pennes'!Z66="","",IF(SQRT(ABS('Largeurs pennes'!Z66*'Largeurs pennes'!Z66-('Ouvertures pennes'!R66*'Ouvertures pennes'!R66)/4))=0,0.01,SQRT(ABS('Largeurs pennes'!Z66*'Largeurs pennes'!Z66-('Ouvertures pennes'!R66*'Ouvertures pennes'!R66)/4))))</f>
        <v/>
      </c>
      <c r="V31" s="802" t="str">
        <f>IF('Largeurs pennes'!AA66="","",IF(SQRT(ABS('Largeurs pennes'!AA66*'Largeurs pennes'!AA66-('Ouvertures pennes'!S66*'Ouvertures pennes'!S66)/4))=0,0.01,SQRT(ABS('Largeurs pennes'!AA66*'Largeurs pennes'!AA66-('Ouvertures pennes'!S66*'Ouvertures pennes'!S66)/4))))</f>
        <v/>
      </c>
      <c r="W31" s="802" t="str">
        <f>IF('Largeurs pennes'!AB66="","",IF(SQRT(ABS('Largeurs pennes'!AB66*'Largeurs pennes'!AB66-('Ouvertures pennes'!T66*'Ouvertures pennes'!T66)/4))=0,0.01,SQRT(ABS('Largeurs pennes'!AB66*'Largeurs pennes'!AB66-('Ouvertures pennes'!T66*'Ouvertures pennes'!T66)/4))))</f>
        <v/>
      </c>
      <c r="X31" s="803" t="str">
        <f>IF('Largeurs pennes'!AC66="","",IF(SQRT(ABS('Largeurs pennes'!AC66*'Largeurs pennes'!AC66-('Ouvertures pennes'!U66*'Ouvertures pennes'!U66)/4))=0,0.01,SQRT(ABS('Largeurs pennes'!AC66*'Largeurs pennes'!AC66-('Ouvertures pennes'!U66*'Ouvertures pennes'!U66)/4))))</f>
        <v/>
      </c>
      <c r="Y31" s="781">
        <f t="shared" si="2"/>
        <v>0.24129857024027307</v>
      </c>
    </row>
    <row r="32" spans="1:25" s="345" customFormat="1">
      <c r="D32" s="805"/>
      <c r="E32" s="806"/>
      <c r="F32" s="807"/>
      <c r="G32" s="807"/>
      <c r="H32" s="807"/>
      <c r="I32" s="807"/>
      <c r="J32" s="807"/>
      <c r="K32" s="807"/>
      <c r="L32" s="807"/>
      <c r="M32" s="807"/>
      <c r="N32" s="807"/>
      <c r="O32" s="807"/>
      <c r="P32" s="807"/>
      <c r="Q32" s="807"/>
      <c r="R32" s="807"/>
      <c r="S32" s="808"/>
      <c r="T32" s="808"/>
      <c r="Y32" s="807"/>
    </row>
    <row r="33" spans="1:30" s="345" customFormat="1">
      <c r="B33" s="694"/>
      <c r="C33" s="814"/>
      <c r="D33" s="817"/>
      <c r="E33" s="811"/>
      <c r="F33" s="1003"/>
      <c r="G33" s="476"/>
      <c r="H33" s="476"/>
      <c r="I33" s="476"/>
      <c r="J33" s="962"/>
      <c r="K33" s="476"/>
      <c r="L33" s="476"/>
      <c r="M33" s="806">
        <f>IF('Ouvertures pennes (MAX)'!M33="","",'Ouvertures pennes (MAX)'!M33)</f>
        <v>2.561997016660738</v>
      </c>
      <c r="N33" s="476"/>
      <c r="O33" s="476"/>
      <c r="P33" s="476"/>
      <c r="Q33" s="476"/>
      <c r="R33" s="817"/>
      <c r="S33" s="476"/>
      <c r="T33" s="476"/>
      <c r="U33" s="476"/>
      <c r="V33" s="476"/>
      <c r="W33" s="476"/>
      <c r="X33" s="476"/>
      <c r="Y33" s="806">
        <f>'Ouvertures pennes (MAX)'!Y33</f>
        <v>2.6550767173058456</v>
      </c>
      <c r="Z33" s="476"/>
      <c r="AA33" s="476"/>
      <c r="AB33" s="476"/>
      <c r="AC33" s="476"/>
      <c r="AD33" s="476"/>
    </row>
    <row r="34" spans="1:30" s="345" customFormat="1" ht="14.25" customHeight="1" thickBot="1">
      <c r="B34" s="694"/>
      <c r="C34" s="814"/>
      <c r="D34" s="815"/>
      <c r="E34" s="811"/>
      <c r="F34" s="816"/>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tr">
        <f>IF(C16="","",C16)</f>
        <v/>
      </c>
      <c r="C35" s="809">
        <f>SUMIF(D$35:D$54,A35,B$35:B$54)</f>
        <v>5.3605555861977985</v>
      </c>
      <c r="D35" s="809">
        <f>IF(B35="",0,RANK(B35,B$35:B$54,1))</f>
        <v>0</v>
      </c>
      <c r="E35" s="814"/>
      <c r="F35" s="819">
        <f>IF(MAX(M33,Y33)=0,"",MAX(M33,Y33))</f>
        <v>2.6550767173058456</v>
      </c>
      <c r="H35" s="1580" t="s">
        <v>1280</v>
      </c>
      <c r="I35" s="1581"/>
      <c r="J35" s="1581"/>
      <c r="K35" s="1581"/>
      <c r="L35" s="1581"/>
      <c r="M35" s="1581"/>
      <c r="N35" s="1581"/>
      <c r="O35" s="1581"/>
      <c r="P35" s="1581"/>
      <c r="Q35" s="1581"/>
      <c r="R35" s="1581"/>
      <c r="S35" s="1581"/>
      <c r="T35" s="1581"/>
      <c r="U35" s="1581"/>
      <c r="V35" s="1581"/>
      <c r="W35" s="1581"/>
      <c r="X35" s="1581"/>
      <c r="Y35" s="1581"/>
      <c r="Z35" s="1581"/>
      <c r="AA35" s="1582"/>
    </row>
    <row r="36" spans="1:30" s="345" customFormat="1" ht="15.75" customHeight="1" thickBot="1">
      <c r="A36" s="345">
        <v>2</v>
      </c>
      <c r="B36" s="818" t="str">
        <f>IF(O16="","",O16)</f>
        <v/>
      </c>
      <c r="C36" s="809">
        <f t="shared" ref="C36:C54" si="3">SUMIF(D$35:D$54,A36,B$35:B$54)</f>
        <v>10</v>
      </c>
      <c r="D36" s="809">
        <f t="shared" ref="D36:D54" si="4">IF(B36="",0,RANK(B36,B$35:B$54,1))</f>
        <v>0</v>
      </c>
      <c r="E36" s="1583" t="s">
        <v>1281</v>
      </c>
      <c r="F36" s="1584"/>
      <c r="G36" s="1585"/>
      <c r="H36" s="820">
        <f>IF($C35=0,"",$C35)</f>
        <v>5.3605555861977985</v>
      </c>
      <c r="I36" s="821">
        <f>IF($C36=0,"",$C36)</f>
        <v>10</v>
      </c>
      <c r="J36" s="821">
        <f>IF($C37=0,"",$C37)</f>
        <v>20</v>
      </c>
      <c r="K36" s="821">
        <f>IF($C38=0,"",$C38)</f>
        <v>26.922669813782981</v>
      </c>
      <c r="L36" s="821">
        <f>IF($C39=0,"",$C39)</f>
        <v>28.402760758696882</v>
      </c>
      <c r="M36" s="821">
        <f>IF($C40="",0,$C40)</f>
        <v>30</v>
      </c>
      <c r="N36" s="821">
        <f>IF($C41=0,"",$C41)</f>
        <v>40</v>
      </c>
      <c r="O36" s="821">
        <f>IF($C42=0,"",$C42)</f>
        <v>50</v>
      </c>
      <c r="P36" s="821">
        <f>IF($C43=0,"",$C43)</f>
        <v>60</v>
      </c>
      <c r="Q36" s="821">
        <f>IF($C44=0,"",$C44)</f>
        <v>70</v>
      </c>
      <c r="R36" s="821">
        <f>IF($C45=0,"",$C45)</f>
        <v>80</v>
      </c>
      <c r="S36" s="821">
        <f>IF($C46=0,"",$C46)</f>
        <v>90</v>
      </c>
      <c r="T36" s="821">
        <f>IF($C47=0,"",$C47)</f>
        <v>97.736572490101764</v>
      </c>
      <c r="U36" s="821">
        <f>IF($C48=0,"",$C48)</f>
        <v>98.474693898206965</v>
      </c>
      <c r="V36" s="821">
        <f>IF($C49=0,"",$C49)</f>
        <v>99.115172061249353</v>
      </c>
      <c r="W36" s="821">
        <f>IF($C50=0,"",$C50)</f>
        <v>99.665653482478291</v>
      </c>
      <c r="X36" s="821">
        <f>IF($C51=0,"",$C51)</f>
        <v>99.951573567634654</v>
      </c>
      <c r="Y36" s="821">
        <f>IF($C52=0,"",$C52)</f>
        <v>100</v>
      </c>
      <c r="Z36" s="821" t="str">
        <f>IF($C53=0,"",$C53)</f>
        <v/>
      </c>
      <c r="AA36" s="822" t="str">
        <f>IF($C54=0,"",$C54)</f>
        <v/>
      </c>
    </row>
    <row r="37" spans="1:30" s="345" customFormat="1" ht="13.5" customHeight="1">
      <c r="A37" s="345">
        <v>3</v>
      </c>
      <c r="B37" s="818">
        <f>IF(COUNTIF(C13,"")+COUNTIF(H13,"")+COUNTIF(O13,"")+COUNTIF(T13,"")=4,"",AVERAGE(C13,H13,O13,T13))</f>
        <v>5.3605555861977985</v>
      </c>
      <c r="C37" s="809">
        <f t="shared" si="3"/>
        <v>20</v>
      </c>
      <c r="D37" s="809">
        <f t="shared" si="4"/>
        <v>1</v>
      </c>
      <c r="E37" s="1571" t="s">
        <v>1282</v>
      </c>
      <c r="F37" s="1574" t="s">
        <v>1283</v>
      </c>
      <c r="G37" s="1575"/>
      <c r="H37" s="823">
        <f t="shared" ref="H37:AA37" si="5">IF(COUNTIF(H39:H42,"")=4,"",AVERAGE(H39:H42))</f>
        <v>4.4634863466790464E-2</v>
      </c>
      <c r="I37" s="824">
        <f t="shared" si="5"/>
        <v>0.12423794992134918</v>
      </c>
      <c r="J37" s="824">
        <f t="shared" si="5"/>
        <v>0.16661579413015168</v>
      </c>
      <c r="K37" s="824">
        <f t="shared" si="5"/>
        <v>7.353624394458888E-2</v>
      </c>
      <c r="L37" s="824">
        <f t="shared" si="5"/>
        <v>5.2257518646120292E-2</v>
      </c>
      <c r="M37" s="824">
        <f t="shared" si="5"/>
        <v>6.9685665601237609E-2</v>
      </c>
      <c r="N37" s="824">
        <f t="shared" si="5"/>
        <v>0.1076463971180846</v>
      </c>
      <c r="O37" s="824">
        <f t="shared" si="5"/>
        <v>0.16887544314071809</v>
      </c>
      <c r="P37" s="824">
        <f t="shared" si="5"/>
        <v>0.21120238222453389</v>
      </c>
      <c r="Q37" s="824">
        <f t="shared" si="5"/>
        <v>0.23708396953185273</v>
      </c>
      <c r="R37" s="824">
        <f t="shared" si="5"/>
        <v>0.24371790798856902</v>
      </c>
      <c r="S37" s="824">
        <f t="shared" si="5"/>
        <v>0.20459079902553673</v>
      </c>
      <c r="T37" s="824">
        <f t="shared" si="5"/>
        <v>0.22482461777053445</v>
      </c>
      <c r="U37" s="824">
        <f t="shared" si="5"/>
        <v>0.21588416593590251</v>
      </c>
      <c r="V37" s="824">
        <f t="shared" si="5"/>
        <v>0.18833527312810114</v>
      </c>
      <c r="W37" s="824">
        <f t="shared" si="5"/>
        <v>0.12993974816293735</v>
      </c>
      <c r="X37" s="824" t="str">
        <f t="shared" si="5"/>
        <v/>
      </c>
      <c r="Y37" s="824" t="str">
        <f t="shared" si="5"/>
        <v/>
      </c>
      <c r="Z37" s="824" t="str">
        <f t="shared" si="5"/>
        <v/>
      </c>
      <c r="AA37" s="825" t="str">
        <f t="shared" si="5"/>
        <v/>
      </c>
    </row>
    <row r="38" spans="1:30" s="345" customFormat="1" ht="12.75" customHeight="1" thickBot="1">
      <c r="A38" s="345">
        <v>4</v>
      </c>
      <c r="B38" s="818">
        <f>IF(COUNTIF(C14,"")+COUNTIF(H14,"")+COUNTIF(O14,"")+COUNTIF(T14,"")=4,"",AVERAGE(C14,H14,O14,T14))</f>
        <v>26.922669813782981</v>
      </c>
      <c r="C38" s="809">
        <f t="shared" si="3"/>
        <v>26.922669813782981</v>
      </c>
      <c r="D38" s="809">
        <f t="shared" si="4"/>
        <v>4</v>
      </c>
      <c r="E38" s="1572"/>
      <c r="F38" s="1576" t="s">
        <v>1284</v>
      </c>
      <c r="G38" s="1577"/>
      <c r="H38" s="823">
        <f t="shared" ref="H38:AA38" si="6">IF(COUNTIF(H39:H42,"")=4,"",IF(COUNTIF(H39:H42,"")=3,0,STDEV(H39:H42)*$F$35))</f>
        <v>1.849973267688992E-2</v>
      </c>
      <c r="I38" s="824">
        <f t="shared" si="6"/>
        <v>1.1476974115086301E-2</v>
      </c>
      <c r="J38" s="824">
        <f t="shared" si="6"/>
        <v>1.2041263334340278E-2</v>
      </c>
      <c r="K38" s="824">
        <f t="shared" si="6"/>
        <v>1.1150255790079508E-2</v>
      </c>
      <c r="L38" s="824">
        <f t="shared" si="6"/>
        <v>9.9979623755641484E-2</v>
      </c>
      <c r="M38" s="824">
        <f t="shared" si="6"/>
        <v>5.4810321328560195E-2</v>
      </c>
      <c r="N38" s="824">
        <f t="shared" si="6"/>
        <v>5.0957622040745165E-2</v>
      </c>
      <c r="O38" s="824">
        <f t="shared" si="6"/>
        <v>4.0851752665740738E-2</v>
      </c>
      <c r="P38" s="824">
        <f t="shared" si="6"/>
        <v>2.2487341642967982E-2</v>
      </c>
      <c r="Q38" s="824">
        <f t="shared" si="6"/>
        <v>1.0763081408438046E-2</v>
      </c>
      <c r="R38" s="824">
        <f t="shared" si="6"/>
        <v>1.4048063949576332E-2</v>
      </c>
      <c r="S38" s="824">
        <f t="shared" si="6"/>
        <v>6.4725630838710973E-3</v>
      </c>
      <c r="T38" s="824">
        <f t="shared" si="6"/>
        <v>0</v>
      </c>
      <c r="U38" s="824">
        <f t="shared" si="6"/>
        <v>0.17280137295016407</v>
      </c>
      <c r="V38" s="824">
        <f t="shared" si="6"/>
        <v>0.18391083523713306</v>
      </c>
      <c r="W38" s="824">
        <f t="shared" si="6"/>
        <v>0</v>
      </c>
      <c r="X38" s="824" t="str">
        <f t="shared" si="6"/>
        <v/>
      </c>
      <c r="Y38" s="824" t="str">
        <f t="shared" si="6"/>
        <v/>
      </c>
      <c r="Z38" s="824" t="str">
        <f t="shared" si="6"/>
        <v/>
      </c>
      <c r="AA38" s="825" t="str">
        <f t="shared" si="6"/>
        <v/>
      </c>
    </row>
    <row r="39" spans="1:30" s="345" customFormat="1" ht="12.75" customHeight="1">
      <c r="A39" s="345">
        <v>5</v>
      </c>
      <c r="B39" s="818">
        <f>IF(COUNTIF(C15,"")+COUNTIF(H15,"")+COUNTIF(O15,"")+COUNTIF(T15,"")=4,"",AVERAGE(C15,H15,O15,T15))</f>
        <v>28.402760758696882</v>
      </c>
      <c r="C39" s="809">
        <f t="shared" si="3"/>
        <v>28.402760758696882</v>
      </c>
      <c r="D39" s="809">
        <f t="shared" si="4"/>
        <v>5</v>
      </c>
      <c r="E39" s="1572"/>
      <c r="F39" s="1578">
        <f>G7</f>
        <v>57</v>
      </c>
      <c r="G39" s="826" t="s">
        <v>1285</v>
      </c>
      <c r="H39" s="827" t="str">
        <f>IF(H36="","",IF(SUMIF($A$13:$A$31,H36,$D$13:$D$31)=0,"",SUMIF($A$13:$A$31,H36,$D$13:$D$31)/$M$33))</f>
        <v/>
      </c>
      <c r="I39" s="828">
        <f t="shared" ref="I39:AA39" si="7">IF(I36="","",IF(SUMIF($A$13:$A$31,I36,$D$13:$D$31)=0,"",SUMIF($A$13:$A$31,I36,$D$13:$D$31)/$M$33))</f>
        <v>0.12118137299783381</v>
      </c>
      <c r="J39" s="828">
        <f t="shared" si="7"/>
        <v>0.16353293679421779</v>
      </c>
      <c r="K39" s="828" t="str">
        <f t="shared" si="7"/>
        <v/>
      </c>
      <c r="L39" s="828">
        <f t="shared" si="7"/>
        <v>7.8884346216598372E-2</v>
      </c>
      <c r="M39" s="828">
        <f t="shared" si="7"/>
        <v>4.7394987051795207E-2</v>
      </c>
      <c r="N39" s="828">
        <f t="shared" si="7"/>
        <v>0.12157436491959693</v>
      </c>
      <c r="O39" s="828">
        <f t="shared" si="7"/>
        <v>0.17729456562430559</v>
      </c>
      <c r="P39" s="828">
        <f t="shared" si="7"/>
        <v>0.21347355092799453</v>
      </c>
      <c r="Q39" s="828">
        <f t="shared" si="7"/>
        <v>0.24280505382653503</v>
      </c>
      <c r="R39" s="828">
        <f t="shared" si="7"/>
        <v>0.25102164430905666</v>
      </c>
      <c r="S39" s="828" t="str">
        <f t="shared" si="7"/>
        <v/>
      </c>
      <c r="T39" s="828" t="str">
        <f t="shared" si="7"/>
        <v/>
      </c>
      <c r="U39" s="828">
        <f t="shared" si="7"/>
        <v>0.26190506688199416</v>
      </c>
      <c r="V39" s="828" t="str">
        <f t="shared" si="7"/>
        <v/>
      </c>
      <c r="W39" s="828" t="str">
        <f t="shared" si="7"/>
        <v/>
      </c>
      <c r="X39" s="828" t="str">
        <f t="shared" si="7"/>
        <v/>
      </c>
      <c r="Y39" s="828" t="str">
        <f t="shared" si="7"/>
        <v/>
      </c>
      <c r="Z39" s="828" t="str">
        <f t="shared" si="7"/>
        <v/>
      </c>
      <c r="AA39" s="829" t="str">
        <f t="shared" si="7"/>
        <v/>
      </c>
    </row>
    <row r="40" spans="1:30" s="345" customFormat="1" ht="12.75" customHeight="1" thickBot="1">
      <c r="A40" s="345">
        <v>6</v>
      </c>
      <c r="B40" s="818">
        <f t="shared" ref="B40:B48" si="8">IF(C17="","",C17)</f>
        <v>10</v>
      </c>
      <c r="C40" s="809">
        <f t="shared" si="3"/>
        <v>30</v>
      </c>
      <c r="D40" s="809">
        <f t="shared" si="4"/>
        <v>2</v>
      </c>
      <c r="E40" s="1572"/>
      <c r="F40" s="1579"/>
      <c r="G40" s="830" t="s">
        <v>1286</v>
      </c>
      <c r="H40" s="823" t="str">
        <f>IF(H36="","",IF(SUMIF($A$13:$A$31,H36,$I$13:$I$31)=0,"",SUMIF($A$13:$A$31,H36,$I$13:$I$31)/$M$33))</f>
        <v/>
      </c>
      <c r="I40" s="824">
        <f t="shared" ref="I40:AA40" si="9">IF(I36="","",IF(SUMIF($A$13:$A$31,I36,$I$13:$I$31)=0,"",SUMIF($A$13:$A$31,I36,$I$13:$I$31)/$M$33))</f>
        <v>0.12729452684486456</v>
      </c>
      <c r="J40" s="824">
        <f t="shared" si="9"/>
        <v>0.16256826119865672</v>
      </c>
      <c r="K40" s="824">
        <f t="shared" si="9"/>
        <v>7.6505808413193099E-2</v>
      </c>
      <c r="L40" s="824" t="str">
        <f t="shared" si="9"/>
        <v/>
      </c>
      <c r="M40" s="824">
        <f t="shared" si="9"/>
        <v>5.685801165225754E-2</v>
      </c>
      <c r="N40" s="824">
        <f t="shared" si="9"/>
        <v>0.12427768867900621</v>
      </c>
      <c r="O40" s="824">
        <f t="shared" si="9"/>
        <v>0.17664716480604561</v>
      </c>
      <c r="P40" s="824">
        <f t="shared" si="9"/>
        <v>0.21737633002858642</v>
      </c>
      <c r="Q40" s="824">
        <f t="shared" si="9"/>
        <v>0.23607288320561134</v>
      </c>
      <c r="R40" s="824">
        <f t="shared" si="9"/>
        <v>0.24007890115345695</v>
      </c>
      <c r="S40" s="824" t="str">
        <f t="shared" si="9"/>
        <v/>
      </c>
      <c r="T40" s="824">
        <f t="shared" si="9"/>
        <v>0.22482461777053445</v>
      </c>
      <c r="U40" s="824" t="str">
        <f t="shared" si="9"/>
        <v/>
      </c>
      <c r="V40" s="824">
        <f t="shared" si="9"/>
        <v>0.23731487431334192</v>
      </c>
      <c r="W40" s="824" t="str">
        <f t="shared" si="9"/>
        <v/>
      </c>
      <c r="X40" s="824" t="str">
        <f t="shared" si="9"/>
        <v/>
      </c>
      <c r="Y40" s="824" t="str">
        <f t="shared" si="9"/>
        <v/>
      </c>
      <c r="Z40" s="824" t="str">
        <f t="shared" si="9"/>
        <v/>
      </c>
      <c r="AA40" s="825" t="str">
        <f t="shared" si="9"/>
        <v/>
      </c>
    </row>
    <row r="41" spans="1:30" s="345" customFormat="1" ht="12.75" customHeight="1">
      <c r="A41" s="345">
        <v>7</v>
      </c>
      <c r="B41" s="818">
        <f t="shared" si="8"/>
        <v>20</v>
      </c>
      <c r="C41" s="809">
        <f t="shared" si="3"/>
        <v>40</v>
      </c>
      <c r="D41" s="809">
        <f t="shared" si="4"/>
        <v>3</v>
      </c>
      <c r="E41" s="1572"/>
      <c r="F41" s="1578">
        <f>U7</f>
        <v>83</v>
      </c>
      <c r="G41" s="826" t="s">
        <v>1285</v>
      </c>
      <c r="H41" s="827">
        <f>IF(H36="","",IF(SUMIF($A$13:$A$31,H36,$P$13:$P$31)=0,"",SUMIF($A$13:$A$31,H36,$P$13:$P$31)/$Y$33))</f>
        <v>4.9561759304000398E-2</v>
      </c>
      <c r="I41" s="828" t="str">
        <f t="shared" ref="I41:AA41" si="10">IF(I36="","",IF(SUMIF($A$13:$A$31,I36,$P$13:$P$31)=0,"",SUMIF($A$13:$A$31,I36,$P$13:$P$31)/$Y$33))</f>
        <v/>
      </c>
      <c r="J41" s="828">
        <f t="shared" si="10"/>
        <v>0.17246089454865138</v>
      </c>
      <c r="K41" s="828">
        <f t="shared" si="10"/>
        <v>7.0566679475984648E-2</v>
      </c>
      <c r="L41" s="828" t="str">
        <f t="shared" si="10"/>
        <v/>
      </c>
      <c r="M41" s="828">
        <f t="shared" si="10"/>
        <v>8.6796492261693725E-2</v>
      </c>
      <c r="N41" s="828">
        <f t="shared" si="10"/>
        <v>0.10151926850425654</v>
      </c>
      <c r="O41" s="828">
        <f t="shared" si="10"/>
        <v>0.17574430854216352</v>
      </c>
      <c r="P41" s="828">
        <f t="shared" si="10"/>
        <v>0.21523405614437685</v>
      </c>
      <c r="Q41" s="828">
        <f t="shared" si="10"/>
        <v>0.23622130320116985</v>
      </c>
      <c r="R41" s="828">
        <f t="shared" si="10"/>
        <v>0.24419667079315785</v>
      </c>
      <c r="S41" s="828">
        <f t="shared" si="10"/>
        <v>0.20631458848082115</v>
      </c>
      <c r="T41" s="828" t="str">
        <f t="shared" si="10"/>
        <v/>
      </c>
      <c r="U41" s="828" t="str">
        <f t="shared" si="10"/>
        <v/>
      </c>
      <c r="V41" s="828">
        <f t="shared" si="10"/>
        <v>0.13935567194286036</v>
      </c>
      <c r="W41" s="828" t="str">
        <f t="shared" si="10"/>
        <v/>
      </c>
      <c r="X41" s="828" t="str">
        <f t="shared" si="10"/>
        <v/>
      </c>
      <c r="Y41" s="828" t="str">
        <f t="shared" si="10"/>
        <v/>
      </c>
      <c r="Z41" s="828" t="str">
        <f t="shared" si="10"/>
        <v/>
      </c>
      <c r="AA41" s="829" t="str">
        <f t="shared" si="10"/>
        <v/>
      </c>
    </row>
    <row r="42" spans="1:30" s="345" customFormat="1" ht="13.5" customHeight="1" thickBot="1">
      <c r="A42" s="345">
        <v>8</v>
      </c>
      <c r="B42" s="818">
        <f t="shared" si="8"/>
        <v>30</v>
      </c>
      <c r="C42" s="809">
        <f t="shared" si="3"/>
        <v>50</v>
      </c>
      <c r="D42" s="809">
        <f t="shared" si="4"/>
        <v>6</v>
      </c>
      <c r="E42" s="1573"/>
      <c r="F42" s="1579"/>
      <c r="G42" s="830" t="s">
        <v>1286</v>
      </c>
      <c r="H42" s="831">
        <f>IF(H36="","",IF(SUMIF($A$13:$A$31,H36,$U$13:$U$31)=0,"",SUMIF($A$13:$A$31,H36,$U$13:$U$31)/$Y$33))</f>
        <v>3.9707967629580537E-2</v>
      </c>
      <c r="I42" s="832" t="str">
        <f t="shared" ref="I42:AA42" si="11">IF(I36="","",IF(SUMIF($A$13:$A$31,I36,$U$13:$U$31)=0,"",SUMIF($A$13:$A$31,I36,$U$13:$U$31)/$Y$33))</f>
        <v/>
      </c>
      <c r="J42" s="832">
        <f t="shared" si="11"/>
        <v>0.16790108397908082</v>
      </c>
      <c r="K42" s="832" t="str">
        <f t="shared" si="11"/>
        <v/>
      </c>
      <c r="L42" s="832">
        <f t="shared" si="11"/>
        <v>2.5630691075642215E-2</v>
      </c>
      <c r="M42" s="832">
        <f t="shared" si="11"/>
        <v>8.7693171439203965E-2</v>
      </c>
      <c r="N42" s="832">
        <f t="shared" si="11"/>
        <v>8.3214266369478762E-2</v>
      </c>
      <c r="O42" s="832">
        <f t="shared" si="11"/>
        <v>0.14581573359035757</v>
      </c>
      <c r="P42" s="832">
        <f t="shared" si="11"/>
        <v>0.19872559179717772</v>
      </c>
      <c r="Q42" s="832">
        <f t="shared" si="11"/>
        <v>0.2332366378940946</v>
      </c>
      <c r="R42" s="832">
        <f t="shared" si="11"/>
        <v>0.23957441569860463</v>
      </c>
      <c r="S42" s="832">
        <f t="shared" si="11"/>
        <v>0.20286700957025233</v>
      </c>
      <c r="T42" s="832" t="str">
        <f t="shared" si="11"/>
        <v/>
      </c>
      <c r="U42" s="832">
        <f t="shared" si="11"/>
        <v>0.16986326498981086</v>
      </c>
      <c r="V42" s="832" t="str">
        <f t="shared" si="11"/>
        <v/>
      </c>
      <c r="W42" s="832">
        <f t="shared" si="11"/>
        <v>0.12993974816293735</v>
      </c>
      <c r="X42" s="832" t="str">
        <f t="shared" si="11"/>
        <v/>
      </c>
      <c r="Y42" s="832" t="str">
        <f t="shared" si="11"/>
        <v/>
      </c>
      <c r="Z42" s="832" t="str">
        <f t="shared" si="11"/>
        <v/>
      </c>
      <c r="AA42" s="833" t="str">
        <f t="shared" si="11"/>
        <v/>
      </c>
    </row>
    <row r="43" spans="1:30" s="345" customFormat="1" ht="12.75" customHeight="1">
      <c r="A43" s="345">
        <v>9</v>
      </c>
      <c r="B43" s="818">
        <f t="shared" si="8"/>
        <v>40</v>
      </c>
      <c r="C43" s="809">
        <f t="shared" si="3"/>
        <v>60</v>
      </c>
      <c r="D43" s="809">
        <f t="shared" si="4"/>
        <v>7</v>
      </c>
      <c r="E43" s="1590">
        <v>0</v>
      </c>
      <c r="F43" s="1574" t="s">
        <v>1283</v>
      </c>
      <c r="G43" s="1593"/>
      <c r="H43" s="834" t="str">
        <f t="shared" ref="H43:AA43" si="12">IF(COUNTIF(H45:H52,"")=8,"",AVERAGE(H45:H52))</f>
        <v/>
      </c>
      <c r="I43" s="835">
        <f t="shared" si="12"/>
        <v>0.12274079307123958</v>
      </c>
      <c r="J43" s="835" t="str">
        <f t="shared" si="12"/>
        <v/>
      </c>
      <c r="K43" s="835" t="str">
        <f t="shared" si="12"/>
        <v/>
      </c>
      <c r="L43" s="835" t="str">
        <f t="shared" si="12"/>
        <v/>
      </c>
      <c r="M43" s="835" t="str">
        <f t="shared" si="12"/>
        <v/>
      </c>
      <c r="N43" s="835">
        <f t="shared" si="12"/>
        <v>0.11613802786187685</v>
      </c>
      <c r="O43" s="835">
        <f t="shared" si="12"/>
        <v>0.17420747563668237</v>
      </c>
      <c r="P43" s="835">
        <f t="shared" si="12"/>
        <v>0.2097688794213742</v>
      </c>
      <c r="Q43" s="835">
        <f t="shared" si="12"/>
        <v>0.23270965823111622</v>
      </c>
      <c r="R43" s="835">
        <f t="shared" si="12"/>
        <v>0.24161063469846977</v>
      </c>
      <c r="S43" s="835">
        <f t="shared" si="12"/>
        <v>0.21010273460412249</v>
      </c>
      <c r="T43" s="835" t="str">
        <f t="shared" si="12"/>
        <v/>
      </c>
      <c r="U43" s="835">
        <f t="shared" si="12"/>
        <v>0.15188512577720012</v>
      </c>
      <c r="V43" s="835" t="str">
        <f t="shared" si="12"/>
        <v/>
      </c>
      <c r="W43" s="835">
        <f t="shared" si="12"/>
        <v>0.13154906559413826</v>
      </c>
      <c r="X43" s="835">
        <f t="shared" si="12"/>
        <v>0.2318278408666718</v>
      </c>
      <c r="Y43" s="835">
        <f t="shared" si="12"/>
        <v>0.1909609271260681</v>
      </c>
      <c r="Z43" s="835" t="str">
        <f t="shared" si="12"/>
        <v/>
      </c>
      <c r="AA43" s="836" t="str">
        <f t="shared" si="12"/>
        <v/>
      </c>
    </row>
    <row r="44" spans="1:30" s="345" customFormat="1" ht="13.5" customHeight="1" thickBot="1">
      <c r="A44" s="345">
        <v>10</v>
      </c>
      <c r="B44" s="818">
        <f t="shared" si="8"/>
        <v>50</v>
      </c>
      <c r="C44" s="809">
        <f t="shared" si="3"/>
        <v>70</v>
      </c>
      <c r="D44" s="809">
        <f t="shared" si="4"/>
        <v>8</v>
      </c>
      <c r="E44" s="1591"/>
      <c r="F44" s="1576" t="s">
        <v>1284</v>
      </c>
      <c r="G44" s="1594"/>
      <c r="H44" s="834" t="str">
        <f t="shared" ref="H44:AA44" si="13">IF(COUNTIF(H45:H52,"")=8,"",IF(COUNTIF(H45:H52,"")=7,0,STDEV(H45:H52)*$F$35))</f>
        <v/>
      </c>
      <c r="I44" s="835">
        <f t="shared" si="13"/>
        <v>1.4176948177686459E-2</v>
      </c>
      <c r="J44" s="835" t="str">
        <f t="shared" si="13"/>
        <v/>
      </c>
      <c r="K44" s="835" t="str">
        <f t="shared" si="13"/>
        <v/>
      </c>
      <c r="L44" s="835" t="str">
        <f t="shared" si="13"/>
        <v/>
      </c>
      <c r="M44" s="835" t="str">
        <f t="shared" si="13"/>
        <v/>
      </c>
      <c r="N44" s="835">
        <f t="shared" si="13"/>
        <v>0</v>
      </c>
      <c r="O44" s="835">
        <f t="shared" si="13"/>
        <v>0</v>
      </c>
      <c r="P44" s="835">
        <f t="shared" si="13"/>
        <v>2.0507424386967916E-2</v>
      </c>
      <c r="Q44" s="835">
        <f t="shared" si="13"/>
        <v>0</v>
      </c>
      <c r="R44" s="835">
        <f t="shared" si="13"/>
        <v>7.7057604125894434E-3</v>
      </c>
      <c r="S44" s="835">
        <f t="shared" si="13"/>
        <v>8.2384028808162903E-3</v>
      </c>
      <c r="T44" s="835" t="str">
        <f t="shared" si="13"/>
        <v/>
      </c>
      <c r="U44" s="835">
        <f t="shared" si="13"/>
        <v>0</v>
      </c>
      <c r="V44" s="835" t="str">
        <f t="shared" si="13"/>
        <v/>
      </c>
      <c r="W44" s="835">
        <f t="shared" si="13"/>
        <v>0.2805735043427019</v>
      </c>
      <c r="X44" s="835">
        <f t="shared" si="13"/>
        <v>0.10345281527076536</v>
      </c>
      <c r="Y44" s="835">
        <f t="shared" si="13"/>
        <v>0.37578106780620413</v>
      </c>
      <c r="Z44" s="835" t="str">
        <f t="shared" si="13"/>
        <v/>
      </c>
      <c r="AA44" s="836" t="str">
        <f t="shared" si="13"/>
        <v/>
      </c>
    </row>
    <row r="45" spans="1:30" s="345" customFormat="1">
      <c r="A45" s="345">
        <v>11</v>
      </c>
      <c r="B45" s="818">
        <f t="shared" si="8"/>
        <v>60</v>
      </c>
      <c r="C45" s="809">
        <f t="shared" si="3"/>
        <v>80</v>
      </c>
      <c r="D45" s="809">
        <f t="shared" si="4"/>
        <v>9</v>
      </c>
      <c r="E45" s="1591"/>
      <c r="F45" s="1578">
        <f>G7</f>
        <v>57</v>
      </c>
      <c r="G45" s="1596" t="s">
        <v>1285</v>
      </c>
      <c r="H45" s="837" t="str">
        <f>IF(H36="","",IF(SUMIF($A$13:$A$31,H36,$E$13:$E$31)=0,"",SUMIF($A$13:$A$31,H36,$E$13:$E$31)/$M$33))</f>
        <v/>
      </c>
      <c r="I45" s="838" t="str">
        <f t="shared" ref="I45:AA45" si="14">IF(I36="","",IF(SUMIF($A$13:$A$31,I36,$E$13:$E$31)=0,"",SUMIF($A$13:$A$31,I36,$E$13:$E$31)/$M$33))</f>
        <v/>
      </c>
      <c r="J45" s="838" t="str">
        <f t="shared" si="14"/>
        <v/>
      </c>
      <c r="K45" s="838" t="str">
        <f t="shared" si="14"/>
        <v/>
      </c>
      <c r="L45" s="838" t="str">
        <f t="shared" si="14"/>
        <v/>
      </c>
      <c r="M45" s="838" t="str">
        <f t="shared" si="14"/>
        <v/>
      </c>
      <c r="N45" s="838">
        <f t="shared" si="14"/>
        <v>0.11613802786187685</v>
      </c>
      <c r="O45" s="838" t="str">
        <f t="shared" si="14"/>
        <v/>
      </c>
      <c r="P45" s="838" t="str">
        <f t="shared" si="14"/>
        <v/>
      </c>
      <c r="Q45" s="838" t="str">
        <f t="shared" si="14"/>
        <v/>
      </c>
      <c r="R45" s="838" t="str">
        <f t="shared" si="14"/>
        <v/>
      </c>
      <c r="S45" s="838">
        <f t="shared" si="14"/>
        <v>0.21229680700331219</v>
      </c>
      <c r="T45" s="838" t="str">
        <f t="shared" si="14"/>
        <v/>
      </c>
      <c r="U45" s="838" t="str">
        <f t="shared" si="14"/>
        <v/>
      </c>
      <c r="V45" s="838" t="str">
        <f t="shared" si="14"/>
        <v/>
      </c>
      <c r="W45" s="838">
        <f t="shared" si="14"/>
        <v>0.20627211455496569</v>
      </c>
      <c r="X45" s="838">
        <f t="shared" si="14"/>
        <v>0.25937965763113285</v>
      </c>
      <c r="Y45" s="838">
        <f t="shared" si="14"/>
        <v>0.29103989642866396</v>
      </c>
      <c r="Z45" s="838" t="str">
        <f t="shared" si="14"/>
        <v/>
      </c>
      <c r="AA45" s="839" t="str">
        <f t="shared" si="14"/>
        <v/>
      </c>
    </row>
    <row r="46" spans="1:30" s="345" customFormat="1">
      <c r="A46" s="345">
        <v>12</v>
      </c>
      <c r="B46" s="818">
        <f t="shared" si="8"/>
        <v>70</v>
      </c>
      <c r="C46" s="809">
        <f t="shared" si="3"/>
        <v>90</v>
      </c>
      <c r="D46" s="809">
        <f t="shared" si="4"/>
        <v>10</v>
      </c>
      <c r="E46" s="1591"/>
      <c r="F46" s="1595"/>
      <c r="G46" s="1597"/>
      <c r="H46" s="834" t="str">
        <f>IF(H36="","",IF(SUMIF($A$13:$A$31,H36,$F$13:$F$31)=0,"",SUMIF($A$13:$A$31,H36,$F$13:$F$31)/$M$33))</f>
        <v/>
      </c>
      <c r="I46" s="835" t="str">
        <f t="shared" ref="I46:AA46" si="15">IF(I36="","",IF(SUMIF($A$13:$A$31,I36,$F$13:$F$31)=0,"",SUMIF($A$13:$A$31,I36,$F$13:$F$31)/$M$33))</f>
        <v/>
      </c>
      <c r="J46" s="835" t="str">
        <f t="shared" si="15"/>
        <v/>
      </c>
      <c r="K46" s="835" t="str">
        <f t="shared" si="15"/>
        <v/>
      </c>
      <c r="L46" s="835" t="str">
        <f t="shared" si="15"/>
        <v/>
      </c>
      <c r="M46" s="835" t="str">
        <f t="shared" si="15"/>
        <v/>
      </c>
      <c r="N46" s="835" t="str">
        <f t="shared" si="15"/>
        <v/>
      </c>
      <c r="O46" s="835" t="str">
        <f t="shared" si="15"/>
        <v/>
      </c>
      <c r="P46" s="835" t="str">
        <f t="shared" si="15"/>
        <v/>
      </c>
      <c r="Q46" s="835" t="str">
        <f t="shared" si="15"/>
        <v/>
      </c>
      <c r="R46" s="835" t="str">
        <f t="shared" si="15"/>
        <v/>
      </c>
      <c r="S46" s="835" t="str">
        <f t="shared" si="15"/>
        <v/>
      </c>
      <c r="T46" s="835" t="str">
        <f t="shared" si="15"/>
        <v/>
      </c>
      <c r="U46" s="835" t="str">
        <f t="shared" si="15"/>
        <v/>
      </c>
      <c r="V46" s="835" t="str">
        <f t="shared" si="15"/>
        <v/>
      </c>
      <c r="W46" s="835" t="str">
        <f t="shared" si="15"/>
        <v/>
      </c>
      <c r="X46" s="835" t="str">
        <f t="shared" si="15"/>
        <v/>
      </c>
      <c r="Y46" s="835" t="str">
        <f t="shared" si="15"/>
        <v/>
      </c>
      <c r="Z46" s="835" t="str">
        <f t="shared" si="15"/>
        <v/>
      </c>
      <c r="AA46" s="836" t="str">
        <f t="shared" si="15"/>
        <v/>
      </c>
    </row>
    <row r="47" spans="1:30" s="345" customFormat="1">
      <c r="A47" s="345">
        <v>13</v>
      </c>
      <c r="B47" s="818">
        <f t="shared" si="8"/>
        <v>80</v>
      </c>
      <c r="C47" s="809">
        <f t="shared" si="3"/>
        <v>97.736572490101764</v>
      </c>
      <c r="D47" s="809">
        <f t="shared" si="4"/>
        <v>11</v>
      </c>
      <c r="E47" s="1591"/>
      <c r="F47" s="1595"/>
      <c r="G47" s="1597" t="s">
        <v>1286</v>
      </c>
      <c r="H47" s="834" t="str">
        <f>IF(H36="","",IF(SUMIF($A$13:$A$31,H36,$J$13:$J$31)=0,"",SUMIF($A$13:$A$31,H36,$J$13:$J$31)/$M$33))</f>
        <v/>
      </c>
      <c r="I47" s="835" t="str">
        <f t="shared" ref="I47:AA47" si="16">IF(I36="","",IF(SUMIF($A$13:$A$31,I36,$J$13:$J$31)=0,"",SUMIF($A$13:$A$31,I36,$J$13:$J$31)/$M$33))</f>
        <v/>
      </c>
      <c r="J47" s="835" t="str">
        <f t="shared" si="16"/>
        <v/>
      </c>
      <c r="K47" s="835" t="str">
        <f t="shared" si="16"/>
        <v/>
      </c>
      <c r="L47" s="835" t="str">
        <f t="shared" si="16"/>
        <v/>
      </c>
      <c r="M47" s="835" t="str">
        <f t="shared" si="16"/>
        <v/>
      </c>
      <c r="N47" s="835" t="str">
        <f t="shared" si="16"/>
        <v/>
      </c>
      <c r="O47" s="835" t="str">
        <f t="shared" si="16"/>
        <v/>
      </c>
      <c r="P47" s="835">
        <f t="shared" si="16"/>
        <v>0.21523046881883981</v>
      </c>
      <c r="Q47" s="835" t="str">
        <f t="shared" si="16"/>
        <v/>
      </c>
      <c r="R47" s="835">
        <f t="shared" si="16"/>
        <v>0.24192825237273097</v>
      </c>
      <c r="S47" s="835">
        <f t="shared" si="16"/>
        <v>0.20790866220493276</v>
      </c>
      <c r="T47" s="835" t="str">
        <f t="shared" si="16"/>
        <v/>
      </c>
      <c r="U47" s="835" t="str">
        <f t="shared" si="16"/>
        <v/>
      </c>
      <c r="V47" s="835" t="str">
        <f t="shared" si="16"/>
        <v/>
      </c>
      <c r="W47" s="835" t="str">
        <f t="shared" si="16"/>
        <v/>
      </c>
      <c r="X47" s="835">
        <f t="shared" si="16"/>
        <v>0.20427602410221077</v>
      </c>
      <c r="Y47" s="835" t="str">
        <f t="shared" si="16"/>
        <v/>
      </c>
      <c r="Z47" s="835" t="str">
        <f t="shared" si="16"/>
        <v/>
      </c>
      <c r="AA47" s="836" t="str">
        <f t="shared" si="16"/>
        <v/>
      </c>
    </row>
    <row r="48" spans="1:30" s="345" customFormat="1" ht="13.5" thickBot="1">
      <c r="A48" s="345">
        <v>14</v>
      </c>
      <c r="B48" s="818">
        <f t="shared" si="8"/>
        <v>90</v>
      </c>
      <c r="C48" s="809">
        <f t="shared" si="3"/>
        <v>98.474693898206965</v>
      </c>
      <c r="D48" s="809">
        <f t="shared" si="4"/>
        <v>12</v>
      </c>
      <c r="E48" s="1591"/>
      <c r="F48" s="1579"/>
      <c r="G48" s="1598"/>
      <c r="H48" s="834" t="str">
        <f>IF(H36="","",IF(SUMIF($A$13:$A$31,H36,$K$13:$K$31)=0,"",SUMIF($A$13:$A$31,H36,$K$13:$K$31)/$M$33))</f>
        <v/>
      </c>
      <c r="I48" s="835" t="str">
        <f t="shared" ref="I48:AA48" si="17">IF(I36="","",IF(SUMIF($A$13:$A$31,I36,$K$13:$K$31)=0,"",SUMIF($A$13:$A$31,I36,$K$13:$K$31)/$M$33))</f>
        <v/>
      </c>
      <c r="J48" s="835" t="str">
        <f t="shared" si="17"/>
        <v/>
      </c>
      <c r="K48" s="835" t="str">
        <f t="shared" si="17"/>
        <v/>
      </c>
      <c r="L48" s="835" t="str">
        <f t="shared" si="17"/>
        <v/>
      </c>
      <c r="M48" s="835" t="str">
        <f t="shared" si="17"/>
        <v/>
      </c>
      <c r="N48" s="835" t="str">
        <f t="shared" si="17"/>
        <v/>
      </c>
      <c r="O48" s="835" t="str">
        <f t="shared" si="17"/>
        <v/>
      </c>
      <c r="P48" s="835" t="str">
        <f t="shared" si="17"/>
        <v/>
      </c>
      <c r="Q48" s="835" t="str">
        <f t="shared" si="17"/>
        <v/>
      </c>
      <c r="R48" s="835" t="str">
        <f t="shared" si="17"/>
        <v/>
      </c>
      <c r="S48" s="835" t="str">
        <f t="shared" si="17"/>
        <v/>
      </c>
      <c r="T48" s="835" t="str">
        <f t="shared" si="17"/>
        <v/>
      </c>
      <c r="U48" s="835" t="str">
        <f t="shared" si="17"/>
        <v/>
      </c>
      <c r="V48" s="835" t="str">
        <f t="shared" si="17"/>
        <v/>
      </c>
      <c r="W48" s="835" t="str">
        <f t="shared" si="17"/>
        <v/>
      </c>
      <c r="X48" s="835" t="str">
        <f t="shared" si="17"/>
        <v/>
      </c>
      <c r="Y48" s="835" t="str">
        <f t="shared" si="17"/>
        <v/>
      </c>
      <c r="Z48" s="835" t="str">
        <f t="shared" si="17"/>
        <v/>
      </c>
      <c r="AA48" s="836" t="str">
        <f t="shared" si="17"/>
        <v/>
      </c>
    </row>
    <row r="49" spans="1:28" s="345" customFormat="1">
      <c r="A49" s="345">
        <v>15</v>
      </c>
      <c r="B49" s="818">
        <f t="shared" ref="B49:B54" si="18">IF(COUNTIF(C26,"")+COUNTIF(H26,"")+COUNTIF(O26,"")+COUNTIF(T26,"")=4,"",AVERAGE(C26,H26,O26,T26))</f>
        <v>97.736572490101764</v>
      </c>
      <c r="C49" s="809">
        <f t="shared" si="3"/>
        <v>99.115172061249353</v>
      </c>
      <c r="D49" s="809">
        <f t="shared" si="4"/>
        <v>13</v>
      </c>
      <c r="E49" s="1591"/>
      <c r="F49" s="1578">
        <f>U7</f>
        <v>83</v>
      </c>
      <c r="G49" s="1596" t="s">
        <v>1285</v>
      </c>
      <c r="H49" s="840" t="str">
        <f>IF(H36="","",IF(SUMIF($A$13:$A$31,H36,$Q$13:$Q$31)=0,"",SUMIF($A$13:$A$31,H36,$Q$13:$Q$31)/$Y$33))</f>
        <v/>
      </c>
      <c r="I49" s="841">
        <f t="shared" ref="I49:AA49" si="19">IF(I36="","",IF(SUMIF($A$13:$A$31,I36,$Q$13:$Q$31)=0,"",SUMIF($A$13:$A$31,I36,$Q$13:$Q$31)/$Y$33))</f>
        <v>0.12651643395107998</v>
      </c>
      <c r="J49" s="841" t="str">
        <f t="shared" si="19"/>
        <v/>
      </c>
      <c r="K49" s="841" t="str">
        <f t="shared" si="19"/>
        <v/>
      </c>
      <c r="L49" s="841" t="str">
        <f t="shared" si="19"/>
        <v/>
      </c>
      <c r="M49" s="841" t="str">
        <f t="shared" si="19"/>
        <v/>
      </c>
      <c r="N49" s="841" t="str">
        <f t="shared" si="19"/>
        <v/>
      </c>
      <c r="O49" s="841">
        <f t="shared" si="19"/>
        <v>0.17420747563668237</v>
      </c>
      <c r="P49" s="841" t="str">
        <f t="shared" si="19"/>
        <v/>
      </c>
      <c r="Q49" s="841" t="str">
        <f t="shared" si="19"/>
        <v/>
      </c>
      <c r="R49" s="841">
        <f t="shared" si="19"/>
        <v>0.24434103583299857</v>
      </c>
      <c r="S49" s="841" t="str">
        <f t="shared" si="19"/>
        <v/>
      </c>
      <c r="T49" s="841" t="str">
        <f t="shared" si="19"/>
        <v/>
      </c>
      <c r="U49" s="841">
        <f t="shared" si="19"/>
        <v>0.15188512577720012</v>
      </c>
      <c r="V49" s="841" t="str">
        <f t="shared" si="19"/>
        <v/>
      </c>
      <c r="W49" s="841">
        <f t="shared" si="19"/>
        <v>5.6826016633310848E-2</v>
      </c>
      <c r="X49" s="841" t="str">
        <f t="shared" si="19"/>
        <v/>
      </c>
      <c r="Y49" s="841">
        <f t="shared" si="19"/>
        <v>9.0881957823472276E-2</v>
      </c>
      <c r="Z49" s="841" t="str">
        <f t="shared" si="19"/>
        <v/>
      </c>
      <c r="AA49" s="842" t="str">
        <f t="shared" si="19"/>
        <v/>
      </c>
    </row>
    <row r="50" spans="1:28" s="345" customFormat="1">
      <c r="A50" s="345">
        <v>16</v>
      </c>
      <c r="B50" s="818">
        <f t="shared" si="18"/>
        <v>98.474693898206965</v>
      </c>
      <c r="C50" s="809">
        <f t="shared" si="3"/>
        <v>99.665653482478291</v>
      </c>
      <c r="D50" s="809">
        <f t="shared" si="4"/>
        <v>14</v>
      </c>
      <c r="E50" s="1591"/>
      <c r="F50" s="1595"/>
      <c r="G50" s="1597"/>
      <c r="H50" s="843" t="str">
        <f>IF(H36="","",IF(SUMIF($A$13:$A$31,H36,$R$13:$R$31)=0,"",SUMIF($A$13:$A$31,H36,$R$13:$R$31)/$Y$33))</f>
        <v/>
      </c>
      <c r="I50" s="844" t="str">
        <f t="shared" ref="I50:AA50" si="20">IF(I36="","",IF(SUMIF($A$13:$A$31,I36,$R$13:$R$31)=0,"",SUMIF($A$13:$A$31,I36,$R$13:$R$31)/$Y$33))</f>
        <v/>
      </c>
      <c r="J50" s="844" t="str">
        <f t="shared" si="20"/>
        <v/>
      </c>
      <c r="K50" s="844" t="str">
        <f t="shared" si="20"/>
        <v/>
      </c>
      <c r="L50" s="844" t="str">
        <f t="shared" si="20"/>
        <v/>
      </c>
      <c r="M50" s="844" t="str">
        <f t="shared" si="20"/>
        <v/>
      </c>
      <c r="N50" s="844" t="str">
        <f t="shared" si="20"/>
        <v/>
      </c>
      <c r="O50" s="844" t="str">
        <f t="shared" si="20"/>
        <v/>
      </c>
      <c r="P50" s="844" t="str">
        <f t="shared" si="20"/>
        <v/>
      </c>
      <c r="Q50" s="844" t="str">
        <f t="shared" si="20"/>
        <v/>
      </c>
      <c r="R50" s="844" t="str">
        <f t="shared" si="20"/>
        <v/>
      </c>
      <c r="S50" s="844" t="str">
        <f t="shared" si="20"/>
        <v/>
      </c>
      <c r="T50" s="844" t="str">
        <f t="shared" si="20"/>
        <v/>
      </c>
      <c r="U50" s="844" t="str">
        <f t="shared" si="20"/>
        <v/>
      </c>
      <c r="V50" s="844" t="str">
        <f t="shared" si="20"/>
        <v/>
      </c>
      <c r="W50" s="844" t="str">
        <f t="shared" si="20"/>
        <v/>
      </c>
      <c r="X50" s="844" t="str">
        <f t="shared" si="20"/>
        <v/>
      </c>
      <c r="Y50" s="844" t="str">
        <f t="shared" si="20"/>
        <v/>
      </c>
      <c r="Z50" s="844" t="str">
        <f t="shared" si="20"/>
        <v/>
      </c>
      <c r="AA50" s="845" t="str">
        <f t="shared" si="20"/>
        <v/>
      </c>
    </row>
    <row r="51" spans="1:28" s="345" customFormat="1">
      <c r="A51" s="345">
        <v>17</v>
      </c>
      <c r="B51" s="818">
        <f t="shared" si="18"/>
        <v>99.115172061249353</v>
      </c>
      <c r="C51" s="809">
        <f t="shared" si="3"/>
        <v>99.951573567634654</v>
      </c>
      <c r="D51" s="809">
        <f t="shared" si="4"/>
        <v>15</v>
      </c>
      <c r="E51" s="1591"/>
      <c r="F51" s="1595"/>
      <c r="G51" s="1597" t="s">
        <v>1286</v>
      </c>
      <c r="H51" s="843" t="str">
        <f>IF(H36="","",IF(SUMIF($A$13:$A$31,H36,$V$13:$V$31)=0,"",SUMIF($A$13:$A$31,H36,$V$13:$V$31)/$Y$33))</f>
        <v/>
      </c>
      <c r="I51" s="844">
        <f t="shared" ref="I51:AA51" si="21">IF(I36="","",IF(SUMIF($A$13:$A$31,I36,$V$13:$V$31)=0,"",SUMIF($A$13:$A$31,I36,$V$13:$V$31)/$Y$33))</f>
        <v>0.11896515219139921</v>
      </c>
      <c r="J51" s="844" t="str">
        <f t="shared" si="21"/>
        <v/>
      </c>
      <c r="K51" s="844" t="str">
        <f t="shared" si="21"/>
        <v/>
      </c>
      <c r="L51" s="844" t="str">
        <f t="shared" si="21"/>
        <v/>
      </c>
      <c r="M51" s="844" t="str">
        <f t="shared" si="21"/>
        <v/>
      </c>
      <c r="N51" s="844" t="str">
        <f t="shared" si="21"/>
        <v/>
      </c>
      <c r="O51" s="844" t="str">
        <f t="shared" si="21"/>
        <v/>
      </c>
      <c r="P51" s="844">
        <f t="shared" si="21"/>
        <v>0.2043072900239086</v>
      </c>
      <c r="Q51" s="844">
        <f t="shared" si="21"/>
        <v>0.23270965823111622</v>
      </c>
      <c r="R51" s="844">
        <f t="shared" si="21"/>
        <v>0.23856261588967972</v>
      </c>
      <c r="S51" s="844" t="str">
        <f t="shared" si="21"/>
        <v/>
      </c>
      <c r="T51" s="844" t="str">
        <f t="shared" si="21"/>
        <v/>
      </c>
      <c r="U51" s="844" t="str">
        <f t="shared" si="21"/>
        <v/>
      </c>
      <c r="V51" s="844" t="str">
        <f t="shared" si="21"/>
        <v/>
      </c>
      <c r="W51" s="844" t="str">
        <f t="shared" si="21"/>
        <v/>
      </c>
      <c r="X51" s="844" t="str">
        <f t="shared" si="21"/>
        <v/>
      </c>
      <c r="Y51" s="844" t="str">
        <f t="shared" si="21"/>
        <v/>
      </c>
      <c r="Z51" s="844" t="str">
        <f t="shared" si="21"/>
        <v/>
      </c>
      <c r="AA51" s="845" t="str">
        <f t="shared" si="21"/>
        <v/>
      </c>
    </row>
    <row r="52" spans="1:28" s="345" customFormat="1" ht="13.5" thickBot="1">
      <c r="A52" s="345">
        <v>18</v>
      </c>
      <c r="B52" s="818">
        <f t="shared" si="18"/>
        <v>99.665653482478291</v>
      </c>
      <c r="C52" s="809">
        <f t="shared" si="3"/>
        <v>100</v>
      </c>
      <c r="D52" s="809">
        <f t="shared" si="4"/>
        <v>16</v>
      </c>
      <c r="E52" s="1592"/>
      <c r="F52" s="1579"/>
      <c r="G52" s="1598"/>
      <c r="H52" s="846" t="str">
        <f>IF(H36="","",IF(SUMIF($A$13:$A$31,H36,$W$13:$W$31)=0,"",SUMIF($A$13:$A$31,H36,$W$13:$W$31)/$Y$33))</f>
        <v/>
      </c>
      <c r="I52" s="847" t="str">
        <f t="shared" ref="I52:AA52" si="22">IF(I36="","",IF(SUMIF($A$13:$A$31,I36,$W$13:$W$31)=0,"",SUMIF($A$13:$A$31,I36,$W$13:$W$31)/$Y$33))</f>
        <v/>
      </c>
      <c r="J52" s="847" t="str">
        <f t="shared" si="22"/>
        <v/>
      </c>
      <c r="K52" s="847" t="str">
        <f t="shared" si="22"/>
        <v/>
      </c>
      <c r="L52" s="847" t="str">
        <f t="shared" si="22"/>
        <v/>
      </c>
      <c r="M52" s="847" t="str">
        <f t="shared" si="22"/>
        <v/>
      </c>
      <c r="N52" s="847" t="str">
        <f t="shared" si="22"/>
        <v/>
      </c>
      <c r="O52" s="847" t="str">
        <f t="shared" si="22"/>
        <v/>
      </c>
      <c r="P52" s="847" t="str">
        <f t="shared" si="22"/>
        <v/>
      </c>
      <c r="Q52" s="847" t="str">
        <f t="shared" si="22"/>
        <v/>
      </c>
      <c r="R52" s="847" t="str">
        <f t="shared" si="22"/>
        <v/>
      </c>
      <c r="S52" s="847" t="str">
        <f t="shared" si="22"/>
        <v/>
      </c>
      <c r="T52" s="847" t="str">
        <f t="shared" si="22"/>
        <v/>
      </c>
      <c r="U52" s="847" t="str">
        <f t="shared" si="22"/>
        <v/>
      </c>
      <c r="V52" s="847" t="str">
        <f t="shared" si="22"/>
        <v/>
      </c>
      <c r="W52" s="847" t="str">
        <f t="shared" si="22"/>
        <v/>
      </c>
      <c r="X52" s="847" t="str">
        <f t="shared" si="22"/>
        <v/>
      </c>
      <c r="Y52" s="847" t="str">
        <f t="shared" si="22"/>
        <v/>
      </c>
      <c r="Z52" s="847" t="str">
        <f t="shared" si="22"/>
        <v/>
      </c>
      <c r="AA52" s="848" t="str">
        <f t="shared" si="22"/>
        <v/>
      </c>
    </row>
    <row r="53" spans="1:28" s="345" customFormat="1">
      <c r="A53" s="345">
        <v>19</v>
      </c>
      <c r="B53" s="818">
        <f t="shared" si="18"/>
        <v>99.951573567634654</v>
      </c>
      <c r="C53" s="809">
        <f t="shared" si="3"/>
        <v>0</v>
      </c>
      <c r="D53" s="809">
        <f t="shared" si="4"/>
        <v>17</v>
      </c>
      <c r="E53" s="1571" t="s">
        <v>1287</v>
      </c>
      <c r="F53" s="1574" t="s">
        <v>1283</v>
      </c>
      <c r="G53" s="1593"/>
      <c r="H53" s="834">
        <f t="shared" ref="H53:AA53" si="23">IF(COUNTIF(H55:H58,"")=4,"",AVERAGE(H55:H58))</f>
        <v>4.1448746126869482E-2</v>
      </c>
      <c r="I53" s="835">
        <f t="shared" si="23"/>
        <v>0.11635792667089177</v>
      </c>
      <c r="J53" s="835">
        <f t="shared" si="23"/>
        <v>0.15809980957562991</v>
      </c>
      <c r="K53" s="835">
        <f t="shared" si="23"/>
        <v>7.4799070932993372E-2</v>
      </c>
      <c r="L53" s="835">
        <f t="shared" si="23"/>
        <v>7.7638973520892912E-2</v>
      </c>
      <c r="M53" s="835">
        <f t="shared" si="23"/>
        <v>4.3885091427051832E-2</v>
      </c>
      <c r="N53" s="835">
        <f t="shared" si="23"/>
        <v>0.10670485357221282</v>
      </c>
      <c r="O53" s="835">
        <f t="shared" si="23"/>
        <v>0.19869704126232623</v>
      </c>
      <c r="P53" s="835">
        <f t="shared" si="23"/>
        <v>0.20869321088810761</v>
      </c>
      <c r="Q53" s="835">
        <f t="shared" si="23"/>
        <v>0.23486203077295204</v>
      </c>
      <c r="R53" s="835">
        <f t="shared" si="23"/>
        <v>0.24487356488639414</v>
      </c>
      <c r="S53" s="835">
        <f t="shared" si="23"/>
        <v>0.20195392887077257</v>
      </c>
      <c r="T53" s="835">
        <f t="shared" si="23"/>
        <v>0.19964874301504865</v>
      </c>
      <c r="U53" s="835">
        <f t="shared" si="23"/>
        <v>0.23224070759282636</v>
      </c>
      <c r="V53" s="835">
        <f t="shared" si="23"/>
        <v>0.19475144597157754</v>
      </c>
      <c r="W53" s="835">
        <f t="shared" si="23"/>
        <v>0.22482461777053445</v>
      </c>
      <c r="X53" s="835">
        <f t="shared" si="23"/>
        <v>0.1395439904184588</v>
      </c>
      <c r="Y53" s="835" t="str">
        <f t="shared" si="23"/>
        <v/>
      </c>
      <c r="Z53" s="835" t="str">
        <f t="shared" si="23"/>
        <v/>
      </c>
      <c r="AA53" s="836" t="str">
        <f t="shared" si="23"/>
        <v/>
      </c>
    </row>
    <row r="54" spans="1:28" s="345" customFormat="1" ht="13.5" thickBot="1">
      <c r="A54" s="345">
        <v>20</v>
      </c>
      <c r="B54" s="818">
        <f t="shared" si="18"/>
        <v>100</v>
      </c>
      <c r="C54" s="809">
        <f t="shared" si="3"/>
        <v>0</v>
      </c>
      <c r="D54" s="809">
        <f t="shared" si="4"/>
        <v>18</v>
      </c>
      <c r="E54" s="1572"/>
      <c r="F54" s="1576" t="s">
        <v>1284</v>
      </c>
      <c r="G54" s="1594"/>
      <c r="H54" s="834">
        <f t="shared" ref="H54:AA54" si="24">IF(COUNTIF(H55:H58,"")=4,"",IF(COUNTIF(H55:H58,"")=3,0,STDEV(H55:H58)*$F$35))</f>
        <v>4.5708542421214488E-3</v>
      </c>
      <c r="I54" s="835">
        <f t="shared" si="24"/>
        <v>0</v>
      </c>
      <c r="J54" s="835">
        <f t="shared" si="24"/>
        <v>1.106222205484335E-2</v>
      </c>
      <c r="K54" s="835">
        <f t="shared" si="24"/>
        <v>4.2857450055593634E-3</v>
      </c>
      <c r="L54" s="835">
        <f t="shared" si="24"/>
        <v>6.361118365843374E-2</v>
      </c>
      <c r="M54" s="835">
        <f t="shared" si="24"/>
        <v>2.7336289568932977E-2</v>
      </c>
      <c r="N54" s="835">
        <f t="shared" si="24"/>
        <v>3.4394185531400875E-2</v>
      </c>
      <c r="O54" s="835">
        <f t="shared" si="24"/>
        <v>0.19811636418298886</v>
      </c>
      <c r="P54" s="835">
        <f t="shared" si="24"/>
        <v>1.8327170071450537E-2</v>
      </c>
      <c r="Q54" s="835">
        <f t="shared" si="24"/>
        <v>1.3981071750400696E-2</v>
      </c>
      <c r="R54" s="835">
        <f t="shared" si="24"/>
        <v>6.5076246713482444E-3</v>
      </c>
      <c r="S54" s="835">
        <f t="shared" si="24"/>
        <v>0</v>
      </c>
      <c r="T54" s="835">
        <f t="shared" si="24"/>
        <v>0.21412221482923832</v>
      </c>
      <c r="U54" s="835">
        <f t="shared" si="24"/>
        <v>0</v>
      </c>
      <c r="V54" s="835">
        <f t="shared" si="24"/>
        <v>0.24335791204268625</v>
      </c>
      <c r="W54" s="835">
        <f t="shared" si="24"/>
        <v>0</v>
      </c>
      <c r="X54" s="835">
        <f t="shared" si="24"/>
        <v>7.7781745930520273E-3</v>
      </c>
      <c r="Y54" s="835" t="str">
        <f t="shared" si="24"/>
        <v/>
      </c>
      <c r="Z54" s="835" t="str">
        <f t="shared" si="24"/>
        <v/>
      </c>
      <c r="AA54" s="836" t="str">
        <f t="shared" si="24"/>
        <v/>
      </c>
    </row>
    <row r="55" spans="1:28" s="345" customFormat="1">
      <c r="E55" s="1572"/>
      <c r="F55" s="1578">
        <f>G7</f>
        <v>57</v>
      </c>
      <c r="G55" s="982" t="s">
        <v>1285</v>
      </c>
      <c r="H55" s="827">
        <f>IF(H36="","",IF(SUMIF($A$13:$A$31,H36,$G$13:$G$31)=0,"",SUMIF($A$13:$A$31,H36,$G$13:$G$31)/$M$33))</f>
        <v>4.0231424604913975E-2</v>
      </c>
      <c r="I55" s="828" t="str">
        <f t="shared" ref="I55:AA55" si="25">IF(I36="","",IF(SUMIF($A$13:$A$31,I36,$G$13:$G$31)=0,"",SUMIF($A$13:$A$31,I36,$G$13:$G$31)/$M$33))</f>
        <v/>
      </c>
      <c r="J55" s="828" t="str">
        <f t="shared" si="25"/>
        <v/>
      </c>
      <c r="K55" s="828">
        <f t="shared" si="25"/>
        <v>7.3657680427734268E-2</v>
      </c>
      <c r="L55" s="828" t="str">
        <f t="shared" si="25"/>
        <v/>
      </c>
      <c r="M55" s="828">
        <f t="shared" si="25"/>
        <v>2.906126909886354E-2</v>
      </c>
      <c r="N55" s="828">
        <f t="shared" si="25"/>
        <v>0.11365265591373312</v>
      </c>
      <c r="O55" s="828">
        <f t="shared" si="25"/>
        <v>0.28298914729399838</v>
      </c>
      <c r="P55" s="828">
        <f t="shared" si="25"/>
        <v>0.2121062855567038</v>
      </c>
      <c r="Q55" s="828">
        <f t="shared" si="25"/>
        <v>0.24228762400266474</v>
      </c>
      <c r="R55" s="828">
        <f t="shared" si="25"/>
        <v>0.24832390655215708</v>
      </c>
      <c r="S55" s="828" t="str">
        <f t="shared" si="25"/>
        <v/>
      </c>
      <c r="T55" s="828">
        <f t="shared" si="25"/>
        <v>0.29274038772205008</v>
      </c>
      <c r="U55" s="828" t="str">
        <f t="shared" si="25"/>
        <v/>
      </c>
      <c r="V55" s="828">
        <f t="shared" si="25"/>
        <v>0.25956314378021772</v>
      </c>
      <c r="W55" s="828" t="str">
        <f t="shared" si="25"/>
        <v/>
      </c>
      <c r="X55" s="828" t="str">
        <f t="shared" si="25"/>
        <v/>
      </c>
      <c r="Y55" s="828" t="str">
        <f t="shared" si="25"/>
        <v/>
      </c>
      <c r="Z55" s="828" t="str">
        <f t="shared" si="25"/>
        <v/>
      </c>
      <c r="AA55" s="829" t="str">
        <f t="shared" si="25"/>
        <v/>
      </c>
    </row>
    <row r="56" spans="1:28" s="345" customFormat="1" ht="13.5" thickBot="1">
      <c r="E56" s="1572"/>
      <c r="F56" s="1579"/>
      <c r="G56" s="983" t="s">
        <v>1286</v>
      </c>
      <c r="H56" s="823">
        <f>IF(H36="","",IF(SUMIF($A$13:$A$31,H36,$L$13:$L$31)=0,"",SUMIF($A$13:$A$31,H36,$L$13:$L$31)/$M$33))</f>
        <v>4.2666067648824982E-2</v>
      </c>
      <c r="I56" s="824">
        <f t="shared" ref="I56:AA56" si="26">IF(I36="","",IF(SUMIF($A$13:$A$31,I36,$L$13:$L$31)=0,"",SUMIF($A$13:$A$31,I36,$L$13:$L$31)/$M$33))</f>
        <v>0.11635792667089177</v>
      </c>
      <c r="J56" s="824" t="str">
        <f t="shared" si="26"/>
        <v/>
      </c>
      <c r="K56" s="824" t="str">
        <f t="shared" si="26"/>
        <v/>
      </c>
      <c r="L56" s="824">
        <f t="shared" si="26"/>
        <v>9.4580065667496993E-2</v>
      </c>
      <c r="M56" s="824">
        <f t="shared" si="26"/>
        <v>4.4790685310563544E-2</v>
      </c>
      <c r="N56" s="824">
        <f t="shared" si="26"/>
        <v>0.12110646585254825</v>
      </c>
      <c r="O56" s="824" t="str">
        <f t="shared" si="26"/>
        <v/>
      </c>
      <c r="P56" s="824">
        <f t="shared" si="26"/>
        <v>0.21366881888569858</v>
      </c>
      <c r="Q56" s="824">
        <f t="shared" si="26"/>
        <v>0.23226968203500661</v>
      </c>
      <c r="R56" s="824">
        <f t="shared" si="26"/>
        <v>0.24306592363408358</v>
      </c>
      <c r="S56" s="824" t="str">
        <f t="shared" si="26"/>
        <v/>
      </c>
      <c r="T56" s="824" t="str">
        <f t="shared" si="26"/>
        <v/>
      </c>
      <c r="U56" s="824">
        <f t="shared" si="26"/>
        <v>0.23224070759282636</v>
      </c>
      <c r="V56" s="824" t="str">
        <f t="shared" si="26"/>
        <v/>
      </c>
      <c r="W56" s="824">
        <f t="shared" si="26"/>
        <v>0.22482461777053445</v>
      </c>
      <c r="X56" s="824" t="str">
        <f t="shared" si="26"/>
        <v/>
      </c>
      <c r="Y56" s="824" t="str">
        <f t="shared" si="26"/>
        <v/>
      </c>
      <c r="Z56" s="824" t="str">
        <f t="shared" si="26"/>
        <v/>
      </c>
      <c r="AA56" s="825" t="str">
        <f t="shared" si="26"/>
        <v/>
      </c>
    </row>
    <row r="57" spans="1:28" s="345" customFormat="1">
      <c r="E57" s="1572"/>
      <c r="F57" s="1578">
        <f>U7</f>
        <v>83</v>
      </c>
      <c r="G57" s="982" t="s">
        <v>1285</v>
      </c>
      <c r="H57" s="823" t="str">
        <f>IF(H36="","",IF(SUMIF($A$13:$A$31,H36,$S$13:$S$31)=0,"",SUMIF($A$13:$A$31,H36,$S$13:$S$31)/$Y$33))</f>
        <v/>
      </c>
      <c r="I57" s="824" t="str">
        <f t="shared" ref="I57:AA57" si="27">IF(I36="","",IF(SUMIF($A$13:$A$31,I36,$S$13:$S$31)=0,"",SUMIF($A$13:$A$31,I36,$S$13:$S$31)/$Y$33))</f>
        <v/>
      </c>
      <c r="J57" s="824">
        <f t="shared" si="27"/>
        <v>0.16104592867606346</v>
      </c>
      <c r="K57" s="824" t="str">
        <f t="shared" si="27"/>
        <v/>
      </c>
      <c r="L57" s="824">
        <f t="shared" si="27"/>
        <v>6.0697881374288838E-2</v>
      </c>
      <c r="M57" s="824">
        <f t="shared" si="27"/>
        <v>5.1387183119412198E-2</v>
      </c>
      <c r="N57" s="824">
        <f t="shared" si="27"/>
        <v>9.287970022602797E-2</v>
      </c>
      <c r="O57" s="824">
        <f t="shared" si="27"/>
        <v>0.17200958200622901</v>
      </c>
      <c r="P57" s="824">
        <f t="shared" si="27"/>
        <v>0.21047175048712349</v>
      </c>
      <c r="Q57" s="824">
        <f t="shared" si="27"/>
        <v>0.23464151239169315</v>
      </c>
      <c r="R57" s="824">
        <f t="shared" si="27"/>
        <v>0.24491844830915799</v>
      </c>
      <c r="S57" s="824" t="str">
        <f t="shared" si="27"/>
        <v/>
      </c>
      <c r="T57" s="824">
        <f t="shared" si="27"/>
        <v>0.15517442389313099</v>
      </c>
      <c r="U57" s="824" t="str">
        <f t="shared" si="27"/>
        <v/>
      </c>
      <c r="V57" s="824" t="str">
        <f t="shared" si="27"/>
        <v/>
      </c>
      <c r="W57" s="824" t="str">
        <f t="shared" si="27"/>
        <v/>
      </c>
      <c r="X57" s="824">
        <f t="shared" si="27"/>
        <v>0.13747248718687574</v>
      </c>
      <c r="Y57" s="824" t="str">
        <f t="shared" si="27"/>
        <v/>
      </c>
      <c r="Z57" s="824" t="str">
        <f t="shared" si="27"/>
        <v/>
      </c>
      <c r="AA57" s="825" t="str">
        <f t="shared" si="27"/>
        <v/>
      </c>
    </row>
    <row r="58" spans="1:28" s="345" customFormat="1" ht="13.5" thickBot="1">
      <c r="E58" s="1573"/>
      <c r="F58" s="1579"/>
      <c r="G58" s="983" t="s">
        <v>1286</v>
      </c>
      <c r="H58" s="831" t="str">
        <f>IF(H36="","",IF(SUMIF($A$13:$A$31,H36,$X$13:$X$31)=0,"",SUMIF($A$13:$A$31,H36,$X$13:$X$31)/$Y$33))</f>
        <v/>
      </c>
      <c r="I58" s="832" t="str">
        <f t="shared" ref="I58:AA58" si="28">IF(I36="","",IF(SUMIF($A$13:$A$31,I36,$X$13:$X$31)=0,"",SUMIF($A$13:$A$31,I36,$X$13:$X$31)/$Y$33))</f>
        <v/>
      </c>
      <c r="J58" s="832">
        <f t="shared" si="28"/>
        <v>0.15515369047519639</v>
      </c>
      <c r="K58" s="832">
        <f t="shared" si="28"/>
        <v>7.5940461438252477E-2</v>
      </c>
      <c r="L58" s="832" t="str">
        <f t="shared" si="28"/>
        <v/>
      </c>
      <c r="M58" s="832">
        <f t="shared" si="28"/>
        <v>5.0301228179368059E-2</v>
      </c>
      <c r="N58" s="832">
        <f t="shared" si="28"/>
        <v>9.9180592296541928E-2</v>
      </c>
      <c r="O58" s="832">
        <f t="shared" si="28"/>
        <v>0.14109239448675132</v>
      </c>
      <c r="P58" s="832">
        <f t="shared" si="28"/>
        <v>0.19852598862290446</v>
      </c>
      <c r="Q58" s="832">
        <f t="shared" si="28"/>
        <v>0.23024930466244359</v>
      </c>
      <c r="R58" s="832">
        <f t="shared" si="28"/>
        <v>0.24318598105017783</v>
      </c>
      <c r="S58" s="832">
        <f t="shared" si="28"/>
        <v>0.20195392887077257</v>
      </c>
      <c r="T58" s="832">
        <f t="shared" si="28"/>
        <v>0.15103141742996487</v>
      </c>
      <c r="U58" s="832" t="str">
        <f t="shared" si="28"/>
        <v/>
      </c>
      <c r="V58" s="832">
        <f t="shared" si="28"/>
        <v>0.12993974816293735</v>
      </c>
      <c r="W58" s="832" t="str">
        <f t="shared" si="28"/>
        <v/>
      </c>
      <c r="X58" s="832">
        <f t="shared" si="28"/>
        <v>0.14161549365004186</v>
      </c>
      <c r="Y58" s="832" t="str">
        <f t="shared" si="28"/>
        <v/>
      </c>
      <c r="Z58" s="832" t="str">
        <f t="shared" si="28"/>
        <v/>
      </c>
      <c r="AA58" s="833" t="str">
        <f t="shared" si="28"/>
        <v/>
      </c>
    </row>
    <row r="59" spans="1:28" s="345" customFormat="1">
      <c r="E59" s="1586" t="s">
        <v>1283</v>
      </c>
      <c r="F59" s="1587"/>
      <c r="G59" s="1587"/>
      <c r="H59" s="834">
        <f t="shared" ref="H59:AA59" si="29">IF(COUNTIF(H39:H42,"")+COUNTIF(H45:H52,"")+COUNTIF(H55:H58,"")=16,"",AVERAGE(H39:H42,H45:H52,H55:H58))</f>
        <v>4.3041804796829966E-2</v>
      </c>
      <c r="I59" s="835">
        <f t="shared" si="29"/>
        <v>0.12206308253121385</v>
      </c>
      <c r="J59" s="835">
        <f t="shared" si="29"/>
        <v>0.16377713261197777</v>
      </c>
      <c r="K59" s="835">
        <f t="shared" si="29"/>
        <v>7.4167657438791126E-2</v>
      </c>
      <c r="L59" s="835">
        <f t="shared" si="29"/>
        <v>6.4948246083506606E-2</v>
      </c>
      <c r="M59" s="835">
        <f t="shared" si="29"/>
        <v>5.6785378514144724E-2</v>
      </c>
      <c r="N59" s="835">
        <f t="shared" si="29"/>
        <v>0.1081714478470074</v>
      </c>
      <c r="O59" s="835">
        <f t="shared" si="29"/>
        <v>0.18072504649831667</v>
      </c>
      <c r="P59" s="835">
        <f t="shared" si="29"/>
        <v>0.20991201312933142</v>
      </c>
      <c r="Q59" s="835">
        <f t="shared" si="29"/>
        <v>0.23561040660559276</v>
      </c>
      <c r="R59" s="835">
        <f t="shared" si="29"/>
        <v>0.24356343596320562</v>
      </c>
      <c r="S59" s="835">
        <f t="shared" si="29"/>
        <v>0.20626819922601819</v>
      </c>
      <c r="T59" s="835">
        <f t="shared" si="29"/>
        <v>0.20594271170392009</v>
      </c>
      <c r="U59" s="835">
        <f t="shared" si="29"/>
        <v>0.20397354131045786</v>
      </c>
      <c r="V59" s="835">
        <f t="shared" si="29"/>
        <v>0.19154335954983936</v>
      </c>
      <c r="W59" s="835">
        <f t="shared" si="29"/>
        <v>0.15446562428043709</v>
      </c>
      <c r="X59" s="835">
        <f t="shared" si="29"/>
        <v>0.18568591564256531</v>
      </c>
      <c r="Y59" s="835">
        <f t="shared" si="29"/>
        <v>0.1909609271260681</v>
      </c>
      <c r="Z59" s="835" t="str">
        <f t="shared" si="29"/>
        <v/>
      </c>
      <c r="AA59" s="836" t="str">
        <f t="shared" si="29"/>
        <v/>
      </c>
      <c r="AB59" s="851">
        <f>'Ouvertures pennes (MAX)'!AB59</f>
        <v>0.99487262409793209</v>
      </c>
    </row>
    <row r="60" spans="1:28" s="345" customFormat="1" ht="13.5" thickBot="1">
      <c r="E60" s="1588" t="s">
        <v>1284</v>
      </c>
      <c r="F60" s="1589"/>
      <c r="G60" s="1589"/>
      <c r="H60" s="831">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1.2037358909824618E-2</v>
      </c>
      <c r="I60" s="832">
        <f t="shared" si="30"/>
        <v>1.2602789195224994E-2</v>
      </c>
      <c r="J60" s="832">
        <f t="shared" si="30"/>
        <v>1.5741668725629439E-2</v>
      </c>
      <c r="K60" s="832">
        <f t="shared" si="30"/>
        <v>7.163280669390845E-3</v>
      </c>
      <c r="L60" s="832">
        <f t="shared" si="30"/>
        <v>7.8705528928443999E-2</v>
      </c>
      <c r="M60" s="832">
        <f t="shared" si="30"/>
        <v>5.4300116026830082E-2</v>
      </c>
      <c r="N60" s="832">
        <f t="shared" si="30"/>
        <v>3.8494713540864728E-2</v>
      </c>
      <c r="O60" s="832">
        <f t="shared" si="30"/>
        <v>0.1162486924811824</v>
      </c>
      <c r="P60" s="832">
        <f t="shared" si="30"/>
        <v>1.8361730197393577E-2</v>
      </c>
      <c r="Q60" s="832">
        <f t="shared" si="30"/>
        <v>1.1566546579937479E-2</v>
      </c>
      <c r="R60" s="832">
        <f t="shared" si="30"/>
        <v>9.8365106980406024E-3</v>
      </c>
      <c r="S60" s="832">
        <f t="shared" si="30"/>
        <v>1.1044800199352927E-2</v>
      </c>
      <c r="T60" s="832">
        <f t="shared" si="30"/>
        <v>0.17799599609416844</v>
      </c>
      <c r="U60" s="832">
        <f t="shared" si="30"/>
        <v>0.13737987438273913</v>
      </c>
      <c r="V60" s="832">
        <f t="shared" si="30"/>
        <v>0.17638638891669231</v>
      </c>
      <c r="W60" s="832">
        <f t="shared" si="30"/>
        <v>0.20433923032678378</v>
      </c>
      <c r="X60" s="832">
        <f t="shared" si="30"/>
        <v>0.15362088588812567</v>
      </c>
      <c r="Y60" s="832">
        <f t="shared" si="30"/>
        <v>0.37578106780620413</v>
      </c>
      <c r="Z60" s="832" t="str">
        <f t="shared" si="30"/>
        <v/>
      </c>
      <c r="AA60" s="833" t="str">
        <f t="shared" si="30"/>
        <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99" t="s">
        <v>1302</v>
      </c>
      <c r="I65" s="1600"/>
      <c r="J65" s="1600"/>
      <c r="K65" s="1600"/>
      <c r="L65" s="1600"/>
      <c r="M65" s="1600"/>
      <c r="N65" s="1600"/>
      <c r="O65" s="1600"/>
      <c r="P65" s="1600"/>
      <c r="Q65" s="1600"/>
      <c r="R65" s="1600"/>
      <c r="S65" s="1600"/>
      <c r="T65" s="1600"/>
      <c r="U65" s="1600"/>
      <c r="V65" s="1600"/>
      <c r="W65" s="1600"/>
      <c r="X65" s="1600"/>
      <c r="Y65" s="1600"/>
      <c r="Z65" s="1600"/>
      <c r="AA65" s="1601"/>
    </row>
    <row r="66" spans="5:27" s="345" customFormat="1" ht="13.5" thickBot="1">
      <c r="F66" s="854"/>
      <c r="G66" s="855"/>
      <c r="H66" s="1602"/>
      <c r="I66" s="1603"/>
      <c r="J66" s="1603"/>
      <c r="K66" s="1603"/>
      <c r="L66" s="1603"/>
      <c r="M66" s="1603"/>
      <c r="N66" s="1603"/>
      <c r="O66" s="1603"/>
      <c r="P66" s="1603"/>
      <c r="Q66" s="1603"/>
      <c r="R66" s="1603"/>
      <c r="S66" s="1603"/>
      <c r="T66" s="1603"/>
      <c r="U66" s="1603"/>
      <c r="V66" s="1603"/>
      <c r="W66" s="1603"/>
      <c r="X66" s="1603"/>
      <c r="Y66" s="1603"/>
      <c r="Z66" s="1603"/>
      <c r="AA66" s="1604"/>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1">IF(H37="","",RANK(H36,$H$36:$AA$36,1))</f>
        <v>1</v>
      </c>
      <c r="I68" s="860">
        <f t="shared" si="31"/>
        <v>2</v>
      </c>
      <c r="J68" s="860">
        <f t="shared" si="31"/>
        <v>3</v>
      </c>
      <c r="K68" s="860">
        <f t="shared" si="31"/>
        <v>4</v>
      </c>
      <c r="L68" s="860">
        <f t="shared" si="31"/>
        <v>5</v>
      </c>
      <c r="M68" s="860">
        <f t="shared" si="31"/>
        <v>6</v>
      </c>
      <c r="N68" s="860">
        <f t="shared" si="31"/>
        <v>7</v>
      </c>
      <c r="O68" s="860">
        <f t="shared" si="31"/>
        <v>8</v>
      </c>
      <c r="P68" s="860">
        <f t="shared" si="31"/>
        <v>9</v>
      </c>
      <c r="Q68" s="860">
        <f t="shared" si="31"/>
        <v>10</v>
      </c>
      <c r="R68" s="860">
        <f t="shared" si="31"/>
        <v>11</v>
      </c>
      <c r="S68" s="860">
        <f t="shared" si="31"/>
        <v>12</v>
      </c>
      <c r="T68" s="860">
        <f t="shared" si="31"/>
        <v>13</v>
      </c>
      <c r="U68" s="860">
        <f t="shared" si="31"/>
        <v>14</v>
      </c>
      <c r="V68" s="860">
        <f t="shared" si="31"/>
        <v>15</v>
      </c>
      <c r="W68" s="860">
        <f t="shared" si="31"/>
        <v>16</v>
      </c>
      <c r="X68" s="860" t="str">
        <f t="shared" si="31"/>
        <v/>
      </c>
      <c r="Y68" s="860" t="str">
        <f t="shared" si="31"/>
        <v/>
      </c>
      <c r="Z68" s="860" t="str">
        <f t="shared" si="31"/>
        <v/>
      </c>
      <c r="AA68" s="861" t="str">
        <f t="shared" si="31"/>
        <v/>
      </c>
    </row>
    <row r="69" spans="5:27" s="345" customFormat="1" ht="13.5" thickBot="1">
      <c r="F69" s="854"/>
      <c r="G69" s="855"/>
      <c r="H69" s="859">
        <f t="shared" ref="H69:AA69" si="32">IF(H68="","",RANK(H68,$H$68:$AA$68,1))</f>
        <v>1</v>
      </c>
      <c r="I69" s="860">
        <f t="shared" si="32"/>
        <v>2</v>
      </c>
      <c r="J69" s="860">
        <f t="shared" si="32"/>
        <v>3</v>
      </c>
      <c r="K69" s="860">
        <f t="shared" si="32"/>
        <v>4</v>
      </c>
      <c r="L69" s="860">
        <f t="shared" si="32"/>
        <v>5</v>
      </c>
      <c r="M69" s="860">
        <f t="shared" si="32"/>
        <v>6</v>
      </c>
      <c r="N69" s="860">
        <f t="shared" si="32"/>
        <v>7</v>
      </c>
      <c r="O69" s="860">
        <f t="shared" si="32"/>
        <v>8</v>
      </c>
      <c r="P69" s="860">
        <f t="shared" si="32"/>
        <v>9</v>
      </c>
      <c r="Q69" s="860">
        <f t="shared" si="32"/>
        <v>10</v>
      </c>
      <c r="R69" s="860">
        <f t="shared" si="32"/>
        <v>11</v>
      </c>
      <c r="S69" s="860">
        <f t="shared" si="32"/>
        <v>12</v>
      </c>
      <c r="T69" s="860">
        <f t="shared" si="32"/>
        <v>13</v>
      </c>
      <c r="U69" s="860">
        <f t="shared" si="32"/>
        <v>14</v>
      </c>
      <c r="V69" s="860">
        <f t="shared" si="32"/>
        <v>15</v>
      </c>
      <c r="W69" s="860">
        <f t="shared" si="32"/>
        <v>16</v>
      </c>
      <c r="X69" s="860" t="str">
        <f t="shared" si="32"/>
        <v/>
      </c>
      <c r="Y69" s="860" t="str">
        <f t="shared" si="32"/>
        <v/>
      </c>
      <c r="Z69" s="860" t="str">
        <f t="shared" si="32"/>
        <v/>
      </c>
      <c r="AA69" s="861" t="str">
        <f t="shared" si="32"/>
        <v/>
      </c>
    </row>
    <row r="70" spans="5:27" s="345" customFormat="1" ht="13.5" thickBot="1">
      <c r="E70" s="1605" t="s">
        <v>1281</v>
      </c>
      <c r="F70" s="1606"/>
      <c r="G70" s="1606"/>
      <c r="H70" s="862">
        <f>IF(SUMIF($H$69:$AA$69,H$67,$H$36:$AA$36)=0,"",SUMIF($H$69:$AA$69,H$67,$H$36:$AA$36))</f>
        <v>5.3605555861977985</v>
      </c>
      <c r="I70" s="863">
        <f>IF(SUMIF($H$69:$AA$69,I$67,$H$36:$AA$36)=0,"",SUMIF($H$69:$AA$69,I$67,$H$36:$AA$36))</f>
        <v>10</v>
      </c>
      <c r="J70" s="863">
        <f t="shared" ref="J70:AA70" si="33">IF(SUMIF($H$69:$AA$69,J$67,$H$36:$AA$36)=0,"",SUMIF($H$69:$AA$69,J$67,$H$36:$AA$36))</f>
        <v>20</v>
      </c>
      <c r="K70" s="863">
        <f t="shared" si="33"/>
        <v>26.922669813782981</v>
      </c>
      <c r="L70" s="863">
        <f t="shared" si="33"/>
        <v>28.402760758696882</v>
      </c>
      <c r="M70" s="863">
        <f t="shared" si="33"/>
        <v>30</v>
      </c>
      <c r="N70" s="863">
        <f t="shared" si="33"/>
        <v>40</v>
      </c>
      <c r="O70" s="863">
        <f t="shared" si="33"/>
        <v>50</v>
      </c>
      <c r="P70" s="863">
        <f t="shared" si="33"/>
        <v>60</v>
      </c>
      <c r="Q70" s="863">
        <f t="shared" si="33"/>
        <v>70</v>
      </c>
      <c r="R70" s="863">
        <f t="shared" si="33"/>
        <v>80</v>
      </c>
      <c r="S70" s="863">
        <f t="shared" si="33"/>
        <v>90</v>
      </c>
      <c r="T70" s="863">
        <f t="shared" si="33"/>
        <v>97.736572490101764</v>
      </c>
      <c r="U70" s="863">
        <f t="shared" si="33"/>
        <v>98.474693898206965</v>
      </c>
      <c r="V70" s="863">
        <f t="shared" si="33"/>
        <v>99.115172061249353</v>
      </c>
      <c r="W70" s="863">
        <f t="shared" si="33"/>
        <v>99.665653482478291</v>
      </c>
      <c r="X70" s="863" t="str">
        <f t="shared" si="33"/>
        <v/>
      </c>
      <c r="Y70" s="863" t="str">
        <f t="shared" si="33"/>
        <v/>
      </c>
      <c r="Z70" s="863" t="str">
        <f t="shared" si="33"/>
        <v/>
      </c>
      <c r="AA70" s="864" t="str">
        <f t="shared" si="33"/>
        <v/>
      </c>
    </row>
    <row r="71" spans="5:27" s="345" customFormat="1">
      <c r="E71" s="1574" t="s">
        <v>1283</v>
      </c>
      <c r="F71" s="1593"/>
      <c r="G71" s="1575"/>
      <c r="H71" s="865">
        <f>IF(SUMIF($H$36:$AA$36,H$70,$H37:$AA37)=0,"",SUMIF($H$36:$AA$36,H$70,$H37:$AA37)/$AB$59)</f>
        <v>4.4864902687679897E-2</v>
      </c>
      <c r="I71" s="866">
        <f t="shared" ref="I71:AA71" si="34">IF(SUMIF($H$36:$AA$36,I$70,$H37:$AA37)=0,"",SUMIF($H$36:$AA$36,I$70,$H37:$AA37)/$AB$59)</f>
        <v>0.12487824763898578</v>
      </c>
      <c r="J71" s="866">
        <f t="shared" si="34"/>
        <v>0.16747449883971333</v>
      </c>
      <c r="K71" s="866">
        <f t="shared" si="34"/>
        <v>7.3915235140041613E-2</v>
      </c>
      <c r="L71" s="866">
        <f t="shared" si="34"/>
        <v>5.2526843517785075E-2</v>
      </c>
      <c r="M71" s="866">
        <f t="shared" si="34"/>
        <v>7.0044811680714192E-2</v>
      </c>
      <c r="N71" s="866">
        <f t="shared" si="34"/>
        <v>0.10820118526800294</v>
      </c>
      <c r="O71" s="866">
        <f t="shared" si="34"/>
        <v>0.16974579363246659</v>
      </c>
      <c r="P71" s="866">
        <f t="shared" si="34"/>
        <v>0.21229087735330407</v>
      </c>
      <c r="Q71" s="866">
        <f t="shared" si="34"/>
        <v>0.23830585322097972</v>
      </c>
      <c r="R71" s="866">
        <f t="shared" si="34"/>
        <v>0.24497398167886283</v>
      </c>
      <c r="S71" s="866">
        <f t="shared" si="34"/>
        <v>0.20564521936769814</v>
      </c>
      <c r="T71" s="866">
        <f t="shared" si="34"/>
        <v>0.22598331919564754</v>
      </c>
      <c r="U71" s="866">
        <f t="shared" si="34"/>
        <v>0.21699679004802083</v>
      </c>
      <c r="V71" s="866">
        <f t="shared" si="34"/>
        <v>0.18930591571847494</v>
      </c>
      <c r="W71" s="866">
        <f t="shared" si="34"/>
        <v>0.13060943181621459</v>
      </c>
      <c r="X71" s="866" t="str">
        <f t="shared" si="34"/>
        <v/>
      </c>
      <c r="Y71" s="866" t="str">
        <f t="shared" si="34"/>
        <v/>
      </c>
      <c r="Z71" s="866" t="str">
        <f t="shared" si="34"/>
        <v/>
      </c>
      <c r="AA71" s="867" t="str">
        <f t="shared" si="34"/>
        <v/>
      </c>
    </row>
    <row r="72" spans="5:27" s="345" customFormat="1" ht="13.5" thickBot="1">
      <c r="E72" s="1576" t="s">
        <v>1284</v>
      </c>
      <c r="F72" s="1594"/>
      <c r="G72" s="1577"/>
      <c r="H72" s="868">
        <f>IF(SUMIF($H$36:$AA$36,H$70,$H37:$AA37)=0,"",SUMIF($H$36:$AA$36,H$70,$H38:$AA38)/$AB$59)</f>
        <v>1.8595076624672371E-2</v>
      </c>
      <c r="I72" s="869">
        <f t="shared" ref="I72:AA72" si="35">IF(SUMIF($H$36:$AA$36,I$70,$H37:$AA37)=0,"",SUMIF($H$36:$AA$36,I$70,$H38:$AA38)/$AB$59)</f>
        <v>1.1536124160108102E-2</v>
      </c>
      <c r="J72" s="869">
        <f t="shared" si="35"/>
        <v>1.2103321613918461E-2</v>
      </c>
      <c r="K72" s="869">
        <f t="shared" si="35"/>
        <v>1.1207721993747324E-2</v>
      </c>
      <c r="L72" s="869">
        <f t="shared" si="35"/>
        <v>0.10049489887843151</v>
      </c>
      <c r="M72" s="869">
        <f t="shared" si="35"/>
        <v>5.5092802838210213E-2</v>
      </c>
      <c r="N72" s="869">
        <f t="shared" si="35"/>
        <v>5.1220247503492529E-2</v>
      </c>
      <c r="O72" s="869">
        <f t="shared" si="35"/>
        <v>4.1062294484966573E-2</v>
      </c>
      <c r="P72" s="869">
        <f t="shared" si="35"/>
        <v>2.2603236935338972E-2</v>
      </c>
      <c r="Q72" s="869">
        <f t="shared" si="35"/>
        <v>1.0818552192243822E-2</v>
      </c>
      <c r="R72" s="869">
        <f t="shared" si="35"/>
        <v>1.4120464880932822E-2</v>
      </c>
      <c r="S72" s="869">
        <f t="shared" si="35"/>
        <v>6.5059213884188245E-3</v>
      </c>
      <c r="T72" s="869">
        <f t="shared" si="35"/>
        <v>0</v>
      </c>
      <c r="U72" s="869">
        <f t="shared" si="35"/>
        <v>0.17369195690437861</v>
      </c>
      <c r="V72" s="869">
        <f t="shared" si="35"/>
        <v>0.18485867515340282</v>
      </c>
      <c r="W72" s="869">
        <f t="shared" si="35"/>
        <v>0</v>
      </c>
      <c r="X72" s="869" t="str">
        <f t="shared" si="35"/>
        <v/>
      </c>
      <c r="Y72" s="869" t="str">
        <f t="shared" si="35"/>
        <v/>
      </c>
      <c r="Z72" s="869" t="str">
        <f t="shared" si="35"/>
        <v/>
      </c>
      <c r="AA72" s="870" t="str">
        <f t="shared" si="35"/>
        <v/>
      </c>
    </row>
    <row r="73" spans="5:27" s="345" customFormat="1">
      <c r="F73" s="854"/>
      <c r="H73" s="871" t="str">
        <f t="shared" ref="H73:AA73" si="36">IF(H43="","",RANK(H36,$H$36:$AA$36,1))</f>
        <v/>
      </c>
      <c r="I73" s="872">
        <f t="shared" si="36"/>
        <v>2</v>
      </c>
      <c r="J73" s="872" t="str">
        <f t="shared" si="36"/>
        <v/>
      </c>
      <c r="K73" s="872" t="str">
        <f t="shared" si="36"/>
        <v/>
      </c>
      <c r="L73" s="872" t="str">
        <f t="shared" si="36"/>
        <v/>
      </c>
      <c r="M73" s="872" t="str">
        <f t="shared" si="36"/>
        <v/>
      </c>
      <c r="N73" s="872">
        <f t="shared" si="36"/>
        <v>7</v>
      </c>
      <c r="O73" s="872">
        <f t="shared" si="36"/>
        <v>8</v>
      </c>
      <c r="P73" s="872">
        <f t="shared" si="36"/>
        <v>9</v>
      </c>
      <c r="Q73" s="872">
        <f t="shared" si="36"/>
        <v>10</v>
      </c>
      <c r="R73" s="872">
        <f t="shared" si="36"/>
        <v>11</v>
      </c>
      <c r="S73" s="872">
        <f t="shared" si="36"/>
        <v>12</v>
      </c>
      <c r="T73" s="872" t="str">
        <f t="shared" si="36"/>
        <v/>
      </c>
      <c r="U73" s="872">
        <f t="shared" si="36"/>
        <v>14</v>
      </c>
      <c r="V73" s="872" t="str">
        <f t="shared" si="36"/>
        <v/>
      </c>
      <c r="W73" s="872">
        <f t="shared" si="36"/>
        <v>16</v>
      </c>
      <c r="X73" s="872">
        <f t="shared" si="36"/>
        <v>17</v>
      </c>
      <c r="Y73" s="872">
        <f t="shared" si="36"/>
        <v>18</v>
      </c>
      <c r="Z73" s="872" t="str">
        <f t="shared" si="36"/>
        <v/>
      </c>
      <c r="AA73" s="873" t="str">
        <f t="shared" si="36"/>
        <v/>
      </c>
    </row>
    <row r="74" spans="5:27" s="345" customFormat="1" ht="13.5" thickBot="1">
      <c r="F74" s="854"/>
      <c r="H74" s="874" t="str">
        <f t="shared" ref="H74:AA74" si="37">IF(H73="","",RANK(H73,$H$73:$AA$73,1))</f>
        <v/>
      </c>
      <c r="I74" s="875">
        <f t="shared" si="37"/>
        <v>1</v>
      </c>
      <c r="J74" s="875" t="str">
        <f t="shared" si="37"/>
        <v/>
      </c>
      <c r="K74" s="875" t="str">
        <f t="shared" si="37"/>
        <v/>
      </c>
      <c r="L74" s="875" t="str">
        <f t="shared" si="37"/>
        <v/>
      </c>
      <c r="M74" s="875" t="str">
        <f t="shared" si="37"/>
        <v/>
      </c>
      <c r="N74" s="875">
        <f t="shared" si="37"/>
        <v>2</v>
      </c>
      <c r="O74" s="875">
        <f t="shared" si="37"/>
        <v>3</v>
      </c>
      <c r="P74" s="875">
        <f t="shared" si="37"/>
        <v>4</v>
      </c>
      <c r="Q74" s="875">
        <f t="shared" si="37"/>
        <v>5</v>
      </c>
      <c r="R74" s="875">
        <f t="shared" si="37"/>
        <v>6</v>
      </c>
      <c r="S74" s="875">
        <f t="shared" si="37"/>
        <v>7</v>
      </c>
      <c r="T74" s="875" t="str">
        <f t="shared" si="37"/>
        <v/>
      </c>
      <c r="U74" s="875">
        <f t="shared" si="37"/>
        <v>8</v>
      </c>
      <c r="V74" s="875" t="str">
        <f t="shared" si="37"/>
        <v/>
      </c>
      <c r="W74" s="875">
        <f t="shared" si="37"/>
        <v>9</v>
      </c>
      <c r="X74" s="875">
        <f t="shared" si="37"/>
        <v>10</v>
      </c>
      <c r="Y74" s="875">
        <f t="shared" si="37"/>
        <v>11</v>
      </c>
      <c r="Z74" s="875" t="str">
        <f t="shared" si="37"/>
        <v/>
      </c>
      <c r="AA74" s="876" t="str">
        <f t="shared" si="37"/>
        <v/>
      </c>
    </row>
    <row r="75" spans="5:27" s="345" customFormat="1" ht="13.5" thickBot="1">
      <c r="E75" s="1605" t="s">
        <v>1281</v>
      </c>
      <c r="F75" s="1606"/>
      <c r="G75" s="1607"/>
      <c r="H75" s="877">
        <f>IF(SUMIF($H$74:$AA$74,H$67,$H$36:$AA$36)=0,"",SUMIF($H$74:$AA$74,H$67,$H$36:$AA$36))</f>
        <v>10</v>
      </c>
      <c r="I75" s="878">
        <f>IF(SUMIF($H$74:$AA$74,I$67,$H$36:$AA$36)=0,"",SUMIF($H$74:$AA$74,I$67,$H$36:$AA$36))</f>
        <v>40</v>
      </c>
      <c r="J75" s="878">
        <f t="shared" ref="J75:AA75" si="38">IF(SUMIF($H$74:$AA$74,J$67,$H$36:$AA$36)=0,"",SUMIF($H$74:$AA$74,J$67,$H$36:$AA$36))</f>
        <v>50</v>
      </c>
      <c r="K75" s="878">
        <f t="shared" si="38"/>
        <v>60</v>
      </c>
      <c r="L75" s="878">
        <f t="shared" si="38"/>
        <v>70</v>
      </c>
      <c r="M75" s="878">
        <f t="shared" si="38"/>
        <v>80</v>
      </c>
      <c r="N75" s="878">
        <f t="shared" si="38"/>
        <v>90</v>
      </c>
      <c r="O75" s="878">
        <f t="shared" si="38"/>
        <v>98.474693898206965</v>
      </c>
      <c r="P75" s="878">
        <f t="shared" si="38"/>
        <v>99.665653482478291</v>
      </c>
      <c r="Q75" s="878">
        <f t="shared" si="38"/>
        <v>99.951573567634654</v>
      </c>
      <c r="R75" s="878">
        <f t="shared" si="38"/>
        <v>100</v>
      </c>
      <c r="S75" s="878" t="str">
        <f t="shared" si="38"/>
        <v/>
      </c>
      <c r="T75" s="878" t="str">
        <f t="shared" si="38"/>
        <v/>
      </c>
      <c r="U75" s="878" t="str">
        <f t="shared" si="38"/>
        <v/>
      </c>
      <c r="V75" s="878" t="str">
        <f t="shared" si="38"/>
        <v/>
      </c>
      <c r="W75" s="878" t="str">
        <f t="shared" si="38"/>
        <v/>
      </c>
      <c r="X75" s="878" t="str">
        <f t="shared" si="38"/>
        <v/>
      </c>
      <c r="Y75" s="878" t="str">
        <f t="shared" si="38"/>
        <v/>
      </c>
      <c r="Z75" s="878" t="str">
        <f t="shared" si="38"/>
        <v/>
      </c>
      <c r="AA75" s="879" t="str">
        <f t="shared" si="38"/>
        <v/>
      </c>
    </row>
    <row r="76" spans="5:27" s="345" customFormat="1">
      <c r="E76" s="1574" t="s">
        <v>1283</v>
      </c>
      <c r="F76" s="1593"/>
      <c r="G76" s="1575"/>
      <c r="H76" s="880">
        <f>IF(SUMIF($H$36:$AA$36,H$75,$H43:$AA43)=0,"",SUMIF($H$36:$AA$36,H$75,$H43:$AA43)/$AB$59)</f>
        <v>0.12337337473983742</v>
      </c>
      <c r="I76" s="881">
        <f t="shared" ref="I76:AA76" si="39">IF(SUMIF($H$36:$AA$36,I$75,$H43:$AA43)=0,"",SUMIF($H$36:$AA$36,I$75,$H43:$AA43)/$AB$59)</f>
        <v>0.11673658019003305</v>
      </c>
      <c r="J76" s="881">
        <f t="shared" si="39"/>
        <v>0.1751053063648618</v>
      </c>
      <c r="K76" s="881">
        <f t="shared" si="39"/>
        <v>0.21084998656142057</v>
      </c>
      <c r="L76" s="881">
        <f t="shared" si="39"/>
        <v>0.23390899758862901</v>
      </c>
      <c r="M76" s="881">
        <f t="shared" si="39"/>
        <v>0.24285584792077503</v>
      </c>
      <c r="N76" s="881">
        <f t="shared" si="39"/>
        <v>0.2111855623674701</v>
      </c>
      <c r="O76" s="881">
        <f t="shared" si="39"/>
        <v>0.15266791154788981</v>
      </c>
      <c r="P76" s="881">
        <f t="shared" si="39"/>
        <v>0.13222704334981178</v>
      </c>
      <c r="Q76" s="881">
        <f t="shared" si="39"/>
        <v>0.23302263551263563</v>
      </c>
      <c r="R76" s="881">
        <f t="shared" si="39"/>
        <v>0.19194510181563756</v>
      </c>
      <c r="S76" s="881" t="str">
        <f t="shared" si="39"/>
        <v/>
      </c>
      <c r="T76" s="881" t="str">
        <f t="shared" si="39"/>
        <v/>
      </c>
      <c r="U76" s="881" t="str">
        <f t="shared" si="39"/>
        <v/>
      </c>
      <c r="V76" s="881" t="str">
        <f t="shared" si="39"/>
        <v/>
      </c>
      <c r="W76" s="881" t="str">
        <f t="shared" si="39"/>
        <v/>
      </c>
      <c r="X76" s="881" t="str">
        <f t="shared" si="39"/>
        <v/>
      </c>
      <c r="Y76" s="881" t="str">
        <f t="shared" si="39"/>
        <v/>
      </c>
      <c r="Z76" s="881" t="str">
        <f t="shared" si="39"/>
        <v/>
      </c>
      <c r="AA76" s="882" t="str">
        <f t="shared" si="39"/>
        <v/>
      </c>
    </row>
    <row r="77" spans="5:27" s="345" customFormat="1" ht="13.5" thickBot="1">
      <c r="E77" s="1576" t="s">
        <v>1284</v>
      </c>
      <c r="F77" s="1594"/>
      <c r="G77" s="1577"/>
      <c r="H77" s="883">
        <f>IF(SUMIF($H$36:$AA$36,H$75,$H43:$AA43)=0,"",SUMIF($H$36:$AA$36,H$75,$H44:$AA44)/$AB$59)</f>
        <v>1.4250013352755523E-2</v>
      </c>
      <c r="I77" s="884">
        <f t="shared" ref="I77:AA77" si="40">IF(SUMIF($H$36:$AA$36,I$75,$H43:$AA43)=0,"",SUMIF($H$36:$AA$36,I$75,$H44:$AA44)/$AB$59)</f>
        <v>0</v>
      </c>
      <c r="J77" s="884">
        <f t="shared" si="40"/>
        <v>0</v>
      </c>
      <c r="K77" s="884">
        <f t="shared" si="40"/>
        <v>2.06131155790545E-2</v>
      </c>
      <c r="L77" s="884">
        <f t="shared" si="40"/>
        <v>0</v>
      </c>
      <c r="M77" s="884">
        <f t="shared" si="40"/>
        <v>7.7454743712305754E-3</v>
      </c>
      <c r="N77" s="884">
        <f t="shared" si="40"/>
        <v>8.2808619729447183E-3</v>
      </c>
      <c r="O77" s="884">
        <f t="shared" si="40"/>
        <v>0</v>
      </c>
      <c r="P77" s="884">
        <f t="shared" si="40"/>
        <v>0.28201952445631184</v>
      </c>
      <c r="Q77" s="884">
        <f t="shared" si="40"/>
        <v>0.10398599053277577</v>
      </c>
      <c r="R77" s="884">
        <f t="shared" si="40"/>
        <v>0.3777177687916895</v>
      </c>
      <c r="S77" s="884" t="str">
        <f t="shared" si="40"/>
        <v/>
      </c>
      <c r="T77" s="884" t="str">
        <f t="shared" si="40"/>
        <v/>
      </c>
      <c r="U77" s="884" t="str">
        <f t="shared" si="40"/>
        <v/>
      </c>
      <c r="V77" s="884" t="str">
        <f t="shared" si="40"/>
        <v/>
      </c>
      <c r="W77" s="884" t="str">
        <f t="shared" si="40"/>
        <v/>
      </c>
      <c r="X77" s="884" t="str">
        <f t="shared" si="40"/>
        <v/>
      </c>
      <c r="Y77" s="884" t="str">
        <f t="shared" si="40"/>
        <v/>
      </c>
      <c r="Z77" s="884" t="str">
        <f t="shared" si="40"/>
        <v/>
      </c>
      <c r="AA77" s="885" t="str">
        <f t="shared" si="40"/>
        <v/>
      </c>
    </row>
    <row r="78" spans="5:27" s="345" customFormat="1">
      <c r="F78" s="854"/>
      <c r="H78" s="886">
        <f t="shared" ref="H78:AA78" si="41">IF(H53="","",RANK(H36,$H$36:$AA$36,1))</f>
        <v>1</v>
      </c>
      <c r="I78" s="887">
        <f t="shared" si="41"/>
        <v>2</v>
      </c>
      <c r="J78" s="887">
        <f t="shared" si="41"/>
        <v>3</v>
      </c>
      <c r="K78" s="887">
        <f t="shared" si="41"/>
        <v>4</v>
      </c>
      <c r="L78" s="887">
        <f t="shared" si="41"/>
        <v>5</v>
      </c>
      <c r="M78" s="887">
        <f t="shared" si="41"/>
        <v>6</v>
      </c>
      <c r="N78" s="887">
        <f t="shared" si="41"/>
        <v>7</v>
      </c>
      <c r="O78" s="887">
        <f t="shared" si="41"/>
        <v>8</v>
      </c>
      <c r="P78" s="887">
        <f t="shared" si="41"/>
        <v>9</v>
      </c>
      <c r="Q78" s="887">
        <f t="shared" si="41"/>
        <v>10</v>
      </c>
      <c r="R78" s="887">
        <f t="shared" si="41"/>
        <v>11</v>
      </c>
      <c r="S78" s="887">
        <f t="shared" si="41"/>
        <v>12</v>
      </c>
      <c r="T78" s="887">
        <f t="shared" si="41"/>
        <v>13</v>
      </c>
      <c r="U78" s="887">
        <f t="shared" si="41"/>
        <v>14</v>
      </c>
      <c r="V78" s="887">
        <f t="shared" si="41"/>
        <v>15</v>
      </c>
      <c r="W78" s="887">
        <f t="shared" si="41"/>
        <v>16</v>
      </c>
      <c r="X78" s="887">
        <f t="shared" si="41"/>
        <v>17</v>
      </c>
      <c r="Y78" s="887" t="str">
        <f t="shared" si="41"/>
        <v/>
      </c>
      <c r="Z78" s="887" t="str">
        <f t="shared" si="41"/>
        <v/>
      </c>
      <c r="AA78" s="888" t="str">
        <f t="shared" si="41"/>
        <v/>
      </c>
    </row>
    <row r="79" spans="5:27" s="345" customFormat="1" ht="13.5" thickBot="1">
      <c r="F79" s="854"/>
      <c r="H79" s="859">
        <f t="shared" ref="H79:AA79" si="42">IF(H78="","",RANK(H78,$H$78:$AA$78,1))</f>
        <v>1</v>
      </c>
      <c r="I79" s="860">
        <f t="shared" si="42"/>
        <v>2</v>
      </c>
      <c r="J79" s="860">
        <f t="shared" si="42"/>
        <v>3</v>
      </c>
      <c r="K79" s="860">
        <f t="shared" si="42"/>
        <v>4</v>
      </c>
      <c r="L79" s="860">
        <f t="shared" si="42"/>
        <v>5</v>
      </c>
      <c r="M79" s="860">
        <f t="shared" si="42"/>
        <v>6</v>
      </c>
      <c r="N79" s="860">
        <f t="shared" si="42"/>
        <v>7</v>
      </c>
      <c r="O79" s="860">
        <f t="shared" si="42"/>
        <v>8</v>
      </c>
      <c r="P79" s="860">
        <f t="shared" si="42"/>
        <v>9</v>
      </c>
      <c r="Q79" s="860">
        <f t="shared" si="42"/>
        <v>10</v>
      </c>
      <c r="R79" s="860">
        <f t="shared" si="42"/>
        <v>11</v>
      </c>
      <c r="S79" s="860">
        <f t="shared" si="42"/>
        <v>12</v>
      </c>
      <c r="T79" s="860">
        <f t="shared" si="42"/>
        <v>13</v>
      </c>
      <c r="U79" s="860">
        <f t="shared" si="42"/>
        <v>14</v>
      </c>
      <c r="V79" s="860">
        <f t="shared" si="42"/>
        <v>15</v>
      </c>
      <c r="W79" s="860">
        <f t="shared" si="42"/>
        <v>16</v>
      </c>
      <c r="X79" s="860">
        <f t="shared" si="42"/>
        <v>17</v>
      </c>
      <c r="Y79" s="860" t="str">
        <f t="shared" si="42"/>
        <v/>
      </c>
      <c r="Z79" s="860" t="str">
        <f t="shared" si="42"/>
        <v/>
      </c>
      <c r="AA79" s="861" t="str">
        <f t="shared" si="42"/>
        <v/>
      </c>
    </row>
    <row r="80" spans="5:27" s="345" customFormat="1" ht="13.5" thickBot="1">
      <c r="E80" s="1605" t="s">
        <v>1281</v>
      </c>
      <c r="F80" s="1606"/>
      <c r="G80" s="1607"/>
      <c r="H80" s="862">
        <f>IF(SUMIF($H$79:$AA$79,H$67,$H$36:$AA$36)=0,"",SUMIF($H$79:$AA$79,H$67,$H$36:$AA$36))</f>
        <v>5.3605555861977985</v>
      </c>
      <c r="I80" s="863">
        <f>IF(SUMIF($H$79:$AA$79,I$67,$H$36:$AA$36)=0,"",SUMIF($H$79:$AA$79,I$67,$H$36:$AA$36))</f>
        <v>10</v>
      </c>
      <c r="J80" s="863">
        <f t="shared" ref="J80:AA80" si="43">IF(SUMIF($H$79:$AA$79,J$67,$H$36:$AA$36)=0,"",SUMIF($H$79:$AA$79,J$67,$H$36:$AA$36))</f>
        <v>20</v>
      </c>
      <c r="K80" s="863">
        <f t="shared" si="43"/>
        <v>26.922669813782981</v>
      </c>
      <c r="L80" s="863">
        <f t="shared" si="43"/>
        <v>28.402760758696882</v>
      </c>
      <c r="M80" s="863">
        <f t="shared" si="43"/>
        <v>30</v>
      </c>
      <c r="N80" s="863">
        <f t="shared" si="43"/>
        <v>40</v>
      </c>
      <c r="O80" s="863">
        <f t="shared" si="43"/>
        <v>50</v>
      </c>
      <c r="P80" s="863">
        <f t="shared" si="43"/>
        <v>60</v>
      </c>
      <c r="Q80" s="863">
        <f t="shared" si="43"/>
        <v>70</v>
      </c>
      <c r="R80" s="863">
        <f t="shared" si="43"/>
        <v>80</v>
      </c>
      <c r="S80" s="863">
        <f t="shared" si="43"/>
        <v>90</v>
      </c>
      <c r="T80" s="863">
        <f t="shared" si="43"/>
        <v>97.736572490101764</v>
      </c>
      <c r="U80" s="863">
        <f t="shared" si="43"/>
        <v>98.474693898206965</v>
      </c>
      <c r="V80" s="863">
        <f t="shared" si="43"/>
        <v>99.115172061249353</v>
      </c>
      <c r="W80" s="863">
        <f t="shared" si="43"/>
        <v>99.665653482478291</v>
      </c>
      <c r="X80" s="863">
        <f t="shared" si="43"/>
        <v>99.951573567634654</v>
      </c>
      <c r="Y80" s="863" t="str">
        <f t="shared" si="43"/>
        <v/>
      </c>
      <c r="Z80" s="863" t="str">
        <f t="shared" si="43"/>
        <v/>
      </c>
      <c r="AA80" s="864" t="str">
        <f t="shared" si="43"/>
        <v/>
      </c>
    </row>
    <row r="81" spans="5:28" s="345" customFormat="1">
      <c r="E81" s="1574" t="s">
        <v>1283</v>
      </c>
      <c r="F81" s="1593"/>
      <c r="G81" s="1575"/>
      <c r="H81" s="865">
        <f>IF(SUMIF($H$36:$AA$36,H$80,$H53:$AA53)=0,"",SUMIF($H$36:$AA$36,H$80,$H53:$AA53)/$AB$59)</f>
        <v>4.1662364731818571E-2</v>
      </c>
      <c r="I81" s="866">
        <f t="shared" ref="I81:AA81" si="44">IF(SUMIF($H$36:$AA$36,I$80,$H53:$AA53)=0,"",SUMIF($H$36:$AA$36,I$80,$H53:$AA53)/$AB$59)</f>
        <v>0.11695761231383313</v>
      </c>
      <c r="J81" s="866">
        <f t="shared" si="44"/>
        <v>0.15891462459225039</v>
      </c>
      <c r="K81" s="866">
        <f t="shared" si="44"/>
        <v>7.518457048792046E-2</v>
      </c>
      <c r="L81" s="866">
        <f t="shared" si="44"/>
        <v>7.8039109369693924E-2</v>
      </c>
      <c r="M81" s="866">
        <f t="shared" si="44"/>
        <v>4.4111266471768877E-2</v>
      </c>
      <c r="N81" s="866">
        <f t="shared" si="44"/>
        <v>0.107254789193706</v>
      </c>
      <c r="O81" s="866">
        <f t="shared" si="44"/>
        <v>0.19972108634759975</v>
      </c>
      <c r="P81" s="866">
        <f t="shared" si="44"/>
        <v>0.20976877424618381</v>
      </c>
      <c r="Q81" s="866">
        <f t="shared" si="44"/>
        <v>0.23607246303103921</v>
      </c>
      <c r="R81" s="866">
        <f t="shared" si="44"/>
        <v>0.24613559460280171</v>
      </c>
      <c r="S81" s="866">
        <f t="shared" si="44"/>
        <v>0.20299475930789393</v>
      </c>
      <c r="T81" s="866">
        <f t="shared" si="44"/>
        <v>0.20067769298212779</v>
      </c>
      <c r="U81" s="866">
        <f t="shared" si="44"/>
        <v>0.23343763007189283</v>
      </c>
      <c r="V81" s="866">
        <f t="shared" si="44"/>
        <v>0.19575515624240036</v>
      </c>
      <c r="W81" s="866">
        <f t="shared" si="44"/>
        <v>0.22598331919564754</v>
      </c>
      <c r="X81" s="866">
        <f t="shared" si="44"/>
        <v>0.14026317242871741</v>
      </c>
      <c r="Y81" s="866" t="str">
        <f t="shared" si="44"/>
        <v/>
      </c>
      <c r="Z81" s="866" t="str">
        <f t="shared" si="44"/>
        <v/>
      </c>
      <c r="AA81" s="867" t="str">
        <f t="shared" si="44"/>
        <v/>
      </c>
    </row>
    <row r="82" spans="5:28" s="345" customFormat="1" ht="13.5" thickBot="1">
      <c r="E82" s="1576" t="s">
        <v>1284</v>
      </c>
      <c r="F82" s="1594"/>
      <c r="G82" s="1577"/>
      <c r="H82" s="868">
        <f>IF(SUMIF($H$36:$AA$36,H$80,$H53:$AA53)=0,"",SUMIF($H$36:$AA$36,H$80,$H54:$AA54)/$AB$59)</f>
        <v>4.5944115170179906E-3</v>
      </c>
      <c r="I82" s="869">
        <f t="shared" ref="I82:AA82" si="45">IF(SUMIF($H$36:$AA$36,I$80,$H53:$AA53)=0,"",SUMIF($H$36:$AA$36,I$80,$H54:$AA54)/$AB$59)</f>
        <v>0</v>
      </c>
      <c r="J82" s="869">
        <f t="shared" si="45"/>
        <v>1.1119234550125102E-2</v>
      </c>
      <c r="K82" s="869">
        <f t="shared" si="45"/>
        <v>4.3078328840793273E-3</v>
      </c>
      <c r="L82" s="869">
        <f t="shared" si="45"/>
        <v>6.3939023064496406E-2</v>
      </c>
      <c r="M82" s="869">
        <f t="shared" si="45"/>
        <v>2.7477175375811808E-2</v>
      </c>
      <c r="N82" s="869">
        <f t="shared" si="45"/>
        <v>3.4571446332224358E-2</v>
      </c>
      <c r="O82" s="869">
        <f t="shared" si="45"/>
        <v>0.19913741657393008</v>
      </c>
      <c r="P82" s="869">
        <f t="shared" si="45"/>
        <v>1.84216246658391E-2</v>
      </c>
      <c r="Q82" s="869">
        <f t="shared" si="45"/>
        <v>1.4053127417268689E-2</v>
      </c>
      <c r="R82" s="869">
        <f t="shared" si="45"/>
        <v>6.5411636763538636E-3</v>
      </c>
      <c r="S82" s="869">
        <f t="shared" si="45"/>
        <v>0</v>
      </c>
      <c r="T82" s="869">
        <f t="shared" si="45"/>
        <v>0.21522575819531325</v>
      </c>
      <c r="U82" s="869">
        <f t="shared" si="45"/>
        <v>0</v>
      </c>
      <c r="V82" s="869">
        <f t="shared" si="45"/>
        <v>0.24461213038537774</v>
      </c>
      <c r="W82" s="869">
        <f t="shared" si="45"/>
        <v>0</v>
      </c>
      <c r="X82" s="869">
        <f t="shared" si="45"/>
        <v>7.8182617599962916E-3</v>
      </c>
      <c r="Y82" s="869" t="str">
        <f t="shared" si="45"/>
        <v/>
      </c>
      <c r="Z82" s="869" t="str">
        <f t="shared" si="45"/>
        <v/>
      </c>
      <c r="AA82" s="870" t="str">
        <f t="shared" si="45"/>
        <v/>
      </c>
    </row>
    <row r="83" spans="5:28" s="345" customFormat="1">
      <c r="F83" s="889"/>
      <c r="H83" s="871">
        <f t="shared" ref="H83:AA83" si="46">IF(H59="","",RANK(H36,$H$36:$AA$36,1))</f>
        <v>1</v>
      </c>
      <c r="I83" s="872">
        <f t="shared" si="46"/>
        <v>2</v>
      </c>
      <c r="J83" s="872">
        <f t="shared" si="46"/>
        <v>3</v>
      </c>
      <c r="K83" s="872">
        <f t="shared" si="46"/>
        <v>4</v>
      </c>
      <c r="L83" s="872">
        <f t="shared" si="46"/>
        <v>5</v>
      </c>
      <c r="M83" s="872">
        <f t="shared" si="46"/>
        <v>6</v>
      </c>
      <c r="N83" s="872">
        <f t="shared" si="46"/>
        <v>7</v>
      </c>
      <c r="O83" s="872">
        <f t="shared" si="46"/>
        <v>8</v>
      </c>
      <c r="P83" s="872">
        <f t="shared" si="46"/>
        <v>9</v>
      </c>
      <c r="Q83" s="872">
        <f t="shared" si="46"/>
        <v>10</v>
      </c>
      <c r="R83" s="872">
        <f t="shared" si="46"/>
        <v>11</v>
      </c>
      <c r="S83" s="872">
        <f t="shared" si="46"/>
        <v>12</v>
      </c>
      <c r="T83" s="872">
        <f t="shared" si="46"/>
        <v>13</v>
      </c>
      <c r="U83" s="872">
        <f t="shared" si="46"/>
        <v>14</v>
      </c>
      <c r="V83" s="872">
        <f t="shared" si="46"/>
        <v>15</v>
      </c>
      <c r="W83" s="872">
        <f t="shared" si="46"/>
        <v>16</v>
      </c>
      <c r="X83" s="872">
        <f t="shared" si="46"/>
        <v>17</v>
      </c>
      <c r="Y83" s="872">
        <f t="shared" si="46"/>
        <v>18</v>
      </c>
      <c r="Z83" s="872" t="str">
        <f t="shared" si="46"/>
        <v/>
      </c>
      <c r="AA83" s="873" t="str">
        <f t="shared" si="46"/>
        <v/>
      </c>
    </row>
    <row r="84" spans="5:28" s="345" customFormat="1" ht="13.5" thickBot="1">
      <c r="F84" s="889"/>
      <c r="H84" s="874">
        <f t="shared" ref="H84:AA84" si="47">IF(H83="","",RANK(H83,$H$83:$AA$83,1))</f>
        <v>1</v>
      </c>
      <c r="I84" s="875">
        <f t="shared" si="47"/>
        <v>2</v>
      </c>
      <c r="J84" s="875">
        <f t="shared" si="47"/>
        <v>3</v>
      </c>
      <c r="K84" s="875">
        <f t="shared" si="47"/>
        <v>4</v>
      </c>
      <c r="L84" s="875">
        <f t="shared" si="47"/>
        <v>5</v>
      </c>
      <c r="M84" s="875">
        <f t="shared" si="47"/>
        <v>6</v>
      </c>
      <c r="N84" s="875">
        <f t="shared" si="47"/>
        <v>7</v>
      </c>
      <c r="O84" s="875">
        <f t="shared" si="47"/>
        <v>8</v>
      </c>
      <c r="P84" s="875">
        <f t="shared" si="47"/>
        <v>9</v>
      </c>
      <c r="Q84" s="875">
        <f t="shared" si="47"/>
        <v>10</v>
      </c>
      <c r="R84" s="875">
        <f t="shared" si="47"/>
        <v>11</v>
      </c>
      <c r="S84" s="875">
        <f t="shared" si="47"/>
        <v>12</v>
      </c>
      <c r="T84" s="875">
        <f t="shared" si="47"/>
        <v>13</v>
      </c>
      <c r="U84" s="875">
        <f t="shared" si="47"/>
        <v>14</v>
      </c>
      <c r="V84" s="875">
        <f t="shared" si="47"/>
        <v>15</v>
      </c>
      <c r="W84" s="875">
        <f t="shared" si="47"/>
        <v>16</v>
      </c>
      <c r="X84" s="875">
        <f t="shared" si="47"/>
        <v>17</v>
      </c>
      <c r="Y84" s="875">
        <f t="shared" si="47"/>
        <v>18</v>
      </c>
      <c r="Z84" s="875" t="str">
        <f t="shared" si="47"/>
        <v/>
      </c>
      <c r="AA84" s="876" t="str">
        <f t="shared" si="47"/>
        <v/>
      </c>
    </row>
    <row r="85" spans="5:28" s="345" customFormat="1" ht="13.5" thickBot="1">
      <c r="E85" s="1605" t="s">
        <v>1281</v>
      </c>
      <c r="F85" s="1606"/>
      <c r="G85" s="1607"/>
      <c r="H85" s="877">
        <f>IF(SUMIF($H$84:$AA$84,H$67,$H$36:$AA$36)=0,"",SUMIF($H$84:$AA$84,H$67,$H$36:$AA$36))</f>
        <v>5.3605555861977985</v>
      </c>
      <c r="I85" s="878">
        <f>IF(SUMIF($H$84:$AA$84,I$67,$H$36:$AA$36)=0,"",SUMIF($H$84:$AA$84,I$67,$H$36:$AA$36))</f>
        <v>10</v>
      </c>
      <c r="J85" s="878">
        <f t="shared" ref="J85:AA85" si="48">IF(SUMIF($H$84:$AA$84,J$67,$H$36:$AA$36)=0,"",SUMIF($H$84:$AA$84,J$67,$H$36:$AA$36))</f>
        <v>20</v>
      </c>
      <c r="K85" s="878">
        <f t="shared" si="48"/>
        <v>26.922669813782981</v>
      </c>
      <c r="L85" s="878">
        <f t="shared" si="48"/>
        <v>28.402760758696882</v>
      </c>
      <c r="M85" s="878">
        <f t="shared" si="48"/>
        <v>30</v>
      </c>
      <c r="N85" s="878">
        <f t="shared" si="48"/>
        <v>40</v>
      </c>
      <c r="O85" s="878">
        <f t="shared" si="48"/>
        <v>50</v>
      </c>
      <c r="P85" s="878">
        <f t="shared" si="48"/>
        <v>60</v>
      </c>
      <c r="Q85" s="878">
        <f t="shared" si="48"/>
        <v>70</v>
      </c>
      <c r="R85" s="878">
        <f t="shared" si="48"/>
        <v>80</v>
      </c>
      <c r="S85" s="878">
        <f t="shared" si="48"/>
        <v>90</v>
      </c>
      <c r="T85" s="878">
        <f t="shared" si="48"/>
        <v>97.736572490101764</v>
      </c>
      <c r="U85" s="878">
        <f t="shared" si="48"/>
        <v>98.474693898206965</v>
      </c>
      <c r="V85" s="878">
        <f t="shared" si="48"/>
        <v>99.115172061249353</v>
      </c>
      <c r="W85" s="878">
        <f t="shared" si="48"/>
        <v>99.665653482478291</v>
      </c>
      <c r="X85" s="878">
        <f t="shared" si="48"/>
        <v>99.951573567634654</v>
      </c>
      <c r="Y85" s="878">
        <f t="shared" si="48"/>
        <v>100</v>
      </c>
      <c r="Z85" s="878" t="str">
        <f t="shared" si="48"/>
        <v/>
      </c>
      <c r="AA85" s="879" t="str">
        <f t="shared" si="48"/>
        <v/>
      </c>
    </row>
    <row r="86" spans="5:28" s="345" customFormat="1">
      <c r="E86" s="1574" t="s">
        <v>1283</v>
      </c>
      <c r="F86" s="1593"/>
      <c r="G86" s="1575"/>
      <c r="H86" s="880">
        <f>IF(SUMIF($H$36:$AA$36,H$85,$H59:$AA59)=0,"",SUMIF($H$36:$AA$36,H$85,$H59:$AA59)/$AB$59)</f>
        <v>4.3263633709749227E-2</v>
      </c>
      <c r="I86" s="881">
        <f t="shared" ref="I86:AA86" si="49">IF(SUMIF($H$36:$AA$36,I$85,$H59:$AA59)=0,"",SUMIF($H$36:$AA$36,I$85,$H59:$AA59)/$AB$59)</f>
        <v>0.12269217141429591</v>
      </c>
      <c r="J86" s="881">
        <f t="shared" si="49"/>
        <v>0.16462120742389236</v>
      </c>
      <c r="K86" s="881">
        <f t="shared" si="49"/>
        <v>7.4549902813981037E-2</v>
      </c>
      <c r="L86" s="881">
        <f t="shared" si="49"/>
        <v>6.5282976443739496E-2</v>
      </c>
      <c r="M86" s="881">
        <f t="shared" si="49"/>
        <v>5.7078039076241538E-2</v>
      </c>
      <c r="N86" s="881">
        <f t="shared" si="49"/>
        <v>0.10872894200409654</v>
      </c>
      <c r="O86" s="881">
        <f t="shared" si="49"/>
        <v>0.18165646749219092</v>
      </c>
      <c r="P86" s="881">
        <f t="shared" si="49"/>
        <v>0.21099385795207926</v>
      </c>
      <c r="Q86" s="881">
        <f t="shared" si="49"/>
        <v>0.23682469584407825</v>
      </c>
      <c r="R86" s="881">
        <f t="shared" si="49"/>
        <v>0.24481871353536211</v>
      </c>
      <c r="S86" s="881">
        <f t="shared" si="49"/>
        <v>0.20733126455564607</v>
      </c>
      <c r="T86" s="881">
        <f t="shared" si="49"/>
        <v>0.20700409953550772</v>
      </c>
      <c r="U86" s="881">
        <f t="shared" si="49"/>
        <v>0.20502478042895605</v>
      </c>
      <c r="V86" s="881">
        <f t="shared" si="49"/>
        <v>0.19253053598043768</v>
      </c>
      <c r="W86" s="881">
        <f t="shared" si="49"/>
        <v>0.15526170942787143</v>
      </c>
      <c r="X86" s="881">
        <f t="shared" si="49"/>
        <v>0.18664290397067654</v>
      </c>
      <c r="Y86" s="881">
        <f t="shared" si="49"/>
        <v>0.19194510181563756</v>
      </c>
      <c r="Z86" s="881" t="str">
        <f t="shared" si="49"/>
        <v/>
      </c>
      <c r="AA86" s="882" t="str">
        <f t="shared" si="49"/>
        <v/>
      </c>
      <c r="AB86" s="851">
        <v>1</v>
      </c>
    </row>
    <row r="87" spans="5:28" s="345" customFormat="1" ht="13.5" thickBot="1">
      <c r="E87" s="1576" t="s">
        <v>1284</v>
      </c>
      <c r="F87" s="1594"/>
      <c r="G87" s="1577"/>
      <c r="H87" s="883">
        <f>IF(SUMIF($H$36:$AA$36,H$85,$H59:$AA59)=0,"",SUMIF($H$36:$AA$36,H$85,$H60:$AA60)/$AB$59)</f>
        <v>1.2099397066774348E-2</v>
      </c>
      <c r="I87" s="884">
        <f t="shared" ref="I87:AA87" si="50">IF(SUMIF($H$36:$AA$36,I$85,$H59:$AA59)=0,"",SUMIF($H$36:$AA$36,I$85,$H60:$AA60)/$AB$59)</f>
        <v>1.2667741467559385E-2</v>
      </c>
      <c r="J87" s="884">
        <f t="shared" si="50"/>
        <v>1.582279815961634E-2</v>
      </c>
      <c r="K87" s="884">
        <f t="shared" si="50"/>
        <v>7.2001987951833667E-3</v>
      </c>
      <c r="L87" s="884">
        <f t="shared" si="50"/>
        <v>7.9111161591975288E-2</v>
      </c>
      <c r="M87" s="884">
        <f t="shared" si="50"/>
        <v>5.4579968039692436E-2</v>
      </c>
      <c r="N87" s="884">
        <f t="shared" si="50"/>
        <v>3.869310764859827E-2</v>
      </c>
      <c r="O87" s="884">
        <f t="shared" si="50"/>
        <v>0.11684781515280618</v>
      </c>
      <c r="P87" s="884">
        <f t="shared" si="50"/>
        <v>1.8456362907806886E-2</v>
      </c>
      <c r="Q87" s="884">
        <f t="shared" si="50"/>
        <v>1.1626158263652157E-2</v>
      </c>
      <c r="R87" s="884">
        <f t="shared" si="50"/>
        <v>9.8872061204413313E-3</v>
      </c>
      <c r="S87" s="884">
        <f t="shared" si="50"/>
        <v>1.1101722905851827E-2</v>
      </c>
      <c r="T87" s="884">
        <f t="shared" si="50"/>
        <v>0.17891335210430626</v>
      </c>
      <c r="U87" s="884">
        <f t="shared" si="50"/>
        <v>0.1380879029687884</v>
      </c>
      <c r="V87" s="884">
        <f t="shared" si="50"/>
        <v>0.17729544933113908</v>
      </c>
      <c r="W87" s="884">
        <f t="shared" si="50"/>
        <v>0.20539235413383861</v>
      </c>
      <c r="X87" s="884">
        <f t="shared" si="50"/>
        <v>0.15441261742166876</v>
      </c>
      <c r="Y87" s="884">
        <f t="shared" si="50"/>
        <v>0.3777177687916895</v>
      </c>
      <c r="Z87" s="884" t="str">
        <f t="shared" si="50"/>
        <v/>
      </c>
      <c r="AA87" s="885" t="str">
        <f t="shared" si="50"/>
        <v/>
      </c>
    </row>
    <row r="88" spans="5:28" s="345" customFormat="1">
      <c r="F88" s="889"/>
      <c r="R88" s="694"/>
    </row>
    <row r="89" spans="5:28" s="345" customFormat="1">
      <c r="F89" s="889"/>
      <c r="R89" s="694"/>
    </row>
    <row r="90" spans="5:28" s="345" customFormat="1">
      <c r="R90" s="694"/>
    </row>
    <row r="91" spans="5:28" s="345" customFormat="1">
      <c r="R91" s="694"/>
    </row>
    <row r="92" spans="5:28" s="345" customFormat="1">
      <c r="R92" s="694"/>
    </row>
    <row r="93" spans="5:28" s="345" customFormat="1">
      <c r="R93" s="694"/>
    </row>
    <row r="94" spans="5:28" s="345" customFormat="1">
      <c r="R94" s="694"/>
    </row>
    <row r="95" spans="5:28" s="345" customFormat="1">
      <c r="R95" s="694"/>
    </row>
    <row r="96" spans="5:28" s="345" customFormat="1">
      <c r="R96" s="694"/>
    </row>
    <row r="97" spans="18:18" s="345" customFormat="1">
      <c r="R97" s="694"/>
    </row>
    <row r="98" spans="18:18" s="345" customFormat="1">
      <c r="R98" s="694"/>
    </row>
    <row r="99" spans="18:18" s="345" customFormat="1">
      <c r="R99" s="694"/>
    </row>
    <row r="100" spans="18:18" s="345" customFormat="1">
      <c r="R100" s="694"/>
    </row>
    <row r="101" spans="18:18" s="345" customFormat="1">
      <c r="R101" s="694"/>
    </row>
    <row r="102" spans="18:18" s="345" customFormat="1">
      <c r="R102" s="694"/>
    </row>
    <row r="103" spans="18:18" s="345" customFormat="1">
      <c r="R103" s="694"/>
    </row>
    <row r="104" spans="18:18" s="345" customFormat="1">
      <c r="R104" s="694"/>
    </row>
    <row r="105" spans="18:18" s="345" customFormat="1">
      <c r="R105" s="694"/>
    </row>
    <row r="106" spans="18:18" s="345" customFormat="1">
      <c r="R106" s="694"/>
    </row>
    <row r="107" spans="18:18" s="345" customFormat="1">
      <c r="R107" s="694"/>
    </row>
    <row r="108" spans="18:18" s="345" customFormat="1">
      <c r="R108" s="694"/>
    </row>
    <row r="109" spans="18:18" s="345" customFormat="1">
      <c r="R109" s="694"/>
    </row>
    <row r="110" spans="18:18" s="345" customFormat="1">
      <c r="R110" s="694"/>
    </row>
    <row r="111" spans="18:18" s="345" customFormat="1">
      <c r="R111" s="694"/>
    </row>
    <row r="112" spans="18:18" s="345" customFormat="1">
      <c r="R112" s="694"/>
    </row>
    <row r="113" spans="18:18" s="345" customFormat="1">
      <c r="R113" s="694"/>
    </row>
    <row r="114" spans="18:18" s="345" customFormat="1">
      <c r="R114" s="694"/>
    </row>
    <row r="115" spans="18:18" s="345" customFormat="1">
      <c r="R115" s="694"/>
    </row>
    <row r="116" spans="18:18" s="345" customFormat="1">
      <c r="R116" s="694"/>
    </row>
    <row r="117" spans="18:18" s="345" customFormat="1">
      <c r="R117" s="694"/>
    </row>
    <row r="118" spans="18:18" s="345" customFormat="1">
      <c r="R118" s="694"/>
    </row>
    <row r="119" spans="18:18" s="345" customFormat="1">
      <c r="R119" s="694"/>
    </row>
    <row r="120" spans="18:18" s="345" customFormat="1">
      <c r="R120" s="694"/>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1" stopIfTrue="1"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topLeftCell="G52" workbookViewId="0">
      <selection activeCell="D13" sqref="D13"/>
    </sheetView>
  </sheetViews>
  <sheetFormatPr baseColWidth="10" defaultRowHeight="12.75"/>
  <sheetData>
    <row r="1" spans="1:26" s="345" customFormat="1" ht="18">
      <c r="B1" s="345">
        <v>1E-3</v>
      </c>
      <c r="D1" s="1228" t="s">
        <v>1101</v>
      </c>
      <c r="E1" s="1228"/>
      <c r="L1" s="1249" t="str">
        <f>IF('Stipe=phyllotaxie&amp;croissance'!S9&gt;0,'Stipe=phyllotaxie&amp;croissance'!S9,"")</f>
        <v/>
      </c>
      <c r="M1" s="1249"/>
      <c r="N1" s="975"/>
      <c r="O1" s="975"/>
    </row>
    <row r="2" spans="1:26" s="345" customFormat="1" ht="18">
      <c r="D2" s="974"/>
      <c r="E2" s="974"/>
    </row>
    <row r="3" spans="1:26" s="345" customFormat="1" ht="15.75">
      <c r="D3" s="1323" t="s">
        <v>1102</v>
      </c>
      <c r="E3" s="1323"/>
      <c r="F3" s="1323"/>
      <c r="G3" s="1323"/>
      <c r="H3" s="1323"/>
      <c r="I3" s="978"/>
      <c r="J3" s="1322" t="str">
        <f>IF('Stipe=phyllotaxie&amp;croissance'!$E$11&gt;0,'Stipe=phyllotaxie&amp;croissance'!$E$11,"")</f>
        <v>Rochdi</v>
      </c>
      <c r="K3" s="1322"/>
      <c r="Q3" s="1323" t="s">
        <v>1103</v>
      </c>
      <c r="R3" s="1323"/>
      <c r="S3" s="1323"/>
      <c r="T3" s="1323"/>
      <c r="U3" s="1512" t="str">
        <f>IF('Stipe=phyllotaxie&amp;croissance'!$E$10&gt;0,'Stipe=phyllotaxie&amp;croissance'!$E$10,"")</f>
        <v>01</v>
      </c>
      <c r="V3" s="1512"/>
      <c r="W3" s="980"/>
    </row>
    <row r="4" spans="1:26" s="345" customFormat="1" ht="18">
      <c r="D4" s="974"/>
      <c r="E4" s="974"/>
    </row>
    <row r="5" spans="1:26" s="345" customFormat="1" ht="18">
      <c r="D5" s="446" t="s">
        <v>1228</v>
      </c>
      <c r="E5" s="446"/>
      <c r="F5" s="446"/>
      <c r="G5" s="446"/>
      <c r="H5" s="446"/>
      <c r="I5" s="446"/>
      <c r="J5" s="446"/>
      <c r="K5" s="446"/>
      <c r="L5" s="446"/>
      <c r="M5" s="446"/>
      <c r="N5" s="976"/>
      <c r="O5" s="976"/>
    </row>
    <row r="6" spans="1:26" s="345" customFormat="1" ht="13.5" thickBot="1"/>
    <row r="7" spans="1:26" s="345" customFormat="1" ht="15.75" thickBot="1">
      <c r="D7" s="1496" t="s">
        <v>1229</v>
      </c>
      <c r="E7" s="1497"/>
      <c r="F7" s="1497"/>
      <c r="G7" s="577">
        <f>IF('Folioles=disposition&amp;groupes'!$D$7&gt;0,'Folioles=disposition&amp;groupes'!$D$7,"")</f>
        <v>57</v>
      </c>
      <c r="R7" s="1498" t="s">
        <v>1229</v>
      </c>
      <c r="S7" s="1499"/>
      <c r="T7" s="1513"/>
      <c r="U7" s="577">
        <f>IF('Folioles=disposition&amp;groupes'!$P$7&gt;0,'Folioles=disposition&amp;groupes'!$P$7,"")</f>
        <v>83</v>
      </c>
    </row>
    <row r="8" spans="1:26" s="345" customFormat="1"/>
    <row r="9" spans="1:26" s="345" customFormat="1" ht="15">
      <c r="C9" s="582"/>
      <c r="D9" s="1514" t="s">
        <v>1371</v>
      </c>
      <c r="E9" s="1514"/>
      <c r="F9" s="1514"/>
      <c r="Q9" s="582"/>
      <c r="R9" s="1514" t="s">
        <v>1371</v>
      </c>
      <c r="S9" s="1514"/>
      <c r="T9" s="1514"/>
    </row>
    <row r="10" spans="1:26" s="345" customFormat="1" ht="13.5" thickBot="1"/>
    <row r="11" spans="1:26" s="345" customFormat="1" ht="15.75" thickBot="1">
      <c r="C11" s="1520" t="s">
        <v>1233</v>
      </c>
      <c r="D11" s="1520" t="s">
        <v>1237</v>
      </c>
      <c r="E11" s="1521"/>
      <c r="F11" s="1521"/>
      <c r="G11" s="1522"/>
      <c r="H11" s="1520" t="s">
        <v>1233</v>
      </c>
      <c r="I11" s="1520" t="s">
        <v>1238</v>
      </c>
      <c r="J11" s="1521"/>
      <c r="K11" s="1521"/>
      <c r="L11" s="1522"/>
      <c r="M11" s="583"/>
      <c r="O11" s="1520" t="s">
        <v>1233</v>
      </c>
      <c r="P11" s="1520" t="s">
        <v>1237</v>
      </c>
      <c r="Q11" s="1521"/>
      <c r="R11" s="1521"/>
      <c r="S11" s="1522"/>
      <c r="T11" s="1520" t="s">
        <v>1233</v>
      </c>
      <c r="U11" s="1520" t="s">
        <v>1238</v>
      </c>
      <c r="V11" s="1521"/>
      <c r="W11" s="1521"/>
      <c r="X11" s="1522"/>
    </row>
    <row r="12" spans="1:26" s="345" customFormat="1" ht="13.5" thickBot="1">
      <c r="C12" s="1523"/>
      <c r="D12" s="584" t="s">
        <v>1239</v>
      </c>
      <c r="E12" s="585" t="s">
        <v>1240</v>
      </c>
      <c r="F12" s="585" t="s">
        <v>1240</v>
      </c>
      <c r="G12" s="586" t="s">
        <v>1241</v>
      </c>
      <c r="H12" s="1523"/>
      <c r="I12" s="584" t="s">
        <v>1239</v>
      </c>
      <c r="J12" s="585" t="s">
        <v>1240</v>
      </c>
      <c r="K12" s="585" t="s">
        <v>1240</v>
      </c>
      <c r="L12" s="586" t="s">
        <v>1241</v>
      </c>
      <c r="M12" s="587"/>
      <c r="O12" s="1523"/>
      <c r="P12" s="584" t="s">
        <v>1239</v>
      </c>
      <c r="Q12" s="585" t="s">
        <v>1240</v>
      </c>
      <c r="R12" s="585" t="s">
        <v>1240</v>
      </c>
      <c r="S12" s="586" t="s">
        <v>1241</v>
      </c>
      <c r="T12" s="1523"/>
      <c r="U12" s="584" t="s">
        <v>1239</v>
      </c>
      <c r="V12" s="585" t="s">
        <v>1240</v>
      </c>
      <c r="W12" s="585" t="s">
        <v>1240</v>
      </c>
      <c r="X12" s="586" t="s">
        <v>1241</v>
      </c>
    </row>
    <row r="13" spans="1:26" s="345" customFormat="1">
      <c r="A13" s="345">
        <f>IF(COUNTIF(C13,"")+COUNTIF(H13,"")+COUNTIF(O13,"")+COUNTIF(T13,"")=4,"",AVERAGE(C13,H13,O13,T13))</f>
        <v>5.3605555861977985</v>
      </c>
      <c r="B13" s="595" t="s">
        <v>1243</v>
      </c>
      <c r="C13" s="775">
        <f>IF('Sections rachis &amp; L pennes'!Q13="","",'Sections rachis &amp; L pennes'!Q13)</f>
        <v>5.15970515970516</v>
      </c>
      <c r="D13" s="776" t="str">
        <f>IF('Hauteurs pennes (0-1)'!D13="","",MAX('Hauteurs pennes (0-1)'!D13,'Hauteurs pennes (1-1)'!D13,'Hauteurs pennes (2-1)'!D13))</f>
        <v/>
      </c>
      <c r="E13" s="777" t="str">
        <f>IF('Hauteurs pennes (0-1)'!E13="","",MAX('Hauteurs pennes (0-1)'!E13,'Hauteurs pennes (1-1)'!E13,'Hauteurs pennes (2-1)'!E13))</f>
        <v/>
      </c>
      <c r="F13" s="777" t="str">
        <f>IF('Hauteurs pennes (0-1)'!F13="","",MAX('Hauteurs pennes (0-1)'!F13,'Hauteurs pennes (1-1)'!F13,'Hauteurs pennes (2-1)'!F13))</f>
        <v/>
      </c>
      <c r="G13" s="780">
        <f>IF('Hauteurs pennes (0-1)'!G13="","",MAX('Hauteurs pennes (0-1)'!G13,'Hauteurs pennes (1-1)'!G13,'Hauteurs pennes (2-1)'!G13))</f>
        <v>0.29899999999999999</v>
      </c>
      <c r="H13" s="775">
        <f>IF('Sections rachis &amp; L pennes'!V13="","",'Sections rachis &amp; L pennes'!V13)</f>
        <v>5.4054054054054053</v>
      </c>
      <c r="I13" s="776" t="str">
        <f>IF('Hauteurs pennes (0-1)'!I13="","",MAX('Hauteurs pennes (0-1)'!I13,'Hauteurs pennes (1-1)'!I13,'Hauteurs pennes (2-1)'!I13))</f>
        <v/>
      </c>
      <c r="J13" s="777" t="str">
        <f>IF('Hauteurs pennes (0-1)'!J13="","",MAX('Hauteurs pennes (0-1)'!J13,'Hauteurs pennes (1-1)'!J13,'Hauteurs pennes (2-1)'!J13))</f>
        <v/>
      </c>
      <c r="K13" s="777" t="str">
        <f>IF('Hauteurs pennes (0-1)'!K13="","",MAX('Hauteurs pennes (0-1)'!K13,'Hauteurs pennes (1-1)'!K13,'Hauteurs pennes (2-1)'!K13))</f>
        <v/>
      </c>
      <c r="L13" s="780">
        <f>IF('Hauteurs pennes (0-1)'!L13="","",MAX('Hauteurs pennes (0-1)'!L13,'Hauteurs pennes (1-1)'!L13,'Hauteurs pennes (2-1)'!L13))</f>
        <v>0.215</v>
      </c>
      <c r="M13" s="781">
        <f>IF(COUNTIF(D13:G13,"")+COUNTIF(I13:L13,"")=8,"",MAX(D13:G13,I13:L13))</f>
        <v>0.29899999999999999</v>
      </c>
      <c r="N13" s="595" t="s">
        <v>1243</v>
      </c>
      <c r="O13" s="775">
        <f>IF('Sections rachis &amp; L pennes'!AC13="","",'Sections rachis &amp; L pennes'!AC13)</f>
        <v>5.3228419347373288</v>
      </c>
      <c r="P13" s="776">
        <f>IF('Hauteurs pennes (0-1)'!P13="","",MAX('Hauteurs pennes (0-1)'!P13,'Hauteurs pennes (1-1)'!P13,'Hauteurs pennes (2-1)'!P13))</f>
        <v>0.35</v>
      </c>
      <c r="Q13" s="777" t="str">
        <f>IF('Hauteurs pennes (0-1)'!Q13="","",MAX('Hauteurs pennes (0-1)'!Q13,'Hauteurs pennes (1-1)'!Q13,'Hauteurs pennes (2-1)'!Q13))</f>
        <v/>
      </c>
      <c r="R13" s="777" t="str">
        <f>IF('Hauteurs pennes (0-1)'!R13="","",MAX('Hauteurs pennes (0-1)'!R13,'Hauteurs pennes (1-1)'!R13,'Hauteurs pennes (2-1)'!R13))</f>
        <v/>
      </c>
      <c r="S13" s="780" t="str">
        <f>IF('Hauteurs pennes (0-1)'!S13="","",MAX('Hauteurs pennes (0-1)'!S13,'Hauteurs pennes (1-1)'!S13,'Hauteurs pennes (2-1)'!S13))</f>
        <v/>
      </c>
      <c r="T13" s="775">
        <f>IF('Sections rachis &amp; L pennes'!AH13="","",'Sections rachis &amp; L pennes'!AH13)</f>
        <v>5.5542698449432999</v>
      </c>
      <c r="U13" s="776">
        <f>IF('Hauteurs pennes (0-1)'!U13="","",MAX('Hauteurs pennes (0-1)'!U13,'Hauteurs pennes (1-1)'!U13,'Hauteurs pennes (2-1)'!U13))</f>
        <v>0.19600000000000001</v>
      </c>
      <c r="V13" s="777" t="str">
        <f>IF('Hauteurs pennes (0-1)'!V13="","",MAX('Hauteurs pennes (0-1)'!V13,'Hauteurs pennes (1-1)'!V13,'Hauteurs pennes (2-1)'!V13))</f>
        <v/>
      </c>
      <c r="W13" s="777" t="str">
        <f>IF('Hauteurs pennes (0-1)'!W13="","",MAX('Hauteurs pennes (0-1)'!W13,'Hauteurs pennes (1-1)'!W13,'Hauteurs pennes (2-1)'!W13))</f>
        <v/>
      </c>
      <c r="X13" s="780" t="str">
        <f>IF('Hauteurs pennes (0-1)'!X13="","",MAX('Hauteurs pennes (0-1)'!X13,'Hauteurs pennes (1-1)'!X13,'Hauteurs pennes (2-1)'!X13))</f>
        <v/>
      </c>
      <c r="Y13" s="781">
        <f>IF(COUNTIF(P13:S13,"")+COUNTIF(U13:X13,"")=8,"",MAX(P13:S13,U13:X13))</f>
        <v>0.35</v>
      </c>
    </row>
    <row r="14" spans="1:26" s="345" customFormat="1">
      <c r="A14" s="345">
        <f t="shared" ref="A14:A31" si="0">IF(COUNTIF(C14,"")+COUNTIF(H14,"")+COUNTIF(O14,"")+COUNTIF(T14,"")=4,"",AVERAGE(C14,H14,O14,T14))</f>
        <v>26.922669813782981</v>
      </c>
      <c r="B14" s="609" t="s">
        <v>1244</v>
      </c>
      <c r="C14" s="782">
        <f>IF('Sections rachis &amp; L pennes'!Q14="","",'Sections rachis &amp; L pennes'!Q14)</f>
        <v>27.346437346437348</v>
      </c>
      <c r="D14" s="783" t="str">
        <f>IF('Hauteurs pennes (0-1)'!D14="","",MAX('Hauteurs pennes (0-1)'!D14,'Hauteurs pennes (1-1)'!D14,'Hauteurs pennes (2-1)'!D14))</f>
        <v/>
      </c>
      <c r="E14" s="784" t="str">
        <f>IF('Hauteurs pennes (0-1)'!E14="","",MAX('Hauteurs pennes (0-1)'!E14,'Hauteurs pennes (1-1)'!E14,'Hauteurs pennes (2-1)'!E14))</f>
        <v/>
      </c>
      <c r="F14" s="784" t="str">
        <f>IF('Hauteurs pennes (0-1)'!F14="","",MAX('Hauteurs pennes (0-1)'!F14,'Hauteurs pennes (1-1)'!F14,'Hauteurs pennes (2-1)'!F14))</f>
        <v/>
      </c>
      <c r="G14" s="787">
        <f>IF('Hauteurs pennes (0-1)'!G14="","",MAX('Hauteurs pennes (0-1)'!G14,'Hauteurs pennes (1-1)'!G14,'Hauteurs pennes (2-1)'!G14))</f>
        <v>0.48799999999999999</v>
      </c>
      <c r="H14" s="782">
        <f>IF('Sections rachis &amp; L pennes'!V14="","",'Sections rachis &amp; L pennes'!V14)</f>
        <v>28.157248157248159</v>
      </c>
      <c r="I14" s="783">
        <f>IF('Hauteurs pennes (0-1)'!I14="","",MAX('Hauteurs pennes (0-1)'!I14,'Hauteurs pennes (1-1)'!I14,'Hauteurs pennes (2-1)'!I14))</f>
        <v>0.379</v>
      </c>
      <c r="J14" s="784" t="str">
        <f>IF('Hauteurs pennes (0-1)'!J14="","",MAX('Hauteurs pennes (0-1)'!J14,'Hauteurs pennes (1-1)'!J14,'Hauteurs pennes (2-1)'!J14))</f>
        <v/>
      </c>
      <c r="K14" s="784" t="str">
        <f>IF('Hauteurs pennes (0-1)'!K14="","",MAX('Hauteurs pennes (0-1)'!K14,'Hauteurs pennes (1-1)'!K14,'Hauteurs pennes (2-1)'!K14))</f>
        <v/>
      </c>
      <c r="L14" s="787" t="str">
        <f>IF('Hauteurs pennes (0-1)'!L14="","",MAX('Hauteurs pennes (0-1)'!L14,'Hauteurs pennes (1-1)'!L14,'Hauteurs pennes (2-1)'!L14))</f>
        <v/>
      </c>
      <c r="M14" s="781">
        <f t="shared" ref="M14:M31" si="1">IF(COUNTIF(D14:G14,"")+COUNTIF(I14:L14,"")=8,"",MAX(D14:G14,I14:L14))</f>
        <v>0.48799999999999999</v>
      </c>
      <c r="N14" s="609" t="s">
        <v>1244</v>
      </c>
      <c r="O14" s="782">
        <f>IF('Sections rachis &amp; L pennes'!AC14="","",'Sections rachis &amp; L pennes'!AC14)</f>
        <v>26.429067345521869</v>
      </c>
      <c r="P14" s="783">
        <f>IF('Hauteurs pennes (0-1)'!P14="","",MAX('Hauteurs pennes (0-1)'!P14,'Hauteurs pennes (1-1)'!P14,'Hauteurs pennes (2-1)'!P14))</f>
        <v>0.43</v>
      </c>
      <c r="Q14" s="784" t="str">
        <f>IF('Hauteurs pennes (0-1)'!Q14="","",MAX('Hauteurs pennes (0-1)'!Q14,'Hauteurs pennes (1-1)'!Q14,'Hauteurs pennes (2-1)'!Q14))</f>
        <v/>
      </c>
      <c r="R14" s="784" t="str">
        <f>IF('Hauteurs pennes (0-1)'!R14="","",MAX('Hauteurs pennes (0-1)'!R14,'Hauteurs pennes (1-1)'!R14,'Hauteurs pennes (2-1)'!R14))</f>
        <v/>
      </c>
      <c r="S14" s="787" t="str">
        <f>IF('Hauteurs pennes (0-1)'!S14="","",MAX('Hauteurs pennes (0-1)'!S14,'Hauteurs pennes (1-1)'!S14,'Hauteurs pennes (2-1)'!S14))</f>
        <v/>
      </c>
      <c r="T14" s="782">
        <f>IF('Sections rachis &amp; L pennes'!AH14="","",'Sections rachis &amp; L pennes'!AH14)</f>
        <v>25.757926405924554</v>
      </c>
      <c r="U14" s="783" t="str">
        <f>IF('Hauteurs pennes (0-1)'!U14="","",MAX('Hauteurs pennes (0-1)'!U14,'Hauteurs pennes (1-1)'!U14,'Hauteurs pennes (2-1)'!U14))</f>
        <v/>
      </c>
      <c r="V14" s="784" t="str">
        <f>IF('Hauteurs pennes (0-1)'!V14="","",MAX('Hauteurs pennes (0-1)'!V14,'Hauteurs pennes (1-1)'!V14,'Hauteurs pennes (2-1)'!V14))</f>
        <v/>
      </c>
      <c r="W14" s="784" t="str">
        <f>IF('Hauteurs pennes (0-1)'!W14="","",MAX('Hauteurs pennes (0-1)'!W14,'Hauteurs pennes (1-1)'!W14,'Hauteurs pennes (2-1)'!W14))</f>
        <v/>
      </c>
      <c r="X14" s="787">
        <f>IF('Hauteurs pennes (0-1)'!X14="","",MAX('Hauteurs pennes (0-1)'!X14,'Hauteurs pennes (1-1)'!X14,'Hauteurs pennes (2-1)'!X14))</f>
        <v>0.48699999999999999</v>
      </c>
      <c r="Y14" s="781">
        <f t="shared" ref="Y14:Y31" si="2">IF(COUNTIF(P14:S14,"")+COUNTIF(U14:X14,"")=8,"",MAX(P14:S14,U14:X14))</f>
        <v>0.48699999999999999</v>
      </c>
    </row>
    <row r="15" spans="1:26" s="345" customFormat="1" ht="13.5" thickBot="1">
      <c r="A15" s="345">
        <f t="shared" si="0"/>
        <v>28.402760758696882</v>
      </c>
      <c r="B15" s="620" t="s">
        <v>1245</v>
      </c>
      <c r="C15" s="788">
        <f>IF('Sections rachis &amp; L pennes'!Q15="","",'Sections rachis &amp; L pennes'!Q15)</f>
        <v>30.466830466830466</v>
      </c>
      <c r="D15" s="789">
        <f>IF('Hauteurs pennes (0-1)'!D15="","",MAX('Hauteurs pennes (0-1)'!D15,'Hauteurs pennes (1-1)'!D15,'Hauteurs pennes (2-1)'!D15))</f>
        <v>0.44700000000000001</v>
      </c>
      <c r="E15" s="790" t="str">
        <f>IF('Hauteurs pennes (0-1)'!E15="","",MAX('Hauteurs pennes (0-1)'!E15,'Hauteurs pennes (1-1)'!E15,'Hauteurs pennes (2-1)'!E15))</f>
        <v/>
      </c>
      <c r="F15" s="790" t="str">
        <f>IF('Hauteurs pennes (0-1)'!F15="","",MAX('Hauteurs pennes (0-1)'!F15,'Hauteurs pennes (1-1)'!F15,'Hauteurs pennes (2-1)'!F15))</f>
        <v/>
      </c>
      <c r="G15" s="793" t="str">
        <f>IF('Hauteurs pennes (0-1)'!G15="","",MAX('Hauteurs pennes (0-1)'!G15,'Hauteurs pennes (1-1)'!G15,'Hauteurs pennes (2-1)'!G15))</f>
        <v/>
      </c>
      <c r="H15" s="788">
        <f>IF('Sections rachis &amp; L pennes'!V15="","",'Sections rachis &amp; L pennes'!V15)</f>
        <v>28.55036855036855</v>
      </c>
      <c r="I15" s="789" t="str">
        <f>IF('Hauteurs pennes (0-1)'!I15="","",MAX('Hauteurs pennes (0-1)'!I15,'Hauteurs pennes (1-1)'!I15,'Hauteurs pennes (2-1)'!I15))</f>
        <v/>
      </c>
      <c r="J15" s="790" t="str">
        <f>IF('Hauteurs pennes (0-1)'!J15="","",MAX('Hauteurs pennes (0-1)'!J15,'Hauteurs pennes (1-1)'!J15,'Hauteurs pennes (2-1)'!J15))</f>
        <v/>
      </c>
      <c r="K15" s="790" t="str">
        <f>IF('Hauteurs pennes (0-1)'!K15="","",MAX('Hauteurs pennes (0-1)'!K15,'Hauteurs pennes (1-1)'!K15,'Hauteurs pennes (2-1)'!K15))</f>
        <v/>
      </c>
      <c r="L15" s="793">
        <f>IF('Hauteurs pennes (0-1)'!L15="","",MAX('Hauteurs pennes (0-1)'!L15,'Hauteurs pennes (1-1)'!L15,'Hauteurs pennes (2-1)'!L15))</f>
        <v>0.54100000000000004</v>
      </c>
      <c r="M15" s="781">
        <f t="shared" si="1"/>
        <v>0.54100000000000004</v>
      </c>
      <c r="N15" s="620" t="s">
        <v>1245</v>
      </c>
      <c r="O15" s="782">
        <f>IF('Sections rachis &amp; L pennes'!AC15="","",'Sections rachis &amp; L pennes'!AC15)</f>
        <v>26.799352001851421</v>
      </c>
      <c r="P15" s="789" t="str">
        <f>IF('Hauteurs pennes (0-1)'!P15="","",MAX('Hauteurs pennes (0-1)'!P15,'Hauteurs pennes (1-1)'!P15,'Hauteurs pennes (2-1)'!P15))</f>
        <v/>
      </c>
      <c r="Q15" s="790" t="str">
        <f>IF('Hauteurs pennes (0-1)'!Q15="","",MAX('Hauteurs pennes (0-1)'!Q15,'Hauteurs pennes (1-1)'!Q15,'Hauteurs pennes (2-1)'!Q15))</f>
        <v/>
      </c>
      <c r="R15" s="790" t="str">
        <f>IF('Hauteurs pennes (0-1)'!R15="","",MAX('Hauteurs pennes (0-1)'!R15,'Hauteurs pennes (1-1)'!R15,'Hauteurs pennes (2-1)'!R15))</f>
        <v/>
      </c>
      <c r="S15" s="793">
        <f>IF('Hauteurs pennes (0-1)'!S15="","",MAX('Hauteurs pennes (0-1)'!S15,'Hauteurs pennes (1-1)'!S15,'Hauteurs pennes (2-1)'!S15))</f>
        <v>0.435</v>
      </c>
      <c r="T15" s="782">
        <f>IF('Sections rachis &amp; L pennes'!AH15="","",'Sections rachis &amp; L pennes'!AH15)</f>
        <v>27.794492015737095</v>
      </c>
      <c r="U15" s="789">
        <f>IF('Hauteurs pennes (0-1)'!U15="","",MAX('Hauteurs pennes (0-1)'!U15,'Hauteurs pennes (1-1)'!U15,'Hauteurs pennes (2-1)'!U15))</f>
        <v>0.53</v>
      </c>
      <c r="V15" s="790" t="str">
        <f>IF('Hauteurs pennes (0-1)'!V15="","",MAX('Hauteurs pennes (0-1)'!V15,'Hauteurs pennes (1-1)'!V15,'Hauteurs pennes (2-1)'!V15))</f>
        <v/>
      </c>
      <c r="W15" s="790" t="str">
        <f>IF('Hauteurs pennes (0-1)'!W15="","",MAX('Hauteurs pennes (0-1)'!W15,'Hauteurs pennes (1-1)'!W15,'Hauteurs pennes (2-1)'!W15))</f>
        <v/>
      </c>
      <c r="X15" s="793" t="str">
        <f>IF('Hauteurs pennes (0-1)'!X15="","",MAX('Hauteurs pennes (0-1)'!X15,'Hauteurs pennes (1-1)'!X15,'Hauteurs pennes (2-1)'!X15))</f>
        <v/>
      </c>
      <c r="Y15" s="781">
        <f t="shared" si="2"/>
        <v>0.53</v>
      </c>
      <c r="Z15" s="656">
        <f>IF(MAX(M13:M14,Y13:Y14)=0,"",MAX(M13:M14,Y13:Y14))</f>
        <v>0.48799999999999999</v>
      </c>
    </row>
    <row r="16" spans="1:26" s="345" customFormat="1">
      <c r="A16" s="345" t="str">
        <f t="shared" si="0"/>
        <v/>
      </c>
      <c r="C16" s="775" t="str">
        <f>IF('Sections rachis &amp; L pennes'!Q16="","",'Sections rachis &amp; L pennes'!Q16)</f>
        <v/>
      </c>
      <c r="D16" s="776" t="str">
        <f>IF('Hauteurs pennes (0-1)'!D16="","",MAX('Hauteurs pennes (0-1)'!D16,'Hauteurs pennes (1-1)'!D16,'Hauteurs pennes (2-1)'!D16))</f>
        <v/>
      </c>
      <c r="E16" s="777" t="str">
        <f>IF('Hauteurs pennes (0-1)'!E16="","",MAX('Hauteurs pennes (0-1)'!E16,'Hauteurs pennes (1-1)'!E16,'Hauteurs pennes (2-1)'!E16))</f>
        <v/>
      </c>
      <c r="F16" s="777" t="str">
        <f>IF('Hauteurs pennes (0-1)'!F16="","",MAX('Hauteurs pennes (0-1)'!F16,'Hauteurs pennes (1-1)'!F16,'Hauteurs pennes (2-1)'!F16))</f>
        <v/>
      </c>
      <c r="G16" s="780" t="str">
        <f>IF('Hauteurs pennes (0-1)'!G16="","",MAX('Hauteurs pennes (0-1)'!G16,'Hauteurs pennes (1-1)'!G16,'Hauteurs pennes (2-1)'!G16))</f>
        <v/>
      </c>
      <c r="H16" s="775" t="str">
        <f>IF('Sections rachis &amp; L pennes'!V16="","",'Sections rachis &amp; L pennes'!V16)</f>
        <v/>
      </c>
      <c r="I16" s="776" t="str">
        <f>IF('Hauteurs pennes (0-1)'!I16="","",MAX('Hauteurs pennes (0-1)'!I16,'Hauteurs pennes (1-1)'!I16,'Hauteurs pennes (2-1)'!I16))</f>
        <v/>
      </c>
      <c r="J16" s="777" t="str">
        <f>IF('Hauteurs pennes (0-1)'!J16="","",MAX('Hauteurs pennes (0-1)'!J16,'Hauteurs pennes (1-1)'!J16,'Hauteurs pennes (2-1)'!J16))</f>
        <v/>
      </c>
      <c r="K16" s="777" t="str">
        <f>IF('Hauteurs pennes (0-1)'!K16="","",MAX('Hauteurs pennes (0-1)'!K16,'Hauteurs pennes (1-1)'!K16,'Hauteurs pennes (2-1)'!K16))</f>
        <v/>
      </c>
      <c r="L16" s="780" t="str">
        <f>IF('Hauteurs pennes (0-1)'!L16="","",MAX('Hauteurs pennes (0-1)'!L16,'Hauteurs pennes (1-1)'!L16,'Hauteurs pennes (2-1)'!L16))</f>
        <v/>
      </c>
      <c r="M16" s="781" t="str">
        <f t="shared" si="1"/>
        <v/>
      </c>
      <c r="O16" s="782" t="str">
        <f>IF('Sections rachis &amp; L pennes'!AC16="","",'Sections rachis &amp; L pennes'!AC16)</f>
        <v/>
      </c>
      <c r="P16" s="776" t="str">
        <f>IF('Hauteurs pennes (0-1)'!P16="","",MAX('Hauteurs pennes (0-1)'!P16,'Hauteurs pennes (1-1)'!P16,'Hauteurs pennes (2-1)'!P16))</f>
        <v/>
      </c>
      <c r="Q16" s="777" t="str">
        <f>IF('Hauteurs pennes (0-1)'!Q16="","",MAX('Hauteurs pennes (0-1)'!Q16,'Hauteurs pennes (1-1)'!Q16,'Hauteurs pennes (2-1)'!Q16))</f>
        <v/>
      </c>
      <c r="R16" s="777" t="str">
        <f>IF('Hauteurs pennes (0-1)'!R16="","",MAX('Hauteurs pennes (0-1)'!R16,'Hauteurs pennes (1-1)'!R16,'Hauteurs pennes (2-1)'!R16))</f>
        <v/>
      </c>
      <c r="S16" s="780" t="str">
        <f>IF('Hauteurs pennes (0-1)'!S16="","",MAX('Hauteurs pennes (0-1)'!S16,'Hauteurs pennes (1-1)'!S16,'Hauteurs pennes (2-1)'!S16))</f>
        <v/>
      </c>
      <c r="T16" s="782" t="str">
        <f>IF('Sections rachis &amp; L pennes'!AH16="","",'Sections rachis &amp; L pennes'!AH16)</f>
        <v/>
      </c>
      <c r="U16" s="776" t="str">
        <f>IF('Hauteurs pennes (0-1)'!U16="","",MAX('Hauteurs pennes (0-1)'!U16,'Hauteurs pennes (1-1)'!U16,'Hauteurs pennes (2-1)'!U16))</f>
        <v/>
      </c>
      <c r="V16" s="777" t="str">
        <f>IF('Hauteurs pennes (0-1)'!V16="","",MAX('Hauteurs pennes (0-1)'!V16,'Hauteurs pennes (1-1)'!V16,'Hauteurs pennes (2-1)'!V16))</f>
        <v/>
      </c>
      <c r="W16" s="777" t="str">
        <f>IF('Hauteurs pennes (0-1)'!W16="","",MAX('Hauteurs pennes (0-1)'!W16,'Hauteurs pennes (1-1)'!W16,'Hauteurs pennes (2-1)'!W16))</f>
        <v/>
      </c>
      <c r="X16" s="780" t="str">
        <f>IF('Hauteurs pennes (0-1)'!X16="","",MAX('Hauteurs pennes (0-1)'!X16,'Hauteurs pennes (1-1)'!X16,'Hauteurs pennes (2-1)'!X16))</f>
        <v/>
      </c>
      <c r="Y16" s="781" t="str">
        <f t="shared" si="2"/>
        <v/>
      </c>
    </row>
    <row r="17" spans="1:25" s="345" customFormat="1">
      <c r="A17" s="345">
        <f t="shared" si="0"/>
        <v>10</v>
      </c>
      <c r="C17" s="782">
        <f>IF('Sections rachis &amp; L pennes'!Q17="","",'Sections rachis &amp; L pennes'!Q17)</f>
        <v>10</v>
      </c>
      <c r="D17" s="783">
        <f>IF('Hauteurs pennes (0-1)'!D17="","",MAX('Hauteurs pennes (0-1)'!D17,'Hauteurs pennes (1-1)'!D17,'Hauteurs pennes (2-1)'!D17))</f>
        <v>0.67308843294836695</v>
      </c>
      <c r="E17" s="784" t="str">
        <f>IF('Hauteurs pennes (0-1)'!E17="","",MAX('Hauteurs pennes (0-1)'!E17,'Hauteurs pennes (1-1)'!E17,'Hauteurs pennes (2-1)'!E17))</f>
        <v/>
      </c>
      <c r="F17" s="784" t="str">
        <f>IF('Hauteurs pennes (0-1)'!F17="","",MAX('Hauteurs pennes (0-1)'!F17,'Hauteurs pennes (1-1)'!F17,'Hauteurs pennes (2-1)'!F17))</f>
        <v/>
      </c>
      <c r="G17" s="787" t="str">
        <f>IF('Hauteurs pennes (0-1)'!G17="","",MAX('Hauteurs pennes (0-1)'!G17,'Hauteurs pennes (1-1)'!G17,'Hauteurs pennes (2-1)'!G17))</f>
        <v/>
      </c>
      <c r="H17" s="782">
        <f>IF('Sections rachis &amp; L pennes'!V17="","",'Sections rachis &amp; L pennes'!V17)</f>
        <v>10</v>
      </c>
      <c r="I17" s="783">
        <f>IF('Hauteurs pennes (0-1)'!I17="","",MAX('Hauteurs pennes (0-1)'!I17,'Hauteurs pennes (1-1)'!I17,'Hauteurs pennes (2-1)'!I17))</f>
        <v>0.67657883182619893</v>
      </c>
      <c r="J17" s="784" t="str">
        <f>IF('Hauteurs pennes (0-1)'!J17="","",MAX('Hauteurs pennes (0-1)'!J17,'Hauteurs pennes (1-1)'!J17,'Hauteurs pennes (2-1)'!J17))</f>
        <v/>
      </c>
      <c r="K17" s="784" t="str">
        <f>IF('Hauteurs pennes (0-1)'!K17="","",MAX('Hauteurs pennes (0-1)'!K17,'Hauteurs pennes (1-1)'!K17,'Hauteurs pennes (2-1)'!K17))</f>
        <v/>
      </c>
      <c r="L17" s="787">
        <f>IF('Hauteurs pennes (0-1)'!L17="","",MAX('Hauteurs pennes (0-1)'!L17,'Hauteurs pennes (1-1)'!L17,'Hauteurs pennes (2-1)'!L17))</f>
        <v>0.67034597668721307</v>
      </c>
      <c r="M17" s="781">
        <f t="shared" si="1"/>
        <v>0.67657883182619893</v>
      </c>
      <c r="O17" s="782">
        <f>IF('Sections rachis &amp; L pennes'!AC17="","",'Sections rachis &amp; L pennes'!AC17)</f>
        <v>10</v>
      </c>
      <c r="P17" s="783" t="str">
        <f>IF('Hauteurs pennes (0-1)'!P17="","",MAX('Hauteurs pennes (0-1)'!P17,'Hauteurs pennes (1-1)'!P17,'Hauteurs pennes (2-1)'!P17))</f>
        <v/>
      </c>
      <c r="Q17" s="784">
        <f>IF('Hauteurs pennes (0-1)'!Q17="","",MAX('Hauteurs pennes (0-1)'!Q17,'Hauteurs pennes (1-1)'!Q17,'Hauteurs pennes (2-1)'!Q17))</f>
        <v>0.70992593738473087</v>
      </c>
      <c r="R17" s="784" t="str">
        <f>IF('Hauteurs pennes (0-1)'!R17="","",MAX('Hauteurs pennes (0-1)'!R17,'Hauteurs pennes (1-1)'!R17,'Hauteurs pennes (2-1)'!R17))</f>
        <v/>
      </c>
      <c r="S17" s="787" t="str">
        <f>IF('Hauteurs pennes (0-1)'!S17="","",MAX('Hauteurs pennes (0-1)'!S17,'Hauteurs pennes (1-1)'!S17,'Hauteurs pennes (2-1)'!S17))</f>
        <v/>
      </c>
      <c r="T17" s="782">
        <f>IF('Sections rachis &amp; L pennes'!AH17="","",'Sections rachis &amp; L pennes'!AH17)</f>
        <v>10</v>
      </c>
      <c r="U17" s="783" t="str">
        <f>IF('Hauteurs pennes (0-1)'!U17="","",MAX('Hauteurs pennes (0-1)'!U17,'Hauteurs pennes (1-1)'!U17,'Hauteurs pennes (2-1)'!U17))</f>
        <v/>
      </c>
      <c r="V17" s="784">
        <f>IF('Hauteurs pennes (0-1)'!V17="","",MAX('Hauteurs pennes (0-1)'!V17,'Hauteurs pennes (1-1)'!V17,'Hauteurs pennes (2-1)'!V17))</f>
        <v>0.70546884278082644</v>
      </c>
      <c r="W17" s="784" t="str">
        <f>IF('Hauteurs pennes (0-1)'!W17="","",MAX('Hauteurs pennes (0-1)'!W17,'Hauteurs pennes (1-1)'!W17,'Hauteurs pennes (2-1)'!W17))</f>
        <v/>
      </c>
      <c r="X17" s="787" t="str">
        <f>IF('Hauteurs pennes (0-1)'!X17="","",MAX('Hauteurs pennes (0-1)'!X17,'Hauteurs pennes (1-1)'!X17,'Hauteurs pennes (2-1)'!X17))</f>
        <v/>
      </c>
      <c r="Y17" s="781">
        <f t="shared" si="2"/>
        <v>0.70992593738473087</v>
      </c>
    </row>
    <row r="18" spans="1:25" s="345" customFormat="1">
      <c r="A18" s="345">
        <f t="shared" si="0"/>
        <v>20</v>
      </c>
      <c r="C18" s="782">
        <f>IF('Sections rachis &amp; L pennes'!Q18="","",'Sections rachis &amp; L pennes'!Q18)</f>
        <v>20</v>
      </c>
      <c r="D18" s="783">
        <f>IF('Hauteurs pennes (0-1)'!D18="","",MAX('Hauteurs pennes (0-1)'!D18,'Hauteurs pennes (1-1)'!D18,'Hauteurs pennes (2-1)'!D18))</f>
        <v>0.82267840796526348</v>
      </c>
      <c r="E18" s="784" t="str">
        <f>IF('Hauteurs pennes (0-1)'!E18="","",MAX('Hauteurs pennes (0-1)'!E18,'Hauteurs pennes (1-1)'!E18,'Hauteurs pennes (2-1)'!E18))</f>
        <v/>
      </c>
      <c r="F18" s="784" t="str">
        <f>IF('Hauteurs pennes (0-1)'!F18="","",MAX('Hauteurs pennes (0-1)'!F18,'Hauteurs pennes (1-1)'!F18,'Hauteurs pennes (2-1)'!F18))</f>
        <v/>
      </c>
      <c r="G18" s="787" t="str">
        <f>IF('Hauteurs pennes (0-1)'!G18="","",MAX('Hauteurs pennes (0-1)'!G18,'Hauteurs pennes (1-1)'!G18,'Hauteurs pennes (2-1)'!G18))</f>
        <v/>
      </c>
      <c r="H18" s="782">
        <f>IF('Sections rachis &amp; L pennes'!V18="","",'Sections rachis &amp; L pennes'!V18)</f>
        <v>20</v>
      </c>
      <c r="I18" s="783">
        <f>IF('Hauteurs pennes (0-1)'!I18="","",MAX('Hauteurs pennes (0-1)'!I18,'Hauteurs pennes (1-1)'!I18,'Hauteurs pennes (2-1)'!I18))</f>
        <v>0.82212079056639542</v>
      </c>
      <c r="J18" s="784" t="str">
        <f>IF('Hauteurs pennes (0-1)'!J18="","",MAX('Hauteurs pennes (0-1)'!J18,'Hauteurs pennes (1-1)'!J18,'Hauteurs pennes (2-1)'!J18))</f>
        <v/>
      </c>
      <c r="K18" s="784" t="str">
        <f>IF('Hauteurs pennes (0-1)'!K18="","",MAX('Hauteurs pennes (0-1)'!K18,'Hauteurs pennes (1-1)'!K18,'Hauteurs pennes (2-1)'!K18))</f>
        <v/>
      </c>
      <c r="L18" s="787" t="str">
        <f>IF('Hauteurs pennes (0-1)'!L18="","",MAX('Hauteurs pennes (0-1)'!L18,'Hauteurs pennes (1-1)'!L18,'Hauteurs pennes (2-1)'!L18))</f>
        <v/>
      </c>
      <c r="M18" s="781">
        <f t="shared" si="1"/>
        <v>0.82267840796526348</v>
      </c>
      <c r="O18" s="782">
        <f>IF('Sections rachis &amp; L pennes'!AC18="","",'Sections rachis &amp; L pennes'!AC18)</f>
        <v>20</v>
      </c>
      <c r="P18" s="783">
        <f>IF('Hauteurs pennes (0-1)'!P18="","",MAX('Hauteurs pennes (0-1)'!P18,'Hauteurs pennes (1-1)'!P18,'Hauteurs pennes (2-1)'!P18))</f>
        <v>0.86904854669961851</v>
      </c>
      <c r="Q18" s="784" t="str">
        <f>IF('Hauteurs pennes (0-1)'!Q18="","",MAX('Hauteurs pennes (0-1)'!Q18,'Hauteurs pennes (1-1)'!Q18,'Hauteurs pennes (2-1)'!Q18))</f>
        <v/>
      </c>
      <c r="R18" s="784" t="str">
        <f>IF('Hauteurs pennes (0-1)'!R18="","",MAX('Hauteurs pennes (0-1)'!R18,'Hauteurs pennes (1-1)'!R18,'Hauteurs pennes (2-1)'!R18))</f>
        <v/>
      </c>
      <c r="S18" s="787">
        <f>IF('Hauteurs pennes (0-1)'!S18="","",MAX('Hauteurs pennes (0-1)'!S18,'Hauteurs pennes (1-1)'!S18,'Hauteurs pennes (2-1)'!S18))</f>
        <v>0.86220724076297217</v>
      </c>
      <c r="T18" s="782">
        <f>IF('Sections rachis &amp; L pennes'!AH18="","",'Sections rachis &amp; L pennes'!AH18)</f>
        <v>20</v>
      </c>
      <c r="U18" s="783">
        <f>IF('Hauteurs pennes (0-1)'!U18="","",MAX('Hauteurs pennes (0-1)'!U18,'Hauteurs pennes (1-1)'!U18,'Hauteurs pennes (2-1)'!U18))</f>
        <v>0.86631202432496002</v>
      </c>
      <c r="V18" s="784" t="str">
        <f>IF('Hauteurs pennes (0-1)'!V18="","",MAX('Hauteurs pennes (0-1)'!V18,'Hauteurs pennes (1-1)'!V18,'Hauteurs pennes (2-1)'!V18))</f>
        <v/>
      </c>
      <c r="W18" s="784" t="str">
        <f>IF('Hauteurs pennes (0-1)'!W18="","",MAX('Hauteurs pennes (0-1)'!W18,'Hauteurs pennes (1-1)'!W18,'Hauteurs pennes (2-1)'!W18))</f>
        <v/>
      </c>
      <c r="X18" s="787">
        <f>IF('Hauteurs pennes (0-1)'!X18="","",MAX('Hauteurs pennes (0-1)'!X18,'Hauteurs pennes (1-1)'!X18,'Hauteurs pennes (2-1)'!X18))</f>
        <v>0.85868885485269686</v>
      </c>
      <c r="Y18" s="781">
        <f t="shared" si="2"/>
        <v>0.86904854669961851</v>
      </c>
    </row>
    <row r="19" spans="1:25" s="345" customFormat="1">
      <c r="A19" s="345">
        <f t="shared" si="0"/>
        <v>30</v>
      </c>
      <c r="C19" s="782">
        <f>IF('Sections rachis &amp; L pennes'!Q19="","",'Sections rachis &amp; L pennes'!Q19)</f>
        <v>30</v>
      </c>
      <c r="D19" s="783">
        <f>IF('Hauteurs pennes (0-1)'!D19="","",MAX('Hauteurs pennes (0-1)'!D19,'Hauteurs pennes (1-1)'!D19,'Hauteurs pennes (2-1)'!D19))</f>
        <v>0.86543405362736547</v>
      </c>
      <c r="E19" s="784" t="str">
        <f>IF('Hauteurs pennes (0-1)'!E19="","",MAX('Hauteurs pennes (0-1)'!E19,'Hauteurs pennes (1-1)'!E19,'Hauteurs pennes (2-1)'!E19))</f>
        <v/>
      </c>
      <c r="F19" s="784" t="str">
        <f>IF('Hauteurs pennes (0-1)'!F19="","",MAX('Hauteurs pennes (0-1)'!F19,'Hauteurs pennes (1-1)'!F19,'Hauteurs pennes (2-1)'!F19))</f>
        <v/>
      </c>
      <c r="G19" s="787">
        <f>IF('Hauteurs pennes (0-1)'!G19="","",MAX('Hauteurs pennes (0-1)'!G19,'Hauteurs pennes (1-1)'!G19,'Hauteurs pennes (2-1)'!G19))</f>
        <v>0.85867202679289534</v>
      </c>
      <c r="H19" s="782">
        <f>IF('Sections rachis &amp; L pennes'!V19="","",'Sections rachis &amp; L pennes'!V19)</f>
        <v>30</v>
      </c>
      <c r="I19" s="783">
        <f>IF('Hauteurs pennes (0-1)'!I19="","",MAX('Hauteurs pennes (0-1)'!I19,'Hauteurs pennes (1-1)'!I19,'Hauteurs pennes (2-1)'!I19))</f>
        <v>0.86958347918488144</v>
      </c>
      <c r="J19" s="784" t="str">
        <f>IF('Hauteurs pennes (0-1)'!J19="","",MAX('Hauteurs pennes (0-1)'!J19,'Hauteurs pennes (1-1)'!J19,'Hauteurs pennes (2-1)'!J19))</f>
        <v/>
      </c>
      <c r="K19" s="784" t="str">
        <f>IF('Hauteurs pennes (0-1)'!K19="","",MAX('Hauteurs pennes (0-1)'!K19,'Hauteurs pennes (1-1)'!K19,'Hauteurs pennes (2-1)'!K19))</f>
        <v/>
      </c>
      <c r="L19" s="787">
        <f>IF('Hauteurs pennes (0-1)'!L19="","",MAX('Hauteurs pennes (0-1)'!L19,'Hauteurs pennes (1-1)'!L19,'Hauteurs pennes (2-1)'!L19))</f>
        <v>0.86435827663097253</v>
      </c>
      <c r="M19" s="781">
        <f t="shared" si="1"/>
        <v>0.86958347918488144</v>
      </c>
      <c r="O19" s="782">
        <f>IF('Sections rachis &amp; L pennes'!AC19="","",'Sections rachis &amp; L pennes'!AC19)</f>
        <v>30</v>
      </c>
      <c r="P19" s="783">
        <f>IF('Hauteurs pennes (0-1)'!P19="","",MAX('Hauteurs pennes (0-1)'!P19,'Hauteurs pennes (1-1)'!P19,'Hauteurs pennes (2-1)'!P19))</f>
        <v>0.92933373418235843</v>
      </c>
      <c r="Q19" s="784" t="str">
        <f>IF('Hauteurs pennes (0-1)'!Q19="","",MAX('Hauteurs pennes (0-1)'!Q19,'Hauteurs pennes (1-1)'!Q19,'Hauteurs pennes (2-1)'!Q19))</f>
        <v/>
      </c>
      <c r="R19" s="784" t="str">
        <f>IF('Hauteurs pennes (0-1)'!R19="","",MAX('Hauteurs pennes (0-1)'!R19,'Hauteurs pennes (1-1)'!R19,'Hauteurs pennes (2-1)'!R19))</f>
        <v/>
      </c>
      <c r="S19" s="787">
        <f>IF('Hauteurs pennes (0-1)'!S19="","",MAX('Hauteurs pennes (0-1)'!S19,'Hauteurs pennes (1-1)'!S19,'Hauteurs pennes (2-1)'!S19))</f>
        <v>0.91155614750463843</v>
      </c>
      <c r="T19" s="782">
        <f>IF('Sections rachis &amp; L pennes'!AH19="","",'Sections rachis &amp; L pennes'!AH19)</f>
        <v>30</v>
      </c>
      <c r="U19" s="783">
        <f>IF('Hauteurs pennes (0-1)'!U19="","",MAX('Hauteurs pennes (0-1)'!U19,'Hauteurs pennes (1-1)'!U19,'Hauteurs pennes (2-1)'!U19))</f>
        <v>0.92981857745538732</v>
      </c>
      <c r="V19" s="784" t="str">
        <f>IF('Hauteurs pennes (0-1)'!V19="","",MAX('Hauteurs pennes (0-1)'!V19,'Hauteurs pennes (1-1)'!V19,'Hauteurs pennes (2-1)'!V19))</f>
        <v/>
      </c>
      <c r="W19" s="784" t="str">
        <f>IF('Hauteurs pennes (0-1)'!W19="","",MAX('Hauteurs pennes (0-1)'!W19,'Hauteurs pennes (1-1)'!W19,'Hauteurs pennes (2-1)'!W19))</f>
        <v/>
      </c>
      <c r="X19" s="787">
        <f>IF('Hauteurs pennes (0-1)'!X19="","",MAX('Hauteurs pennes (0-1)'!X19,'Hauteurs pennes (1-1)'!X19,'Hauteurs pennes (2-1)'!X19))</f>
        <v>0.91107130423160954</v>
      </c>
      <c r="Y19" s="781">
        <f t="shared" si="2"/>
        <v>0.92981857745538732</v>
      </c>
    </row>
    <row r="20" spans="1:25" s="345" customFormat="1">
      <c r="A20" s="345">
        <f t="shared" si="0"/>
        <v>40</v>
      </c>
      <c r="C20" s="782">
        <f>IF('Sections rachis &amp; L pennes'!Q20="","",'Sections rachis &amp; L pennes'!Q20)</f>
        <v>40</v>
      </c>
      <c r="D20" s="783">
        <f>IF('Hauteurs pennes (0-1)'!D20="","",MAX('Hauteurs pennes (0-1)'!D20,'Hauteurs pennes (1-1)'!D20,'Hauteurs pennes (2-1)'!D20))</f>
        <v>1.0049230779698031</v>
      </c>
      <c r="E20" s="784">
        <f>IF('Hauteurs pennes (0-1)'!E20="","",MAX('Hauteurs pennes (0-1)'!E20,'Hauteurs pennes (1-1)'!E20,'Hauteurs pennes (2-1)'!E20))</f>
        <v>1.0019525659672561</v>
      </c>
      <c r="F20" s="784" t="str">
        <f>IF('Hauteurs pennes (0-1)'!F20="","",MAX('Hauteurs pennes (0-1)'!F20,'Hauteurs pennes (1-1)'!F20,'Hauteurs pennes (2-1)'!F20))</f>
        <v/>
      </c>
      <c r="G20" s="787">
        <f>IF('Hauteurs pennes (0-1)'!G20="","",MAX('Hauteurs pennes (0-1)'!G20,'Hauteurs pennes (1-1)'!G20,'Hauteurs pennes (2-1)'!G20))</f>
        <v>1.0006023332388256</v>
      </c>
      <c r="H20" s="782">
        <f>IF('Sections rachis &amp; L pennes'!V20="","",'Sections rachis &amp; L pennes'!V20)</f>
        <v>40</v>
      </c>
      <c r="I20" s="783">
        <f>IF('Hauteurs pennes (0-1)'!I20="","",MAX('Hauteurs pennes (0-1)'!I20,'Hauteurs pennes (1-1)'!I20,'Hauteurs pennes (2-1)'!I20))</f>
        <v>1.0064083339710765</v>
      </c>
      <c r="J20" s="784" t="str">
        <f>IF('Hauteurs pennes (0-1)'!J20="","",MAX('Hauteurs pennes (0-1)'!J20,'Hauteurs pennes (1-1)'!J20,'Hauteurs pennes (2-1)'!J20))</f>
        <v/>
      </c>
      <c r="K20" s="784" t="str">
        <f>IF('Hauteurs pennes (0-1)'!K20="","",MAX('Hauteurs pennes (0-1)'!K20,'Hauteurs pennes (1-1)'!K20,'Hauteurs pennes (2-1)'!K20))</f>
        <v/>
      </c>
      <c r="L20" s="787">
        <f>IF('Hauteurs pennes (0-1)'!L20="","",MAX('Hauteurs pennes (0-1)'!L20,'Hauteurs pennes (1-1)'!L20,'Hauteurs pennes (2-1)'!L20))</f>
        <v>1.0046665337514014</v>
      </c>
      <c r="M20" s="781">
        <f t="shared" si="1"/>
        <v>1.0064083339710765</v>
      </c>
      <c r="O20" s="782">
        <f>IF('Sections rachis &amp; L pennes'!AC20="","",'Sections rachis &amp; L pennes'!AC20)</f>
        <v>40</v>
      </c>
      <c r="P20" s="783">
        <f>IF('Hauteurs pennes (0-1)'!P20="","",MAX('Hauteurs pennes (0-1)'!P20,'Hauteurs pennes (1-1)'!P20,'Hauteurs pennes (2-1)'!P20))</f>
        <v>1.0445787449700907</v>
      </c>
      <c r="Q20" s="784" t="str">
        <f>IF('Hauteurs pennes (0-1)'!Q20="","",MAX('Hauteurs pennes (0-1)'!Q20,'Hauteurs pennes (1-1)'!Q20,'Hauteurs pennes (2-1)'!Q20))</f>
        <v/>
      </c>
      <c r="R20" s="784" t="str">
        <f>IF('Hauteurs pennes (0-1)'!R20="","",MAX('Hauteurs pennes (0-1)'!R20,'Hauteurs pennes (1-1)'!R20,'Hauteurs pennes (2-1)'!R20))</f>
        <v/>
      </c>
      <c r="S20" s="787">
        <f>IF('Hauteurs pennes (0-1)'!S20="","",MAX('Hauteurs pennes (0-1)'!S20,'Hauteurs pennes (1-1)'!S20,'Hauteurs pennes (2-1)'!S20))</f>
        <v>1.0398930018434924</v>
      </c>
      <c r="T20" s="782">
        <f>IF('Sections rachis &amp; L pennes'!AH20="","",'Sections rachis &amp; L pennes'!AH20)</f>
        <v>40</v>
      </c>
      <c r="U20" s="783">
        <f>IF('Hauteurs pennes (0-1)'!U20="","",MAX('Hauteurs pennes (0-1)'!U20,'Hauteurs pennes (1-1)'!U20,'Hauteurs pennes (2-1)'!U20))</f>
        <v>1.0347812820690214</v>
      </c>
      <c r="V20" s="784" t="str">
        <f>IF('Hauteurs pennes (0-1)'!V20="","",MAX('Hauteurs pennes (0-1)'!V20,'Hauteurs pennes (1-1)'!V20,'Hauteurs pennes (2-1)'!V20))</f>
        <v/>
      </c>
      <c r="W20" s="784" t="str">
        <f>IF('Hauteurs pennes (0-1)'!W20="","",MAX('Hauteurs pennes (0-1)'!W20,'Hauteurs pennes (1-1)'!W20,'Hauteurs pennes (2-1)'!W20))</f>
        <v/>
      </c>
      <c r="X20" s="787">
        <f>IF('Hauteurs pennes (0-1)'!X20="","",MAX('Hauteurs pennes (0-1)'!X20,'Hauteurs pennes (1-1)'!X20,'Hauteurs pennes (2-1)'!X20))</f>
        <v>1.0433008150264729</v>
      </c>
      <c r="Y20" s="781">
        <f t="shared" si="2"/>
        <v>1.0445787449700907</v>
      </c>
    </row>
    <row r="21" spans="1:25" s="345" customFormat="1">
      <c r="A21" s="345">
        <f t="shared" si="0"/>
        <v>50</v>
      </c>
      <c r="C21" s="782">
        <f>IF('Sections rachis &amp; L pennes'!Q21="","",'Sections rachis &amp; L pennes'!Q21)</f>
        <v>50</v>
      </c>
      <c r="D21" s="783">
        <f>IF('Hauteurs pennes (0-1)'!D21="","",MAX('Hauteurs pennes (0-1)'!D21,'Hauteurs pennes (1-1)'!D21,'Hauteurs pennes (2-1)'!D21))</f>
        <v>1.1354652258543589</v>
      </c>
      <c r="E21" s="784" t="str">
        <f>IF('Hauteurs pennes (0-1)'!E21="","",MAX('Hauteurs pennes (0-1)'!E21,'Hauteurs pennes (1-1)'!E21,'Hauteurs pennes (2-1)'!E21))</f>
        <v/>
      </c>
      <c r="F21" s="784" t="str">
        <f>IF('Hauteurs pennes (0-1)'!F21="","",MAX('Hauteurs pennes (0-1)'!F21,'Hauteurs pennes (1-1)'!F21,'Hauteurs pennes (2-1)'!F21))</f>
        <v/>
      </c>
      <c r="G21" s="787">
        <f>IF('Hauteurs pennes (0-1)'!G21="","",MAX('Hauteurs pennes (0-1)'!G21,'Hauteurs pennes (1-1)'!G21,'Hauteurs pennes (2-1)'!G21))</f>
        <v>1.1967132179970073</v>
      </c>
      <c r="H21" s="782">
        <f>IF('Sections rachis &amp; L pennes'!V21="","",'Sections rachis &amp; L pennes'!V21)</f>
        <v>50</v>
      </c>
      <c r="I21" s="783">
        <f>IF('Hauteurs pennes (0-1)'!I21="","",MAX('Hauteurs pennes (0-1)'!I21,'Hauteurs pennes (1-1)'!I21,'Hauteurs pennes (2-1)'!I21))</f>
        <v>1.1350970014526998</v>
      </c>
      <c r="J21" s="784" t="str">
        <f>IF('Hauteurs pennes (0-1)'!J21="","",MAX('Hauteurs pennes (0-1)'!J21,'Hauteurs pennes (1-1)'!J21,'Hauteurs pennes (2-1)'!J21))</f>
        <v/>
      </c>
      <c r="K21" s="784" t="str">
        <f>IF('Hauteurs pennes (0-1)'!K21="","",MAX('Hauteurs pennes (0-1)'!K21,'Hauteurs pennes (1-1)'!K21,'Hauteurs pennes (2-1)'!K21))</f>
        <v/>
      </c>
      <c r="L21" s="787" t="str">
        <f>IF('Hauteurs pennes (0-1)'!L21="","",MAX('Hauteurs pennes (0-1)'!L21,'Hauteurs pennes (1-1)'!L21,'Hauteurs pennes (2-1)'!L21))</f>
        <v/>
      </c>
      <c r="M21" s="781">
        <f t="shared" si="1"/>
        <v>1.1967132179970073</v>
      </c>
      <c r="O21" s="782">
        <f>IF('Sections rachis &amp; L pennes'!AC21="","",'Sections rachis &amp; L pennes'!AC21)</f>
        <v>50</v>
      </c>
      <c r="P21" s="783">
        <f>IF('Hauteurs pennes (0-1)'!P21="","",MAX('Hauteurs pennes (0-1)'!P21,'Hauteurs pennes (1-1)'!P21,'Hauteurs pennes (2-1)'!P21))</f>
        <v>1.1916174289695547</v>
      </c>
      <c r="Q21" s="784">
        <f>IF('Hauteurs pennes (0-1)'!Q21="","",MAX('Hauteurs pennes (0-1)'!Q21,'Hauteurs pennes (1-1)'!Q21,'Hauteurs pennes (2-1)'!Q21))</f>
        <v>1.1907138933947308</v>
      </c>
      <c r="R21" s="784" t="str">
        <f>IF('Hauteurs pennes (0-1)'!R21="","",MAX('Hauteurs pennes (0-1)'!R21,'Hauteurs pennes (1-1)'!R21,'Hauteurs pennes (2-1)'!R21))</f>
        <v/>
      </c>
      <c r="S21" s="787">
        <f>IF('Hauteurs pennes (0-1)'!S21="","",MAX('Hauteurs pennes (0-1)'!S21,'Hauteurs pennes (1-1)'!S21,'Hauteurs pennes (2-1)'!S21))</f>
        <v>1.1894231282878391</v>
      </c>
      <c r="T21" s="782">
        <f>IF('Sections rachis &amp; L pennes'!AH21="","",'Sections rachis &amp; L pennes'!AH21)</f>
        <v>50</v>
      </c>
      <c r="U21" s="783">
        <f>IF('Hauteurs pennes (0-1)'!U21="","",MAX('Hauteurs pennes (0-1)'!U21,'Hauteurs pennes (1-1)'!U21,'Hauteurs pennes (2-1)'!U21))</f>
        <v>1.1741921000265205</v>
      </c>
      <c r="V21" s="784" t="str">
        <f>IF('Hauteurs pennes (0-1)'!V21="","",MAX('Hauteurs pennes (0-1)'!V21,'Hauteurs pennes (1-1)'!V21,'Hauteurs pennes (2-1)'!V21))</f>
        <v/>
      </c>
      <c r="W21" s="784" t="str">
        <f>IF('Hauteurs pennes (0-1)'!W21="","",MAX('Hauteurs pennes (0-1)'!W21,'Hauteurs pennes (1-1)'!W21,'Hauteurs pennes (2-1)'!W21))</f>
        <v/>
      </c>
      <c r="X21" s="787">
        <f>IF('Hauteurs pennes (0-1)'!X21="","",MAX('Hauteurs pennes (0-1)'!X21,'Hauteurs pennes (1-1)'!X21,'Hauteurs pennes (2-1)'!X21))</f>
        <v>1.1714814933020485</v>
      </c>
      <c r="Y21" s="781">
        <f t="shared" si="2"/>
        <v>1.1916174289695547</v>
      </c>
    </row>
    <row r="22" spans="1:25" s="345" customFormat="1">
      <c r="A22" s="345">
        <f t="shared" si="0"/>
        <v>60</v>
      </c>
      <c r="C22" s="782">
        <f>IF('Sections rachis &amp; L pennes'!Q22="","",'Sections rachis &amp; L pennes'!Q22)</f>
        <v>60</v>
      </c>
      <c r="D22" s="783">
        <f>IF('Hauteurs pennes (0-1)'!D22="","",MAX('Hauteurs pennes (0-1)'!D22,'Hauteurs pennes (1-1)'!D22,'Hauteurs pennes (2-1)'!D22))</f>
        <v>1.2362634754717419</v>
      </c>
      <c r="E22" s="784" t="str">
        <f>IF('Hauteurs pennes (0-1)'!E22="","",MAX('Hauteurs pennes (0-1)'!E22,'Hauteurs pennes (1-1)'!E22,'Hauteurs pennes (2-1)'!E22))</f>
        <v/>
      </c>
      <c r="F22" s="784" t="str">
        <f>IF('Hauteurs pennes (0-1)'!F22="","",MAX('Hauteurs pennes (0-1)'!F22,'Hauteurs pennes (1-1)'!F22,'Hauteurs pennes (2-1)'!F22))</f>
        <v/>
      </c>
      <c r="G22" s="787">
        <f>IF('Hauteurs pennes (0-1)'!G22="","",MAX('Hauteurs pennes (0-1)'!G22,'Hauteurs pennes (1-1)'!G22,'Hauteurs pennes (2-1)'!G22))</f>
        <v>1.2354777014404426</v>
      </c>
      <c r="H22" s="782">
        <f>IF('Sections rachis &amp; L pennes'!V22="","",'Sections rachis &amp; L pennes'!V22)</f>
        <v>60</v>
      </c>
      <c r="I22" s="783">
        <f>IF('Hauteurs pennes (0-1)'!I22="","",MAX('Hauteurs pennes (0-1)'!I22,'Hauteurs pennes (1-1)'!I22,'Hauteurs pennes (2-1)'!I22))</f>
        <v>1.2385085441325967</v>
      </c>
      <c r="J22" s="784">
        <f>IF('Hauteurs pennes (0-1)'!J22="","",MAX('Hauteurs pennes (0-1)'!J22,'Hauteurs pennes (1-1)'!J22,'Hauteurs pennes (2-1)'!J22))</f>
        <v>1.2372737563691265</v>
      </c>
      <c r="K22" s="784" t="str">
        <f>IF('Hauteurs pennes (0-1)'!K22="","",MAX('Hauteurs pennes (0-1)'!K22,'Hauteurs pennes (1-1)'!K22,'Hauteurs pennes (2-1)'!K22))</f>
        <v/>
      </c>
      <c r="L22" s="787">
        <f>IF('Hauteurs pennes (0-1)'!L22="","",MAX('Hauteurs pennes (0-1)'!L22,'Hauteurs pennes (1-1)'!L22,'Hauteurs pennes (2-1)'!L22))</f>
        <v>1.2363757289047845</v>
      </c>
      <c r="M22" s="781">
        <f t="shared" si="1"/>
        <v>1.2385085441325967</v>
      </c>
      <c r="O22" s="782">
        <f>IF('Sections rachis &amp; L pennes'!AC22="","",'Sections rachis &amp; L pennes'!AC22)</f>
        <v>60</v>
      </c>
      <c r="P22" s="783">
        <f>IF('Hauteurs pennes (0-1)'!P22="","",MAX('Hauteurs pennes (0-1)'!P22,'Hauteurs pennes (1-1)'!P22,'Hauteurs pennes (2-1)'!P22))</f>
        <v>1.2992442924825298</v>
      </c>
      <c r="Q22" s="784" t="str">
        <f>IF('Hauteurs pennes (0-1)'!Q22="","",MAX('Hauteurs pennes (0-1)'!Q22,'Hauteurs pennes (1-1)'!Q22,'Hauteurs pennes (2-1)'!Q22))</f>
        <v/>
      </c>
      <c r="R22" s="784" t="str">
        <f>IF('Hauteurs pennes (0-1)'!R22="","",MAX('Hauteurs pennes (0-1)'!R22,'Hauteurs pennes (1-1)'!R22,'Hauteurs pennes (2-1)'!R22))</f>
        <v/>
      </c>
      <c r="S22" s="787">
        <f>IF('Hauteurs pennes (0-1)'!S22="","",MAX('Hauteurs pennes (0-1)'!S22,'Hauteurs pennes (1-1)'!S22,'Hauteurs pennes (2-1)'!S22))</f>
        <v>1.2964111606756705</v>
      </c>
      <c r="T22" s="782">
        <f>IF('Sections rachis &amp; L pennes'!AH22="","",'Sections rachis &amp; L pennes'!AH22)</f>
        <v>60</v>
      </c>
      <c r="U22" s="783">
        <f>IF('Hauteurs pennes (0-1)'!U22="","",MAX('Hauteurs pennes (0-1)'!U22,'Hauteurs pennes (1-1)'!U22,'Hauteurs pennes (2-1)'!U22))</f>
        <v>1.2894463783171408</v>
      </c>
      <c r="V22" s="784">
        <f>IF('Hauteurs pennes (0-1)'!V22="","",MAX('Hauteurs pennes (0-1)'!V22,'Hauteurs pennes (1-1)'!V22,'Hauteurs pennes (2-1)'!V22))</f>
        <v>1.2927516987584766</v>
      </c>
      <c r="W22" s="784" t="str">
        <f>IF('Hauteurs pennes (0-1)'!W22="","",MAX('Hauteurs pennes (0-1)'!W22,'Hauteurs pennes (1-1)'!W22,'Hauteurs pennes (2-1)'!W22))</f>
        <v/>
      </c>
      <c r="X22" s="787">
        <f>IF('Hauteurs pennes (0-1)'!X22="","",MAX('Hauteurs pennes (0-1)'!X22,'Hauteurs pennes (1-1)'!X22,'Hauteurs pennes (2-1)'!X22))</f>
        <v>1.289328331158522</v>
      </c>
      <c r="Y22" s="781">
        <f t="shared" si="2"/>
        <v>1.2992442924825298</v>
      </c>
    </row>
    <row r="23" spans="1:25" s="345" customFormat="1">
      <c r="A23" s="345">
        <f t="shared" si="0"/>
        <v>70</v>
      </c>
      <c r="C23" s="782">
        <f>IF('Sections rachis &amp; L pennes'!Q23="","",'Sections rachis &amp; L pennes'!Q23)</f>
        <v>70</v>
      </c>
      <c r="D23" s="783">
        <f>IF('Hauteurs pennes (0-1)'!D23="","",MAX('Hauteurs pennes (0-1)'!D23,'Hauteurs pennes (1-1)'!D23,'Hauteurs pennes (2-1)'!D23))</f>
        <v>1.2806789386610304</v>
      </c>
      <c r="E23" s="784" t="str">
        <f>IF('Hauteurs pennes (0-1)'!E23="","",MAX('Hauteurs pennes (0-1)'!E23,'Hauteurs pennes (1-1)'!E23,'Hauteurs pennes (2-1)'!E23))</f>
        <v/>
      </c>
      <c r="F23" s="784" t="str">
        <f>IF('Hauteurs pennes (0-1)'!F23="","",MAX('Hauteurs pennes (0-1)'!F23,'Hauteurs pennes (1-1)'!F23,'Hauteurs pennes (2-1)'!F23))</f>
        <v/>
      </c>
      <c r="G23" s="787">
        <f>IF('Hauteurs pennes (0-1)'!G23="","",MAX('Hauteurs pennes (0-1)'!G23,'Hauteurs pennes (1-1)'!G23,'Hauteurs pennes (2-1)'!G23))</f>
        <v>1.2803791875609625</v>
      </c>
      <c r="H23" s="782">
        <f>IF('Sections rachis &amp; L pennes'!V23="","",'Sections rachis &amp; L pennes'!V23)</f>
        <v>70</v>
      </c>
      <c r="I23" s="783">
        <f>IF('Hauteurs pennes (0-1)'!I23="","",MAX('Hauteurs pennes (0-1)'!I23,'Hauteurs pennes (1-1)'!I23,'Hauteurs pennes (2-1)'!I23))</f>
        <v>1.2767821743601475</v>
      </c>
      <c r="J23" s="784" t="str">
        <f>IF('Hauteurs pennes (0-1)'!J23="","",MAX('Hauteurs pennes (0-1)'!J23,'Hauteurs pennes (1-1)'!J23,'Hauteurs pennes (2-1)'!J23))</f>
        <v/>
      </c>
      <c r="K23" s="784" t="str">
        <f>IF('Hauteurs pennes (0-1)'!K23="","",MAX('Hauteurs pennes (0-1)'!K23,'Hauteurs pennes (1-1)'!K23,'Hauteurs pennes (2-1)'!K23))</f>
        <v/>
      </c>
      <c r="L23" s="787">
        <f>IF('Hauteurs pennes (0-1)'!L23="","",MAX('Hauteurs pennes (0-1)'!L23,'Hauteurs pennes (1-1)'!L23,'Hauteurs pennes (2-1)'!L23))</f>
        <v>1.274583999626316</v>
      </c>
      <c r="M23" s="781">
        <f t="shared" si="1"/>
        <v>1.2806789386610304</v>
      </c>
      <c r="O23" s="782">
        <f>IF('Sections rachis &amp; L pennes'!AC23="","",'Sections rachis &amp; L pennes'!AC23)</f>
        <v>70</v>
      </c>
      <c r="P23" s="783">
        <f>IF('Hauteurs pennes (0-1)'!P23="","",MAX('Hauteurs pennes (0-1)'!P23,'Hauteurs pennes (1-1)'!P23,'Hauteurs pennes (2-1)'!P23))</f>
        <v>1.3406842023767778</v>
      </c>
      <c r="Q23" s="784" t="str">
        <f>IF('Hauteurs pennes (0-1)'!Q23="","",MAX('Hauteurs pennes (0-1)'!Q23,'Hauteurs pennes (1-1)'!Q23,'Hauteurs pennes (2-1)'!Q23))</f>
        <v/>
      </c>
      <c r="R23" s="784" t="str">
        <f>IF('Hauteurs pennes (0-1)'!R23="","",MAX('Hauteurs pennes (0-1)'!R23,'Hauteurs pennes (1-1)'!R23,'Hauteurs pennes (2-1)'!R23))</f>
        <v/>
      </c>
      <c r="S23" s="787">
        <f>IF('Hauteurs pennes (0-1)'!S23="","",MAX('Hauteurs pennes (0-1)'!S23,'Hauteurs pennes (1-1)'!S23,'Hauteurs pennes (2-1)'!S23))</f>
        <v>1.3397385360030152</v>
      </c>
      <c r="T23" s="782">
        <f>IF('Sections rachis &amp; L pennes'!AH23="","",'Sections rachis &amp; L pennes'!AH23)</f>
        <v>70</v>
      </c>
      <c r="U23" s="783">
        <f>IF('Hauteurs pennes (0-1)'!U23="","",MAX('Hauteurs pennes (0-1)'!U23,'Hauteurs pennes (1-1)'!U23,'Hauteurs pennes (2-1)'!U23))</f>
        <v>1.3388979436707817</v>
      </c>
      <c r="V23" s="784">
        <f>IF('Hauteurs pennes (0-1)'!V23="","",MAX('Hauteurs pennes (0-1)'!V23,'Hauteurs pennes (1-1)'!V23,'Hauteurs pennes (2-1)'!V23))</f>
        <v>1.3385827215461941</v>
      </c>
      <c r="W23" s="784" t="str">
        <f>IF('Hauteurs pennes (0-1)'!W23="","",MAX('Hauteurs pennes (0-1)'!W23,'Hauteurs pennes (1-1)'!W23,'Hauteurs pennes (2-1)'!W23))</f>
        <v/>
      </c>
      <c r="X23" s="787">
        <f>IF('Hauteurs pennes (0-1)'!X23="","",MAX('Hauteurs pennes (0-1)'!X23,'Hauteurs pennes (1-1)'!X23,'Hauteurs pennes (2-1)'!X23))</f>
        <v>1.3371116849647853</v>
      </c>
      <c r="Y23" s="781">
        <f t="shared" si="2"/>
        <v>1.3406842023767778</v>
      </c>
    </row>
    <row r="24" spans="1:25" s="345" customFormat="1">
      <c r="A24" s="345">
        <f t="shared" si="0"/>
        <v>80</v>
      </c>
      <c r="C24" s="782">
        <f>IF('Sections rachis &amp; L pennes'!Q24="","",'Sections rachis &amp; L pennes'!Q24)</f>
        <v>80</v>
      </c>
      <c r="D24" s="783">
        <f>IF('Hauteurs pennes (0-1)'!D24="","",MAX('Hauteurs pennes (0-1)'!D24,'Hauteurs pennes (1-1)'!D24,'Hauteurs pennes (2-1)'!D24))</f>
        <v>1.2133341835962723</v>
      </c>
      <c r="E24" s="784" t="str">
        <f>IF('Hauteurs pennes (0-1)'!E24="","",MAX('Hauteurs pennes (0-1)'!E24,'Hauteurs pennes (1-1)'!E24,'Hauteurs pennes (2-1)'!E24))</f>
        <v/>
      </c>
      <c r="F24" s="784" t="str">
        <f>IF('Hauteurs pennes (0-1)'!F24="","",MAX('Hauteurs pennes (0-1)'!F24,'Hauteurs pennes (1-1)'!F24,'Hauteurs pennes (2-1)'!F24))</f>
        <v/>
      </c>
      <c r="G24" s="787">
        <f>IF('Hauteurs pennes (0-1)'!G24="","",MAX('Hauteurs pennes (0-1)'!G24,'Hauteurs pennes (1-1)'!G24,'Hauteurs pennes (2-1)'!G24))</f>
        <v>1.2117623679809726</v>
      </c>
      <c r="H24" s="782">
        <f>IF('Sections rachis &amp; L pennes'!V24="","",'Sections rachis &amp; L pennes'!V24)</f>
        <v>80</v>
      </c>
      <c r="I24" s="783">
        <f>IF('Hauteurs pennes (0-1)'!I24="","",MAX('Hauteurs pennes (0-1)'!I24,'Hauteurs pennes (1-1)'!I24,'Hauteurs pennes (2-1)'!I24))</f>
        <v>1.2069641939974256</v>
      </c>
      <c r="J24" s="784">
        <f>IF('Hauteurs pennes (0-1)'!J24="","",MAX('Hauteurs pennes (0-1)'!J24,'Hauteurs pennes (1-1)'!J24,'Hauteurs pennes (2-1)'!J24))</f>
        <v>1.2080396467868413</v>
      </c>
      <c r="K24" s="784" t="str">
        <f>IF('Hauteurs pennes (0-1)'!K24="","",MAX('Hauteurs pennes (0-1)'!K24,'Hauteurs pennes (1-1)'!K24,'Hauteurs pennes (2-1)'!K24))</f>
        <v/>
      </c>
      <c r="L24" s="787">
        <f>IF('Hauteurs pennes (0-1)'!L24="","",MAX('Hauteurs pennes (0-1)'!L24,'Hauteurs pennes (1-1)'!L24,'Hauteurs pennes (2-1)'!L24))</f>
        <v>1.2087014638880202</v>
      </c>
      <c r="M24" s="781">
        <f t="shared" si="1"/>
        <v>1.2133341835962723</v>
      </c>
      <c r="O24" s="782">
        <f>IF('Sections rachis &amp; L pennes'!AC24="","",'Sections rachis &amp; L pennes'!AC24)</f>
        <v>80</v>
      </c>
      <c r="P24" s="783">
        <f>IF('Hauteurs pennes (0-1)'!P24="","",MAX('Hauteurs pennes (0-1)'!P24,'Hauteurs pennes (1-1)'!P24,'Hauteurs pennes (2-1)'!P24))</f>
        <v>1.2696071078408158</v>
      </c>
      <c r="Q24" s="784">
        <f>IF('Hauteurs pennes (0-1)'!Q24="","",MAX('Hauteurs pennes (0-1)'!Q24,'Hauteurs pennes (1-1)'!Q24,'Hauteurs pennes (2-1)'!Q24))</f>
        <v>1.2696941047662127</v>
      </c>
      <c r="R24" s="784" t="str">
        <f>IF('Hauteurs pennes (0-1)'!R24="","",MAX('Hauteurs pennes (0-1)'!R24,'Hauteurs pennes (1-1)'!R24,'Hauteurs pennes (2-1)'!R24))</f>
        <v/>
      </c>
      <c r="S24" s="787">
        <f>IF('Hauteurs pennes (0-1)'!S24="","",MAX('Hauteurs pennes (0-1)'!S24,'Hauteurs pennes (1-1)'!S24,'Hauteurs pennes (2-1)'!S24))</f>
        <v>1.2700420924678002</v>
      </c>
      <c r="T24" s="782">
        <f>IF('Sections rachis &amp; L pennes'!AH24="","",'Sections rachis &amp; L pennes'!AH24)</f>
        <v>80</v>
      </c>
      <c r="U24" s="783">
        <f>IF('Hauteurs pennes (0-1)'!U24="","",MAX('Hauteurs pennes (0-1)'!U24,'Hauteurs pennes (1-1)'!U24,'Hauteurs pennes (2-1)'!U24))</f>
        <v>1.2668232062281151</v>
      </c>
      <c r="V24" s="784">
        <f>IF('Hauteurs pennes (0-1)'!V24="","",MAX('Hauteurs pennes (0-1)'!V24,'Hauteurs pennes (1-1)'!V24,'Hauteurs pennes (2-1)'!V24))</f>
        <v>1.2662142277503365</v>
      </c>
      <c r="W24" s="784" t="str">
        <f>IF('Hauteurs pennes (0-1)'!W24="","",MAX('Hauteurs pennes (0-1)'!W24,'Hauteurs pennes (1-1)'!W24,'Hauteurs pennes (2-1)'!W24))</f>
        <v/>
      </c>
      <c r="X24" s="787">
        <f>IF('Hauteurs pennes (0-1)'!X24="","",MAX('Hauteurs pennes (0-1)'!X24,'Hauteurs pennes (1-1)'!X24,'Hauteurs pennes (2-1)'!X24))</f>
        <v>1.2689981293630372</v>
      </c>
      <c r="Y24" s="781">
        <f t="shared" si="2"/>
        <v>1.2700420924678002</v>
      </c>
    </row>
    <row r="25" spans="1:25" s="345" customFormat="1" ht="13.5" thickBot="1">
      <c r="A25" s="345">
        <f t="shared" si="0"/>
        <v>90</v>
      </c>
      <c r="C25" s="794">
        <f>IF('Sections rachis &amp; L pennes'!Q25="","",'Sections rachis &amp; L pennes'!Q25)</f>
        <v>90</v>
      </c>
      <c r="D25" s="783" t="str">
        <f>IF('Hauteurs pennes (0-1)'!D25="","",MAX('Hauteurs pennes (0-1)'!D25,'Hauteurs pennes (1-1)'!D25,'Hauteurs pennes (2-1)'!D25))</f>
        <v/>
      </c>
      <c r="E25" s="784">
        <f>IF('Hauteurs pennes (0-1)'!E25="","",MAX('Hauteurs pennes (0-1)'!E25,'Hauteurs pennes (1-1)'!E25,'Hauteurs pennes (2-1)'!E25))</f>
        <v>0.96318116151466127</v>
      </c>
      <c r="F25" s="784" t="str">
        <f>IF('Hauteurs pennes (0-1)'!F25="","",MAX('Hauteurs pennes (0-1)'!F25,'Hauteurs pennes (1-1)'!F25,'Hauteurs pennes (2-1)'!F25))</f>
        <v/>
      </c>
      <c r="G25" s="787" t="str">
        <f>IF('Hauteurs pennes (0-1)'!G25="","",MAX('Hauteurs pennes (0-1)'!G25,'Hauteurs pennes (1-1)'!G25,'Hauteurs pennes (2-1)'!G25))</f>
        <v/>
      </c>
      <c r="H25" s="794">
        <f>IF('Sections rachis &amp; L pennes'!V25="","",'Sections rachis &amp; L pennes'!V25)</f>
        <v>90</v>
      </c>
      <c r="I25" s="783" t="str">
        <f>IF('Hauteurs pennes (0-1)'!I25="","",MAX('Hauteurs pennes (0-1)'!I25,'Hauteurs pennes (1-1)'!I25,'Hauteurs pennes (2-1)'!I25))</f>
        <v/>
      </c>
      <c r="J25" s="784">
        <f>IF('Hauteurs pennes (0-1)'!J25="","",MAX('Hauteurs pennes (0-1)'!J25,'Hauteurs pennes (1-1)'!J25,'Hauteurs pennes (2-1)'!J25))</f>
        <v>0.96061547396135682</v>
      </c>
      <c r="K25" s="784" t="str">
        <f>IF('Hauteurs pennes (0-1)'!K25="","",MAX('Hauteurs pennes (0-1)'!K25,'Hauteurs pennes (1-1)'!K25,'Hauteurs pennes (2-1)'!K25))</f>
        <v/>
      </c>
      <c r="L25" s="787" t="str">
        <f>IF('Hauteurs pennes (0-1)'!L25="","",MAX('Hauteurs pennes (0-1)'!L25,'Hauteurs pennes (1-1)'!L25,'Hauteurs pennes (2-1)'!L25))</f>
        <v/>
      </c>
      <c r="M25" s="781">
        <f t="shared" si="1"/>
        <v>0.96318116151466127</v>
      </c>
      <c r="O25" s="794">
        <f>IF('Sections rachis &amp; L pennes'!AC25="","",'Sections rachis &amp; L pennes'!AC25)</f>
        <v>90</v>
      </c>
      <c r="P25" s="783">
        <f>IF('Hauteurs pennes (0-1)'!P25="","",MAX('Hauteurs pennes (0-1)'!P25,'Hauteurs pennes (1-1)'!P25,'Hauteurs pennes (2-1)'!P25))</f>
        <v>1.0073748759495853</v>
      </c>
      <c r="Q25" s="784" t="str">
        <f>IF('Hauteurs pennes (0-1)'!Q25="","",MAX('Hauteurs pennes (0-1)'!Q25,'Hauteurs pennes (1-1)'!Q25,'Hauteurs pennes (2-1)'!Q25))</f>
        <v/>
      </c>
      <c r="R25" s="784" t="str">
        <f>IF('Hauteurs pennes (0-1)'!R25="","",MAX('Hauteurs pennes (0-1)'!R25,'Hauteurs pennes (1-1)'!R25,'Hauteurs pennes (2-1)'!R25))</f>
        <v/>
      </c>
      <c r="S25" s="787" t="str">
        <f>IF('Hauteurs pennes (0-1)'!S25="","",MAX('Hauteurs pennes (0-1)'!S25,'Hauteurs pennes (1-1)'!S25,'Hauteurs pennes (2-1)'!S25))</f>
        <v/>
      </c>
      <c r="T25" s="788">
        <f>IF('Sections rachis &amp; L pennes'!AH25="","",'Sections rachis &amp; L pennes'!AH25)</f>
        <v>90</v>
      </c>
      <c r="U25" s="783">
        <f>IF('Hauteurs pennes (0-1)'!U25="","",MAX('Hauteurs pennes (0-1)'!U25,'Hauteurs pennes (1-1)'!U25,'Hauteurs pennes (2-1)'!U25))</f>
        <v>1.0052899726621347</v>
      </c>
      <c r="V25" s="784" t="str">
        <f>IF('Hauteurs pennes (0-1)'!V25="","",MAX('Hauteurs pennes (0-1)'!V25,'Hauteurs pennes (1-1)'!V25,'Hauteurs pennes (2-1)'!V25))</f>
        <v/>
      </c>
      <c r="W25" s="784" t="str">
        <f>IF('Hauteurs pennes (0-1)'!W25="","",MAX('Hauteurs pennes (0-1)'!W25,'Hauteurs pennes (1-1)'!W25,'Hauteurs pennes (2-1)'!W25))</f>
        <v/>
      </c>
      <c r="X25" s="787">
        <f>IF('Hauteurs pennes (0-1)'!X25="","",MAX('Hauteurs pennes (0-1)'!X25,'Hauteurs pennes (1-1)'!X25,'Hauteurs pennes (2-1)'!X25))</f>
        <v>1.0047380864978097</v>
      </c>
      <c r="Y25" s="781">
        <f t="shared" si="2"/>
        <v>1.0073748759495853</v>
      </c>
    </row>
    <row r="26" spans="1:25" s="345" customFormat="1">
      <c r="A26" s="345">
        <f t="shared" si="0"/>
        <v>97.736572490101764</v>
      </c>
      <c r="B26" s="648" t="s">
        <v>1247</v>
      </c>
      <c r="C26" s="795">
        <f>IF('Sections rachis &amp; L pennes'!Q26="","",'Sections rachis &amp; L pennes'!Q26)</f>
        <v>97.59213759213759</v>
      </c>
      <c r="D26" s="776" t="str">
        <f>IF('Hauteurs pennes (0-1)'!D26="","",MAX('Hauteurs pennes (0-1)'!D26,'Hauteurs pennes (1-1)'!D26,'Hauteurs pennes (2-1)'!D26))</f>
        <v/>
      </c>
      <c r="E26" s="777" t="str">
        <f>IF('Hauteurs pennes (0-1)'!E26="","",MAX('Hauteurs pennes (0-1)'!E26,'Hauteurs pennes (1-1)'!E26,'Hauteurs pennes (2-1)'!E26))</f>
        <v/>
      </c>
      <c r="F26" s="777" t="str">
        <f>IF('Hauteurs pennes (0-1)'!F26="","",MAX('Hauteurs pennes (0-1)'!F26,'Hauteurs pennes (1-1)'!F26,'Hauteurs pennes (2-1)'!F26))</f>
        <v/>
      </c>
      <c r="G26" s="780">
        <f>IF('Hauteurs pennes (0-1)'!G26="","",MAX('Hauteurs pennes (0-1)'!G26,'Hauteurs pennes (1-1)'!G26,'Hauteurs pennes (2-1)'!G26))</f>
        <v>0.85099999999999998</v>
      </c>
      <c r="H26" s="795">
        <f>IF('Sections rachis &amp; L pennes'!V26="","",'Sections rachis &amp; L pennes'!V26)</f>
        <v>97.54299754299754</v>
      </c>
      <c r="I26" s="776">
        <f>IF('Hauteurs pennes (0-1)'!I26="","",MAX('Hauteurs pennes (0-1)'!I26,'Hauteurs pennes (1-1)'!I26,'Hauteurs pennes (2-1)'!I26))</f>
        <v>0.626</v>
      </c>
      <c r="J26" s="777" t="str">
        <f>IF('Hauteurs pennes (0-1)'!J26="","",MAX('Hauteurs pennes (0-1)'!J26,'Hauteurs pennes (1-1)'!J26,'Hauteurs pennes (2-1)'!J26))</f>
        <v/>
      </c>
      <c r="K26" s="777" t="str">
        <f>IF('Hauteurs pennes (0-1)'!K26="","",MAX('Hauteurs pennes (0-1)'!K26,'Hauteurs pennes (1-1)'!K26,'Hauteurs pennes (2-1)'!K26))</f>
        <v/>
      </c>
      <c r="L26" s="780" t="str">
        <f>IF('Hauteurs pennes (0-1)'!L26="","",MAX('Hauteurs pennes (0-1)'!L26,'Hauteurs pennes (1-1)'!L26,'Hauteurs pennes (2-1)'!L26))</f>
        <v/>
      </c>
      <c r="M26" s="781">
        <f t="shared" si="1"/>
        <v>0.85099999999999998</v>
      </c>
      <c r="N26" s="648" t="s">
        <v>1247</v>
      </c>
      <c r="O26" s="795">
        <f>IF('Sections rachis &amp; L pennes'!AC26="","",'Sections rachis &amp; L pennes'!AC26)</f>
        <v>98.032862763249241</v>
      </c>
      <c r="P26" s="776" t="str">
        <f>IF('Hauteurs pennes (0-1)'!P26="","",MAX('Hauteurs pennes (0-1)'!P26,'Hauteurs pennes (1-1)'!P26,'Hauteurs pennes (2-1)'!P26))</f>
        <v/>
      </c>
      <c r="Q26" s="777" t="str">
        <f>IF('Hauteurs pennes (0-1)'!Q26="","",MAX('Hauteurs pennes (0-1)'!Q26,'Hauteurs pennes (1-1)'!Q26,'Hauteurs pennes (2-1)'!Q26))</f>
        <v/>
      </c>
      <c r="R26" s="777" t="str">
        <f>IF('Hauteurs pennes (0-1)'!R26="","",MAX('Hauteurs pennes (0-1)'!R26,'Hauteurs pennes (1-1)'!R26,'Hauteurs pennes (2-1)'!R26))</f>
        <v/>
      </c>
      <c r="S26" s="780">
        <f>IF('Hauteurs pennes (0-1)'!S26="","",MAX('Hauteurs pennes (0-1)'!S26,'Hauteurs pennes (1-1)'!S26,'Hauteurs pennes (2-1)'!S26))</f>
        <v>0.63500000000000001</v>
      </c>
      <c r="T26" s="796">
        <f>IF('Sections rachis &amp; L pennes'!AH26="","",'Sections rachis &amp; L pennes'!AH26)</f>
        <v>97.778292062022672</v>
      </c>
      <c r="U26" s="776" t="str">
        <f>IF('Hauteurs pennes (0-1)'!U26="","",MAX('Hauteurs pennes (0-1)'!U26,'Hauteurs pennes (1-1)'!U26,'Hauteurs pennes (2-1)'!U26))</f>
        <v/>
      </c>
      <c r="V26" s="777" t="str">
        <f>IF('Hauteurs pennes (0-1)'!V26="","",MAX('Hauteurs pennes (0-1)'!V26,'Hauteurs pennes (1-1)'!V26,'Hauteurs pennes (2-1)'!V26))</f>
        <v/>
      </c>
      <c r="W26" s="777" t="str">
        <f>IF('Hauteurs pennes (0-1)'!W26="","",MAX('Hauteurs pennes (0-1)'!W26,'Hauteurs pennes (1-1)'!W26,'Hauteurs pennes (2-1)'!W26))</f>
        <v/>
      </c>
      <c r="X26" s="780">
        <f>IF('Hauteurs pennes (0-1)'!X26="","",MAX('Hauteurs pennes (0-1)'!X26,'Hauteurs pennes (1-1)'!X26,'Hauteurs pennes (2-1)'!X26))</f>
        <v>0.69099999999999995</v>
      </c>
      <c r="Y26" s="781">
        <f t="shared" si="2"/>
        <v>0.69099999999999995</v>
      </c>
    </row>
    <row r="27" spans="1:25" s="345" customFormat="1">
      <c r="A27" s="345">
        <f t="shared" si="0"/>
        <v>98.474693898206965</v>
      </c>
      <c r="B27" s="653" t="s">
        <v>1248</v>
      </c>
      <c r="C27" s="797">
        <f>IF('Sections rachis &amp; L pennes'!Q27="","",'Sections rachis &amp; L pennes'!Q27)</f>
        <v>98.599508599508596</v>
      </c>
      <c r="D27" s="783">
        <f>IF('Hauteurs pennes (0-1)'!D27="","",MAX('Hauteurs pennes (0-1)'!D27,'Hauteurs pennes (1-1)'!D27,'Hauteurs pennes (2-1)'!D27))</f>
        <v>0.80800000000000005</v>
      </c>
      <c r="E27" s="784" t="str">
        <f>IF('Hauteurs pennes (0-1)'!E27="","",MAX('Hauteurs pennes (0-1)'!E27,'Hauteurs pennes (1-1)'!E27,'Hauteurs pennes (2-1)'!E27))</f>
        <v/>
      </c>
      <c r="F27" s="784" t="str">
        <f>IF('Hauteurs pennes (0-1)'!F27="","",MAX('Hauteurs pennes (0-1)'!F27,'Hauteurs pennes (1-1)'!F27,'Hauteurs pennes (2-1)'!F27))</f>
        <v/>
      </c>
      <c r="G27" s="787" t="str">
        <f>IF('Hauteurs pennes (0-1)'!G27="","",MAX('Hauteurs pennes (0-1)'!G27,'Hauteurs pennes (1-1)'!G27,'Hauteurs pennes (2-1)'!G27))</f>
        <v/>
      </c>
      <c r="H27" s="797">
        <f>IF('Sections rachis &amp; L pennes'!V27="","",'Sections rachis &amp; L pennes'!V27)</f>
        <v>97.960687960687963</v>
      </c>
      <c r="I27" s="783" t="str">
        <f>IF('Hauteurs pennes (0-1)'!I27="","",MAX('Hauteurs pennes (0-1)'!I27,'Hauteurs pennes (1-1)'!I27,'Hauteurs pennes (2-1)'!I27))</f>
        <v/>
      </c>
      <c r="J27" s="784" t="str">
        <f>IF('Hauteurs pennes (0-1)'!J27="","",MAX('Hauteurs pennes (0-1)'!J27,'Hauteurs pennes (1-1)'!J27,'Hauteurs pennes (2-1)'!J27))</f>
        <v/>
      </c>
      <c r="K27" s="784" t="str">
        <f>IF('Hauteurs pennes (0-1)'!K27="","",MAX('Hauteurs pennes (0-1)'!K27,'Hauteurs pennes (1-1)'!K27,'Hauteurs pennes (2-1)'!K27))</f>
        <v/>
      </c>
      <c r="L27" s="787">
        <f>IF('Hauteurs pennes (0-1)'!L27="","",MAX('Hauteurs pennes (0-1)'!L27,'Hauteurs pennes (1-1)'!L27,'Hauteurs pennes (2-1)'!L27))</f>
        <v>0.64200000000000002</v>
      </c>
      <c r="M27" s="781">
        <f t="shared" si="1"/>
        <v>0.80800000000000005</v>
      </c>
      <c r="N27" s="653" t="s">
        <v>1248</v>
      </c>
      <c r="O27" s="797">
        <f>IF('Sections rachis &amp; L pennes'!AC27="","",'Sections rachis &amp; L pennes'!AC27)</f>
        <v>98.704003702846563</v>
      </c>
      <c r="P27" s="783" t="str">
        <f>IF('Hauteurs pennes (0-1)'!P27="","",MAX('Hauteurs pennes (0-1)'!P27,'Hauteurs pennes (1-1)'!P27,'Hauteurs pennes (2-1)'!P27))</f>
        <v/>
      </c>
      <c r="Q27" s="784">
        <f>IF('Hauteurs pennes (0-1)'!Q27="","",MAX('Hauteurs pennes (0-1)'!Q27,'Hauteurs pennes (1-1)'!Q27,'Hauteurs pennes (2-1)'!Q27))</f>
        <v>0.51205077873195348</v>
      </c>
      <c r="R27" s="784" t="str">
        <f>IF('Hauteurs pennes (0-1)'!R27="","",MAX('Hauteurs pennes (0-1)'!R27,'Hauteurs pennes (1-1)'!R27,'Hauteurs pennes (2-1)'!R27))</f>
        <v/>
      </c>
      <c r="S27" s="787" t="str">
        <f>IF('Hauteurs pennes (0-1)'!S27="","",MAX('Hauteurs pennes (0-1)'!S27,'Hauteurs pennes (1-1)'!S27,'Hauteurs pennes (2-1)'!S27))</f>
        <v/>
      </c>
      <c r="T27" s="797">
        <f>IF('Sections rachis &amp; L pennes'!AH27="","",'Sections rachis &amp; L pennes'!AH27)</f>
        <v>98.634575329784766</v>
      </c>
      <c r="U27" s="783">
        <f>IF('Hauteurs pennes (0-1)'!U27="","",MAX('Hauteurs pennes (0-1)'!U27,'Hauteurs pennes (1-1)'!U27,'Hauteurs pennes (2-1)'!U27))</f>
        <v>0.68200000000000005</v>
      </c>
      <c r="V27" s="784" t="str">
        <f>IF('Hauteurs pennes (0-1)'!V27="","",MAX('Hauteurs pennes (0-1)'!V27,'Hauteurs pennes (1-1)'!V27,'Hauteurs pennes (2-1)'!V27))</f>
        <v/>
      </c>
      <c r="W27" s="784" t="str">
        <f>IF('Hauteurs pennes (0-1)'!W27="","",MAX('Hauteurs pennes (0-1)'!W27,'Hauteurs pennes (1-1)'!W27,'Hauteurs pennes (2-1)'!W27))</f>
        <v/>
      </c>
      <c r="X27" s="787" t="str">
        <f>IF('Hauteurs pennes (0-1)'!X27="","",MAX('Hauteurs pennes (0-1)'!X27,'Hauteurs pennes (1-1)'!X27,'Hauteurs pennes (2-1)'!X27))</f>
        <v/>
      </c>
      <c r="Y27" s="781">
        <f t="shared" si="2"/>
        <v>0.68200000000000005</v>
      </c>
    </row>
    <row r="28" spans="1:25" s="345" customFormat="1">
      <c r="A28" s="345">
        <f t="shared" si="0"/>
        <v>99.115172061249353</v>
      </c>
      <c r="B28" s="653" t="s">
        <v>1249</v>
      </c>
      <c r="C28" s="797">
        <f>IF('Sections rachis &amp; L pennes'!Q28="","",'Sections rachis &amp; L pennes'!Q28)</f>
        <v>99.017199017199019</v>
      </c>
      <c r="D28" s="783" t="str">
        <f>IF('Hauteurs pennes (0-1)'!D28="","",MAX('Hauteurs pennes (0-1)'!D28,'Hauteurs pennes (1-1)'!D28,'Hauteurs pennes (2-1)'!D28))</f>
        <v/>
      </c>
      <c r="E28" s="784" t="str">
        <f>IF('Hauteurs pennes (0-1)'!E28="","",MAX('Hauteurs pennes (0-1)'!E28,'Hauteurs pennes (1-1)'!E28,'Hauteurs pennes (2-1)'!E28))</f>
        <v/>
      </c>
      <c r="F28" s="784" t="str">
        <f>IF('Hauteurs pennes (0-1)'!F28="","",MAX('Hauteurs pennes (0-1)'!F28,'Hauteurs pennes (1-1)'!F28,'Hauteurs pennes (2-1)'!F28))</f>
        <v/>
      </c>
      <c r="G28" s="787">
        <f>IF('Hauteurs pennes (0-1)'!G28="","",MAX('Hauteurs pennes (0-1)'!G28,'Hauteurs pennes (1-1)'!G28,'Hauteurs pennes (2-1)'!G28))</f>
        <v>0.80600000000000005</v>
      </c>
      <c r="H28" s="797">
        <f>IF('Sections rachis &amp; L pennes'!V28="","",'Sections rachis &amp; L pennes'!V28)</f>
        <v>99.017199017199019</v>
      </c>
      <c r="I28" s="783">
        <f>IF('Hauteurs pennes (0-1)'!I28="","",MAX('Hauteurs pennes (0-1)'!I28,'Hauteurs pennes (1-1)'!I28,'Hauteurs pennes (2-1)'!I28))</f>
        <v>0.60799999999999998</v>
      </c>
      <c r="J28" s="784" t="str">
        <f>IF('Hauteurs pennes (0-1)'!J28="","",MAX('Hauteurs pennes (0-1)'!J28,'Hauteurs pennes (1-1)'!J28,'Hauteurs pennes (2-1)'!J28))</f>
        <v/>
      </c>
      <c r="K28" s="784" t="str">
        <f>IF('Hauteurs pennes (0-1)'!K28="","",MAX('Hauteurs pennes (0-1)'!K28,'Hauteurs pennes (1-1)'!K28,'Hauteurs pennes (2-1)'!K28))</f>
        <v/>
      </c>
      <c r="L28" s="787" t="str">
        <f>IF('Hauteurs pennes (0-1)'!L28="","",MAX('Hauteurs pennes (0-1)'!L28,'Hauteurs pennes (1-1)'!L28,'Hauteurs pennes (2-1)'!L28))</f>
        <v/>
      </c>
      <c r="M28" s="781">
        <f t="shared" si="1"/>
        <v>0.80600000000000005</v>
      </c>
      <c r="N28" s="653" t="s">
        <v>1249</v>
      </c>
      <c r="O28" s="797">
        <f>IF('Sections rachis &amp; L pennes'!AC28="","",'Sections rachis &amp; L pennes'!AC28)</f>
        <v>99.352001851423282</v>
      </c>
      <c r="P28" s="783">
        <f>IF('Hauteurs pennes (0-1)'!P28="","",MAX('Hauteurs pennes (0-1)'!P28,'Hauteurs pennes (1-1)'!P28,'Hauteurs pennes (2-1)'!P28))</f>
        <v>0.50800000000000001</v>
      </c>
      <c r="Q28" s="784" t="str">
        <f>IF('Hauteurs pennes (0-1)'!Q28="","",MAX('Hauteurs pennes (0-1)'!Q28,'Hauteurs pennes (1-1)'!Q28,'Hauteurs pennes (2-1)'!Q28))</f>
        <v/>
      </c>
      <c r="R28" s="784" t="str">
        <f>IF('Hauteurs pennes (0-1)'!R28="","",MAX('Hauteurs pennes (0-1)'!R28,'Hauteurs pennes (1-1)'!R28,'Hauteurs pennes (2-1)'!R28))</f>
        <v/>
      </c>
      <c r="S28" s="787" t="str">
        <f>IF('Hauteurs pennes (0-1)'!S28="","",MAX('Hauteurs pennes (0-1)'!S28,'Hauteurs pennes (1-1)'!S28,'Hauteurs pennes (2-1)'!S28))</f>
        <v/>
      </c>
      <c r="T28" s="797">
        <f>IF('Sections rachis &amp; L pennes'!AH28="","",'Sections rachis &amp; L pennes'!AH28)</f>
        <v>99.074288359176109</v>
      </c>
      <c r="U28" s="783" t="str">
        <f>IF('Hauteurs pennes (0-1)'!U28="","",MAX('Hauteurs pennes (0-1)'!U28,'Hauteurs pennes (1-1)'!U28,'Hauteurs pennes (2-1)'!U28))</f>
        <v/>
      </c>
      <c r="V28" s="784" t="str">
        <f>IF('Hauteurs pennes (0-1)'!V28="","",MAX('Hauteurs pennes (0-1)'!V28,'Hauteurs pennes (1-1)'!V28,'Hauteurs pennes (2-1)'!V28))</f>
        <v/>
      </c>
      <c r="W28" s="784" t="str">
        <f>IF('Hauteurs pennes (0-1)'!W28="","",MAX('Hauteurs pennes (0-1)'!W28,'Hauteurs pennes (1-1)'!W28,'Hauteurs pennes (2-1)'!W28))</f>
        <v/>
      </c>
      <c r="X28" s="787">
        <f>IF('Hauteurs pennes (0-1)'!X28="","",MAX('Hauteurs pennes (0-1)'!X28,'Hauteurs pennes (1-1)'!X28,'Hauteurs pennes (2-1)'!X28))</f>
        <v>0.65900000000000003</v>
      </c>
      <c r="Y28" s="781">
        <f t="shared" si="2"/>
        <v>0.65900000000000003</v>
      </c>
    </row>
    <row r="29" spans="1:25" s="345" customFormat="1">
      <c r="A29" s="345">
        <f t="shared" si="0"/>
        <v>99.665653482478291</v>
      </c>
      <c r="B29" s="653" t="s">
        <v>1251</v>
      </c>
      <c r="C29" s="797">
        <f>IF('Sections rachis &amp; L pennes'!Q29="","",'Sections rachis &amp; L pennes'!Q29)</f>
        <v>99.656019656019652</v>
      </c>
      <c r="D29" s="783" t="str">
        <f>IF('Hauteurs pennes (0-1)'!D29="","",MAX('Hauteurs pennes (0-1)'!D29,'Hauteurs pennes (1-1)'!D29,'Hauteurs pennes (2-1)'!D29))</f>
        <v/>
      </c>
      <c r="E29" s="784">
        <f>IF('Hauteurs pennes (0-1)'!E29="","",MAX('Hauteurs pennes (0-1)'!E29,'Hauteurs pennes (1-1)'!E29,'Hauteurs pennes (2-1)'!E29))</f>
        <v>0.52846854211012406</v>
      </c>
      <c r="F29" s="784" t="str">
        <f>IF('Hauteurs pennes (0-1)'!F29="","",MAX('Hauteurs pennes (0-1)'!F29,'Hauteurs pennes (1-1)'!F29,'Hauteurs pennes (2-1)'!F29))</f>
        <v/>
      </c>
      <c r="G29" s="787" t="str">
        <f>IF('Hauteurs pennes (0-1)'!G29="","",MAX('Hauteurs pennes (0-1)'!G29,'Hauteurs pennes (1-1)'!G29,'Hauteurs pennes (2-1)'!G29))</f>
        <v/>
      </c>
      <c r="H29" s="797">
        <f>IF('Sections rachis &amp; L pennes'!V29="","",'Sections rachis &amp; L pennes'!V29)</f>
        <v>99.631449631449627</v>
      </c>
      <c r="I29" s="783" t="str">
        <f>IF('Hauteurs pennes (0-1)'!I29="","",MAX('Hauteurs pennes (0-1)'!I29,'Hauteurs pennes (1-1)'!I29,'Hauteurs pennes (2-1)'!I29))</f>
        <v/>
      </c>
      <c r="J29" s="784" t="str">
        <f>IF('Hauteurs pennes (0-1)'!J29="","",MAX('Hauteurs pennes (0-1)'!J29,'Hauteurs pennes (1-1)'!J29,'Hauteurs pennes (2-1)'!J29))</f>
        <v/>
      </c>
      <c r="K29" s="784" t="str">
        <f>IF('Hauteurs pennes (0-1)'!K29="","",MAX('Hauteurs pennes (0-1)'!K29,'Hauteurs pennes (1-1)'!K29,'Hauteurs pennes (2-1)'!K29))</f>
        <v/>
      </c>
      <c r="L29" s="787">
        <f>IF('Hauteurs pennes (0-1)'!L29="","",MAX('Hauteurs pennes (0-1)'!L29,'Hauteurs pennes (1-1)'!L29,'Hauteurs pennes (2-1)'!L29))</f>
        <v>0.66800000000000004</v>
      </c>
      <c r="M29" s="781">
        <f t="shared" si="1"/>
        <v>0.66800000000000004</v>
      </c>
      <c r="N29" s="653" t="s">
        <v>1251</v>
      </c>
      <c r="O29" s="797">
        <f>IF('Sections rachis &amp; L pennes'!AC29="","",'Sections rachis &amp; L pennes'!AC29)</f>
        <v>99.745429298773431</v>
      </c>
      <c r="P29" s="783" t="str">
        <f>IF('Hauteurs pennes (0-1)'!P29="","",MAX('Hauteurs pennes (0-1)'!P29,'Hauteurs pennes (1-1)'!P29,'Hauteurs pennes (2-1)'!P29))</f>
        <v/>
      </c>
      <c r="Q29" s="784">
        <f>IF('Hauteurs pennes (0-1)'!Q29="","",MAX('Hauteurs pennes (0-1)'!Q29,'Hauteurs pennes (1-1)'!Q29,'Hauteurs pennes (2-1)'!Q29))</f>
        <v>0.46300000000000002</v>
      </c>
      <c r="R29" s="784" t="str">
        <f>IF('Hauteurs pennes (0-1)'!R29="","",MAX('Hauteurs pennes (0-1)'!R29,'Hauteurs pennes (1-1)'!R29,'Hauteurs pennes (2-1)'!R29))</f>
        <v/>
      </c>
      <c r="S29" s="787" t="str">
        <f>IF('Hauteurs pennes (0-1)'!S29="","",MAX('Hauteurs pennes (0-1)'!S29,'Hauteurs pennes (1-1)'!S29,'Hauteurs pennes (2-1)'!S29))</f>
        <v/>
      </c>
      <c r="T29" s="797">
        <f>IF('Sections rachis &amp; L pennes'!AH29="","",'Sections rachis &amp; L pennes'!AH29)</f>
        <v>99.629715343670441</v>
      </c>
      <c r="U29" s="783">
        <f>IF('Hauteurs pennes (0-1)'!U29="","",MAX('Hauteurs pennes (0-1)'!U29,'Hauteurs pennes (1-1)'!U29,'Hauteurs pennes (2-1)'!U29))</f>
        <v>0.66900000000000004</v>
      </c>
      <c r="V29" s="784" t="str">
        <f>IF('Hauteurs pennes (0-1)'!V29="","",MAX('Hauteurs pennes (0-1)'!V29,'Hauteurs pennes (1-1)'!V29,'Hauteurs pennes (2-1)'!V29))</f>
        <v/>
      </c>
      <c r="W29" s="784" t="str">
        <f>IF('Hauteurs pennes (0-1)'!W29="","",MAX('Hauteurs pennes (0-1)'!W29,'Hauteurs pennes (1-1)'!W29,'Hauteurs pennes (2-1)'!W29))</f>
        <v/>
      </c>
      <c r="X29" s="787" t="str">
        <f>IF('Hauteurs pennes (0-1)'!X29="","",MAX('Hauteurs pennes (0-1)'!X29,'Hauteurs pennes (1-1)'!X29,'Hauteurs pennes (2-1)'!X29))</f>
        <v/>
      </c>
      <c r="Y29" s="781">
        <f t="shared" si="2"/>
        <v>0.66900000000000004</v>
      </c>
    </row>
    <row r="30" spans="1:25" s="345" customFormat="1" ht="13.5" thickBot="1">
      <c r="A30" s="345">
        <f t="shared" si="0"/>
        <v>99.951573567634654</v>
      </c>
      <c r="B30" s="657" t="s">
        <v>1252</v>
      </c>
      <c r="C30" s="798">
        <f>IF('Sections rachis &amp; L pennes'!Q30="","",'Sections rachis &amp; L pennes'!Q30)</f>
        <v>99.877149877149876</v>
      </c>
      <c r="D30" s="789" t="str">
        <f>IF('Hauteurs pennes (0-1)'!D30="","",MAX('Hauteurs pennes (0-1)'!D30,'Hauteurs pennes (1-1)'!D30,'Hauteurs pennes (2-1)'!D30))</f>
        <v/>
      </c>
      <c r="E30" s="790">
        <f>IF('Hauteurs pennes (0-1)'!E30="","",MAX('Hauteurs pennes (0-1)'!E30,'Hauteurs pennes (1-1)'!E30,'Hauteurs pennes (2-1)'!E30))</f>
        <v>0.664529909033446</v>
      </c>
      <c r="F30" s="790" t="str">
        <f>IF('Hauteurs pennes (0-1)'!F30="","",MAX('Hauteurs pennes (0-1)'!F30,'Hauteurs pennes (1-1)'!F30,'Hauteurs pennes (2-1)'!F30))</f>
        <v/>
      </c>
      <c r="G30" s="793" t="str">
        <f>IF('Hauteurs pennes (0-1)'!G30="","",MAX('Hauteurs pennes (0-1)'!G30,'Hauteurs pennes (1-1)'!G30,'Hauteurs pennes (2-1)'!G30))</f>
        <v/>
      </c>
      <c r="H30" s="798">
        <f>IF('Sections rachis &amp; L pennes'!V30="","",'Sections rachis &amp; L pennes'!V30)</f>
        <v>99.975429975429975</v>
      </c>
      <c r="I30" s="789" t="str">
        <f>IF('Hauteurs pennes (0-1)'!I30="","",MAX('Hauteurs pennes (0-1)'!I30,'Hauteurs pennes (1-1)'!I30,'Hauteurs pennes (2-1)'!I30))</f>
        <v/>
      </c>
      <c r="J30" s="790">
        <f>IF('Hauteurs pennes (0-1)'!J30="","",MAX('Hauteurs pennes (0-1)'!J30,'Hauteurs pennes (1-1)'!J30,'Hauteurs pennes (2-1)'!J30))</f>
        <v>0.52335456432518102</v>
      </c>
      <c r="K30" s="790" t="str">
        <f>IF('Hauteurs pennes (0-1)'!K30="","",MAX('Hauteurs pennes (0-1)'!K30,'Hauteurs pennes (1-1)'!K30,'Hauteurs pennes (2-1)'!K30))</f>
        <v/>
      </c>
      <c r="L30" s="793" t="str">
        <f>IF('Hauteurs pennes (0-1)'!L30="","",MAX('Hauteurs pennes (0-1)'!L30,'Hauteurs pennes (1-1)'!L30,'Hauteurs pennes (2-1)'!L30))</f>
        <v/>
      </c>
      <c r="M30" s="781">
        <f t="shared" si="1"/>
        <v>0.664529909033446</v>
      </c>
      <c r="N30" s="799" t="s">
        <v>1252</v>
      </c>
      <c r="O30" s="798">
        <f>IF('Sections rachis &amp; L pennes'!AC30="","",'Sections rachis &amp; L pennes'!AC30)</f>
        <v>99.976857208979396</v>
      </c>
      <c r="P30" s="789" t="str">
        <f>IF('Hauteurs pennes (0-1)'!P30="","",MAX('Hauteurs pennes (0-1)'!P30,'Hauteurs pennes (1-1)'!P30,'Hauteurs pennes (2-1)'!P30))</f>
        <v/>
      </c>
      <c r="Q30" s="790" t="str">
        <f>IF('Hauteurs pennes (0-1)'!Q30="","",MAX('Hauteurs pennes (0-1)'!Q30,'Hauteurs pennes (1-1)'!Q30,'Hauteurs pennes (2-1)'!Q30))</f>
        <v/>
      </c>
      <c r="R30" s="790" t="str">
        <f>IF('Hauteurs pennes (0-1)'!R30="","",MAX('Hauteurs pennes (0-1)'!R30,'Hauteurs pennes (1-1)'!R30,'Hauteurs pennes (2-1)'!R30))</f>
        <v/>
      </c>
      <c r="S30" s="793">
        <f>IF('Hauteurs pennes (0-1)'!S30="","",MAX('Hauteurs pennes (0-1)'!S30,'Hauteurs pennes (1-1)'!S30,'Hauteurs pennes (2-1)'!S30))</f>
        <v>0.51</v>
      </c>
      <c r="T30" s="798">
        <f>IF('Sections rachis &amp; L pennes'!AH30="","",'Sections rachis &amp; L pennes'!AH30)</f>
        <v>99.976857208979396</v>
      </c>
      <c r="U30" s="789" t="str">
        <f>IF('Hauteurs pennes (0-1)'!U30="","",MAX('Hauteurs pennes (0-1)'!U30,'Hauteurs pennes (1-1)'!U30,'Hauteurs pennes (2-1)'!U30))</f>
        <v/>
      </c>
      <c r="V30" s="790" t="str">
        <f>IF('Hauteurs pennes (0-1)'!V30="","",MAX('Hauteurs pennes (0-1)'!V30,'Hauteurs pennes (1-1)'!V30,'Hauteurs pennes (2-1)'!V30))</f>
        <v/>
      </c>
      <c r="W30" s="790" t="str">
        <f>IF('Hauteurs pennes (0-1)'!W30="","",MAX('Hauteurs pennes (0-1)'!W30,'Hauteurs pennes (1-1)'!W30,'Hauteurs pennes (2-1)'!W30))</f>
        <v/>
      </c>
      <c r="X30" s="793">
        <f>IF('Hauteurs pennes (0-1)'!X30="","",MAX('Hauteurs pennes (0-1)'!X30,'Hauteurs pennes (1-1)'!X30,'Hauteurs pennes (2-1)'!X30))</f>
        <v>0.59299999999999997</v>
      </c>
      <c r="Y30" s="781">
        <f t="shared" si="2"/>
        <v>0.59299999999999997</v>
      </c>
    </row>
    <row r="31" spans="1:25" s="345" customFormat="1" ht="13.5" thickBot="1">
      <c r="A31" s="345">
        <f t="shared" si="0"/>
        <v>100</v>
      </c>
      <c r="B31" s="660" t="s">
        <v>1254</v>
      </c>
      <c r="C31" s="800">
        <f>IF('Sections rachis &amp; L pennes'!Q31="","",'Sections rachis &amp; L pennes'!Q31)</f>
        <v>100</v>
      </c>
      <c r="D31" s="801" t="str">
        <f>IF('Hauteurs pennes (0-1)'!D31="","",MAX('Hauteurs pennes (0-1)'!D31,'Hauteurs pennes (1-1)'!D31,'Hauteurs pennes (2-1)'!D31))</f>
        <v/>
      </c>
      <c r="E31" s="802">
        <f>IF('Hauteurs pennes (0-1)'!E31="","",MAX('Hauteurs pennes (0-1)'!E31,'Hauteurs pennes (1-1)'!E31,'Hauteurs pennes (2-1)'!E31))</f>
        <v>0.74564334637948726</v>
      </c>
      <c r="F31" s="802" t="str">
        <f>IF('Hauteurs pennes (0-1)'!F31="","",MAX('Hauteurs pennes (0-1)'!F31,'Hauteurs pennes (1-1)'!F31,'Hauteurs pennes (2-1)'!F31))</f>
        <v/>
      </c>
      <c r="G31" s="803" t="str">
        <f>IF('Hauteurs pennes (0-1)'!G31="","",MAX('Hauteurs pennes (0-1)'!G31,'Hauteurs pennes (1-1)'!G31,'Hauteurs pennes (2-1)'!G31))</f>
        <v/>
      </c>
      <c r="H31" s="800" t="str">
        <f>IF('Sections rachis &amp; L pennes'!V31="","",'Sections rachis &amp; L pennes'!V31)</f>
        <v>XXX</v>
      </c>
      <c r="I31" s="801" t="str">
        <f>IF('Hauteurs pennes (0-1)'!I31="","",MAX('Hauteurs pennes (0-1)'!I31,'Hauteurs pennes (1-1)'!I31,'Hauteurs pennes (2-1)'!I31))</f>
        <v/>
      </c>
      <c r="J31" s="802" t="str">
        <f>IF('Hauteurs pennes (0-1)'!J31="","",MAX('Hauteurs pennes (0-1)'!J31,'Hauteurs pennes (1-1)'!J31,'Hauteurs pennes (2-1)'!J31))</f>
        <v/>
      </c>
      <c r="K31" s="802" t="str">
        <f>IF('Hauteurs pennes (0-1)'!K31="","",MAX('Hauteurs pennes (0-1)'!K31,'Hauteurs pennes (1-1)'!K31,'Hauteurs pennes (2-1)'!K31))</f>
        <v/>
      </c>
      <c r="L31" s="803" t="str">
        <f>IF('Hauteurs pennes (0-1)'!L31="","",MAX('Hauteurs pennes (0-1)'!L31,'Hauteurs pennes (1-1)'!L31,'Hauteurs pennes (2-1)'!L31))</f>
        <v/>
      </c>
      <c r="M31" s="781">
        <f t="shared" si="1"/>
        <v>0.74564334637948726</v>
      </c>
      <c r="N31" s="660" t="s">
        <v>1254</v>
      </c>
      <c r="O31" s="961">
        <f>IF('Sections rachis &amp; L pennes'!AC31="","",'Sections rachis &amp; L pennes'!AC31)</f>
        <v>100</v>
      </c>
      <c r="P31" s="801" t="str">
        <f>IF('Hauteurs pennes (0-1)'!P31="","",MAX('Hauteurs pennes (0-1)'!P31,'Hauteurs pennes (1-1)'!P31,'Hauteurs pennes (2-1)'!P31))</f>
        <v/>
      </c>
      <c r="Q31" s="802">
        <f>IF('Hauteurs pennes (0-1)'!Q31="","",MAX('Hauteurs pennes (0-1)'!Q31,'Hauteurs pennes (1-1)'!Q31,'Hauteurs pennes (2-1)'!Q31))</f>
        <v>0.491020366176394</v>
      </c>
      <c r="R31" s="802" t="str">
        <f>IF('Hauteurs pennes (0-1)'!R31="","",MAX('Hauteurs pennes (0-1)'!R31,'Hauteurs pennes (1-1)'!R31,'Hauteurs pennes (2-1)'!R31))</f>
        <v/>
      </c>
      <c r="S31" s="803" t="str">
        <f>IF('Hauteurs pennes (0-1)'!S31="","",MAX('Hauteurs pennes (0-1)'!S31,'Hauteurs pennes (1-1)'!S31,'Hauteurs pennes (2-1)'!S31))</f>
        <v/>
      </c>
      <c r="T31" s="961" t="str">
        <f>IF('Sections rachis &amp; L pennes'!AH31="","",'Sections rachis &amp; L pennes'!AH31)</f>
        <v>XXX</v>
      </c>
      <c r="U31" s="801" t="str">
        <f>IF('Hauteurs pennes (0-1)'!U31="","",MAX('Hauteurs pennes (0-1)'!U31,'Hauteurs pennes (1-1)'!U31,'Hauteurs pennes (2-1)'!U31))</f>
        <v/>
      </c>
      <c r="V31" s="802" t="str">
        <f>IF('Hauteurs pennes (0-1)'!V31="","",MAX('Hauteurs pennes (0-1)'!V31,'Hauteurs pennes (1-1)'!V31,'Hauteurs pennes (2-1)'!V31))</f>
        <v/>
      </c>
      <c r="W31" s="802" t="str">
        <f>IF('Hauteurs pennes (0-1)'!W31="","",MAX('Hauteurs pennes (0-1)'!W31,'Hauteurs pennes (1-1)'!W31,'Hauteurs pennes (2-1)'!W31))</f>
        <v/>
      </c>
      <c r="X31" s="803" t="str">
        <f>IF('Hauteurs pennes (0-1)'!X31="","",MAX('Hauteurs pennes (0-1)'!X31,'Hauteurs pennes (1-1)'!X31,'Hauteurs pennes (2-1)'!X31))</f>
        <v/>
      </c>
      <c r="Y31" s="781">
        <f t="shared" si="2"/>
        <v>0.491020366176394</v>
      </c>
    </row>
    <row r="32" spans="1:25" s="345" customFormat="1">
      <c r="D32" s="805"/>
      <c r="E32" s="806"/>
      <c r="F32" s="807"/>
      <c r="G32" s="807"/>
      <c r="H32" s="807"/>
      <c r="I32" s="807"/>
      <c r="J32" s="807"/>
      <c r="K32" s="807"/>
      <c r="L32" s="807"/>
      <c r="M32" s="807"/>
      <c r="N32" s="807"/>
      <c r="O32" s="807"/>
      <c r="P32" s="807"/>
      <c r="Q32" s="807"/>
      <c r="R32" s="807"/>
      <c r="S32" s="808"/>
      <c r="T32" s="808"/>
      <c r="Y32" s="807"/>
    </row>
    <row r="33" spans="1:30" s="345" customFormat="1">
      <c r="B33" s="694"/>
      <c r="C33" s="814"/>
      <c r="D33" s="817"/>
      <c r="E33" s="811"/>
      <c r="F33" s="815"/>
      <c r="G33" s="476"/>
      <c r="H33" s="476"/>
      <c r="I33" s="476"/>
      <c r="J33" s="962"/>
      <c r="K33" s="476"/>
      <c r="L33" s="476"/>
      <c r="M33" s="806">
        <f>IF(MAX(M13:M31)=0,"",MAX(M13:M31))</f>
        <v>1.2806789386610304</v>
      </c>
      <c r="N33" s="476"/>
      <c r="O33" s="476"/>
      <c r="P33" s="476"/>
      <c r="Q33" s="476"/>
      <c r="R33" s="817"/>
      <c r="S33" s="476"/>
      <c r="T33" s="476"/>
      <c r="U33" s="476"/>
      <c r="V33" s="476"/>
      <c r="W33" s="476"/>
      <c r="X33" s="476"/>
      <c r="Y33" s="806">
        <f>IF(MAX(Y13:Y31)=0,"",MAX(Y13:Y31))</f>
        <v>1.3406842023767778</v>
      </c>
      <c r="Z33" s="476"/>
      <c r="AA33" s="476"/>
      <c r="AB33" s="476"/>
      <c r="AC33" s="476"/>
      <c r="AD33" s="476"/>
    </row>
    <row r="34" spans="1:30" s="345" customFormat="1" ht="14.25" customHeight="1" thickBot="1">
      <c r="B34" s="694"/>
      <c r="C34" s="814"/>
      <c r="D34" s="815"/>
      <c r="E34" s="811"/>
      <c r="F34" s="816"/>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tr">
        <f>IF(C16="","",C16)</f>
        <v/>
      </c>
      <c r="C35" s="809">
        <f>SUMIF(D$35:D$54,A35,B$35:B$54)</f>
        <v>5.3605555861977985</v>
      </c>
      <c r="D35" s="809">
        <f>IF(B35="",0,RANK(B35,B$35:B$54,1))</f>
        <v>0</v>
      </c>
      <c r="E35" s="814"/>
      <c r="F35" s="819">
        <f>IF(MAX(M33,Y33)=0,"",MAX(M33,Y33))</f>
        <v>1.3406842023767778</v>
      </c>
      <c r="H35" s="1580" t="s">
        <v>1280</v>
      </c>
      <c r="I35" s="1581"/>
      <c r="J35" s="1581"/>
      <c r="K35" s="1581"/>
      <c r="L35" s="1581"/>
      <c r="M35" s="1581"/>
      <c r="N35" s="1581"/>
      <c r="O35" s="1581"/>
      <c r="P35" s="1581"/>
      <c r="Q35" s="1581"/>
      <c r="R35" s="1581"/>
      <c r="S35" s="1581"/>
      <c r="T35" s="1581"/>
      <c r="U35" s="1581"/>
      <c r="V35" s="1581"/>
      <c r="W35" s="1581"/>
      <c r="X35" s="1581"/>
      <c r="Y35" s="1581"/>
      <c r="Z35" s="1581"/>
      <c r="AA35" s="1582"/>
    </row>
    <row r="36" spans="1:30" s="345" customFormat="1" ht="15.75" customHeight="1" thickBot="1">
      <c r="A36" s="345">
        <v>2</v>
      </c>
      <c r="B36" s="818" t="str">
        <f>IF(O16="","",O16)</f>
        <v/>
      </c>
      <c r="C36" s="809">
        <f t="shared" ref="C36:C54" si="3">SUMIF(D$35:D$54,A36,B$35:B$54)</f>
        <v>10</v>
      </c>
      <c r="D36" s="809">
        <f t="shared" ref="D36:D54" si="4">IF(B36="",0,RANK(B36,B$35:B$54,1))</f>
        <v>0</v>
      </c>
      <c r="E36" s="1583" t="s">
        <v>1281</v>
      </c>
      <c r="F36" s="1584"/>
      <c r="G36" s="1585"/>
      <c r="H36" s="820">
        <f>IF($C35=0,"",$C35)</f>
        <v>5.3605555861977985</v>
      </c>
      <c r="I36" s="821">
        <f>IF($C36=0,"",$C36)</f>
        <v>10</v>
      </c>
      <c r="J36" s="821">
        <f>IF($C37=0,"",$C37)</f>
        <v>20</v>
      </c>
      <c r="K36" s="821">
        <f>IF($C38=0,"",$C38)</f>
        <v>26.922669813782981</v>
      </c>
      <c r="L36" s="821">
        <f>IF($C39=0,"",$C39)</f>
        <v>28.402760758696882</v>
      </c>
      <c r="M36" s="821">
        <f>IF($C40="",0,$C40)</f>
        <v>30</v>
      </c>
      <c r="N36" s="821">
        <f>IF($C41=0,"",$C41)</f>
        <v>40</v>
      </c>
      <c r="O36" s="821">
        <f>IF($C42=0,"",$C42)</f>
        <v>50</v>
      </c>
      <c r="P36" s="821">
        <f>IF($C43=0,"",$C43)</f>
        <v>60</v>
      </c>
      <c r="Q36" s="821">
        <f>IF($C44=0,"",$C44)</f>
        <v>70</v>
      </c>
      <c r="R36" s="821">
        <f>IF($C45=0,"",$C45)</f>
        <v>80</v>
      </c>
      <c r="S36" s="821">
        <f>IF($C46=0,"",$C46)</f>
        <v>90</v>
      </c>
      <c r="T36" s="821">
        <f>IF($C47=0,"",$C47)</f>
        <v>97.736572490101764</v>
      </c>
      <c r="U36" s="821">
        <f>IF($C48=0,"",$C48)</f>
        <v>98.474693898206965</v>
      </c>
      <c r="V36" s="821">
        <f>IF($C49=0,"",$C49)</f>
        <v>99.115172061249353</v>
      </c>
      <c r="W36" s="821">
        <f>IF($C50=0,"",$C50)</f>
        <v>99.665653482478291</v>
      </c>
      <c r="X36" s="821">
        <f>IF($C51=0,"",$C51)</f>
        <v>99.951573567634654</v>
      </c>
      <c r="Y36" s="821">
        <f>IF($C52=0,"",$C52)</f>
        <v>100</v>
      </c>
      <c r="Z36" s="821" t="str">
        <f>IF($C53=0,"",$C53)</f>
        <v/>
      </c>
      <c r="AA36" s="822" t="str">
        <f>IF($C54=0,"",$C54)</f>
        <v/>
      </c>
    </row>
    <row r="37" spans="1:30" s="345" customFormat="1" ht="13.5" customHeight="1">
      <c r="A37" s="345">
        <v>3</v>
      </c>
      <c r="B37" s="818">
        <f>IF(COUNTIF(C13,"")+COUNTIF(H13,"")+COUNTIF(O13,"")+COUNTIF(T13,"")=4,"",AVERAGE(C13,H13,O13,T13))</f>
        <v>5.3605555861977985</v>
      </c>
      <c r="C37" s="809">
        <f t="shared" si="3"/>
        <v>20</v>
      </c>
      <c r="D37" s="809">
        <f t="shared" si="4"/>
        <v>1</v>
      </c>
      <c r="E37" s="1571" t="s">
        <v>1282</v>
      </c>
      <c r="F37" s="1574" t="s">
        <v>1283</v>
      </c>
      <c r="G37" s="1575"/>
      <c r="H37" s="823">
        <f t="shared" ref="H37:AA37" si="5">IF(COUNTIF(H39:H42,"")=4,"",AVERAGE(H39:H42))</f>
        <v>0.20362737139441411</v>
      </c>
      <c r="I37" s="824">
        <f t="shared" si="5"/>
        <v>0.52693427838583173</v>
      </c>
      <c r="J37" s="824">
        <f t="shared" si="5"/>
        <v>0.64467560899098242</v>
      </c>
      <c r="K37" s="824">
        <f t="shared" si="5"/>
        <v>0.30833426805488684</v>
      </c>
      <c r="L37" s="824">
        <f t="shared" si="5"/>
        <v>0.3721770765861937</v>
      </c>
      <c r="M37" s="824">
        <f t="shared" si="5"/>
        <v>0.68537072342960315</v>
      </c>
      <c r="N37" s="824">
        <f t="shared" si="5"/>
        <v>0.78037223010555401</v>
      </c>
      <c r="O37" s="824">
        <f t="shared" si="5"/>
        <v>0.88439120495179868</v>
      </c>
      <c r="P37" s="824">
        <f t="shared" si="5"/>
        <v>0.96581586707381351</v>
      </c>
      <c r="Q37" s="824">
        <f t="shared" si="5"/>
        <v>0.99890622955737385</v>
      </c>
      <c r="R37" s="824">
        <f t="shared" si="5"/>
        <v>0.94543703350458108</v>
      </c>
      <c r="S37" s="824">
        <f t="shared" si="5"/>
        <v>0.75061108538597254</v>
      </c>
      <c r="T37" s="824">
        <f t="shared" si="5"/>
        <v>0.48880322858630959</v>
      </c>
      <c r="U37" s="824">
        <f t="shared" si="5"/>
        <v>0.56980541696989584</v>
      </c>
      <c r="V37" s="824">
        <f t="shared" si="5"/>
        <v>0.42682959489304984</v>
      </c>
      <c r="W37" s="824">
        <f t="shared" si="5"/>
        <v>0.4989989430874105</v>
      </c>
      <c r="X37" s="824" t="str">
        <f t="shared" si="5"/>
        <v/>
      </c>
      <c r="Y37" s="824" t="str">
        <f t="shared" si="5"/>
        <v/>
      </c>
      <c r="Z37" s="824" t="str">
        <f t="shared" si="5"/>
        <v/>
      </c>
      <c r="AA37" s="825" t="str">
        <f t="shared" si="5"/>
        <v/>
      </c>
    </row>
    <row r="38" spans="1:30" s="345" customFormat="1" ht="12.75" customHeight="1" thickBot="1">
      <c r="A38" s="345">
        <v>4</v>
      </c>
      <c r="B38" s="818">
        <f>IF(COUNTIF(C14,"")+COUNTIF(H14,"")+COUNTIF(O14,"")+COUNTIF(T14,"")=4,"",AVERAGE(C14,H14,O14,T14))</f>
        <v>26.922669813782981</v>
      </c>
      <c r="C38" s="809">
        <f t="shared" si="3"/>
        <v>26.922669813782981</v>
      </c>
      <c r="D38" s="809">
        <f t="shared" si="4"/>
        <v>4</v>
      </c>
      <c r="E38" s="1572"/>
      <c r="F38" s="1576" t="s">
        <v>1284</v>
      </c>
      <c r="G38" s="1577"/>
      <c r="H38" s="823">
        <f t="shared" ref="H38:AA38" si="6">IF(COUNTIF(H39:H42,"")=4,"",IF(COUNTIF(H39:H42,"")=3,0,STDEV(H39:H42)*$F$35))</f>
        <v>0.10889444430272846</v>
      </c>
      <c r="I38" s="824">
        <f t="shared" si="6"/>
        <v>2.5837249980385575E-3</v>
      </c>
      <c r="J38" s="824">
        <f t="shared" si="6"/>
        <v>4.0598417354756351E-3</v>
      </c>
      <c r="K38" s="824">
        <f t="shared" si="6"/>
        <v>2.3505810168466704E-2</v>
      </c>
      <c r="L38" s="824">
        <f t="shared" si="6"/>
        <v>4.3880321557731188E-2</v>
      </c>
      <c r="M38" s="824">
        <f t="shared" si="6"/>
        <v>1.2495430338855191E-2</v>
      </c>
      <c r="N38" s="824">
        <f t="shared" si="6"/>
        <v>8.5820706199881205E-3</v>
      </c>
      <c r="O38" s="824">
        <f t="shared" si="6"/>
        <v>7.8083347723430967E-3</v>
      </c>
      <c r="P38" s="824">
        <f t="shared" si="6"/>
        <v>4.1551849865483232E-3</v>
      </c>
      <c r="Q38" s="824">
        <f t="shared" si="6"/>
        <v>1.9348079549487858E-3</v>
      </c>
      <c r="R38" s="824">
        <f t="shared" si="6"/>
        <v>3.0535924583139158E-3</v>
      </c>
      <c r="S38" s="824">
        <f t="shared" si="6"/>
        <v>1.4742492526744868E-3</v>
      </c>
      <c r="T38" s="824">
        <f t="shared" si="6"/>
        <v>0</v>
      </c>
      <c r="U38" s="824">
        <f t="shared" si="6"/>
        <v>0.11586527401529492</v>
      </c>
      <c r="V38" s="824">
        <f t="shared" si="6"/>
        <v>9.0854304737664995E-2</v>
      </c>
      <c r="W38" s="824">
        <f t="shared" si="6"/>
        <v>0</v>
      </c>
      <c r="X38" s="824" t="str">
        <f t="shared" si="6"/>
        <v/>
      </c>
      <c r="Y38" s="824" t="str">
        <f t="shared" si="6"/>
        <v/>
      </c>
      <c r="Z38" s="824" t="str">
        <f t="shared" si="6"/>
        <v/>
      </c>
      <c r="AA38" s="825" t="str">
        <f t="shared" si="6"/>
        <v/>
      </c>
    </row>
    <row r="39" spans="1:30" s="345" customFormat="1" ht="12.75" customHeight="1">
      <c r="A39" s="345">
        <v>5</v>
      </c>
      <c r="B39" s="818">
        <f>IF(COUNTIF(C15,"")+COUNTIF(H15,"")+COUNTIF(O15,"")+COUNTIF(T15,"")=4,"",AVERAGE(C15,H15,O15,T15))</f>
        <v>28.402760758696882</v>
      </c>
      <c r="C39" s="809">
        <f t="shared" si="3"/>
        <v>28.402760758696882</v>
      </c>
      <c r="D39" s="809">
        <f t="shared" si="4"/>
        <v>5</v>
      </c>
      <c r="E39" s="1572"/>
      <c r="F39" s="1578">
        <f>G7</f>
        <v>57</v>
      </c>
      <c r="G39" s="826" t="s">
        <v>1285</v>
      </c>
      <c r="H39" s="827" t="str">
        <f>IF(H36="","",IF(SUMIF($A$13:$A$31,H36,$D$13:$D$31)=0,"",SUMIF($A$13:$A$31,H36,$D$13:$D$31)/$M$33))</f>
        <v/>
      </c>
      <c r="I39" s="828">
        <f t="shared" ref="I39:AA39" si="7">IF(I36="","",IF(SUMIF($A$13:$A$31,I36,$D$13:$D$31)=0,"",SUMIF($A$13:$A$31,I36,$D$13:$D$31)/$M$33))</f>
        <v>0.52557156413620054</v>
      </c>
      <c r="J39" s="828">
        <f t="shared" si="7"/>
        <v>0.64237677620074429</v>
      </c>
      <c r="K39" s="828" t="str">
        <f t="shared" si="7"/>
        <v/>
      </c>
      <c r="L39" s="828">
        <f t="shared" si="7"/>
        <v>0.34903361530044791</v>
      </c>
      <c r="M39" s="828">
        <f t="shared" si="7"/>
        <v>0.67576191620062875</v>
      </c>
      <c r="N39" s="828">
        <f t="shared" si="7"/>
        <v>0.78467994407752628</v>
      </c>
      <c r="O39" s="828">
        <f t="shared" si="7"/>
        <v>0.8866119302637282</v>
      </c>
      <c r="P39" s="828">
        <f t="shared" si="7"/>
        <v>0.96531881500626093</v>
      </c>
      <c r="Q39" s="828">
        <f t="shared" si="7"/>
        <v>1</v>
      </c>
      <c r="R39" s="828">
        <f t="shared" si="7"/>
        <v>0.94741480238976361</v>
      </c>
      <c r="S39" s="828" t="str">
        <f t="shared" si="7"/>
        <v/>
      </c>
      <c r="T39" s="828" t="str">
        <f t="shared" si="7"/>
        <v/>
      </c>
      <c r="U39" s="828">
        <f t="shared" si="7"/>
        <v>0.63091534935740923</v>
      </c>
      <c r="V39" s="828" t="str">
        <f t="shared" si="7"/>
        <v/>
      </c>
      <c r="W39" s="828" t="str">
        <f t="shared" si="7"/>
        <v/>
      </c>
      <c r="X39" s="828" t="str">
        <f t="shared" si="7"/>
        <v/>
      </c>
      <c r="Y39" s="828" t="str">
        <f t="shared" si="7"/>
        <v/>
      </c>
      <c r="Z39" s="828" t="str">
        <f t="shared" si="7"/>
        <v/>
      </c>
      <c r="AA39" s="829" t="str">
        <f t="shared" si="7"/>
        <v/>
      </c>
    </row>
    <row r="40" spans="1:30" s="345" customFormat="1" ht="12.75" customHeight="1" thickBot="1">
      <c r="A40" s="345">
        <v>6</v>
      </c>
      <c r="B40" s="818">
        <f t="shared" ref="B40:B48" si="8">IF(C17="","",C17)</f>
        <v>10</v>
      </c>
      <c r="C40" s="809">
        <f t="shared" si="3"/>
        <v>30</v>
      </c>
      <c r="D40" s="809">
        <f t="shared" si="4"/>
        <v>2</v>
      </c>
      <c r="E40" s="1572"/>
      <c r="F40" s="1579"/>
      <c r="G40" s="830" t="s">
        <v>1286</v>
      </c>
      <c r="H40" s="823" t="str">
        <f>IF(H36="","",IF(SUMIF($A$13:$A$31,H36,$I$13:$I$31)=0,"",SUMIF($A$13:$A$31,H36,$I$13:$I$31)/$M$33))</f>
        <v/>
      </c>
      <c r="I40" s="824">
        <f t="shared" ref="I40:AA40" si="9">IF(I36="","",IF(SUMIF($A$13:$A$31,I36,$I$13:$I$31)=0,"",SUMIF($A$13:$A$31,I36,$I$13:$I$31)/$M$33))</f>
        <v>0.52829699263546293</v>
      </c>
      <c r="J40" s="824">
        <f t="shared" si="9"/>
        <v>0.64194136855716188</v>
      </c>
      <c r="K40" s="824">
        <f t="shared" si="9"/>
        <v>0.29593677896838871</v>
      </c>
      <c r="L40" s="824" t="str">
        <f t="shared" si="9"/>
        <v/>
      </c>
      <c r="M40" s="824">
        <f t="shared" si="9"/>
        <v>0.67900193634326833</v>
      </c>
      <c r="N40" s="824">
        <f t="shared" si="9"/>
        <v>0.78583968517768543</v>
      </c>
      <c r="O40" s="824">
        <f t="shared" si="9"/>
        <v>0.88632440745801688</v>
      </c>
      <c r="P40" s="824">
        <f t="shared" si="9"/>
        <v>0.96707184505390276</v>
      </c>
      <c r="Q40" s="824">
        <f t="shared" si="9"/>
        <v>0.99695726681899133</v>
      </c>
      <c r="R40" s="824">
        <f t="shared" si="9"/>
        <v>0.94244088628436828</v>
      </c>
      <c r="S40" s="824" t="str">
        <f t="shared" si="9"/>
        <v/>
      </c>
      <c r="T40" s="824">
        <f t="shared" si="9"/>
        <v>0.48880322858630959</v>
      </c>
      <c r="U40" s="824" t="str">
        <f t="shared" si="9"/>
        <v/>
      </c>
      <c r="V40" s="824">
        <f t="shared" si="9"/>
        <v>0.47474818367488214</v>
      </c>
      <c r="W40" s="824" t="str">
        <f t="shared" si="9"/>
        <v/>
      </c>
      <c r="X40" s="824" t="str">
        <f t="shared" si="9"/>
        <v/>
      </c>
      <c r="Y40" s="824" t="str">
        <f t="shared" si="9"/>
        <v/>
      </c>
      <c r="Z40" s="824" t="str">
        <f t="shared" si="9"/>
        <v/>
      </c>
      <c r="AA40" s="825" t="str">
        <f t="shared" si="9"/>
        <v/>
      </c>
    </row>
    <row r="41" spans="1:30" s="345" customFormat="1" ht="12.75" customHeight="1">
      <c r="A41" s="345">
        <v>7</v>
      </c>
      <c r="B41" s="818">
        <f t="shared" si="8"/>
        <v>20</v>
      </c>
      <c r="C41" s="809">
        <f t="shared" si="3"/>
        <v>40</v>
      </c>
      <c r="D41" s="809">
        <f t="shared" si="4"/>
        <v>3</v>
      </c>
      <c r="E41" s="1572"/>
      <c r="F41" s="1578">
        <f>U7</f>
        <v>83</v>
      </c>
      <c r="G41" s="826" t="s">
        <v>1285</v>
      </c>
      <c r="H41" s="827">
        <f>IF(H36="","",IF(SUMIF($A$13:$A$31,H36,$P$13:$P$31)=0,"",SUMIF($A$13:$A$31,H36,$P$13:$P$31)/$Y$33))</f>
        <v>0.26106073255694118</v>
      </c>
      <c r="I41" s="828" t="str">
        <f t="shared" ref="I41:AA41" si="10">IF(I36="","",IF(SUMIF($A$13:$A$31,I36,$P$13:$P$31)=0,"",SUMIF($A$13:$A$31,I36,$P$13:$P$31)/$Y$33))</f>
        <v/>
      </c>
      <c r="J41" s="828">
        <f t="shared" si="10"/>
        <v>0.64821271493985011</v>
      </c>
      <c r="K41" s="828">
        <f t="shared" si="10"/>
        <v>0.32073175714138491</v>
      </c>
      <c r="L41" s="828" t="str">
        <f t="shared" si="10"/>
        <v/>
      </c>
      <c r="M41" s="828">
        <f t="shared" si="10"/>
        <v>0.69317870124435477</v>
      </c>
      <c r="N41" s="828">
        <f t="shared" si="10"/>
        <v>0.77913854964372042</v>
      </c>
      <c r="O41" s="828">
        <f t="shared" si="10"/>
        <v>0.88881291124117368</v>
      </c>
      <c r="P41" s="828">
        <f t="shared" si="10"/>
        <v>0.96909047647404001</v>
      </c>
      <c r="Q41" s="828">
        <f t="shared" si="10"/>
        <v>1</v>
      </c>
      <c r="R41" s="828">
        <f t="shared" si="10"/>
        <v>0.94698446180692231</v>
      </c>
      <c r="S41" s="828">
        <f t="shared" si="10"/>
        <v>0.75138863735673289</v>
      </c>
      <c r="T41" s="828" t="str">
        <f t="shared" si="10"/>
        <v/>
      </c>
      <c r="U41" s="828" t="str">
        <f t="shared" si="10"/>
        <v/>
      </c>
      <c r="V41" s="828">
        <f t="shared" si="10"/>
        <v>0.37891100611121753</v>
      </c>
      <c r="W41" s="828" t="str">
        <f t="shared" si="10"/>
        <v/>
      </c>
      <c r="X41" s="828" t="str">
        <f t="shared" si="10"/>
        <v/>
      </c>
      <c r="Y41" s="828" t="str">
        <f t="shared" si="10"/>
        <v/>
      </c>
      <c r="Z41" s="828" t="str">
        <f t="shared" si="10"/>
        <v/>
      </c>
      <c r="AA41" s="829" t="str">
        <f t="shared" si="10"/>
        <v/>
      </c>
    </row>
    <row r="42" spans="1:30" s="345" customFormat="1" ht="13.5" customHeight="1" thickBot="1">
      <c r="A42" s="345">
        <v>8</v>
      </c>
      <c r="B42" s="818">
        <f t="shared" si="8"/>
        <v>30</v>
      </c>
      <c r="C42" s="809">
        <f t="shared" si="3"/>
        <v>50</v>
      </c>
      <c r="D42" s="809">
        <f t="shared" si="4"/>
        <v>6</v>
      </c>
      <c r="E42" s="1573"/>
      <c r="F42" s="1579"/>
      <c r="G42" s="830" t="s">
        <v>1286</v>
      </c>
      <c r="H42" s="831">
        <f>IF(H36="","",IF(SUMIF($A$13:$A$31,H36,$U$13:$U$31)=0,"",SUMIF($A$13:$A$31,H36,$U$13:$U$31)/$Y$33))</f>
        <v>0.14619401023188708</v>
      </c>
      <c r="I42" s="832" t="str">
        <f t="shared" ref="I42:AA42" si="11">IF(I36="","",IF(SUMIF($A$13:$A$31,I36,$U$13:$U$31)=0,"",SUMIF($A$13:$A$31,I36,$U$13:$U$31)/$Y$33))</f>
        <v/>
      </c>
      <c r="J42" s="832">
        <f t="shared" si="11"/>
        <v>0.6461715762661735</v>
      </c>
      <c r="K42" s="832" t="str">
        <f t="shared" si="11"/>
        <v/>
      </c>
      <c r="L42" s="832">
        <f t="shared" si="11"/>
        <v>0.39532053787193955</v>
      </c>
      <c r="M42" s="832">
        <f t="shared" si="11"/>
        <v>0.69354033993016106</v>
      </c>
      <c r="N42" s="832">
        <f t="shared" si="11"/>
        <v>0.77183074152328435</v>
      </c>
      <c r="O42" s="832">
        <f t="shared" si="11"/>
        <v>0.87581557084427608</v>
      </c>
      <c r="P42" s="832">
        <f t="shared" si="11"/>
        <v>0.96178233176104999</v>
      </c>
      <c r="Q42" s="832">
        <f t="shared" si="11"/>
        <v>0.99866765141050418</v>
      </c>
      <c r="R42" s="832">
        <f t="shared" si="11"/>
        <v>0.94490798353727057</v>
      </c>
      <c r="S42" s="832">
        <f t="shared" si="11"/>
        <v>0.74983353341521219</v>
      </c>
      <c r="T42" s="832" t="str">
        <f t="shared" si="11"/>
        <v/>
      </c>
      <c r="U42" s="832">
        <f t="shared" si="11"/>
        <v>0.50869548458238256</v>
      </c>
      <c r="V42" s="832" t="str">
        <f t="shared" si="11"/>
        <v/>
      </c>
      <c r="W42" s="832">
        <f t="shared" si="11"/>
        <v>0.4989989430874105</v>
      </c>
      <c r="X42" s="832" t="str">
        <f t="shared" si="11"/>
        <v/>
      </c>
      <c r="Y42" s="832" t="str">
        <f t="shared" si="11"/>
        <v/>
      </c>
      <c r="Z42" s="832" t="str">
        <f t="shared" si="11"/>
        <v/>
      </c>
      <c r="AA42" s="833" t="str">
        <f t="shared" si="11"/>
        <v/>
      </c>
    </row>
    <row r="43" spans="1:30" s="345" customFormat="1" ht="12.75" customHeight="1">
      <c r="A43" s="345">
        <v>9</v>
      </c>
      <c r="B43" s="818">
        <f t="shared" si="8"/>
        <v>40</v>
      </c>
      <c r="C43" s="809">
        <f t="shared" si="3"/>
        <v>60</v>
      </c>
      <c r="D43" s="809">
        <f t="shared" si="4"/>
        <v>7</v>
      </c>
      <c r="E43" s="1590">
        <v>0</v>
      </c>
      <c r="F43" s="1574" t="s">
        <v>1283</v>
      </c>
      <c r="G43" s="1593"/>
      <c r="H43" s="834" t="str">
        <f t="shared" ref="H43:AA43" si="12">IF(COUNTIF(H45:H52,"")=8,"",AVERAGE(H45:H52))</f>
        <v/>
      </c>
      <c r="I43" s="835">
        <f t="shared" si="12"/>
        <v>0.52786285452470161</v>
      </c>
      <c r="J43" s="835" t="str">
        <f t="shared" si="12"/>
        <v/>
      </c>
      <c r="K43" s="835" t="str">
        <f t="shared" si="12"/>
        <v/>
      </c>
      <c r="L43" s="835" t="str">
        <f t="shared" si="12"/>
        <v/>
      </c>
      <c r="M43" s="835" t="str">
        <f t="shared" si="12"/>
        <v/>
      </c>
      <c r="N43" s="835">
        <f t="shared" si="12"/>
        <v>0.78236046187720787</v>
      </c>
      <c r="O43" s="835">
        <f t="shared" si="12"/>
        <v>0.88813897507244566</v>
      </c>
      <c r="P43" s="835">
        <f t="shared" si="12"/>
        <v>0.96517770425258997</v>
      </c>
      <c r="Q43" s="835">
        <f t="shared" si="12"/>
        <v>0.99843253107118124</v>
      </c>
      <c r="R43" s="835">
        <f t="shared" si="12"/>
        <v>0.94492791467424775</v>
      </c>
      <c r="S43" s="835">
        <f t="shared" si="12"/>
        <v>0.75108466977967847</v>
      </c>
      <c r="T43" s="835" t="str">
        <f t="shared" si="12"/>
        <v/>
      </c>
      <c r="U43" s="835">
        <f t="shared" si="12"/>
        <v>0.38193243257747422</v>
      </c>
      <c r="V43" s="835" t="str">
        <f t="shared" si="12"/>
        <v/>
      </c>
      <c r="W43" s="835">
        <f t="shared" si="12"/>
        <v>0.37899661332552209</v>
      </c>
      <c r="X43" s="835">
        <f t="shared" si="12"/>
        <v>0.46377137840674509</v>
      </c>
      <c r="Y43" s="835">
        <f t="shared" si="12"/>
        <v>0.47423557217013668</v>
      </c>
      <c r="Z43" s="835" t="str">
        <f t="shared" si="12"/>
        <v/>
      </c>
      <c r="AA43" s="836" t="str">
        <f t="shared" si="12"/>
        <v/>
      </c>
    </row>
    <row r="44" spans="1:30" s="345" customFormat="1" ht="13.5" customHeight="1" thickBot="1">
      <c r="A44" s="345">
        <v>10</v>
      </c>
      <c r="B44" s="818">
        <f t="shared" si="8"/>
        <v>50</v>
      </c>
      <c r="C44" s="809">
        <f t="shared" si="3"/>
        <v>70</v>
      </c>
      <c r="D44" s="809">
        <f t="shared" si="4"/>
        <v>8</v>
      </c>
      <c r="E44" s="1591"/>
      <c r="F44" s="1576" t="s">
        <v>1284</v>
      </c>
      <c r="G44" s="1594"/>
      <c r="H44" s="834" t="str">
        <f t="shared" ref="H44:AA44" si="13">IF(COUNTIF(H45:H52,"")=8,"",IF(COUNTIF(H45:H52,"")=7,0,STDEV(H45:H52)*$F$35))</f>
        <v/>
      </c>
      <c r="I44" s="835">
        <f t="shared" si="13"/>
        <v>3.1516418188107338E-3</v>
      </c>
      <c r="J44" s="835" t="str">
        <f t="shared" si="13"/>
        <v/>
      </c>
      <c r="K44" s="835" t="str">
        <f t="shared" si="13"/>
        <v/>
      </c>
      <c r="L44" s="835" t="str">
        <f t="shared" si="13"/>
        <v/>
      </c>
      <c r="M44" s="835" t="str">
        <f t="shared" si="13"/>
        <v/>
      </c>
      <c r="N44" s="835">
        <f t="shared" si="13"/>
        <v>0</v>
      </c>
      <c r="O44" s="835">
        <f t="shared" si="13"/>
        <v>0</v>
      </c>
      <c r="P44" s="835">
        <f t="shared" si="13"/>
        <v>1.7632440423839368E-3</v>
      </c>
      <c r="Q44" s="835">
        <f t="shared" si="13"/>
        <v>0</v>
      </c>
      <c r="R44" s="835">
        <f t="shared" si="13"/>
        <v>2.5856169728418069E-3</v>
      </c>
      <c r="S44" s="835">
        <f t="shared" si="13"/>
        <v>1.8992187714508184E-3</v>
      </c>
      <c r="T44" s="835" t="str">
        <f t="shared" si="13"/>
        <v/>
      </c>
      <c r="U44" s="835">
        <f t="shared" si="13"/>
        <v>0</v>
      </c>
      <c r="V44" s="835" t="str">
        <f t="shared" si="13"/>
        <v/>
      </c>
      <c r="W44" s="835">
        <f t="shared" si="13"/>
        <v>6.3801922764937444E-2</v>
      </c>
      <c r="X44" s="835">
        <f t="shared" si="13"/>
        <v>0.10450331896050581</v>
      </c>
      <c r="Y44" s="835">
        <f t="shared" si="13"/>
        <v>0.20474951943506364</v>
      </c>
      <c r="Z44" s="835" t="str">
        <f t="shared" si="13"/>
        <v/>
      </c>
      <c r="AA44" s="836" t="str">
        <f t="shared" si="13"/>
        <v/>
      </c>
    </row>
    <row r="45" spans="1:30" s="345" customFormat="1">
      <c r="A45" s="345">
        <v>11</v>
      </c>
      <c r="B45" s="818">
        <f t="shared" si="8"/>
        <v>60</v>
      </c>
      <c r="C45" s="809">
        <f t="shared" si="3"/>
        <v>80</v>
      </c>
      <c r="D45" s="809">
        <f t="shared" si="4"/>
        <v>9</v>
      </c>
      <c r="E45" s="1591"/>
      <c r="F45" s="1578">
        <f>G7</f>
        <v>57</v>
      </c>
      <c r="G45" s="1596" t="s">
        <v>1285</v>
      </c>
      <c r="H45" s="837" t="str">
        <f>IF(H36="","",IF(SUMIF($A$13:$A$31,H36,$E$13:$E$31)=0,"",SUMIF($A$13:$A$31,H36,$E$13:$E$31)/$M$33))</f>
        <v/>
      </c>
      <c r="I45" s="838" t="str">
        <f t="shared" ref="I45:AA45" si="14">IF(I36="","",IF(SUMIF($A$13:$A$31,I36,$E$13:$E$31)=0,"",SUMIF($A$13:$A$31,I36,$E$13:$E$31)/$M$33))</f>
        <v/>
      </c>
      <c r="J45" s="838" t="str">
        <f t="shared" si="14"/>
        <v/>
      </c>
      <c r="K45" s="838" t="str">
        <f t="shared" si="14"/>
        <v/>
      </c>
      <c r="L45" s="838" t="str">
        <f t="shared" si="14"/>
        <v/>
      </c>
      <c r="M45" s="838" t="str">
        <f t="shared" si="14"/>
        <v/>
      </c>
      <c r="N45" s="838">
        <f t="shared" si="14"/>
        <v>0.78236046187720787</v>
      </c>
      <c r="O45" s="838" t="str">
        <f t="shared" si="14"/>
        <v/>
      </c>
      <c r="P45" s="838" t="str">
        <f t="shared" si="14"/>
        <v/>
      </c>
      <c r="Q45" s="838" t="str">
        <f t="shared" si="14"/>
        <v/>
      </c>
      <c r="R45" s="838" t="str">
        <f t="shared" si="14"/>
        <v/>
      </c>
      <c r="S45" s="838">
        <f t="shared" si="14"/>
        <v>0.75208636016274466</v>
      </c>
      <c r="T45" s="838" t="str">
        <f t="shared" si="14"/>
        <v/>
      </c>
      <c r="U45" s="838" t="str">
        <f t="shared" si="14"/>
        <v/>
      </c>
      <c r="V45" s="838" t="str">
        <f t="shared" si="14"/>
        <v/>
      </c>
      <c r="W45" s="838">
        <f t="shared" si="14"/>
        <v>0.41264717186857625</v>
      </c>
      <c r="X45" s="838">
        <f t="shared" si="14"/>
        <v>0.51888876202510381</v>
      </c>
      <c r="Y45" s="838">
        <f t="shared" si="14"/>
        <v>0.58222504007059639</v>
      </c>
      <c r="Z45" s="838" t="str">
        <f t="shared" si="14"/>
        <v/>
      </c>
      <c r="AA45" s="839" t="str">
        <f t="shared" si="14"/>
        <v/>
      </c>
    </row>
    <row r="46" spans="1:30" s="345" customFormat="1">
      <c r="A46" s="345">
        <v>12</v>
      </c>
      <c r="B46" s="818">
        <f t="shared" si="8"/>
        <v>70</v>
      </c>
      <c r="C46" s="809">
        <f t="shared" si="3"/>
        <v>90</v>
      </c>
      <c r="D46" s="809">
        <f t="shared" si="4"/>
        <v>10</v>
      </c>
      <c r="E46" s="1591"/>
      <c r="F46" s="1595"/>
      <c r="G46" s="1597"/>
      <c r="H46" s="834" t="str">
        <f>IF(H36="","",IF(SUMIF($A$13:$A$31,H36,$F$13:$F$31)=0,"",SUMIF($A$13:$A$31,H36,$F$13:$F$31)/$M$33))</f>
        <v/>
      </c>
      <c r="I46" s="835" t="str">
        <f t="shared" ref="I46:AA46" si="15">IF(I36="","",IF(SUMIF($A$13:$A$31,I36,$F$13:$F$31)=0,"",SUMIF($A$13:$A$31,I36,$F$13:$F$31)/$M$33))</f>
        <v/>
      </c>
      <c r="J46" s="835" t="str">
        <f t="shared" si="15"/>
        <v/>
      </c>
      <c r="K46" s="835" t="str">
        <f t="shared" si="15"/>
        <v/>
      </c>
      <c r="L46" s="835" t="str">
        <f t="shared" si="15"/>
        <v/>
      </c>
      <c r="M46" s="835" t="str">
        <f t="shared" si="15"/>
        <v/>
      </c>
      <c r="N46" s="835" t="str">
        <f t="shared" si="15"/>
        <v/>
      </c>
      <c r="O46" s="835" t="str">
        <f t="shared" si="15"/>
        <v/>
      </c>
      <c r="P46" s="835" t="str">
        <f t="shared" si="15"/>
        <v/>
      </c>
      <c r="Q46" s="835" t="str">
        <f t="shared" si="15"/>
        <v/>
      </c>
      <c r="R46" s="835" t="str">
        <f t="shared" si="15"/>
        <v/>
      </c>
      <c r="S46" s="835" t="str">
        <f t="shared" si="15"/>
        <v/>
      </c>
      <c r="T46" s="835" t="str">
        <f t="shared" si="15"/>
        <v/>
      </c>
      <c r="U46" s="835" t="str">
        <f t="shared" si="15"/>
        <v/>
      </c>
      <c r="V46" s="835" t="str">
        <f t="shared" si="15"/>
        <v/>
      </c>
      <c r="W46" s="835" t="str">
        <f t="shared" si="15"/>
        <v/>
      </c>
      <c r="X46" s="835" t="str">
        <f t="shared" si="15"/>
        <v/>
      </c>
      <c r="Y46" s="835" t="str">
        <f t="shared" si="15"/>
        <v/>
      </c>
      <c r="Z46" s="835" t="str">
        <f t="shared" si="15"/>
        <v/>
      </c>
      <c r="AA46" s="836" t="str">
        <f t="shared" si="15"/>
        <v/>
      </c>
    </row>
    <row r="47" spans="1:30" s="345" customFormat="1">
      <c r="A47" s="345">
        <v>13</v>
      </c>
      <c r="B47" s="818">
        <f t="shared" si="8"/>
        <v>80</v>
      </c>
      <c r="C47" s="809">
        <f t="shared" si="3"/>
        <v>97.736572490101764</v>
      </c>
      <c r="D47" s="809">
        <f t="shared" si="4"/>
        <v>11</v>
      </c>
      <c r="E47" s="1591"/>
      <c r="F47" s="1595"/>
      <c r="G47" s="1597" t="s">
        <v>1286</v>
      </c>
      <c r="H47" s="834" t="str">
        <f>IF(H36="","",IF(SUMIF($A$13:$A$31,H36,$J$13:$J$31)=0,"",SUMIF($A$13:$A$31,H36,$J$13:$J$31)/$M$33))</f>
        <v/>
      </c>
      <c r="I47" s="835" t="str">
        <f t="shared" ref="I47:AA47" si="16">IF(I36="","",IF(SUMIF($A$13:$A$31,I36,$J$13:$J$31)=0,"",SUMIF($A$13:$A$31,I36,$J$13:$J$31)/$M$33))</f>
        <v/>
      </c>
      <c r="J47" s="835" t="str">
        <f t="shared" si="16"/>
        <v/>
      </c>
      <c r="K47" s="835" t="str">
        <f t="shared" si="16"/>
        <v/>
      </c>
      <c r="L47" s="835" t="str">
        <f t="shared" si="16"/>
        <v/>
      </c>
      <c r="M47" s="835" t="str">
        <f t="shared" si="16"/>
        <v/>
      </c>
      <c r="N47" s="835" t="str">
        <f t="shared" si="16"/>
        <v/>
      </c>
      <c r="O47" s="835" t="str">
        <f t="shared" si="16"/>
        <v/>
      </c>
      <c r="P47" s="835">
        <f t="shared" si="16"/>
        <v>0.96610767852769974</v>
      </c>
      <c r="Q47" s="835" t="str">
        <f t="shared" si="16"/>
        <v/>
      </c>
      <c r="R47" s="835">
        <f t="shared" si="16"/>
        <v>0.94328063835411036</v>
      </c>
      <c r="S47" s="835">
        <f t="shared" si="16"/>
        <v>0.75008297939661217</v>
      </c>
      <c r="T47" s="835" t="str">
        <f t="shared" si="16"/>
        <v/>
      </c>
      <c r="U47" s="835" t="str">
        <f t="shared" si="16"/>
        <v/>
      </c>
      <c r="V47" s="835" t="str">
        <f t="shared" si="16"/>
        <v/>
      </c>
      <c r="W47" s="835" t="str">
        <f t="shared" si="16"/>
        <v/>
      </c>
      <c r="X47" s="835">
        <f t="shared" si="16"/>
        <v>0.40865399478838643</v>
      </c>
      <c r="Y47" s="835" t="str">
        <f t="shared" si="16"/>
        <v/>
      </c>
      <c r="Z47" s="835" t="str">
        <f t="shared" si="16"/>
        <v/>
      </c>
      <c r="AA47" s="836" t="str">
        <f t="shared" si="16"/>
        <v/>
      </c>
    </row>
    <row r="48" spans="1:30" s="345" customFormat="1" ht="13.5" thickBot="1">
      <c r="A48" s="345">
        <v>14</v>
      </c>
      <c r="B48" s="818">
        <f t="shared" si="8"/>
        <v>90</v>
      </c>
      <c r="C48" s="809">
        <f t="shared" si="3"/>
        <v>98.474693898206965</v>
      </c>
      <c r="D48" s="809">
        <f t="shared" si="4"/>
        <v>12</v>
      </c>
      <c r="E48" s="1591"/>
      <c r="F48" s="1579"/>
      <c r="G48" s="1598"/>
      <c r="H48" s="834" t="str">
        <f>IF(H36="","",IF(SUMIF($A$13:$A$31,H36,$K$13:$K$31)=0,"",SUMIF($A$13:$A$31,H36,$K$13:$K$31)/$M$33))</f>
        <v/>
      </c>
      <c r="I48" s="835" t="str">
        <f t="shared" ref="I48:AA48" si="17">IF(I36="","",IF(SUMIF($A$13:$A$31,I36,$K$13:$K$31)=0,"",SUMIF($A$13:$A$31,I36,$K$13:$K$31)/$M$33))</f>
        <v/>
      </c>
      <c r="J48" s="835" t="str">
        <f t="shared" si="17"/>
        <v/>
      </c>
      <c r="K48" s="835" t="str">
        <f t="shared" si="17"/>
        <v/>
      </c>
      <c r="L48" s="835" t="str">
        <f t="shared" si="17"/>
        <v/>
      </c>
      <c r="M48" s="835" t="str">
        <f t="shared" si="17"/>
        <v/>
      </c>
      <c r="N48" s="835" t="str">
        <f t="shared" si="17"/>
        <v/>
      </c>
      <c r="O48" s="835" t="str">
        <f t="shared" si="17"/>
        <v/>
      </c>
      <c r="P48" s="835" t="str">
        <f t="shared" si="17"/>
        <v/>
      </c>
      <c r="Q48" s="835" t="str">
        <f t="shared" si="17"/>
        <v/>
      </c>
      <c r="R48" s="835" t="str">
        <f t="shared" si="17"/>
        <v/>
      </c>
      <c r="S48" s="835" t="str">
        <f t="shared" si="17"/>
        <v/>
      </c>
      <c r="T48" s="835" t="str">
        <f t="shared" si="17"/>
        <v/>
      </c>
      <c r="U48" s="835" t="str">
        <f t="shared" si="17"/>
        <v/>
      </c>
      <c r="V48" s="835" t="str">
        <f t="shared" si="17"/>
        <v/>
      </c>
      <c r="W48" s="835" t="str">
        <f t="shared" si="17"/>
        <v/>
      </c>
      <c r="X48" s="835" t="str">
        <f t="shared" si="17"/>
        <v/>
      </c>
      <c r="Y48" s="835" t="str">
        <f t="shared" si="17"/>
        <v/>
      </c>
      <c r="Z48" s="835" t="str">
        <f t="shared" si="17"/>
        <v/>
      </c>
      <c r="AA48" s="836" t="str">
        <f t="shared" si="17"/>
        <v/>
      </c>
    </row>
    <row r="49" spans="1:28" s="345" customFormat="1">
      <c r="A49" s="345">
        <v>15</v>
      </c>
      <c r="B49" s="818">
        <f t="shared" ref="B49:B54" si="18">IF(COUNTIF(C26,"")+COUNTIF(H26,"")+COUNTIF(O26,"")+COUNTIF(T26,"")=4,"",AVERAGE(C26,H26,O26,T26))</f>
        <v>97.736572490101764</v>
      </c>
      <c r="C49" s="809">
        <f t="shared" si="3"/>
        <v>99.115172061249353</v>
      </c>
      <c r="D49" s="809">
        <f t="shared" si="4"/>
        <v>13</v>
      </c>
      <c r="E49" s="1591"/>
      <c r="F49" s="1578">
        <f>U7</f>
        <v>83</v>
      </c>
      <c r="G49" s="1596" t="s">
        <v>1285</v>
      </c>
      <c r="H49" s="840" t="str">
        <f>IF(H36="","",IF(SUMIF($A$13:$A$31,H36,$Q$13:$Q$31)=0,"",SUMIF($A$13:$A$31,H36,$Q$13:$Q$31)/$Y$33))</f>
        <v/>
      </c>
      <c r="I49" s="841">
        <f t="shared" ref="I49:AA49" si="19">IF(I36="","",IF(SUMIF($A$13:$A$31,I36,$Q$13:$Q$31)=0,"",SUMIF($A$13:$A$31,I36,$Q$13:$Q$31)/$Y$33))</f>
        <v>0.52952510078523141</v>
      </c>
      <c r="J49" s="841" t="str">
        <f t="shared" si="19"/>
        <v/>
      </c>
      <c r="K49" s="841" t="str">
        <f t="shared" si="19"/>
        <v/>
      </c>
      <c r="L49" s="841" t="str">
        <f t="shared" si="19"/>
        <v/>
      </c>
      <c r="M49" s="841" t="str">
        <f t="shared" si="19"/>
        <v/>
      </c>
      <c r="N49" s="841" t="str">
        <f t="shared" si="19"/>
        <v/>
      </c>
      <c r="O49" s="841">
        <f t="shared" si="19"/>
        <v>0.88813897507244566</v>
      </c>
      <c r="P49" s="841" t="str">
        <f t="shared" si="19"/>
        <v/>
      </c>
      <c r="Q49" s="841" t="str">
        <f t="shared" si="19"/>
        <v/>
      </c>
      <c r="R49" s="841">
        <f t="shared" si="19"/>
        <v>0.94704935175284888</v>
      </c>
      <c r="S49" s="841" t="str">
        <f t="shared" si="19"/>
        <v/>
      </c>
      <c r="T49" s="841" t="str">
        <f t="shared" si="19"/>
        <v/>
      </c>
      <c r="U49" s="841">
        <f t="shared" si="19"/>
        <v>0.38193243257747422</v>
      </c>
      <c r="V49" s="841" t="str">
        <f t="shared" si="19"/>
        <v/>
      </c>
      <c r="W49" s="841">
        <f t="shared" si="19"/>
        <v>0.34534605478246794</v>
      </c>
      <c r="X49" s="841" t="str">
        <f t="shared" si="19"/>
        <v/>
      </c>
      <c r="Y49" s="841">
        <f t="shared" si="19"/>
        <v>0.36624610426967691</v>
      </c>
      <c r="Z49" s="841" t="str">
        <f t="shared" si="19"/>
        <v/>
      </c>
      <c r="AA49" s="842" t="str">
        <f t="shared" si="19"/>
        <v/>
      </c>
    </row>
    <row r="50" spans="1:28" s="345" customFormat="1">
      <c r="A50" s="345">
        <v>16</v>
      </c>
      <c r="B50" s="818">
        <f t="shared" si="18"/>
        <v>98.474693898206965</v>
      </c>
      <c r="C50" s="809">
        <f t="shared" si="3"/>
        <v>99.665653482478291</v>
      </c>
      <c r="D50" s="809">
        <f t="shared" si="4"/>
        <v>14</v>
      </c>
      <c r="E50" s="1591"/>
      <c r="F50" s="1595"/>
      <c r="G50" s="1597"/>
      <c r="H50" s="843" t="str">
        <f>IF(H36="","",IF(SUMIF($A$13:$A$31,H36,$R$13:$R$31)=0,"",SUMIF($A$13:$A$31,H36,$R$13:$R$31)/$Y$33))</f>
        <v/>
      </c>
      <c r="I50" s="844" t="str">
        <f t="shared" ref="I50:AA50" si="20">IF(I36="","",IF(SUMIF($A$13:$A$31,I36,$R$13:$R$31)=0,"",SUMIF($A$13:$A$31,I36,$R$13:$R$31)/$Y$33))</f>
        <v/>
      </c>
      <c r="J50" s="844" t="str">
        <f t="shared" si="20"/>
        <v/>
      </c>
      <c r="K50" s="844" t="str">
        <f t="shared" si="20"/>
        <v/>
      </c>
      <c r="L50" s="844" t="str">
        <f t="shared" si="20"/>
        <v/>
      </c>
      <c r="M50" s="844" t="str">
        <f t="shared" si="20"/>
        <v/>
      </c>
      <c r="N50" s="844" t="str">
        <f t="shared" si="20"/>
        <v/>
      </c>
      <c r="O50" s="844" t="str">
        <f t="shared" si="20"/>
        <v/>
      </c>
      <c r="P50" s="844" t="str">
        <f t="shared" si="20"/>
        <v/>
      </c>
      <c r="Q50" s="844" t="str">
        <f t="shared" si="20"/>
        <v/>
      </c>
      <c r="R50" s="844" t="str">
        <f t="shared" si="20"/>
        <v/>
      </c>
      <c r="S50" s="844" t="str">
        <f t="shared" si="20"/>
        <v/>
      </c>
      <c r="T50" s="844" t="str">
        <f t="shared" si="20"/>
        <v/>
      </c>
      <c r="U50" s="844" t="str">
        <f t="shared" si="20"/>
        <v/>
      </c>
      <c r="V50" s="844" t="str">
        <f t="shared" si="20"/>
        <v/>
      </c>
      <c r="W50" s="844" t="str">
        <f t="shared" si="20"/>
        <v/>
      </c>
      <c r="X50" s="844" t="str">
        <f t="shared" si="20"/>
        <v/>
      </c>
      <c r="Y50" s="844" t="str">
        <f t="shared" si="20"/>
        <v/>
      </c>
      <c r="Z50" s="844" t="str">
        <f t="shared" si="20"/>
        <v/>
      </c>
      <c r="AA50" s="845" t="str">
        <f t="shared" si="20"/>
        <v/>
      </c>
    </row>
    <row r="51" spans="1:28" s="345" customFormat="1">
      <c r="A51" s="345">
        <v>17</v>
      </c>
      <c r="B51" s="818">
        <f t="shared" si="18"/>
        <v>99.115172061249353</v>
      </c>
      <c r="C51" s="809">
        <f t="shared" si="3"/>
        <v>99.951573567634654</v>
      </c>
      <c r="D51" s="809">
        <f t="shared" si="4"/>
        <v>15</v>
      </c>
      <c r="E51" s="1591"/>
      <c r="F51" s="1595"/>
      <c r="G51" s="1597" t="s">
        <v>1286</v>
      </c>
      <c r="H51" s="843" t="str">
        <f>IF(H36="","",IF(SUMIF($A$13:$A$31,H36,$V$13:$V$31)=0,"",SUMIF($A$13:$A$31,H36,$V$13:$V$31)/$Y$33))</f>
        <v/>
      </c>
      <c r="I51" s="844">
        <f t="shared" ref="I51:AA51" si="21">IF(I36="","",IF(SUMIF($A$13:$A$31,I36,$V$13:$V$31)=0,"",SUMIF($A$13:$A$31,I36,$V$13:$V$31)/$Y$33))</f>
        <v>0.52620060826417181</v>
      </c>
      <c r="J51" s="844" t="str">
        <f t="shared" si="21"/>
        <v/>
      </c>
      <c r="K51" s="844" t="str">
        <f t="shared" si="21"/>
        <v/>
      </c>
      <c r="L51" s="844" t="str">
        <f t="shared" si="21"/>
        <v/>
      </c>
      <c r="M51" s="844" t="str">
        <f t="shared" si="21"/>
        <v/>
      </c>
      <c r="N51" s="844" t="str">
        <f t="shared" si="21"/>
        <v/>
      </c>
      <c r="O51" s="844" t="str">
        <f t="shared" si="21"/>
        <v/>
      </c>
      <c r="P51" s="844">
        <f t="shared" si="21"/>
        <v>0.96424772997748021</v>
      </c>
      <c r="Q51" s="844">
        <f t="shared" si="21"/>
        <v>0.99843253107118124</v>
      </c>
      <c r="R51" s="844">
        <f t="shared" si="21"/>
        <v>0.94445375391578412</v>
      </c>
      <c r="S51" s="844" t="str">
        <f t="shared" si="21"/>
        <v/>
      </c>
      <c r="T51" s="844" t="str">
        <f t="shared" si="21"/>
        <v/>
      </c>
      <c r="U51" s="844" t="str">
        <f t="shared" si="21"/>
        <v/>
      </c>
      <c r="V51" s="844" t="str">
        <f t="shared" si="21"/>
        <v/>
      </c>
      <c r="W51" s="844" t="str">
        <f t="shared" si="21"/>
        <v/>
      </c>
      <c r="X51" s="844" t="str">
        <f t="shared" si="21"/>
        <v/>
      </c>
      <c r="Y51" s="844" t="str">
        <f t="shared" si="21"/>
        <v/>
      </c>
      <c r="Z51" s="844" t="str">
        <f t="shared" si="21"/>
        <v/>
      </c>
      <c r="AA51" s="845" t="str">
        <f t="shared" si="21"/>
        <v/>
      </c>
    </row>
    <row r="52" spans="1:28" s="345" customFormat="1" ht="13.5" thickBot="1">
      <c r="A52" s="345">
        <v>18</v>
      </c>
      <c r="B52" s="818">
        <f t="shared" si="18"/>
        <v>99.665653482478291</v>
      </c>
      <c r="C52" s="809">
        <f t="shared" si="3"/>
        <v>100</v>
      </c>
      <c r="D52" s="809">
        <f t="shared" si="4"/>
        <v>16</v>
      </c>
      <c r="E52" s="1592"/>
      <c r="F52" s="1579"/>
      <c r="G52" s="1598"/>
      <c r="H52" s="846" t="str">
        <f>IF(H36="","",IF(SUMIF($A$13:$A$31,H36,$W$13:$W$31)=0,"",SUMIF($A$13:$A$31,H36,$W$13:$W$31)/$Y$33))</f>
        <v/>
      </c>
      <c r="I52" s="847" t="str">
        <f t="shared" ref="I52:AA52" si="22">IF(I36="","",IF(SUMIF($A$13:$A$31,I36,$W$13:$W$31)=0,"",SUMIF($A$13:$A$31,I36,$W$13:$W$31)/$Y$33))</f>
        <v/>
      </c>
      <c r="J52" s="847" t="str">
        <f t="shared" si="22"/>
        <v/>
      </c>
      <c r="K52" s="847" t="str">
        <f t="shared" si="22"/>
        <v/>
      </c>
      <c r="L52" s="847" t="str">
        <f t="shared" si="22"/>
        <v/>
      </c>
      <c r="M52" s="847" t="str">
        <f t="shared" si="22"/>
        <v/>
      </c>
      <c r="N52" s="847" t="str">
        <f t="shared" si="22"/>
        <v/>
      </c>
      <c r="O52" s="847" t="str">
        <f t="shared" si="22"/>
        <v/>
      </c>
      <c r="P52" s="847" t="str">
        <f t="shared" si="22"/>
        <v/>
      </c>
      <c r="Q52" s="847" t="str">
        <f t="shared" si="22"/>
        <v/>
      </c>
      <c r="R52" s="847" t="str">
        <f t="shared" si="22"/>
        <v/>
      </c>
      <c r="S52" s="847" t="str">
        <f t="shared" si="22"/>
        <v/>
      </c>
      <c r="T52" s="847" t="str">
        <f t="shared" si="22"/>
        <v/>
      </c>
      <c r="U52" s="847" t="str">
        <f t="shared" si="22"/>
        <v/>
      </c>
      <c r="V52" s="847" t="str">
        <f t="shared" si="22"/>
        <v/>
      </c>
      <c r="W52" s="847" t="str">
        <f t="shared" si="22"/>
        <v/>
      </c>
      <c r="X52" s="847" t="str">
        <f t="shared" si="22"/>
        <v/>
      </c>
      <c r="Y52" s="847" t="str">
        <f t="shared" si="22"/>
        <v/>
      </c>
      <c r="Z52" s="847" t="str">
        <f t="shared" si="22"/>
        <v/>
      </c>
      <c r="AA52" s="848" t="str">
        <f t="shared" si="22"/>
        <v/>
      </c>
    </row>
    <row r="53" spans="1:28" s="345" customFormat="1">
      <c r="A53" s="345">
        <v>19</v>
      </c>
      <c r="B53" s="818">
        <f t="shared" si="18"/>
        <v>99.951573567634654</v>
      </c>
      <c r="C53" s="809">
        <f t="shared" si="3"/>
        <v>0</v>
      </c>
      <c r="D53" s="809">
        <f t="shared" si="4"/>
        <v>17</v>
      </c>
      <c r="E53" s="1571" t="s">
        <v>1287</v>
      </c>
      <c r="F53" s="1574" t="s">
        <v>1283</v>
      </c>
      <c r="G53" s="1593"/>
      <c r="H53" s="834">
        <f t="shared" ref="H53:AA53" si="23">IF(COUNTIF(H55:H58,"")=4,"",AVERAGE(H55:H58))</f>
        <v>0.20067480790204723</v>
      </c>
      <c r="I53" s="835">
        <f t="shared" si="23"/>
        <v>0.52343015602963705</v>
      </c>
      <c r="J53" s="835">
        <f t="shared" si="23"/>
        <v>0.64179770767972355</v>
      </c>
      <c r="K53" s="835">
        <f t="shared" si="23"/>
        <v>0.37214762321158346</v>
      </c>
      <c r="L53" s="835">
        <f t="shared" si="23"/>
        <v>0.37344668967457412</v>
      </c>
      <c r="M53" s="835">
        <f t="shared" si="23"/>
        <v>0.67621984696612369</v>
      </c>
      <c r="N53" s="835">
        <f t="shared" si="23"/>
        <v>0.77990366130099753</v>
      </c>
      <c r="O53" s="835">
        <f t="shared" si="23"/>
        <v>0.89846884280075168</v>
      </c>
      <c r="P53" s="835">
        <f t="shared" si="23"/>
        <v>0.96469582020644817</v>
      </c>
      <c r="Q53" s="835">
        <f t="shared" si="23"/>
        <v>0.99790918465855116</v>
      </c>
      <c r="R53" s="835">
        <f t="shared" si="23"/>
        <v>0.94595600625555931</v>
      </c>
      <c r="S53" s="835">
        <f t="shared" si="23"/>
        <v>0.74942188825422151</v>
      </c>
      <c r="T53" s="835">
        <f t="shared" si="23"/>
        <v>0.55117950748876887</v>
      </c>
      <c r="U53" s="835">
        <f t="shared" si="23"/>
        <v>0.50129660184091174</v>
      </c>
      <c r="V53" s="835">
        <f t="shared" si="23"/>
        <v>0.56044687135746951</v>
      </c>
      <c r="W53" s="835">
        <f t="shared" si="23"/>
        <v>0.52159833337964023</v>
      </c>
      <c r="X53" s="835">
        <f t="shared" si="23"/>
        <v>0.41135712572900873</v>
      </c>
      <c r="Y53" s="835" t="str">
        <f t="shared" si="23"/>
        <v/>
      </c>
      <c r="Z53" s="835" t="str">
        <f t="shared" si="23"/>
        <v/>
      </c>
      <c r="AA53" s="836" t="str">
        <f t="shared" si="23"/>
        <v/>
      </c>
    </row>
    <row r="54" spans="1:28" s="345" customFormat="1" ht="13.5" thickBot="1">
      <c r="A54" s="345">
        <v>20</v>
      </c>
      <c r="B54" s="818">
        <f t="shared" si="18"/>
        <v>100</v>
      </c>
      <c r="C54" s="809">
        <f t="shared" si="3"/>
        <v>0</v>
      </c>
      <c r="D54" s="809">
        <f t="shared" si="4"/>
        <v>18</v>
      </c>
      <c r="E54" s="1572"/>
      <c r="F54" s="1576" t="s">
        <v>1284</v>
      </c>
      <c r="G54" s="1594"/>
      <c r="H54" s="834">
        <f t="shared" ref="H54:AA54" si="24">IF(COUNTIF(H55:H58,"")=4,"",IF(COUNTIF(H55:H58,"")=3,0,STDEV(H55:H58)*$F$35))</f>
        <v>6.2179970665717441E-2</v>
      </c>
      <c r="I54" s="835">
        <f t="shared" si="24"/>
        <v>0</v>
      </c>
      <c r="J54" s="835">
        <f t="shared" si="24"/>
        <v>2.4878745359868436E-3</v>
      </c>
      <c r="K54" s="835">
        <f t="shared" si="24"/>
        <v>1.6875017620128607E-2</v>
      </c>
      <c r="L54" s="835">
        <f t="shared" si="24"/>
        <v>9.2877170780912621E-2</v>
      </c>
      <c r="M54" s="835">
        <f t="shared" si="24"/>
        <v>5.9669834421492091E-3</v>
      </c>
      <c r="N54" s="835">
        <f t="shared" si="24"/>
        <v>5.1348890042678171E-3</v>
      </c>
      <c r="O54" s="835">
        <f t="shared" si="24"/>
        <v>4.2713572023311407E-2</v>
      </c>
      <c r="P54" s="835">
        <f t="shared" si="24"/>
        <v>2.969687586157069E-3</v>
      </c>
      <c r="Q54" s="835">
        <f t="shared" si="24"/>
        <v>2.7710757023178818E-3</v>
      </c>
      <c r="R54" s="835">
        <f t="shared" si="24"/>
        <v>2.0292968922434539E-3</v>
      </c>
      <c r="S54" s="835">
        <f t="shared" si="24"/>
        <v>0</v>
      </c>
      <c r="T54" s="835">
        <f t="shared" si="24"/>
        <v>0.13450909854886803</v>
      </c>
      <c r="U54" s="835">
        <f t="shared" si="24"/>
        <v>0</v>
      </c>
      <c r="V54" s="835">
        <f t="shared" si="24"/>
        <v>0.13064825449054296</v>
      </c>
      <c r="W54" s="835">
        <f t="shared" si="24"/>
        <v>0</v>
      </c>
      <c r="X54" s="835">
        <f t="shared" si="24"/>
        <v>5.8689862838483452E-2</v>
      </c>
      <c r="Y54" s="835" t="str">
        <f t="shared" si="24"/>
        <v/>
      </c>
      <c r="Z54" s="835" t="str">
        <f t="shared" si="24"/>
        <v/>
      </c>
      <c r="AA54" s="836" t="str">
        <f t="shared" si="24"/>
        <v/>
      </c>
    </row>
    <row r="55" spans="1:28" s="345" customFormat="1">
      <c r="E55" s="1572"/>
      <c r="F55" s="1578">
        <f>G7</f>
        <v>57</v>
      </c>
      <c r="G55" s="982" t="s">
        <v>1285</v>
      </c>
      <c r="H55" s="827">
        <f>IF(H36="","",IF(SUMIF($A$13:$A$31,H36,$G$13:$G$31)=0,"",SUMIF($A$13:$A$31,H36,$G$13:$G$31)/$M$33))</f>
        <v>0.2334699126953779</v>
      </c>
      <c r="I55" s="828" t="str">
        <f t="shared" ref="I55:AA55" si="25">IF(I36="","",IF(SUMIF($A$13:$A$31,I36,$G$13:$G$31)=0,"",SUMIF($A$13:$A$31,I36,$G$13:$G$31)/$M$33))</f>
        <v/>
      </c>
      <c r="J55" s="828" t="str">
        <f t="shared" si="25"/>
        <v/>
      </c>
      <c r="K55" s="828">
        <f t="shared" si="25"/>
        <v>0.3810478842653659</v>
      </c>
      <c r="L55" s="828" t="str">
        <f t="shared" si="25"/>
        <v/>
      </c>
      <c r="M55" s="828">
        <f t="shared" si="25"/>
        <v>0.67048188337558678</v>
      </c>
      <c r="N55" s="828">
        <f t="shared" si="25"/>
        <v>0.78130615178615404</v>
      </c>
      <c r="O55" s="828">
        <f t="shared" si="25"/>
        <v>0.93443655694704353</v>
      </c>
      <c r="P55" s="828">
        <f t="shared" si="25"/>
        <v>0.96470525448958622</v>
      </c>
      <c r="Q55" s="828">
        <f t="shared" si="25"/>
        <v>0.99976594360146087</v>
      </c>
      <c r="R55" s="828">
        <f t="shared" si="25"/>
        <v>0.94618747244167911</v>
      </c>
      <c r="S55" s="828" t="str">
        <f t="shared" si="25"/>
        <v/>
      </c>
      <c r="T55" s="828">
        <f t="shared" si="25"/>
        <v>0.66449128997915241</v>
      </c>
      <c r="U55" s="828" t="str">
        <f t="shared" si="25"/>
        <v/>
      </c>
      <c r="V55" s="828">
        <f t="shared" si="25"/>
        <v>0.62935367770058392</v>
      </c>
      <c r="W55" s="828" t="str">
        <f t="shared" si="25"/>
        <v/>
      </c>
      <c r="X55" s="828" t="str">
        <f t="shared" si="25"/>
        <v/>
      </c>
      <c r="Y55" s="828" t="str">
        <f t="shared" si="25"/>
        <v/>
      </c>
      <c r="Z55" s="828" t="str">
        <f t="shared" si="25"/>
        <v/>
      </c>
      <c r="AA55" s="829" t="str">
        <f t="shared" si="25"/>
        <v/>
      </c>
    </row>
    <row r="56" spans="1:28" s="345" customFormat="1" ht="13.5" thickBot="1">
      <c r="E56" s="1572"/>
      <c r="F56" s="1579"/>
      <c r="G56" s="983" t="s">
        <v>1286</v>
      </c>
      <c r="H56" s="823">
        <f>IF(H36="","",IF(SUMIF($A$13:$A$31,H36,$L$13:$L$31)=0,"",SUMIF($A$13:$A$31,H36,$L$13:$L$31)/$M$33))</f>
        <v>0.16787970310871655</v>
      </c>
      <c r="I56" s="824">
        <f t="shared" ref="I56:AA56" si="26">IF(I36="","",IF(SUMIF($A$13:$A$31,I36,$L$13:$L$31)=0,"",SUMIF($A$13:$A$31,I36,$L$13:$L$31)/$M$33))</f>
        <v>0.52343015602963705</v>
      </c>
      <c r="J56" s="824" t="str">
        <f t="shared" si="26"/>
        <v/>
      </c>
      <c r="K56" s="824" t="str">
        <f t="shared" si="26"/>
        <v/>
      </c>
      <c r="L56" s="824">
        <f t="shared" si="26"/>
        <v>0.4224321831712356</v>
      </c>
      <c r="M56" s="824">
        <f t="shared" si="26"/>
        <v>0.6749219109784631</v>
      </c>
      <c r="N56" s="824">
        <f t="shared" si="26"/>
        <v>0.78447962516022607</v>
      </c>
      <c r="O56" s="824" t="str">
        <f t="shared" si="26"/>
        <v/>
      </c>
      <c r="P56" s="824">
        <f t="shared" si="26"/>
        <v>0.96540646650864304</v>
      </c>
      <c r="Q56" s="824">
        <f t="shared" si="26"/>
        <v>0.99524085322970424</v>
      </c>
      <c r="R56" s="824">
        <f t="shared" si="26"/>
        <v>0.943797408858567</v>
      </c>
      <c r="S56" s="824" t="str">
        <f t="shared" si="26"/>
        <v/>
      </c>
      <c r="T56" s="824" t="str">
        <f t="shared" si="26"/>
        <v/>
      </c>
      <c r="U56" s="824">
        <f t="shared" si="26"/>
        <v>0.50129660184091174</v>
      </c>
      <c r="V56" s="824" t="str">
        <f t="shared" si="26"/>
        <v/>
      </c>
      <c r="W56" s="824">
        <f t="shared" si="26"/>
        <v>0.52159833337964023</v>
      </c>
      <c r="X56" s="824" t="str">
        <f t="shared" si="26"/>
        <v/>
      </c>
      <c r="Y56" s="824" t="str">
        <f t="shared" si="26"/>
        <v/>
      </c>
      <c r="Z56" s="824" t="str">
        <f t="shared" si="26"/>
        <v/>
      </c>
      <c r="AA56" s="825" t="str">
        <f t="shared" si="26"/>
        <v/>
      </c>
    </row>
    <row r="57" spans="1:28" s="345" customFormat="1">
      <c r="E57" s="1572"/>
      <c r="F57" s="1578">
        <f>U7</f>
        <v>83</v>
      </c>
      <c r="G57" s="982" t="s">
        <v>1285</v>
      </c>
      <c r="H57" s="823" t="str">
        <f>IF(H36="","",IF(SUMIF($A$13:$A$31,H36,$S$13:$S$31)=0,"",SUMIF($A$13:$A$31,H36,$S$13:$S$31)/$Y$33))</f>
        <v/>
      </c>
      <c r="I57" s="824" t="str">
        <f t="shared" ref="I57:AA57" si="27">IF(I36="","",IF(SUMIF($A$13:$A$31,I36,$S$13:$S$31)=0,"",SUMIF($A$13:$A$31,I36,$S$13:$S$31)/$Y$33))</f>
        <v/>
      </c>
      <c r="J57" s="824">
        <f t="shared" si="27"/>
        <v>0.64310986825565852</v>
      </c>
      <c r="K57" s="824" t="str">
        <f t="shared" si="27"/>
        <v/>
      </c>
      <c r="L57" s="824">
        <f t="shared" si="27"/>
        <v>0.32446119617791264</v>
      </c>
      <c r="M57" s="824">
        <f t="shared" si="27"/>
        <v>0.67991861609812587</v>
      </c>
      <c r="N57" s="824">
        <f t="shared" si="27"/>
        <v>0.7756435109774249</v>
      </c>
      <c r="O57" s="824">
        <f t="shared" si="27"/>
        <v>0.88717620911711981</v>
      </c>
      <c r="P57" s="824">
        <f t="shared" si="27"/>
        <v>0.96697727800281408</v>
      </c>
      <c r="Q57" s="824">
        <f t="shared" si="27"/>
        <v>0.99929463898203164</v>
      </c>
      <c r="R57" s="824">
        <f t="shared" si="27"/>
        <v>0.94730891153655528</v>
      </c>
      <c r="S57" s="824" t="str">
        <f t="shared" si="27"/>
        <v/>
      </c>
      <c r="T57" s="824">
        <f t="shared" si="27"/>
        <v>0.47363875763902186</v>
      </c>
      <c r="U57" s="824" t="str">
        <f t="shared" si="27"/>
        <v/>
      </c>
      <c r="V57" s="824" t="str">
        <f t="shared" si="27"/>
        <v/>
      </c>
      <c r="W57" s="824" t="str">
        <f t="shared" si="27"/>
        <v/>
      </c>
      <c r="X57" s="824">
        <f t="shared" si="27"/>
        <v>0.38040278172582859</v>
      </c>
      <c r="Y57" s="824" t="str">
        <f t="shared" si="27"/>
        <v/>
      </c>
      <c r="Z57" s="824" t="str">
        <f t="shared" si="27"/>
        <v/>
      </c>
      <c r="AA57" s="825" t="str">
        <f t="shared" si="27"/>
        <v/>
      </c>
    </row>
    <row r="58" spans="1:28" s="345" customFormat="1" ht="13.5" thickBot="1">
      <c r="E58" s="1573"/>
      <c r="F58" s="1579"/>
      <c r="G58" s="983" t="s">
        <v>1286</v>
      </c>
      <c r="H58" s="831" t="str">
        <f>IF(H36="","",IF(SUMIF($A$13:$A$31,H36,$X$13:$X$31)=0,"",SUMIF($A$13:$A$31,H36,$X$13:$X$31)/$Y$33))</f>
        <v/>
      </c>
      <c r="I58" s="832" t="str">
        <f t="shared" ref="I58:AA58" si="28">IF(I36="","",IF(SUMIF($A$13:$A$31,I36,$X$13:$X$31)=0,"",SUMIF($A$13:$A$31,I36,$X$13:$X$31)/$Y$33))</f>
        <v/>
      </c>
      <c r="J58" s="832">
        <f t="shared" si="28"/>
        <v>0.64048554710378858</v>
      </c>
      <c r="K58" s="832">
        <f t="shared" si="28"/>
        <v>0.36324736215780101</v>
      </c>
      <c r="L58" s="832" t="str">
        <f t="shared" si="28"/>
        <v/>
      </c>
      <c r="M58" s="832">
        <f t="shared" si="28"/>
        <v>0.67955697741231946</v>
      </c>
      <c r="N58" s="832">
        <f t="shared" si="28"/>
        <v>0.77818535728018512</v>
      </c>
      <c r="O58" s="832">
        <f t="shared" si="28"/>
        <v>0.87379376233809192</v>
      </c>
      <c r="P58" s="832">
        <f t="shared" si="28"/>
        <v>0.96169428182474914</v>
      </c>
      <c r="Q58" s="832">
        <f t="shared" si="28"/>
        <v>0.99733530282100802</v>
      </c>
      <c r="R58" s="832">
        <f t="shared" si="28"/>
        <v>0.94653023218543575</v>
      </c>
      <c r="S58" s="832">
        <f t="shared" si="28"/>
        <v>0.74942188825422151</v>
      </c>
      <c r="T58" s="832">
        <f t="shared" si="28"/>
        <v>0.51540847484813246</v>
      </c>
      <c r="U58" s="832" t="str">
        <f t="shared" si="28"/>
        <v/>
      </c>
      <c r="V58" s="832">
        <f t="shared" si="28"/>
        <v>0.49154006501435499</v>
      </c>
      <c r="W58" s="832" t="str">
        <f t="shared" si="28"/>
        <v/>
      </c>
      <c r="X58" s="832">
        <f t="shared" si="28"/>
        <v>0.44231146973218893</v>
      </c>
      <c r="Y58" s="832" t="str">
        <f t="shared" si="28"/>
        <v/>
      </c>
      <c r="Z58" s="832" t="str">
        <f t="shared" si="28"/>
        <v/>
      </c>
      <c r="AA58" s="833" t="str">
        <f t="shared" si="28"/>
        <v/>
      </c>
    </row>
    <row r="59" spans="1:28" s="345" customFormat="1">
      <c r="E59" s="1586" t="s">
        <v>1283</v>
      </c>
      <c r="F59" s="1587"/>
      <c r="G59" s="1587"/>
      <c r="H59" s="834">
        <f t="shared" ref="H59:AA59" si="29">IF(COUNTIF(H39:H42,"")+COUNTIF(H45:H52,"")+COUNTIF(H55:H58,"")=16,"",AVERAGE(H39:H42,H45:H52,H55:H58))</f>
        <v>0.20215108964823067</v>
      </c>
      <c r="I59" s="835">
        <f t="shared" si="29"/>
        <v>0.52660488437014075</v>
      </c>
      <c r="J59" s="835">
        <f t="shared" si="29"/>
        <v>0.64371630855389605</v>
      </c>
      <c r="K59" s="835">
        <f t="shared" si="29"/>
        <v>0.34024094563323515</v>
      </c>
      <c r="L59" s="835">
        <f t="shared" si="29"/>
        <v>0.37281188313038394</v>
      </c>
      <c r="M59" s="835">
        <f t="shared" si="29"/>
        <v>0.68079528519786348</v>
      </c>
      <c r="N59" s="835">
        <f t="shared" si="29"/>
        <v>0.78038489194482374</v>
      </c>
      <c r="O59" s="835">
        <f t="shared" si="29"/>
        <v>0.89013879041023714</v>
      </c>
      <c r="P59" s="835">
        <f t="shared" si="29"/>
        <v>0.96524021576262276</v>
      </c>
      <c r="Q59" s="835">
        <f t="shared" si="29"/>
        <v>0.99841046532609801</v>
      </c>
      <c r="R59" s="835">
        <f t="shared" si="29"/>
        <v>0.94548690027848226</v>
      </c>
      <c r="S59" s="835">
        <f t="shared" si="29"/>
        <v>0.75056267971710466</v>
      </c>
      <c r="T59" s="835">
        <f t="shared" si="29"/>
        <v>0.53558543776315415</v>
      </c>
      <c r="U59" s="835">
        <f t="shared" si="29"/>
        <v>0.50570996708954441</v>
      </c>
      <c r="V59" s="835">
        <f t="shared" si="29"/>
        <v>0.49363823312525967</v>
      </c>
      <c r="W59" s="835">
        <f t="shared" si="29"/>
        <v>0.44464762577952377</v>
      </c>
      <c r="X59" s="835">
        <f t="shared" si="29"/>
        <v>0.43756425206787697</v>
      </c>
      <c r="Y59" s="835">
        <f t="shared" si="29"/>
        <v>0.47423557217013668</v>
      </c>
      <c r="Z59" s="835" t="str">
        <f t="shared" si="29"/>
        <v/>
      </c>
      <c r="AA59" s="836" t="str">
        <f t="shared" si="29"/>
        <v/>
      </c>
      <c r="AB59" s="851">
        <f>IF(MAX(H59:AA59)=0,"",MAX(H59:AA59))</f>
        <v>0.99841046532609801</v>
      </c>
    </row>
    <row r="60" spans="1:28" s="345" customFormat="1" ht="13.5" thickBot="1">
      <c r="E60" s="1588" t="s">
        <v>1284</v>
      </c>
      <c r="F60" s="1589"/>
      <c r="G60" s="1589"/>
      <c r="H60" s="831">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7.2433919586068637E-2</v>
      </c>
      <c r="I60" s="832">
        <f t="shared" si="30"/>
        <v>3.1938817998143514E-3</v>
      </c>
      <c r="J60" s="832">
        <f t="shared" si="30"/>
        <v>3.8855035100553194E-3</v>
      </c>
      <c r="K60" s="832">
        <f t="shared" si="30"/>
        <v>5.2143073921520046E-2</v>
      </c>
      <c r="L60" s="832">
        <f t="shared" si="30"/>
        <v>5.9314272559018125E-2</v>
      </c>
      <c r="M60" s="832">
        <f t="shared" si="30"/>
        <v>1.1188329583635458E-2</v>
      </c>
      <c r="N60" s="832">
        <f t="shared" si="30"/>
        <v>6.2122701175992435E-3</v>
      </c>
      <c r="O60" s="832">
        <f t="shared" si="30"/>
        <v>2.5215298245412143E-2</v>
      </c>
      <c r="P60" s="832">
        <f t="shared" si="30"/>
        <v>3.0892319997779562E-3</v>
      </c>
      <c r="Q60" s="832">
        <f t="shared" si="30"/>
        <v>2.1749041624708346E-3</v>
      </c>
      <c r="R60" s="832">
        <f t="shared" si="30"/>
        <v>2.387115601709908E-3</v>
      </c>
      <c r="S60" s="832">
        <f t="shared" si="30"/>
        <v>1.5089369446430673E-3</v>
      </c>
      <c r="T60" s="832">
        <f t="shared" si="30"/>
        <v>0.11751664839483973</v>
      </c>
      <c r="U60" s="832">
        <f t="shared" si="30"/>
        <v>0.13634096308465465</v>
      </c>
      <c r="V60" s="832">
        <f t="shared" si="30"/>
        <v>0.13834027970772614</v>
      </c>
      <c r="W60" s="832">
        <f t="shared" si="30"/>
        <v>0.10880847438093713</v>
      </c>
      <c r="X60" s="832">
        <f t="shared" si="30"/>
        <v>8.0215234566336405E-2</v>
      </c>
      <c r="Y60" s="832">
        <f t="shared" si="30"/>
        <v>0.20474951943506364</v>
      </c>
      <c r="Z60" s="832" t="str">
        <f t="shared" si="30"/>
        <v/>
      </c>
      <c r="AA60" s="833" t="str">
        <f t="shared" si="30"/>
        <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99" t="s">
        <v>1302</v>
      </c>
      <c r="I65" s="1600"/>
      <c r="J65" s="1600"/>
      <c r="K65" s="1600"/>
      <c r="L65" s="1600"/>
      <c r="M65" s="1600"/>
      <c r="N65" s="1600"/>
      <c r="O65" s="1600"/>
      <c r="P65" s="1600"/>
      <c r="Q65" s="1600"/>
      <c r="R65" s="1600"/>
      <c r="S65" s="1600"/>
      <c r="T65" s="1600"/>
      <c r="U65" s="1600"/>
      <c r="V65" s="1600"/>
      <c r="W65" s="1600"/>
      <c r="X65" s="1600"/>
      <c r="Y65" s="1600"/>
      <c r="Z65" s="1600"/>
      <c r="AA65" s="1601"/>
    </row>
    <row r="66" spans="5:27" s="345" customFormat="1" ht="13.5" thickBot="1">
      <c r="F66" s="854"/>
      <c r="G66" s="855"/>
      <c r="H66" s="1602"/>
      <c r="I66" s="1603"/>
      <c r="J66" s="1603"/>
      <c r="K66" s="1603"/>
      <c r="L66" s="1603"/>
      <c r="M66" s="1603"/>
      <c r="N66" s="1603"/>
      <c r="O66" s="1603"/>
      <c r="P66" s="1603"/>
      <c r="Q66" s="1603"/>
      <c r="R66" s="1603"/>
      <c r="S66" s="1603"/>
      <c r="T66" s="1603"/>
      <c r="U66" s="1603"/>
      <c r="V66" s="1603"/>
      <c r="W66" s="1603"/>
      <c r="X66" s="1603"/>
      <c r="Y66" s="1603"/>
      <c r="Z66" s="1603"/>
      <c r="AA66" s="1604"/>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1">IF(H37="","",RANK(H36,$H$36:$AA$36,1))</f>
        <v>1</v>
      </c>
      <c r="I68" s="860">
        <f t="shared" si="31"/>
        <v>2</v>
      </c>
      <c r="J68" s="860">
        <f t="shared" si="31"/>
        <v>3</v>
      </c>
      <c r="K68" s="860">
        <f t="shared" si="31"/>
        <v>4</v>
      </c>
      <c r="L68" s="860">
        <f t="shared" si="31"/>
        <v>5</v>
      </c>
      <c r="M68" s="860">
        <f t="shared" si="31"/>
        <v>6</v>
      </c>
      <c r="N68" s="860">
        <f t="shared" si="31"/>
        <v>7</v>
      </c>
      <c r="O68" s="860">
        <f t="shared" si="31"/>
        <v>8</v>
      </c>
      <c r="P68" s="860">
        <f t="shared" si="31"/>
        <v>9</v>
      </c>
      <c r="Q68" s="860">
        <f t="shared" si="31"/>
        <v>10</v>
      </c>
      <c r="R68" s="860">
        <f t="shared" si="31"/>
        <v>11</v>
      </c>
      <c r="S68" s="860">
        <f t="shared" si="31"/>
        <v>12</v>
      </c>
      <c r="T68" s="860">
        <f t="shared" si="31"/>
        <v>13</v>
      </c>
      <c r="U68" s="860">
        <f t="shared" si="31"/>
        <v>14</v>
      </c>
      <c r="V68" s="860">
        <f t="shared" si="31"/>
        <v>15</v>
      </c>
      <c r="W68" s="860">
        <f t="shared" si="31"/>
        <v>16</v>
      </c>
      <c r="X68" s="860" t="str">
        <f t="shared" si="31"/>
        <v/>
      </c>
      <c r="Y68" s="860" t="str">
        <f t="shared" si="31"/>
        <v/>
      </c>
      <c r="Z68" s="860" t="str">
        <f t="shared" si="31"/>
        <v/>
      </c>
      <c r="AA68" s="861" t="str">
        <f t="shared" si="31"/>
        <v/>
      </c>
    </row>
    <row r="69" spans="5:27" s="345" customFormat="1" ht="13.5" thickBot="1">
      <c r="F69" s="854"/>
      <c r="G69" s="855"/>
      <c r="H69" s="859">
        <f t="shared" ref="H69:AA69" si="32">IF(H68="","",RANK(H68,$H$68:$AA$68,1))</f>
        <v>1</v>
      </c>
      <c r="I69" s="860">
        <f t="shared" si="32"/>
        <v>2</v>
      </c>
      <c r="J69" s="860">
        <f t="shared" si="32"/>
        <v>3</v>
      </c>
      <c r="K69" s="860">
        <f t="shared" si="32"/>
        <v>4</v>
      </c>
      <c r="L69" s="860">
        <f t="shared" si="32"/>
        <v>5</v>
      </c>
      <c r="M69" s="860">
        <f t="shared" si="32"/>
        <v>6</v>
      </c>
      <c r="N69" s="860">
        <f t="shared" si="32"/>
        <v>7</v>
      </c>
      <c r="O69" s="860">
        <f t="shared" si="32"/>
        <v>8</v>
      </c>
      <c r="P69" s="860">
        <f t="shared" si="32"/>
        <v>9</v>
      </c>
      <c r="Q69" s="860">
        <f t="shared" si="32"/>
        <v>10</v>
      </c>
      <c r="R69" s="860">
        <f t="shared" si="32"/>
        <v>11</v>
      </c>
      <c r="S69" s="860">
        <f t="shared" si="32"/>
        <v>12</v>
      </c>
      <c r="T69" s="860">
        <f t="shared" si="32"/>
        <v>13</v>
      </c>
      <c r="U69" s="860">
        <f t="shared" si="32"/>
        <v>14</v>
      </c>
      <c r="V69" s="860">
        <f t="shared" si="32"/>
        <v>15</v>
      </c>
      <c r="W69" s="860">
        <f t="shared" si="32"/>
        <v>16</v>
      </c>
      <c r="X69" s="860" t="str">
        <f t="shared" si="32"/>
        <v/>
      </c>
      <c r="Y69" s="860" t="str">
        <f t="shared" si="32"/>
        <v/>
      </c>
      <c r="Z69" s="860" t="str">
        <f t="shared" si="32"/>
        <v/>
      </c>
      <c r="AA69" s="861" t="str">
        <f t="shared" si="32"/>
        <v/>
      </c>
    </row>
    <row r="70" spans="5:27" s="345" customFormat="1" ht="13.5" thickBot="1">
      <c r="E70" s="1605" t="s">
        <v>1281</v>
      </c>
      <c r="F70" s="1606"/>
      <c r="G70" s="1606"/>
      <c r="H70" s="862">
        <f>IF(SUMIF($H$69:$AA$69,H$67,$H$36:$AA$36)=0,"",SUMIF($H$69:$AA$69,H$67,$H$36:$AA$36))</f>
        <v>5.3605555861977985</v>
      </c>
      <c r="I70" s="863">
        <f>IF(SUMIF($H$69:$AA$69,I$67,$H$36:$AA$36)=0,"",SUMIF($H$69:$AA$69,I$67,$H$36:$AA$36))</f>
        <v>10</v>
      </c>
      <c r="J70" s="863">
        <f t="shared" ref="J70:AA70" si="33">IF(SUMIF($H$69:$AA$69,J$67,$H$36:$AA$36)=0,"",SUMIF($H$69:$AA$69,J$67,$H$36:$AA$36))</f>
        <v>20</v>
      </c>
      <c r="K70" s="863">
        <f t="shared" si="33"/>
        <v>26.922669813782981</v>
      </c>
      <c r="L70" s="863">
        <f t="shared" si="33"/>
        <v>28.402760758696882</v>
      </c>
      <c r="M70" s="863">
        <f t="shared" si="33"/>
        <v>30</v>
      </c>
      <c r="N70" s="863">
        <f t="shared" si="33"/>
        <v>40</v>
      </c>
      <c r="O70" s="863">
        <f t="shared" si="33"/>
        <v>50</v>
      </c>
      <c r="P70" s="863">
        <f t="shared" si="33"/>
        <v>60</v>
      </c>
      <c r="Q70" s="863">
        <f t="shared" si="33"/>
        <v>70</v>
      </c>
      <c r="R70" s="863">
        <f t="shared" si="33"/>
        <v>80</v>
      </c>
      <c r="S70" s="863">
        <f t="shared" si="33"/>
        <v>90</v>
      </c>
      <c r="T70" s="863">
        <f t="shared" si="33"/>
        <v>97.736572490101764</v>
      </c>
      <c r="U70" s="863">
        <f t="shared" si="33"/>
        <v>98.474693898206965</v>
      </c>
      <c r="V70" s="863">
        <f t="shared" si="33"/>
        <v>99.115172061249353</v>
      </c>
      <c r="W70" s="863">
        <f t="shared" si="33"/>
        <v>99.665653482478291</v>
      </c>
      <c r="X70" s="863" t="str">
        <f t="shared" si="33"/>
        <v/>
      </c>
      <c r="Y70" s="863" t="str">
        <f t="shared" si="33"/>
        <v/>
      </c>
      <c r="Z70" s="863" t="str">
        <f t="shared" si="33"/>
        <v/>
      </c>
      <c r="AA70" s="864" t="str">
        <f t="shared" si="33"/>
        <v/>
      </c>
    </row>
    <row r="71" spans="5:27" s="345" customFormat="1">
      <c r="E71" s="1574" t="s">
        <v>1283</v>
      </c>
      <c r="F71" s="1593"/>
      <c r="G71" s="1575"/>
      <c r="H71" s="865">
        <f>IF(SUMIF($H$36:$AA$36,H$70,$H37:$AA37)=0,"",SUMIF($H$36:$AA$36,H$70,$H37:$AA37)/$AB$59)</f>
        <v>0.20395155946998805</v>
      </c>
      <c r="I71" s="866">
        <f t="shared" ref="I71:AA71" si="34">IF(SUMIF($H$36:$AA$36,I$70,$H37:$AA37)=0,"",SUMIF($H$36:$AA$36,I$70,$H37:$AA37)/$AB$59)</f>
        <v>0.52777319217474938</v>
      </c>
      <c r="J71" s="866">
        <f t="shared" si="34"/>
        <v>0.64570197466872536</v>
      </c>
      <c r="K71" s="866">
        <f t="shared" si="34"/>
        <v>0.30882515634907692</v>
      </c>
      <c r="L71" s="866">
        <f t="shared" si="34"/>
        <v>0.37276960680158161</v>
      </c>
      <c r="M71" s="866">
        <f t="shared" si="34"/>
        <v>0.68646187838761219</v>
      </c>
      <c r="N71" s="866">
        <f t="shared" si="34"/>
        <v>0.78161463366739758</v>
      </c>
      <c r="O71" s="866">
        <f t="shared" si="34"/>
        <v>0.88579921351579716</v>
      </c>
      <c r="P71" s="866">
        <f t="shared" si="34"/>
        <v>0.96735350901831885</v>
      </c>
      <c r="Q71" s="866">
        <f t="shared" si="34"/>
        <v>1.0004965535203139</v>
      </c>
      <c r="R71" s="866">
        <f t="shared" si="34"/>
        <v>0.94694223101496144</v>
      </c>
      <c r="S71" s="866">
        <f t="shared" si="34"/>
        <v>0.75180610726151598</v>
      </c>
      <c r="T71" s="866">
        <f t="shared" si="34"/>
        <v>0.48958143525334347</v>
      </c>
      <c r="U71" s="866">
        <f t="shared" si="34"/>
        <v>0.5707125844116504</v>
      </c>
      <c r="V71" s="866">
        <f t="shared" si="34"/>
        <v>0.42750913548731678</v>
      </c>
      <c r="W71" s="866">
        <f t="shared" si="34"/>
        <v>0.49979338199788287</v>
      </c>
      <c r="X71" s="866" t="str">
        <f t="shared" si="34"/>
        <v/>
      </c>
      <c r="Y71" s="866" t="str">
        <f t="shared" si="34"/>
        <v/>
      </c>
      <c r="Z71" s="866" t="str">
        <f t="shared" si="34"/>
        <v/>
      </c>
      <c r="AA71" s="867" t="str">
        <f t="shared" si="34"/>
        <v/>
      </c>
    </row>
    <row r="72" spans="5:27" s="345" customFormat="1" ht="13.5" thickBot="1">
      <c r="E72" s="1576" t="s">
        <v>1284</v>
      </c>
      <c r="F72" s="1594"/>
      <c r="G72" s="1577"/>
      <c r="H72" s="868">
        <f>IF(SUMIF($H$36:$AA$36,H$70,$H37:$AA37)=0,"",SUMIF($H$36:$AA$36,H$70,$H38:$AA38)/$AB$59)</f>
        <v>0.1090678113707088</v>
      </c>
      <c r="I72" s="869">
        <f t="shared" ref="I72:AA72" si="35">IF(SUMIF($H$36:$AA$36,I$70,$H37:$AA37)=0,"",SUMIF($H$36:$AA$36,I$70,$H38:$AA38)/$AB$59)</f>
        <v>2.5878384569964102E-3</v>
      </c>
      <c r="J72" s="869">
        <f t="shared" si="35"/>
        <v>4.0663052686948963E-3</v>
      </c>
      <c r="K72" s="869">
        <f t="shared" si="35"/>
        <v>2.3543232953582176E-2</v>
      </c>
      <c r="L72" s="869">
        <f t="shared" si="35"/>
        <v>4.3950181895778831E-2</v>
      </c>
      <c r="M72" s="869">
        <f t="shared" si="35"/>
        <v>1.2515323880117751E-2</v>
      </c>
      <c r="N72" s="869">
        <f t="shared" si="35"/>
        <v>8.5957338369696164E-3</v>
      </c>
      <c r="O72" s="869">
        <f t="shared" si="35"/>
        <v>7.8207661513170941E-3</v>
      </c>
      <c r="P72" s="869">
        <f t="shared" si="35"/>
        <v>4.1618003124508198E-3</v>
      </c>
      <c r="Q72" s="869">
        <f t="shared" si="35"/>
        <v>1.9378882955887731E-3</v>
      </c>
      <c r="R72" s="869">
        <f t="shared" si="35"/>
        <v>3.0584539769588255E-3</v>
      </c>
      <c r="S72" s="869">
        <f t="shared" si="35"/>
        <v>1.4765963537781744E-3</v>
      </c>
      <c r="T72" s="869">
        <f t="shared" si="35"/>
        <v>0</v>
      </c>
      <c r="U72" s="869">
        <f t="shared" si="35"/>
        <v>0.11604973909949085</v>
      </c>
      <c r="V72" s="869">
        <f t="shared" si="35"/>
        <v>9.0998950725131297E-2</v>
      </c>
      <c r="W72" s="869">
        <f t="shared" si="35"/>
        <v>0</v>
      </c>
      <c r="X72" s="869" t="str">
        <f t="shared" si="35"/>
        <v/>
      </c>
      <c r="Y72" s="869" t="str">
        <f t="shared" si="35"/>
        <v/>
      </c>
      <c r="Z72" s="869" t="str">
        <f t="shared" si="35"/>
        <v/>
      </c>
      <c r="AA72" s="870" t="str">
        <f t="shared" si="35"/>
        <v/>
      </c>
    </row>
    <row r="73" spans="5:27" s="345" customFormat="1">
      <c r="F73" s="854"/>
      <c r="H73" s="871" t="str">
        <f t="shared" ref="H73:AA73" si="36">IF(H43="","",RANK(H36,$H$36:$AA$36,1))</f>
        <v/>
      </c>
      <c r="I73" s="872">
        <f t="shared" si="36"/>
        <v>2</v>
      </c>
      <c r="J73" s="872" t="str">
        <f t="shared" si="36"/>
        <v/>
      </c>
      <c r="K73" s="872" t="str">
        <f t="shared" si="36"/>
        <v/>
      </c>
      <c r="L73" s="872" t="str">
        <f t="shared" si="36"/>
        <v/>
      </c>
      <c r="M73" s="872" t="str">
        <f t="shared" si="36"/>
        <v/>
      </c>
      <c r="N73" s="872">
        <f t="shared" si="36"/>
        <v>7</v>
      </c>
      <c r="O73" s="872">
        <f t="shared" si="36"/>
        <v>8</v>
      </c>
      <c r="P73" s="872">
        <f t="shared" si="36"/>
        <v>9</v>
      </c>
      <c r="Q73" s="872">
        <f t="shared" si="36"/>
        <v>10</v>
      </c>
      <c r="R73" s="872">
        <f t="shared" si="36"/>
        <v>11</v>
      </c>
      <c r="S73" s="872">
        <f t="shared" si="36"/>
        <v>12</v>
      </c>
      <c r="T73" s="872" t="str">
        <f t="shared" si="36"/>
        <v/>
      </c>
      <c r="U73" s="872">
        <f t="shared" si="36"/>
        <v>14</v>
      </c>
      <c r="V73" s="872" t="str">
        <f t="shared" si="36"/>
        <v/>
      </c>
      <c r="W73" s="872">
        <f t="shared" si="36"/>
        <v>16</v>
      </c>
      <c r="X73" s="872">
        <f t="shared" si="36"/>
        <v>17</v>
      </c>
      <c r="Y73" s="872">
        <f t="shared" si="36"/>
        <v>18</v>
      </c>
      <c r="Z73" s="872" t="str">
        <f t="shared" si="36"/>
        <v/>
      </c>
      <c r="AA73" s="873" t="str">
        <f t="shared" si="36"/>
        <v/>
      </c>
    </row>
    <row r="74" spans="5:27" s="345" customFormat="1" ht="13.5" thickBot="1">
      <c r="F74" s="854"/>
      <c r="H74" s="874" t="str">
        <f t="shared" ref="H74:AA74" si="37">IF(H73="","",RANK(H73,$H$73:$AA$73,1))</f>
        <v/>
      </c>
      <c r="I74" s="875">
        <f t="shared" si="37"/>
        <v>1</v>
      </c>
      <c r="J74" s="875" t="str">
        <f t="shared" si="37"/>
        <v/>
      </c>
      <c r="K74" s="875" t="str">
        <f t="shared" si="37"/>
        <v/>
      </c>
      <c r="L74" s="875" t="str">
        <f t="shared" si="37"/>
        <v/>
      </c>
      <c r="M74" s="875" t="str">
        <f t="shared" si="37"/>
        <v/>
      </c>
      <c r="N74" s="875">
        <f t="shared" si="37"/>
        <v>2</v>
      </c>
      <c r="O74" s="875">
        <f t="shared" si="37"/>
        <v>3</v>
      </c>
      <c r="P74" s="875">
        <f t="shared" si="37"/>
        <v>4</v>
      </c>
      <c r="Q74" s="875">
        <f t="shared" si="37"/>
        <v>5</v>
      </c>
      <c r="R74" s="875">
        <f t="shared" si="37"/>
        <v>6</v>
      </c>
      <c r="S74" s="875">
        <f t="shared" si="37"/>
        <v>7</v>
      </c>
      <c r="T74" s="875" t="str">
        <f t="shared" si="37"/>
        <v/>
      </c>
      <c r="U74" s="875">
        <f t="shared" si="37"/>
        <v>8</v>
      </c>
      <c r="V74" s="875" t="str">
        <f t="shared" si="37"/>
        <v/>
      </c>
      <c r="W74" s="875">
        <f t="shared" si="37"/>
        <v>9</v>
      </c>
      <c r="X74" s="875">
        <f t="shared" si="37"/>
        <v>10</v>
      </c>
      <c r="Y74" s="875">
        <f t="shared" si="37"/>
        <v>11</v>
      </c>
      <c r="Z74" s="875" t="str">
        <f t="shared" si="37"/>
        <v/>
      </c>
      <c r="AA74" s="876" t="str">
        <f t="shared" si="37"/>
        <v/>
      </c>
    </row>
    <row r="75" spans="5:27" s="345" customFormat="1" ht="13.5" thickBot="1">
      <c r="E75" s="1605" t="s">
        <v>1281</v>
      </c>
      <c r="F75" s="1606"/>
      <c r="G75" s="1607"/>
      <c r="H75" s="877">
        <f>IF(SUMIF($H$74:$AA$74,H$67,$H$36:$AA$36)=0,"",SUMIF($H$74:$AA$74,H$67,$H$36:$AA$36))</f>
        <v>10</v>
      </c>
      <c r="I75" s="878">
        <f>IF(SUMIF($H$74:$AA$74,I$67,$H$36:$AA$36)=0,"",SUMIF($H$74:$AA$74,I$67,$H$36:$AA$36))</f>
        <v>40</v>
      </c>
      <c r="J75" s="878">
        <f t="shared" ref="J75:AA75" si="38">IF(SUMIF($H$74:$AA$74,J$67,$H$36:$AA$36)=0,"",SUMIF($H$74:$AA$74,J$67,$H$36:$AA$36))</f>
        <v>50</v>
      </c>
      <c r="K75" s="878">
        <f t="shared" si="38"/>
        <v>60</v>
      </c>
      <c r="L75" s="878">
        <f t="shared" si="38"/>
        <v>70</v>
      </c>
      <c r="M75" s="878">
        <f t="shared" si="38"/>
        <v>80</v>
      </c>
      <c r="N75" s="878">
        <f t="shared" si="38"/>
        <v>90</v>
      </c>
      <c r="O75" s="878">
        <f t="shared" si="38"/>
        <v>98.474693898206965</v>
      </c>
      <c r="P75" s="878">
        <f t="shared" si="38"/>
        <v>99.665653482478291</v>
      </c>
      <c r="Q75" s="878">
        <f t="shared" si="38"/>
        <v>99.951573567634654</v>
      </c>
      <c r="R75" s="878">
        <f t="shared" si="38"/>
        <v>100</v>
      </c>
      <c r="S75" s="878" t="str">
        <f t="shared" si="38"/>
        <v/>
      </c>
      <c r="T75" s="878" t="str">
        <f t="shared" si="38"/>
        <v/>
      </c>
      <c r="U75" s="878" t="str">
        <f t="shared" si="38"/>
        <v/>
      </c>
      <c r="V75" s="878" t="str">
        <f t="shared" si="38"/>
        <v/>
      </c>
      <c r="W75" s="878" t="str">
        <f t="shared" si="38"/>
        <v/>
      </c>
      <c r="X75" s="878" t="str">
        <f t="shared" si="38"/>
        <v/>
      </c>
      <c r="Y75" s="878" t="str">
        <f t="shared" si="38"/>
        <v/>
      </c>
      <c r="Z75" s="878" t="str">
        <f t="shared" si="38"/>
        <v/>
      </c>
      <c r="AA75" s="879" t="str">
        <f t="shared" si="38"/>
        <v/>
      </c>
    </row>
    <row r="76" spans="5:27" s="345" customFormat="1">
      <c r="E76" s="1574" t="s">
        <v>1283</v>
      </c>
      <c r="F76" s="1593"/>
      <c r="G76" s="1575"/>
      <c r="H76" s="880">
        <f>IF(SUMIF($H$36:$AA$36,H$75,$H43:$AA43)=0,"",SUMIF($H$36:$AA$36,H$75,$H43:$AA43)/$AB$59)</f>
        <v>0.52870324666748414</v>
      </c>
      <c r="I76" s="881">
        <f t="shared" ref="I76:AA76" si="39">IF(SUMIF($H$36:$AA$36,I$75,$H43:$AA43)=0,"",SUMIF($H$36:$AA$36,I$75,$H43:$AA43)/$AB$59)</f>
        <v>0.78360603083389702</v>
      </c>
      <c r="J76" s="881">
        <f t="shared" si="39"/>
        <v>0.88955295033126902</v>
      </c>
      <c r="K76" s="881">
        <f t="shared" si="39"/>
        <v>0.96671433020020114</v>
      </c>
      <c r="L76" s="881">
        <f t="shared" si="39"/>
        <v>1.0000221008751906</v>
      </c>
      <c r="M76" s="881">
        <f t="shared" si="39"/>
        <v>0.94643230163419623</v>
      </c>
      <c r="N76" s="881">
        <f t="shared" si="39"/>
        <v>0.75228044563250984</v>
      </c>
      <c r="O76" s="881">
        <f t="shared" si="39"/>
        <v>0.38254049395679013</v>
      </c>
      <c r="P76" s="881">
        <f t="shared" si="39"/>
        <v>0.37960000068883021</v>
      </c>
      <c r="Q76" s="881">
        <f t="shared" si="39"/>
        <v>0.4645097327332896</v>
      </c>
      <c r="R76" s="881">
        <f t="shared" si="39"/>
        <v>0.47499058617664147</v>
      </c>
      <c r="S76" s="881" t="str">
        <f t="shared" si="39"/>
        <v/>
      </c>
      <c r="T76" s="881" t="str">
        <f t="shared" si="39"/>
        <v/>
      </c>
      <c r="U76" s="881" t="str">
        <f t="shared" si="39"/>
        <v/>
      </c>
      <c r="V76" s="881" t="str">
        <f t="shared" si="39"/>
        <v/>
      </c>
      <c r="W76" s="881" t="str">
        <f t="shared" si="39"/>
        <v/>
      </c>
      <c r="X76" s="881" t="str">
        <f t="shared" si="39"/>
        <v/>
      </c>
      <c r="Y76" s="881" t="str">
        <f t="shared" si="39"/>
        <v/>
      </c>
      <c r="Z76" s="881" t="str">
        <f t="shared" si="39"/>
        <v/>
      </c>
      <c r="AA76" s="882" t="str">
        <f t="shared" si="39"/>
        <v/>
      </c>
    </row>
    <row r="77" spans="5:27" s="345" customFormat="1" ht="13.5" thickBot="1">
      <c r="E77" s="1576" t="s">
        <v>1284</v>
      </c>
      <c r="F77" s="1594"/>
      <c r="G77" s="1577"/>
      <c r="H77" s="883">
        <f>IF(SUMIF($H$36:$AA$36,H$75,$H43:$AA43)=0,"",SUMIF($H$36:$AA$36,H$75,$H44:$AA44)/$AB$59)</f>
        <v>3.1566594384418371E-3</v>
      </c>
      <c r="I77" s="884">
        <f t="shared" ref="I77:AA77" si="40">IF(SUMIF($H$36:$AA$36,I$75,$H43:$AA43)=0,"",SUMIF($H$36:$AA$36,I$75,$H44:$AA44)/$AB$59)</f>
        <v>0</v>
      </c>
      <c r="J77" s="884">
        <f t="shared" si="40"/>
        <v>0</v>
      </c>
      <c r="K77" s="884">
        <f t="shared" si="40"/>
        <v>1.7660512420690933E-3</v>
      </c>
      <c r="L77" s="884">
        <f t="shared" si="40"/>
        <v>0</v>
      </c>
      <c r="M77" s="884">
        <f t="shared" si="40"/>
        <v>2.5897334439471246E-3</v>
      </c>
      <c r="N77" s="884">
        <f t="shared" si="40"/>
        <v>1.9022424517861007E-3</v>
      </c>
      <c r="O77" s="884">
        <f t="shared" si="40"/>
        <v>0</v>
      </c>
      <c r="P77" s="884">
        <f t="shared" si="40"/>
        <v>6.3903499593324711E-2</v>
      </c>
      <c r="Q77" s="884">
        <f t="shared" si="40"/>
        <v>0.10466969507012652</v>
      </c>
      <c r="R77" s="884">
        <f t="shared" si="40"/>
        <v>0.20507549404361355</v>
      </c>
      <c r="S77" s="884" t="str">
        <f t="shared" si="40"/>
        <v/>
      </c>
      <c r="T77" s="884" t="str">
        <f t="shared" si="40"/>
        <v/>
      </c>
      <c r="U77" s="884" t="str">
        <f t="shared" si="40"/>
        <v/>
      </c>
      <c r="V77" s="884" t="str">
        <f t="shared" si="40"/>
        <v/>
      </c>
      <c r="W77" s="884" t="str">
        <f t="shared" si="40"/>
        <v/>
      </c>
      <c r="X77" s="884" t="str">
        <f t="shared" si="40"/>
        <v/>
      </c>
      <c r="Y77" s="884" t="str">
        <f t="shared" si="40"/>
        <v/>
      </c>
      <c r="Z77" s="884" t="str">
        <f t="shared" si="40"/>
        <v/>
      </c>
      <c r="AA77" s="885" t="str">
        <f t="shared" si="40"/>
        <v/>
      </c>
    </row>
    <row r="78" spans="5:27" s="345" customFormat="1">
      <c r="F78" s="854"/>
      <c r="H78" s="886">
        <f t="shared" ref="H78:AA78" si="41">IF(H53="","",RANK(H36,$H$36:$AA$36,1))</f>
        <v>1</v>
      </c>
      <c r="I78" s="887">
        <f t="shared" si="41"/>
        <v>2</v>
      </c>
      <c r="J78" s="887">
        <f t="shared" si="41"/>
        <v>3</v>
      </c>
      <c r="K78" s="887">
        <f t="shared" si="41"/>
        <v>4</v>
      </c>
      <c r="L78" s="887">
        <f t="shared" si="41"/>
        <v>5</v>
      </c>
      <c r="M78" s="887">
        <f t="shared" si="41"/>
        <v>6</v>
      </c>
      <c r="N78" s="887">
        <f t="shared" si="41"/>
        <v>7</v>
      </c>
      <c r="O78" s="887">
        <f t="shared" si="41"/>
        <v>8</v>
      </c>
      <c r="P78" s="887">
        <f t="shared" si="41"/>
        <v>9</v>
      </c>
      <c r="Q78" s="887">
        <f t="shared" si="41"/>
        <v>10</v>
      </c>
      <c r="R78" s="887">
        <f t="shared" si="41"/>
        <v>11</v>
      </c>
      <c r="S78" s="887">
        <f t="shared" si="41"/>
        <v>12</v>
      </c>
      <c r="T78" s="887">
        <f t="shared" si="41"/>
        <v>13</v>
      </c>
      <c r="U78" s="887">
        <f t="shared" si="41"/>
        <v>14</v>
      </c>
      <c r="V78" s="887">
        <f t="shared" si="41"/>
        <v>15</v>
      </c>
      <c r="W78" s="887">
        <f t="shared" si="41"/>
        <v>16</v>
      </c>
      <c r="X78" s="887">
        <f t="shared" si="41"/>
        <v>17</v>
      </c>
      <c r="Y78" s="887" t="str">
        <f t="shared" si="41"/>
        <v/>
      </c>
      <c r="Z78" s="887" t="str">
        <f t="shared" si="41"/>
        <v/>
      </c>
      <c r="AA78" s="888" t="str">
        <f t="shared" si="41"/>
        <v/>
      </c>
    </row>
    <row r="79" spans="5:27" s="345" customFormat="1" ht="13.5" thickBot="1">
      <c r="F79" s="854"/>
      <c r="H79" s="859">
        <f t="shared" ref="H79:AA79" si="42">IF(H78="","",RANK(H78,$H$78:$AA$78,1))</f>
        <v>1</v>
      </c>
      <c r="I79" s="860">
        <f t="shared" si="42"/>
        <v>2</v>
      </c>
      <c r="J79" s="860">
        <f t="shared" si="42"/>
        <v>3</v>
      </c>
      <c r="K79" s="860">
        <f t="shared" si="42"/>
        <v>4</v>
      </c>
      <c r="L79" s="860">
        <f t="shared" si="42"/>
        <v>5</v>
      </c>
      <c r="M79" s="860">
        <f t="shared" si="42"/>
        <v>6</v>
      </c>
      <c r="N79" s="860">
        <f t="shared" si="42"/>
        <v>7</v>
      </c>
      <c r="O79" s="860">
        <f t="shared" si="42"/>
        <v>8</v>
      </c>
      <c r="P79" s="860">
        <f t="shared" si="42"/>
        <v>9</v>
      </c>
      <c r="Q79" s="860">
        <f t="shared" si="42"/>
        <v>10</v>
      </c>
      <c r="R79" s="860">
        <f t="shared" si="42"/>
        <v>11</v>
      </c>
      <c r="S79" s="860">
        <f t="shared" si="42"/>
        <v>12</v>
      </c>
      <c r="T79" s="860">
        <f t="shared" si="42"/>
        <v>13</v>
      </c>
      <c r="U79" s="860">
        <f t="shared" si="42"/>
        <v>14</v>
      </c>
      <c r="V79" s="860">
        <f t="shared" si="42"/>
        <v>15</v>
      </c>
      <c r="W79" s="860">
        <f t="shared" si="42"/>
        <v>16</v>
      </c>
      <c r="X79" s="860">
        <f t="shared" si="42"/>
        <v>17</v>
      </c>
      <c r="Y79" s="860" t="str">
        <f t="shared" si="42"/>
        <v/>
      </c>
      <c r="Z79" s="860" t="str">
        <f t="shared" si="42"/>
        <v/>
      </c>
      <c r="AA79" s="861" t="str">
        <f t="shared" si="42"/>
        <v/>
      </c>
    </row>
    <row r="80" spans="5:27" s="345" customFormat="1" ht="13.5" thickBot="1">
      <c r="E80" s="1605" t="s">
        <v>1281</v>
      </c>
      <c r="F80" s="1606"/>
      <c r="G80" s="1607"/>
      <c r="H80" s="862">
        <f>IF(SUMIF($H$79:$AA$79,H$67,$H$36:$AA$36)=0,"",SUMIF($H$79:$AA$79,H$67,$H$36:$AA$36))</f>
        <v>5.3605555861977985</v>
      </c>
      <c r="I80" s="863">
        <f>IF(SUMIF($H$79:$AA$79,I$67,$H$36:$AA$36)=0,"",SUMIF($H$79:$AA$79,I$67,$H$36:$AA$36))</f>
        <v>10</v>
      </c>
      <c r="J80" s="863">
        <f t="shared" ref="J80:AA80" si="43">IF(SUMIF($H$79:$AA$79,J$67,$H$36:$AA$36)=0,"",SUMIF($H$79:$AA$79,J$67,$H$36:$AA$36))</f>
        <v>20</v>
      </c>
      <c r="K80" s="863">
        <f t="shared" si="43"/>
        <v>26.922669813782981</v>
      </c>
      <c r="L80" s="863">
        <f t="shared" si="43"/>
        <v>28.402760758696882</v>
      </c>
      <c r="M80" s="863">
        <f t="shared" si="43"/>
        <v>30</v>
      </c>
      <c r="N80" s="863">
        <f t="shared" si="43"/>
        <v>40</v>
      </c>
      <c r="O80" s="863">
        <f t="shared" si="43"/>
        <v>50</v>
      </c>
      <c r="P80" s="863">
        <f t="shared" si="43"/>
        <v>60</v>
      </c>
      <c r="Q80" s="863">
        <f t="shared" si="43"/>
        <v>70</v>
      </c>
      <c r="R80" s="863">
        <f t="shared" si="43"/>
        <v>80</v>
      </c>
      <c r="S80" s="863">
        <f t="shared" si="43"/>
        <v>90</v>
      </c>
      <c r="T80" s="863">
        <f t="shared" si="43"/>
        <v>97.736572490101764</v>
      </c>
      <c r="U80" s="863">
        <f t="shared" si="43"/>
        <v>98.474693898206965</v>
      </c>
      <c r="V80" s="863">
        <f t="shared" si="43"/>
        <v>99.115172061249353</v>
      </c>
      <c r="W80" s="863">
        <f t="shared" si="43"/>
        <v>99.665653482478291</v>
      </c>
      <c r="X80" s="863">
        <f t="shared" si="43"/>
        <v>99.951573567634654</v>
      </c>
      <c r="Y80" s="863" t="str">
        <f t="shared" si="43"/>
        <v/>
      </c>
      <c r="Z80" s="863" t="str">
        <f t="shared" si="43"/>
        <v/>
      </c>
      <c r="AA80" s="864" t="str">
        <f t="shared" si="43"/>
        <v/>
      </c>
    </row>
    <row r="81" spans="5:28" s="345" customFormat="1">
      <c r="E81" s="1574" t="s">
        <v>1283</v>
      </c>
      <c r="F81" s="1593"/>
      <c r="G81" s="1575"/>
      <c r="H81" s="865">
        <f>IF(SUMIF($H$36:$AA$36,H$80,$H53:$AA53)=0,"",SUMIF($H$36:$AA$36,H$80,$H53:$AA53)/$AB$59)</f>
        <v>0.20099429530368892</v>
      </c>
      <c r="I81" s="866">
        <f t="shared" ref="I81:AA81" si="44">IF(SUMIF($H$36:$AA$36,I$80,$H53:$AA53)=0,"",SUMIF($H$36:$AA$36,I$80,$H53:$AA53)/$AB$59)</f>
        <v>0.52426349102688519</v>
      </c>
      <c r="J81" s="866">
        <f t="shared" si="44"/>
        <v>0.64281949155060325</v>
      </c>
      <c r="K81" s="866">
        <f t="shared" si="44"/>
        <v>0.37274010653527517</v>
      </c>
      <c r="L81" s="866">
        <f t="shared" si="44"/>
        <v>0.37404124119692594</v>
      </c>
      <c r="M81" s="866">
        <f t="shared" si="44"/>
        <v>0.67729643313109567</v>
      </c>
      <c r="N81" s="866">
        <f t="shared" si="44"/>
        <v>0.78114531887069871</v>
      </c>
      <c r="O81" s="866">
        <f t="shared" si="44"/>
        <v>0.89989926388371377</v>
      </c>
      <c r="P81" s="866">
        <f t="shared" si="44"/>
        <v>0.96623167896318274</v>
      </c>
      <c r="Q81" s="866">
        <f t="shared" si="44"/>
        <v>0.99949792126088832</v>
      </c>
      <c r="R81" s="866">
        <f t="shared" si="44"/>
        <v>0.94746203000445695</v>
      </c>
      <c r="S81" s="866">
        <f t="shared" si="44"/>
        <v>0.75061501685025656</v>
      </c>
      <c r="T81" s="866">
        <f t="shared" si="44"/>
        <v>0.55205702126604228</v>
      </c>
      <c r="U81" s="866">
        <f t="shared" si="44"/>
        <v>0.50209469877419566</v>
      </c>
      <c r="V81" s="866">
        <f t="shared" si="44"/>
        <v>0.56133913938333768</v>
      </c>
      <c r="W81" s="866">
        <f t="shared" si="44"/>
        <v>0.52242875199558059</v>
      </c>
      <c r="X81" s="866">
        <f t="shared" si="44"/>
        <v>0.41201203314175239</v>
      </c>
      <c r="Y81" s="866" t="str">
        <f t="shared" si="44"/>
        <v/>
      </c>
      <c r="Z81" s="866" t="str">
        <f t="shared" si="44"/>
        <v/>
      </c>
      <c r="AA81" s="867" t="str">
        <f t="shared" si="44"/>
        <v/>
      </c>
    </row>
    <row r="82" spans="5:28" s="345" customFormat="1" ht="13.5" thickBot="1">
      <c r="E82" s="1576" t="s">
        <v>1284</v>
      </c>
      <c r="F82" s="1594"/>
      <c r="G82" s="1577"/>
      <c r="H82" s="868">
        <f>IF(SUMIF($H$36:$AA$36,H$80,$H53:$AA53)=0,"",SUMIF($H$36:$AA$36,H$80,$H54:$AA54)/$AB$59)</f>
        <v>6.2278965240421827E-2</v>
      </c>
      <c r="I82" s="869">
        <f t="shared" ref="I82:AA82" si="45">IF(SUMIF($H$36:$AA$36,I$80,$H53:$AA53)=0,"",SUMIF($H$36:$AA$36,I$80,$H54:$AA54)/$AB$59)</f>
        <v>0</v>
      </c>
      <c r="J82" s="869">
        <f t="shared" si="45"/>
        <v>2.4918353947484526E-3</v>
      </c>
      <c r="K82" s="869">
        <f t="shared" si="45"/>
        <v>1.6901883750404134E-2</v>
      </c>
      <c r="L82" s="869">
        <f t="shared" si="45"/>
        <v>9.3025037303247154E-2</v>
      </c>
      <c r="M82" s="869">
        <f t="shared" si="45"/>
        <v>5.9764832695341288E-3</v>
      </c>
      <c r="N82" s="869">
        <f t="shared" si="45"/>
        <v>5.1430640829577788E-3</v>
      </c>
      <c r="O82" s="869">
        <f t="shared" si="45"/>
        <v>4.2781574819891754E-2</v>
      </c>
      <c r="P82" s="869">
        <f t="shared" si="45"/>
        <v>2.9744155227650966E-3</v>
      </c>
      <c r="Q82" s="869">
        <f t="shared" si="45"/>
        <v>2.7754874358341193E-3</v>
      </c>
      <c r="R82" s="869">
        <f t="shared" si="45"/>
        <v>2.0325276654433412E-3</v>
      </c>
      <c r="S82" s="869">
        <f t="shared" si="45"/>
        <v>0</v>
      </c>
      <c r="T82" s="869">
        <f t="shared" si="45"/>
        <v>0.1347232458194787</v>
      </c>
      <c r="U82" s="869">
        <f t="shared" si="45"/>
        <v>0</v>
      </c>
      <c r="V82" s="869">
        <f t="shared" si="45"/>
        <v>0.13085625504523432</v>
      </c>
      <c r="W82" s="869">
        <f t="shared" si="45"/>
        <v>0</v>
      </c>
      <c r="X82" s="869">
        <f t="shared" si="45"/>
        <v>5.8783300933563765E-2</v>
      </c>
      <c r="Y82" s="869" t="str">
        <f t="shared" si="45"/>
        <v/>
      </c>
      <c r="Z82" s="869" t="str">
        <f t="shared" si="45"/>
        <v/>
      </c>
      <c r="AA82" s="870" t="str">
        <f t="shared" si="45"/>
        <v/>
      </c>
    </row>
    <row r="83" spans="5:28" s="345" customFormat="1">
      <c r="F83" s="889"/>
      <c r="H83" s="871">
        <f t="shared" ref="H83:AA83" si="46">IF(H59="","",RANK(H36,$H$36:$AA$36,1))</f>
        <v>1</v>
      </c>
      <c r="I83" s="872">
        <f t="shared" si="46"/>
        <v>2</v>
      </c>
      <c r="J83" s="872">
        <f t="shared" si="46"/>
        <v>3</v>
      </c>
      <c r="K83" s="872">
        <f t="shared" si="46"/>
        <v>4</v>
      </c>
      <c r="L83" s="872">
        <f t="shared" si="46"/>
        <v>5</v>
      </c>
      <c r="M83" s="872">
        <f t="shared" si="46"/>
        <v>6</v>
      </c>
      <c r="N83" s="872">
        <f t="shared" si="46"/>
        <v>7</v>
      </c>
      <c r="O83" s="872">
        <f t="shared" si="46"/>
        <v>8</v>
      </c>
      <c r="P83" s="872">
        <f t="shared" si="46"/>
        <v>9</v>
      </c>
      <c r="Q83" s="872">
        <f t="shared" si="46"/>
        <v>10</v>
      </c>
      <c r="R83" s="872">
        <f t="shared" si="46"/>
        <v>11</v>
      </c>
      <c r="S83" s="872">
        <f t="shared" si="46"/>
        <v>12</v>
      </c>
      <c r="T83" s="872">
        <f t="shared" si="46"/>
        <v>13</v>
      </c>
      <c r="U83" s="872">
        <f t="shared" si="46"/>
        <v>14</v>
      </c>
      <c r="V83" s="872">
        <f t="shared" si="46"/>
        <v>15</v>
      </c>
      <c r="W83" s="872">
        <f t="shared" si="46"/>
        <v>16</v>
      </c>
      <c r="X83" s="872">
        <f t="shared" si="46"/>
        <v>17</v>
      </c>
      <c r="Y83" s="872">
        <f t="shared" si="46"/>
        <v>18</v>
      </c>
      <c r="Z83" s="872" t="str">
        <f t="shared" si="46"/>
        <v/>
      </c>
      <c r="AA83" s="873" t="str">
        <f t="shared" si="46"/>
        <v/>
      </c>
    </row>
    <row r="84" spans="5:28" s="345" customFormat="1" ht="13.5" thickBot="1">
      <c r="F84" s="889"/>
      <c r="H84" s="874">
        <f t="shared" ref="H84:AA84" si="47">IF(H83="","",RANK(H83,$H$83:$AA$83,1))</f>
        <v>1</v>
      </c>
      <c r="I84" s="875">
        <f t="shared" si="47"/>
        <v>2</v>
      </c>
      <c r="J84" s="875">
        <f t="shared" si="47"/>
        <v>3</v>
      </c>
      <c r="K84" s="875">
        <f t="shared" si="47"/>
        <v>4</v>
      </c>
      <c r="L84" s="875">
        <f t="shared" si="47"/>
        <v>5</v>
      </c>
      <c r="M84" s="875">
        <f t="shared" si="47"/>
        <v>6</v>
      </c>
      <c r="N84" s="875">
        <f t="shared" si="47"/>
        <v>7</v>
      </c>
      <c r="O84" s="875">
        <f t="shared" si="47"/>
        <v>8</v>
      </c>
      <c r="P84" s="875">
        <f t="shared" si="47"/>
        <v>9</v>
      </c>
      <c r="Q84" s="875">
        <f t="shared" si="47"/>
        <v>10</v>
      </c>
      <c r="R84" s="875">
        <f t="shared" si="47"/>
        <v>11</v>
      </c>
      <c r="S84" s="875">
        <f t="shared" si="47"/>
        <v>12</v>
      </c>
      <c r="T84" s="875">
        <f t="shared" si="47"/>
        <v>13</v>
      </c>
      <c r="U84" s="875">
        <f t="shared" si="47"/>
        <v>14</v>
      </c>
      <c r="V84" s="875">
        <f t="shared" si="47"/>
        <v>15</v>
      </c>
      <c r="W84" s="875">
        <f t="shared" si="47"/>
        <v>16</v>
      </c>
      <c r="X84" s="875">
        <f t="shared" si="47"/>
        <v>17</v>
      </c>
      <c r="Y84" s="875">
        <f t="shared" si="47"/>
        <v>18</v>
      </c>
      <c r="Z84" s="875" t="str">
        <f t="shared" si="47"/>
        <v/>
      </c>
      <c r="AA84" s="876" t="str">
        <f t="shared" si="47"/>
        <v/>
      </c>
    </row>
    <row r="85" spans="5:28" s="345" customFormat="1" ht="13.5" thickBot="1">
      <c r="E85" s="1605" t="s">
        <v>1281</v>
      </c>
      <c r="F85" s="1606"/>
      <c r="G85" s="1607"/>
      <c r="H85" s="877">
        <f>IF(SUMIF($H$84:$AA$84,H$67,$H$36:$AA$36)=0,"",SUMIF($H$84:$AA$84,H$67,$H$36:$AA$36))</f>
        <v>5.3605555861977985</v>
      </c>
      <c r="I85" s="878">
        <f>IF(SUMIF($H$84:$AA$84,I$67,$H$36:$AA$36)=0,"",SUMIF($H$84:$AA$84,I$67,$H$36:$AA$36))</f>
        <v>10</v>
      </c>
      <c r="J85" s="878">
        <f t="shared" ref="J85:AA85" si="48">IF(SUMIF($H$84:$AA$84,J$67,$H$36:$AA$36)=0,"",SUMIF($H$84:$AA$84,J$67,$H$36:$AA$36))</f>
        <v>20</v>
      </c>
      <c r="K85" s="878">
        <f t="shared" si="48"/>
        <v>26.922669813782981</v>
      </c>
      <c r="L85" s="878">
        <f t="shared" si="48"/>
        <v>28.402760758696882</v>
      </c>
      <c r="M85" s="878">
        <f t="shared" si="48"/>
        <v>30</v>
      </c>
      <c r="N85" s="878">
        <f t="shared" si="48"/>
        <v>40</v>
      </c>
      <c r="O85" s="878">
        <f t="shared" si="48"/>
        <v>50</v>
      </c>
      <c r="P85" s="878">
        <f t="shared" si="48"/>
        <v>60</v>
      </c>
      <c r="Q85" s="878">
        <f t="shared" si="48"/>
        <v>70</v>
      </c>
      <c r="R85" s="878">
        <f t="shared" si="48"/>
        <v>80</v>
      </c>
      <c r="S85" s="878">
        <f t="shared" si="48"/>
        <v>90</v>
      </c>
      <c r="T85" s="878">
        <f t="shared" si="48"/>
        <v>97.736572490101764</v>
      </c>
      <c r="U85" s="878">
        <f t="shared" si="48"/>
        <v>98.474693898206965</v>
      </c>
      <c r="V85" s="878">
        <f t="shared" si="48"/>
        <v>99.115172061249353</v>
      </c>
      <c r="W85" s="878">
        <f t="shared" si="48"/>
        <v>99.665653482478291</v>
      </c>
      <c r="X85" s="878">
        <f t="shared" si="48"/>
        <v>99.951573567634654</v>
      </c>
      <c r="Y85" s="878">
        <f t="shared" si="48"/>
        <v>100</v>
      </c>
      <c r="Z85" s="878" t="str">
        <f t="shared" si="48"/>
        <v/>
      </c>
      <c r="AA85" s="879" t="str">
        <f t="shared" si="48"/>
        <v/>
      </c>
    </row>
    <row r="86" spans="5:28" s="345" customFormat="1">
      <c r="E86" s="1574" t="s">
        <v>1283</v>
      </c>
      <c r="F86" s="1593"/>
      <c r="G86" s="1575"/>
      <c r="H86" s="880">
        <f>IF(SUMIF($H$36:$AA$36,H$85,$H59:$AA59)=0,"",SUMIF($H$36:$AA$36,H$85,$H59:$AA59)/$AB$59)</f>
        <v>0.2024729273868385</v>
      </c>
      <c r="I86" s="881">
        <f t="shared" ref="I86:AA86" si="49">IF(SUMIF($H$36:$AA$36,I$85,$H59:$AA59)=0,"",SUMIF($H$36:$AA$36,I$85,$H59:$AA59)/$AB$59)</f>
        <v>0.52744327374227051</v>
      </c>
      <c r="J86" s="881">
        <f t="shared" si="49"/>
        <v>0.64474114696268459</v>
      </c>
      <c r="K86" s="881">
        <f t="shared" si="49"/>
        <v>0.34078263144217608</v>
      </c>
      <c r="L86" s="881">
        <f t="shared" si="49"/>
        <v>0.3734054239992538</v>
      </c>
      <c r="M86" s="881">
        <f t="shared" si="49"/>
        <v>0.68187915575935398</v>
      </c>
      <c r="N86" s="881">
        <f t="shared" si="49"/>
        <v>0.78162731566514243</v>
      </c>
      <c r="O86" s="881">
        <f t="shared" si="49"/>
        <v>0.89155594950570005</v>
      </c>
      <c r="P86" s="881">
        <f t="shared" si="49"/>
        <v>0.96677694123264091</v>
      </c>
      <c r="Q86" s="881">
        <f t="shared" si="49"/>
        <v>1</v>
      </c>
      <c r="R86" s="881">
        <f t="shared" si="49"/>
        <v>0.94699217718002382</v>
      </c>
      <c r="S86" s="881">
        <f t="shared" si="49"/>
        <v>0.75175762452766159</v>
      </c>
      <c r="T86" s="881">
        <f t="shared" si="49"/>
        <v>0.53643812476286767</v>
      </c>
      <c r="U86" s="881">
        <f t="shared" si="49"/>
        <v>0.50651509038857168</v>
      </c>
      <c r="V86" s="881">
        <f t="shared" si="49"/>
        <v>0.4944241374353272</v>
      </c>
      <c r="W86" s="881">
        <f t="shared" si="49"/>
        <v>0.44535553384278098</v>
      </c>
      <c r="X86" s="881">
        <f t="shared" si="49"/>
        <v>0.43826088293752108</v>
      </c>
      <c r="Y86" s="881">
        <f t="shared" si="49"/>
        <v>0.47499058617664147</v>
      </c>
      <c r="Z86" s="881" t="str">
        <f t="shared" si="49"/>
        <v/>
      </c>
      <c r="AA86" s="882" t="str">
        <f t="shared" si="49"/>
        <v/>
      </c>
      <c r="AB86" s="851">
        <v>1</v>
      </c>
    </row>
    <row r="87" spans="5:28" s="345" customFormat="1" ht="13.5" thickBot="1">
      <c r="E87" s="1576" t="s">
        <v>1284</v>
      </c>
      <c r="F87" s="1594"/>
      <c r="G87" s="1577"/>
      <c r="H87" s="883">
        <f>IF(SUMIF($H$36:$AA$36,H$85,$H59:$AA59)=0,"",SUMIF($H$36:$AA$36,H$85,$H60:$AA60)/$AB$59)</f>
        <v>7.2549239117210645E-2</v>
      </c>
      <c r="I87" s="884">
        <f t="shared" ref="I87:AA87" si="50">IF(SUMIF($H$36:$AA$36,I$85,$H59:$AA59)=0,"",SUMIF($H$36:$AA$36,I$85,$H60:$AA60)/$AB$59)</f>
        <v>3.1989666682541982E-3</v>
      </c>
      <c r="J87" s="884">
        <f t="shared" si="50"/>
        <v>3.891689485432474E-3</v>
      </c>
      <c r="K87" s="884">
        <f t="shared" si="50"/>
        <v>5.2226089101028425E-2</v>
      </c>
      <c r="L87" s="884">
        <f t="shared" si="50"/>
        <v>5.9408704755158054E-2</v>
      </c>
      <c r="M87" s="884">
        <f t="shared" si="50"/>
        <v>1.1206142135119905E-2</v>
      </c>
      <c r="N87" s="884">
        <f t="shared" si="50"/>
        <v>6.222160457392851E-3</v>
      </c>
      <c r="O87" s="884">
        <f t="shared" si="50"/>
        <v>2.5255442647204616E-2</v>
      </c>
      <c r="P87" s="884">
        <f t="shared" si="50"/>
        <v>3.0941502589007419E-3</v>
      </c>
      <c r="Q87" s="884">
        <f t="shared" si="50"/>
        <v>2.1783667519555431E-3</v>
      </c>
      <c r="R87" s="884">
        <f t="shared" si="50"/>
        <v>2.3909160456668842E-3</v>
      </c>
      <c r="S87" s="884">
        <f t="shared" si="50"/>
        <v>1.5113392708180624E-3</v>
      </c>
      <c r="T87" s="884">
        <f t="shared" si="50"/>
        <v>0.11770374257491059</v>
      </c>
      <c r="U87" s="884">
        <f t="shared" si="50"/>
        <v>0.13655802680325807</v>
      </c>
      <c r="V87" s="884">
        <f t="shared" si="50"/>
        <v>0.1385605264689827</v>
      </c>
      <c r="W87" s="884">
        <f t="shared" si="50"/>
        <v>0.1089817045791867</v>
      </c>
      <c r="X87" s="884">
        <f t="shared" si="50"/>
        <v>8.0342942459178585E-2</v>
      </c>
      <c r="Y87" s="884">
        <f t="shared" si="50"/>
        <v>0.20507549404361355</v>
      </c>
      <c r="Z87" s="884" t="str">
        <f t="shared" si="50"/>
        <v/>
      </c>
      <c r="AA87" s="885" t="str">
        <f t="shared" si="50"/>
        <v/>
      </c>
    </row>
    <row r="88" spans="5:28" s="345" customFormat="1">
      <c r="F88" s="889"/>
      <c r="R88" s="694"/>
    </row>
    <row r="89" spans="5:28" s="345" customFormat="1">
      <c r="F89" s="889"/>
      <c r="R89" s="694"/>
    </row>
    <row r="90" spans="5:28" s="345" customFormat="1">
      <c r="R90" s="694"/>
    </row>
    <row r="91" spans="5:28" s="345" customFormat="1">
      <c r="R91" s="694"/>
    </row>
    <row r="92" spans="5:28" s="345" customFormat="1">
      <c r="R92" s="694"/>
    </row>
    <row r="93" spans="5:28" s="345" customFormat="1">
      <c r="R93" s="694"/>
    </row>
    <row r="94" spans="5:28" s="345" customFormat="1">
      <c r="R94" s="694"/>
    </row>
    <row r="95" spans="5:28" s="345" customFormat="1">
      <c r="R95" s="694"/>
    </row>
    <row r="96" spans="5:28" s="345" customFormat="1">
      <c r="R96" s="694"/>
    </row>
    <row r="97" spans="18:18" s="345" customFormat="1">
      <c r="R97" s="694"/>
    </row>
    <row r="98" spans="18:18" s="345" customFormat="1">
      <c r="R98" s="694"/>
    </row>
    <row r="99" spans="18:18" s="345" customFormat="1">
      <c r="R99" s="694"/>
    </row>
    <row r="100" spans="18:18" s="345" customFormat="1">
      <c r="R100" s="694"/>
    </row>
    <row r="101" spans="18:18" s="345" customFormat="1">
      <c r="R101" s="694"/>
    </row>
    <row r="102" spans="18:18" s="345" customFormat="1">
      <c r="R102" s="694"/>
    </row>
    <row r="103" spans="18:18" s="345" customFormat="1">
      <c r="R103" s="694"/>
    </row>
    <row r="104" spans="18:18" s="345" customFormat="1">
      <c r="R104" s="694"/>
    </row>
    <row r="105" spans="18:18" s="345" customFormat="1">
      <c r="R105" s="694"/>
    </row>
    <row r="106" spans="18:18" s="345" customFormat="1">
      <c r="R106" s="694"/>
    </row>
    <row r="107" spans="18:18" s="345" customFormat="1">
      <c r="R107" s="694"/>
    </row>
    <row r="108" spans="18:18" s="345" customFormat="1">
      <c r="R108" s="694"/>
    </row>
    <row r="109" spans="18:18" s="345" customFormat="1">
      <c r="R109" s="694"/>
    </row>
    <row r="110" spans="18:18" s="345" customFormat="1">
      <c r="R110" s="694"/>
    </row>
    <row r="111" spans="18:18" s="345" customFormat="1">
      <c r="R111" s="694"/>
    </row>
    <row r="112" spans="18:18" s="345" customFormat="1">
      <c r="R112" s="694"/>
    </row>
    <row r="113" spans="18:18" s="345" customFormat="1">
      <c r="R113" s="694"/>
    </row>
    <row r="114" spans="18:18" s="345" customFormat="1">
      <c r="R114" s="694"/>
    </row>
    <row r="115" spans="18:18" s="345" customFormat="1">
      <c r="R115" s="694"/>
    </row>
    <row r="116" spans="18:18" s="345" customFormat="1">
      <c r="R116" s="694"/>
    </row>
    <row r="117" spans="18:18" s="345" customFormat="1">
      <c r="R117" s="694"/>
    </row>
    <row r="118" spans="18:18" s="345" customFormat="1">
      <c r="R118" s="694"/>
    </row>
    <row r="119" spans="18:18" s="345" customFormat="1">
      <c r="R119" s="694"/>
    </row>
    <row r="120" spans="18:18" s="345" customFormat="1">
      <c r="R120" s="694"/>
    </row>
    <row r="121" spans="18:18" s="345" customFormat="1">
      <c r="R121" s="694"/>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1" stopIfTrue="1" operator="equal">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T120"/>
  <sheetViews>
    <sheetView topLeftCell="M1" workbookViewId="0">
      <selection activeCell="AJ60" sqref="AJ60"/>
    </sheetView>
  </sheetViews>
  <sheetFormatPr baseColWidth="10" defaultRowHeight="12.75"/>
  <sheetData>
    <row r="1" spans="2:46" s="345" customFormat="1" ht="18">
      <c r="B1" s="446"/>
      <c r="C1" s="1319" t="s">
        <v>1101</v>
      </c>
      <c r="D1" s="1319"/>
      <c r="K1" s="1320">
        <f>IF('Stipe=phyllotaxie&amp;croissance'!E9&gt;0,'Stipe=phyllotaxie&amp;croissance'!E9,"")</f>
        <v>40826</v>
      </c>
      <c r="L1" s="1320"/>
      <c r="M1" s="975"/>
      <c r="N1" s="1228" t="s">
        <v>1101</v>
      </c>
      <c r="O1" s="1228"/>
      <c r="V1" s="1249" t="str">
        <f>IF('Stipe=phyllotaxie&amp;croissance'!P9&gt;0,'Stipe=phyllotaxie&amp;croissance'!P9,"")</f>
        <v/>
      </c>
      <c r="W1" s="1249"/>
      <c r="Z1" s="1228" t="s">
        <v>1101</v>
      </c>
      <c r="AA1" s="1228"/>
      <c r="AH1" s="1249" t="str">
        <f>IF('Stipe=phyllotaxie&amp;croissance'!AG9&gt;0,'Stipe=phyllotaxie&amp;croissance'!AG9,"")</f>
        <v/>
      </c>
      <c r="AI1" s="1249"/>
    </row>
    <row r="2" spans="2:46" s="345" customFormat="1" ht="18">
      <c r="B2" s="974"/>
      <c r="C2" s="974"/>
      <c r="N2" s="974"/>
      <c r="O2" s="974"/>
      <c r="Z2" s="974"/>
      <c r="AA2" s="974"/>
    </row>
    <row r="3" spans="2:46" s="345" customFormat="1" ht="15.75">
      <c r="C3" s="1323" t="s">
        <v>1102</v>
      </c>
      <c r="D3" s="1323"/>
      <c r="E3" s="1323"/>
      <c r="F3" s="1322" t="str">
        <f>IF('Stipe=phyllotaxie&amp;croissance'!$E$11&gt;0,'Stipe=phyllotaxie&amp;croissance'!$E$11,"")</f>
        <v>Rochdi</v>
      </c>
      <c r="G3" s="1322"/>
      <c r="H3" s="575"/>
      <c r="I3" s="575"/>
      <c r="J3" s="1323" t="s">
        <v>1103</v>
      </c>
      <c r="K3" s="1323"/>
      <c r="L3" s="977" t="str">
        <f>IF('Stipe=phyllotaxie&amp;croissance'!$E$10&gt;0,'Stipe=phyllotaxie&amp;croissance'!$E$10,"")</f>
        <v>01</v>
      </c>
      <c r="M3" s="575"/>
      <c r="N3" s="1321" t="s">
        <v>1102</v>
      </c>
      <c r="O3" s="1321"/>
      <c r="P3" s="1321"/>
      <c r="Q3" s="1322" t="str">
        <f>IF('Stipe=phyllotaxie&amp;croissance'!$E$11&gt;0,'Stipe=phyllotaxie&amp;croissance'!$E$11,"")</f>
        <v>Rochdi</v>
      </c>
      <c r="R3" s="1322"/>
      <c r="S3" s="977"/>
      <c r="T3" s="1323" t="s">
        <v>1103</v>
      </c>
      <c r="U3" s="1323"/>
      <c r="V3" s="1323"/>
      <c r="W3" s="977" t="str">
        <f>IF('Stipe=phyllotaxie&amp;croissance'!$E$10&gt;0,'Stipe=phyllotaxie&amp;croissance'!$E$10,"")</f>
        <v>01</v>
      </c>
      <c r="Z3" s="1321" t="s">
        <v>1102</v>
      </c>
      <c r="AA3" s="1321"/>
      <c r="AB3" s="1321"/>
      <c r="AC3" s="1322" t="str">
        <f>IF('Stipe=phyllotaxie&amp;croissance'!$E$11&gt;0,'Stipe=phyllotaxie&amp;croissance'!$E$11,"")</f>
        <v>Rochdi</v>
      </c>
      <c r="AD3" s="1322"/>
      <c r="AE3" s="977"/>
      <c r="AF3" s="1323" t="s">
        <v>1103</v>
      </c>
      <c r="AG3" s="1323"/>
      <c r="AH3" s="1323"/>
      <c r="AI3" s="977" t="str">
        <f>IF('Stipe=phyllotaxie&amp;croissance'!$E$10&gt;0,'Stipe=phyllotaxie&amp;croissance'!$E$10,"")</f>
        <v>01</v>
      </c>
    </row>
    <row r="4" spans="2:46" s="345" customFormat="1" ht="18">
      <c r="B4" s="974"/>
      <c r="C4" s="974"/>
      <c r="N4" s="974"/>
      <c r="O4" s="974"/>
      <c r="Z4" s="974"/>
      <c r="AA4" s="974"/>
    </row>
    <row r="5" spans="2:46" s="345" customFormat="1" ht="18">
      <c r="B5" s="1319" t="s">
        <v>1368</v>
      </c>
      <c r="C5" s="1319"/>
      <c r="D5" s="1319"/>
      <c r="E5" s="1319"/>
      <c r="F5" s="1319"/>
      <c r="G5" s="1319"/>
      <c r="H5" s="1319"/>
      <c r="I5" s="1319"/>
      <c r="J5" s="1319"/>
      <c r="K5" s="1319"/>
      <c r="L5" s="1319"/>
      <c r="M5" s="976"/>
      <c r="N5" s="1319" t="s">
        <v>1369</v>
      </c>
      <c r="O5" s="1319"/>
      <c r="P5" s="1319"/>
      <c r="Q5" s="1319"/>
      <c r="R5" s="1319"/>
      <c r="S5" s="1319"/>
      <c r="T5" s="1319"/>
      <c r="U5" s="1319"/>
      <c r="V5" s="1319"/>
      <c r="W5" s="1319"/>
      <c r="Z5" s="1319" t="s">
        <v>1370</v>
      </c>
      <c r="AA5" s="1319"/>
      <c r="AB5" s="1319"/>
      <c r="AC5" s="1319"/>
      <c r="AD5" s="1319"/>
      <c r="AE5" s="1319"/>
      <c r="AF5" s="1319"/>
      <c r="AG5" s="1319"/>
      <c r="AH5" s="1319"/>
      <c r="AI5" s="1319"/>
    </row>
    <row r="6" spans="2:46" s="345" customFormat="1" ht="13.5" thickBot="1"/>
    <row r="7" spans="2:46" s="345" customFormat="1" ht="15.75" thickBot="1">
      <c r="C7" s="1496" t="s">
        <v>1229</v>
      </c>
      <c r="D7" s="1497"/>
      <c r="E7" s="1004">
        <f>IF('Folioles=disposition&amp;groupes'!$D$7&gt;0,'Folioles=disposition&amp;groupes'!$D$7,"")</f>
        <v>57</v>
      </c>
      <c r="F7" s="578"/>
      <c r="G7" s="578"/>
      <c r="H7" s="578"/>
      <c r="I7" s="578"/>
      <c r="J7" s="377"/>
      <c r="K7" s="377"/>
      <c r="O7" s="1496" t="s">
        <v>1229</v>
      </c>
      <c r="P7" s="1497"/>
      <c r="Q7" s="1004">
        <f>IF('Folioles=disposition&amp;groupes'!$D$7&gt;0,'Folioles=disposition&amp;groupes'!$D$7,"")</f>
        <v>57</v>
      </c>
      <c r="R7" s="578"/>
      <c r="S7" s="578"/>
      <c r="T7" s="377"/>
      <c r="U7" s="377"/>
      <c r="V7" s="377"/>
      <c r="AA7" s="1496" t="s">
        <v>1229</v>
      </c>
      <c r="AB7" s="1497"/>
      <c r="AC7" s="1004">
        <f>IF('Folioles=disposition&amp;groupes'!$D$7&gt;0,'Folioles=disposition&amp;groupes'!$D$7,"")</f>
        <v>57</v>
      </c>
      <c r="AD7" s="578"/>
      <c r="AE7" s="578"/>
      <c r="AF7" s="377"/>
      <c r="AG7" s="377"/>
      <c r="AH7" s="377"/>
    </row>
    <row r="8" spans="2:46" s="345" customFormat="1" ht="12.75" customHeight="1" thickBot="1">
      <c r="C8" s="981"/>
      <c r="D8" s="981"/>
      <c r="E8" s="581"/>
      <c r="F8" s="581"/>
      <c r="G8" s="581"/>
      <c r="H8" s="581"/>
      <c r="I8" s="581"/>
      <c r="O8" s="981"/>
      <c r="P8" s="981"/>
      <c r="Q8" s="581"/>
      <c r="R8" s="581"/>
      <c r="S8" s="581"/>
      <c r="AA8" s="981"/>
      <c r="AB8" s="981"/>
      <c r="AC8" s="581"/>
      <c r="AD8" s="581"/>
      <c r="AE8" s="581"/>
    </row>
    <row r="9" spans="2:46" s="345" customFormat="1" ht="15.75" customHeight="1" thickBot="1">
      <c r="C9" s="1005" t="s">
        <v>1303</v>
      </c>
      <c r="D9" s="1006"/>
      <c r="E9" s="1007"/>
      <c r="F9" s="1008"/>
      <c r="G9" s="578"/>
      <c r="H9" s="578"/>
      <c r="I9" s="578"/>
      <c r="O9" s="582"/>
      <c r="P9" s="582"/>
      <c r="Q9" s="582"/>
      <c r="R9" s="578"/>
      <c r="S9" s="578"/>
      <c r="AA9" s="582"/>
      <c r="AB9" s="582"/>
      <c r="AC9" s="582"/>
      <c r="AD9" s="578"/>
      <c r="AE9" s="578"/>
    </row>
    <row r="10" spans="2:46" s="345" customFormat="1" ht="12.75" customHeight="1">
      <c r="C10" s="981"/>
      <c r="D10" s="981"/>
      <c r="E10" s="581"/>
      <c r="F10" s="581"/>
      <c r="G10" s="581"/>
      <c r="H10" s="581"/>
      <c r="I10" s="581"/>
    </row>
    <row r="11" spans="2:46" s="1009" customFormat="1" ht="28.5" customHeight="1" thickBot="1">
      <c r="C11" s="1616" t="s">
        <v>1304</v>
      </c>
      <c r="D11" s="1616"/>
      <c r="E11" s="1616"/>
      <c r="F11" s="1616"/>
      <c r="G11" s="1616"/>
      <c r="H11" s="1616"/>
      <c r="I11" s="1616"/>
      <c r="J11" s="1616"/>
      <c r="K11" s="1616"/>
      <c r="O11" s="1616" t="s">
        <v>1305</v>
      </c>
      <c r="P11" s="1616"/>
      <c r="Q11" s="1616"/>
      <c r="R11" s="1616"/>
      <c r="S11" s="1616"/>
      <c r="T11" s="1616"/>
      <c r="U11" s="1616"/>
      <c r="V11" s="1616"/>
      <c r="W11" s="1616"/>
      <c r="AA11" s="1616" t="s">
        <v>1306</v>
      </c>
      <c r="AB11" s="1616"/>
      <c r="AC11" s="1616"/>
      <c r="AD11" s="1616"/>
      <c r="AE11" s="1616"/>
      <c r="AF11" s="1616"/>
      <c r="AG11" s="1616"/>
      <c r="AH11" s="1616"/>
      <c r="AI11" s="1616"/>
      <c r="AJ11" s="1616"/>
    </row>
    <row r="12" spans="2:46" s="345" customFormat="1" ht="15.75" customHeight="1" thickBot="1">
      <c r="C12" s="1515" t="s">
        <v>1234</v>
      </c>
      <c r="D12" s="1498" t="s">
        <v>1205</v>
      </c>
      <c r="E12" s="1499"/>
      <c r="F12" s="1499"/>
      <c r="G12" s="1500"/>
      <c r="H12" s="981"/>
      <c r="I12" s="1498" t="s">
        <v>1206</v>
      </c>
      <c r="J12" s="1499"/>
      <c r="K12" s="1499"/>
      <c r="L12" s="1500"/>
      <c r="O12" s="1515" t="s">
        <v>1234</v>
      </c>
      <c r="P12" s="1498" t="s">
        <v>1205</v>
      </c>
      <c r="Q12" s="1499"/>
      <c r="R12" s="1499"/>
      <c r="S12" s="1500"/>
      <c r="T12" s="981"/>
      <c r="U12" s="1498" t="s">
        <v>1206</v>
      </c>
      <c r="V12" s="1499"/>
      <c r="W12" s="1499"/>
      <c r="X12" s="1500"/>
      <c r="AA12" s="1515" t="s">
        <v>1234</v>
      </c>
      <c r="AB12" s="1498" t="s">
        <v>1205</v>
      </c>
      <c r="AC12" s="1499"/>
      <c r="AD12" s="1499"/>
      <c r="AE12" s="1500"/>
      <c r="AF12" s="981"/>
      <c r="AG12" s="1498" t="s">
        <v>1206</v>
      </c>
      <c r="AH12" s="1499"/>
      <c r="AI12" s="1499"/>
      <c r="AJ12" s="1500"/>
    </row>
    <row r="13" spans="2:46" s="345" customFormat="1" ht="17.25" customHeight="1" thickBot="1">
      <c r="C13" s="1617"/>
      <c r="D13" s="584" t="s">
        <v>1239</v>
      </c>
      <c r="E13" s="585" t="s">
        <v>1240</v>
      </c>
      <c r="F13" s="585" t="s">
        <v>1240</v>
      </c>
      <c r="G13" s="586" t="s">
        <v>1241</v>
      </c>
      <c r="H13" s="587"/>
      <c r="I13" s="584" t="s">
        <v>1239</v>
      </c>
      <c r="J13" s="585" t="s">
        <v>1240</v>
      </c>
      <c r="K13" s="585" t="s">
        <v>1240</v>
      </c>
      <c r="L13" s="586" t="s">
        <v>1241</v>
      </c>
      <c r="O13" s="1617"/>
      <c r="P13" s="584" t="s">
        <v>1239</v>
      </c>
      <c r="Q13" s="585" t="s">
        <v>1240</v>
      </c>
      <c r="R13" s="585" t="s">
        <v>1240</v>
      </c>
      <c r="S13" s="586" t="s">
        <v>1241</v>
      </c>
      <c r="T13" s="587"/>
      <c r="U13" s="584" t="s">
        <v>1239</v>
      </c>
      <c r="V13" s="585" t="s">
        <v>1240</v>
      </c>
      <c r="W13" s="585" t="s">
        <v>1240</v>
      </c>
      <c r="X13" s="586" t="s">
        <v>1241</v>
      </c>
      <c r="AA13" s="1617"/>
      <c r="AB13" s="584" t="s">
        <v>1239</v>
      </c>
      <c r="AC13" s="585" t="s">
        <v>1240</v>
      </c>
      <c r="AD13" s="585" t="s">
        <v>1240</v>
      </c>
      <c r="AE13" s="586" t="s">
        <v>1241</v>
      </c>
      <c r="AF13" s="587"/>
      <c r="AG13" s="584" t="s">
        <v>1239</v>
      </c>
      <c r="AH13" s="585" t="s">
        <v>1240</v>
      </c>
      <c r="AI13" s="585" t="s">
        <v>1240</v>
      </c>
      <c r="AJ13" s="586" t="s">
        <v>1241</v>
      </c>
    </row>
    <row r="14" spans="2:46" s="345" customFormat="1" ht="12.75" customHeight="1">
      <c r="B14" s="595" t="s">
        <v>1243</v>
      </c>
      <c r="C14" s="890">
        <f>IF('Sections rachis &amp; L pennes'!Q13="","",'Sections rachis &amp; L pennes'!Q13)</f>
        <v>5.15970515970516</v>
      </c>
      <c r="D14" s="598"/>
      <c r="E14" s="598"/>
      <c r="F14" s="598"/>
      <c r="G14" s="598">
        <v>51.5</v>
      </c>
      <c r="H14" s="890">
        <f>IF('Sections rachis &amp; L pennes'!V13="","",'Sections rachis &amp; L pennes'!V13)</f>
        <v>5.4054054054054053</v>
      </c>
      <c r="I14" s="597"/>
      <c r="J14" s="598"/>
      <c r="K14" s="893"/>
      <c r="L14" s="599">
        <v>20.5</v>
      </c>
      <c r="N14" s="595" t="s">
        <v>1243</v>
      </c>
      <c r="O14" s="890">
        <f>C14</f>
        <v>5.15970515970516</v>
      </c>
      <c r="P14" s="1010" t="str">
        <f>IF(AB14="","",$Q$79*(90-AB14)+$V$79)</f>
        <v/>
      </c>
      <c r="Q14" s="1011" t="str">
        <f t="shared" ref="Q14:Q32" si="0">IF(AC14="","",$Q$79*(90-AC14)+$V$79)</f>
        <v/>
      </c>
      <c r="R14" s="1011" t="str">
        <f t="shared" ref="R14:R32" si="1">IF(AD14="","",$Q$79*(90-AD14)+$V$79)</f>
        <v/>
      </c>
      <c r="S14" s="1011">
        <f t="shared" ref="S14:S32" si="2">IF(AE14="","",$Q$79*(90-AE14)+$V$79)</f>
        <v>14.294185173796306</v>
      </c>
      <c r="T14" s="890">
        <f>H14</f>
        <v>5.4054054054054053</v>
      </c>
      <c r="U14" s="1010" t="str">
        <f>IF(AG14="","",$Q$79*(90-AG14)+$V$79)</f>
        <v/>
      </c>
      <c r="V14" s="1011" t="str">
        <f t="shared" ref="V14:V32" si="3">IF(AH14="","",$Q$79*(90-AH14)+$V$79)</f>
        <v/>
      </c>
      <c r="W14" s="1011" t="str">
        <f t="shared" ref="W14:W32" si="4">IF(AI14="","",$Q$79*(90-AI14)+$V$79)</f>
        <v/>
      </c>
      <c r="X14" s="1011">
        <f t="shared" ref="X14:X32" si="5">IF(AJ14="","",$Q$79*(90-AJ14)+$V$79)</f>
        <v>34.048456662062833</v>
      </c>
      <c r="Y14" s="762"/>
      <c r="Z14" s="595" t="s">
        <v>1243</v>
      </c>
      <c r="AA14" s="890">
        <f>C14</f>
        <v>5.15970515970516</v>
      </c>
      <c r="AB14" s="598"/>
      <c r="AC14" s="598"/>
      <c r="AD14" s="598"/>
      <c r="AE14" s="598">
        <v>111</v>
      </c>
      <c r="AF14" s="890">
        <f>H14</f>
        <v>5.4054054054054053</v>
      </c>
      <c r="AG14" s="597"/>
      <c r="AH14" s="598"/>
      <c r="AI14" s="893"/>
      <c r="AJ14" s="599">
        <v>45</v>
      </c>
      <c r="AK14" s="770"/>
      <c r="AL14" s="656" t="str">
        <f>IF(AB14="","",90-AB14)</f>
        <v/>
      </c>
      <c r="AM14" s="656" t="str">
        <f t="shared" ref="AM14:AO14" si="6">IF(AC14="","",90-AC14)</f>
        <v/>
      </c>
      <c r="AN14" s="656" t="str">
        <f t="shared" si="6"/>
        <v/>
      </c>
      <c r="AO14" s="656">
        <f t="shared" si="6"/>
        <v>-21</v>
      </c>
      <c r="AQ14" s="656" t="str">
        <f>IF(AG14="","",90-AG14)</f>
        <v/>
      </c>
      <c r="AR14" s="656" t="str">
        <f t="shared" ref="AR14:AR32" si="7">IF(AH14="","",90-AH14)</f>
        <v/>
      </c>
      <c r="AS14" s="656" t="str">
        <f t="shared" ref="AS14:AS32" si="8">IF(AI14="","",90-AI14)</f>
        <v/>
      </c>
      <c r="AT14" s="656">
        <f t="shared" ref="AT14:AT32" si="9">IF(AJ14="","",90-AJ14)</f>
        <v>45</v>
      </c>
    </row>
    <row r="15" spans="2:46" s="345" customFormat="1" ht="12.75" customHeight="1">
      <c r="B15" s="609" t="s">
        <v>1244</v>
      </c>
      <c r="C15" s="894">
        <f>IF('Sections rachis &amp; L pennes'!Q14="","",'Sections rachis &amp; L pennes'!Q14)</f>
        <v>27.346437346437348</v>
      </c>
      <c r="D15" s="612"/>
      <c r="E15" s="612"/>
      <c r="F15" s="612"/>
      <c r="G15" s="612">
        <v>15.7</v>
      </c>
      <c r="H15" s="894">
        <f>IF('Sections rachis &amp; L pennes'!V14="","",'Sections rachis &amp; L pennes'!V14)</f>
        <v>28.157248157248159</v>
      </c>
      <c r="I15" s="611">
        <v>7.7</v>
      </c>
      <c r="J15" s="612"/>
      <c r="K15" s="615"/>
      <c r="L15" s="613"/>
      <c r="N15" s="609" t="s">
        <v>1244</v>
      </c>
      <c r="O15" s="894">
        <f>C15</f>
        <v>27.346437346437348</v>
      </c>
      <c r="P15" s="1012" t="str">
        <f t="shared" ref="P15:P32" si="10">IF(AB15="","",$Q$79*(90-AB15)+$V$79)</f>
        <v/>
      </c>
      <c r="Q15" s="1013" t="str">
        <f t="shared" si="0"/>
        <v/>
      </c>
      <c r="R15" s="1013" t="str">
        <f t="shared" si="1"/>
        <v/>
      </c>
      <c r="S15" s="1013">
        <f t="shared" si="2"/>
        <v>6.5421301503705021</v>
      </c>
      <c r="T15" s="894">
        <f>H15</f>
        <v>28.157248157248159</v>
      </c>
      <c r="U15" s="1012">
        <f t="shared" ref="U15:U32" si="11">IF(AG15="","",$Q$79*(90-AG15)+$V$79)</f>
        <v>40.154322394799756</v>
      </c>
      <c r="V15" s="1013" t="str">
        <f t="shared" si="3"/>
        <v/>
      </c>
      <c r="W15" s="1013" t="str">
        <f t="shared" si="4"/>
        <v/>
      </c>
      <c r="X15" s="1013" t="str">
        <f t="shared" si="5"/>
        <v/>
      </c>
      <c r="Y15" s="762"/>
      <c r="Z15" s="609" t="s">
        <v>1244</v>
      </c>
      <c r="AA15" s="894">
        <f>C15</f>
        <v>27.346437346437348</v>
      </c>
      <c r="AB15" s="612"/>
      <c r="AC15" s="612"/>
      <c r="AD15" s="612"/>
      <c r="AE15" s="612">
        <v>136.9</v>
      </c>
      <c r="AF15" s="894">
        <f>H15</f>
        <v>28.157248157248159</v>
      </c>
      <c r="AG15" s="611">
        <v>24.6</v>
      </c>
      <c r="AH15" s="612"/>
      <c r="AI15" s="615"/>
      <c r="AJ15" s="613"/>
      <c r="AK15" s="770"/>
      <c r="AL15" s="656" t="str">
        <f t="shared" ref="AL15:AL32" si="12">IF(AB15="","",90-AB15)</f>
        <v/>
      </c>
      <c r="AM15" s="656" t="str">
        <f t="shared" ref="AM15:AM32" si="13">IF(AC15="","",90-AC15)</f>
        <v/>
      </c>
      <c r="AN15" s="656" t="str">
        <f t="shared" ref="AN15:AN32" si="14">IF(AD15="","",90-AD15)</f>
        <v/>
      </c>
      <c r="AO15" s="656">
        <f t="shared" ref="AO15:AO32" si="15">IF(AE15="","",90-AE15)</f>
        <v>-46.900000000000006</v>
      </c>
      <c r="AQ15" s="656">
        <f t="shared" ref="AQ15:AQ32" si="16">IF(AG15="","",90-AG15)</f>
        <v>65.400000000000006</v>
      </c>
      <c r="AR15" s="656" t="str">
        <f t="shared" si="7"/>
        <v/>
      </c>
      <c r="AS15" s="656" t="str">
        <f t="shared" si="8"/>
        <v/>
      </c>
      <c r="AT15" s="656" t="str">
        <f t="shared" si="9"/>
        <v/>
      </c>
    </row>
    <row r="16" spans="2:46" s="345" customFormat="1" ht="12.75" customHeight="1" thickBot="1">
      <c r="B16" s="620" t="s">
        <v>1245</v>
      </c>
      <c r="C16" s="897">
        <f>IF('Sections rachis &amp; L pennes'!Q15="","",'Sections rachis &amp; L pennes'!Q15)</f>
        <v>30.466830466830466</v>
      </c>
      <c r="D16" s="623">
        <v>6.6</v>
      </c>
      <c r="E16" s="623"/>
      <c r="F16" s="623"/>
      <c r="G16" s="623"/>
      <c r="H16" s="897">
        <f>IF('Sections rachis &amp; L pennes'!V15="","",'Sections rachis &amp; L pennes'!V15)</f>
        <v>28.55036855036855</v>
      </c>
      <c r="I16" s="626"/>
      <c r="J16" s="627"/>
      <c r="K16" s="628"/>
      <c r="L16" s="629">
        <v>6.2</v>
      </c>
      <c r="N16" s="620" t="s">
        <v>1245</v>
      </c>
      <c r="O16" s="1014">
        <f>C16</f>
        <v>30.466830466830466</v>
      </c>
      <c r="P16" s="1015">
        <f t="shared" si="10"/>
        <v>39.076816677257945</v>
      </c>
      <c r="Q16" s="1015" t="str">
        <f t="shared" si="0"/>
        <v/>
      </c>
      <c r="R16" s="1015" t="str">
        <f t="shared" si="1"/>
        <v/>
      </c>
      <c r="S16" s="1015" t="str">
        <f t="shared" si="2"/>
        <v/>
      </c>
      <c r="T16" s="1014">
        <f>H16</f>
        <v>28.55036855036855</v>
      </c>
      <c r="U16" s="1015" t="str">
        <f t="shared" si="11"/>
        <v/>
      </c>
      <c r="V16" s="1015" t="str">
        <f t="shared" si="3"/>
        <v/>
      </c>
      <c r="W16" s="1015" t="str">
        <f t="shared" si="4"/>
        <v/>
      </c>
      <c r="X16" s="1015">
        <f t="shared" si="5"/>
        <v>3.998019428396784</v>
      </c>
      <c r="Y16" s="762"/>
      <c r="Z16" s="620" t="s">
        <v>1245</v>
      </c>
      <c r="AA16" s="1014">
        <f>C16</f>
        <v>30.466830466830466</v>
      </c>
      <c r="AB16" s="623">
        <v>28.2</v>
      </c>
      <c r="AC16" s="623"/>
      <c r="AD16" s="623"/>
      <c r="AE16" s="623"/>
      <c r="AF16" s="1014">
        <f>H16</f>
        <v>28.55036855036855</v>
      </c>
      <c r="AG16" s="626"/>
      <c r="AH16" s="627"/>
      <c r="AI16" s="628"/>
      <c r="AJ16" s="629">
        <v>145.4</v>
      </c>
      <c r="AK16" s="770"/>
      <c r="AL16" s="656">
        <f t="shared" si="12"/>
        <v>61.8</v>
      </c>
      <c r="AM16" s="656" t="str">
        <f t="shared" si="13"/>
        <v/>
      </c>
      <c r="AN16" s="656" t="str">
        <f t="shared" si="14"/>
        <v/>
      </c>
      <c r="AO16" s="656" t="str">
        <f t="shared" si="15"/>
        <v/>
      </c>
      <c r="AQ16" s="656" t="str">
        <f t="shared" si="16"/>
        <v/>
      </c>
      <c r="AR16" s="656" t="str">
        <f t="shared" si="7"/>
        <v/>
      </c>
      <c r="AS16" s="656" t="str">
        <f t="shared" si="8"/>
        <v/>
      </c>
      <c r="AT16" s="656">
        <f t="shared" si="9"/>
        <v>-55.400000000000006</v>
      </c>
    </row>
    <row r="17" spans="2:46" s="345" customFormat="1" ht="12.75" customHeight="1">
      <c r="C17" s="933" t="str">
        <f>IF('Sections rachis &amp; L pennes'!Q16="","",'Sections rachis &amp; L pennes'!Q16)</f>
        <v/>
      </c>
      <c r="D17" s="630"/>
      <c r="E17" s="630"/>
      <c r="F17" s="630"/>
      <c r="G17" s="630"/>
      <c r="H17" s="933" t="str">
        <f>IF('Sections rachis &amp; L pennes'!V16="","",'Sections rachis &amp; L pennes'!V16)</f>
        <v/>
      </c>
      <c r="I17" s="384"/>
      <c r="J17" s="631"/>
      <c r="K17" s="631"/>
      <c r="L17" s="385"/>
      <c r="O17" s="933" t="str">
        <f>C17</f>
        <v/>
      </c>
      <c r="P17" s="1016" t="str">
        <f t="shared" si="10"/>
        <v/>
      </c>
      <c r="Q17" s="1016" t="str">
        <f t="shared" si="0"/>
        <v/>
      </c>
      <c r="R17" s="1016" t="str">
        <f t="shared" si="1"/>
        <v/>
      </c>
      <c r="S17" s="1016" t="str">
        <f t="shared" si="2"/>
        <v/>
      </c>
      <c r="T17" s="933" t="str">
        <f>H17</f>
        <v/>
      </c>
      <c r="U17" s="1016" t="str">
        <f t="shared" si="11"/>
        <v/>
      </c>
      <c r="V17" s="1016" t="str">
        <f t="shared" si="3"/>
        <v/>
      </c>
      <c r="W17" s="1016" t="str">
        <f t="shared" si="4"/>
        <v/>
      </c>
      <c r="X17" s="1016" t="str">
        <f t="shared" si="5"/>
        <v/>
      </c>
      <c r="Y17" s="762"/>
      <c r="AA17" s="933" t="str">
        <f>C17</f>
        <v/>
      </c>
      <c r="AB17" s="630"/>
      <c r="AC17" s="630"/>
      <c r="AD17" s="630"/>
      <c r="AE17" s="630"/>
      <c r="AF17" s="933" t="str">
        <f>H17</f>
        <v/>
      </c>
      <c r="AG17" s="384"/>
      <c r="AH17" s="631"/>
      <c r="AI17" s="631"/>
      <c r="AJ17" s="385"/>
      <c r="AK17" s="770"/>
      <c r="AL17" s="656" t="str">
        <f t="shared" si="12"/>
        <v/>
      </c>
      <c r="AM17" s="656" t="str">
        <f t="shared" si="13"/>
        <v/>
      </c>
      <c r="AN17" s="656" t="str">
        <f t="shared" si="14"/>
        <v/>
      </c>
      <c r="AO17" s="656" t="str">
        <f t="shared" si="15"/>
        <v/>
      </c>
      <c r="AQ17" s="656" t="str">
        <f t="shared" si="16"/>
        <v/>
      </c>
      <c r="AR17" s="656" t="str">
        <f t="shared" si="7"/>
        <v/>
      </c>
      <c r="AS17" s="656" t="str">
        <f t="shared" si="8"/>
        <v/>
      </c>
      <c r="AT17" s="656" t="str">
        <f t="shared" si="9"/>
        <v/>
      </c>
    </row>
    <row r="18" spans="2:46" s="345" customFormat="1" ht="12.75" customHeight="1">
      <c r="C18" s="937">
        <f>IF('Sections rachis &amp; L pennes'!Q17="","",'Sections rachis &amp; L pennes'!Q17)</f>
        <v>10</v>
      </c>
      <c r="D18" s="632">
        <v>27.6</v>
      </c>
      <c r="E18" s="632"/>
      <c r="F18" s="632"/>
      <c r="G18" s="632"/>
      <c r="H18" s="937">
        <f>IF('Sections rachis &amp; L pennes'!V17="","",'Sections rachis &amp; L pennes'!V17)</f>
        <v>10</v>
      </c>
      <c r="I18" s="397">
        <v>20.9</v>
      </c>
      <c r="J18" s="632"/>
      <c r="K18" s="632"/>
      <c r="L18" s="398">
        <v>17.899999999999999</v>
      </c>
      <c r="O18" s="937">
        <f t="shared" ref="O18:O32" si="17">C18</f>
        <v>10</v>
      </c>
      <c r="P18" s="1017">
        <f t="shared" si="10"/>
        <v>29.349334505005487</v>
      </c>
      <c r="Q18" s="1017" t="str">
        <f t="shared" si="0"/>
        <v/>
      </c>
      <c r="R18" s="1017" t="str">
        <f t="shared" si="1"/>
        <v/>
      </c>
      <c r="S18" s="1017" t="str">
        <f t="shared" si="2"/>
        <v/>
      </c>
      <c r="T18" s="937">
        <f t="shared" ref="T18:T32" si="18">H18</f>
        <v>10</v>
      </c>
      <c r="U18" s="1017">
        <f t="shared" si="11"/>
        <v>41.261758826717724</v>
      </c>
      <c r="V18" s="1017" t="str">
        <f t="shared" si="3"/>
        <v/>
      </c>
      <c r="W18" s="1017" t="str">
        <f t="shared" si="4"/>
        <v/>
      </c>
      <c r="X18" s="1017">
        <f t="shared" si="5"/>
        <v>10.014093018005227</v>
      </c>
      <c r="Y18" s="762"/>
      <c r="AA18" s="937">
        <f t="shared" ref="AA18:AA26" si="19">C18</f>
        <v>10</v>
      </c>
      <c r="AB18" s="632">
        <v>60.7</v>
      </c>
      <c r="AC18" s="632"/>
      <c r="AD18" s="632"/>
      <c r="AE18" s="632"/>
      <c r="AF18" s="937">
        <f t="shared" ref="AF18:AF26" si="20">H18</f>
        <v>10</v>
      </c>
      <c r="AG18" s="397">
        <v>20.9</v>
      </c>
      <c r="AH18" s="632"/>
      <c r="AI18" s="632"/>
      <c r="AJ18" s="398">
        <v>125.3</v>
      </c>
      <c r="AK18" s="770"/>
      <c r="AL18" s="656">
        <f t="shared" si="12"/>
        <v>29.299999999999997</v>
      </c>
      <c r="AM18" s="656" t="str">
        <f t="shared" si="13"/>
        <v/>
      </c>
      <c r="AN18" s="656" t="str">
        <f t="shared" si="14"/>
        <v/>
      </c>
      <c r="AO18" s="656" t="str">
        <f t="shared" si="15"/>
        <v/>
      </c>
      <c r="AQ18" s="656">
        <f t="shared" si="16"/>
        <v>69.099999999999994</v>
      </c>
      <c r="AR18" s="656" t="str">
        <f t="shared" si="7"/>
        <v/>
      </c>
      <c r="AS18" s="656" t="str">
        <f t="shared" si="8"/>
        <v/>
      </c>
      <c r="AT18" s="656">
        <f t="shared" si="9"/>
        <v>-35.299999999999997</v>
      </c>
    </row>
    <row r="19" spans="2:46" s="345" customFormat="1" ht="12.75" customHeight="1">
      <c r="C19" s="937">
        <f>IF('Sections rachis &amp; L pennes'!Q18="","",'Sections rachis &amp; L pennes'!Q18)</f>
        <v>20</v>
      </c>
      <c r="D19" s="632">
        <v>3.5</v>
      </c>
      <c r="E19" s="632"/>
      <c r="F19" s="632"/>
      <c r="G19" s="632"/>
      <c r="H19" s="937">
        <f>IF('Sections rachis &amp; L pennes'!V18="","",'Sections rachis &amp; L pennes'!V18)</f>
        <v>20</v>
      </c>
      <c r="I19" s="397">
        <v>10.3</v>
      </c>
      <c r="J19" s="632"/>
      <c r="K19" s="632"/>
      <c r="L19" s="398"/>
      <c r="M19" s="762"/>
      <c r="O19" s="937">
        <f t="shared" si="17"/>
        <v>20</v>
      </c>
      <c r="P19" s="1017">
        <f t="shared" si="10"/>
        <v>42.638571688021152</v>
      </c>
      <c r="Q19" s="1017" t="str">
        <f t="shared" si="0"/>
        <v/>
      </c>
      <c r="R19" s="1017" t="str">
        <f t="shared" si="1"/>
        <v/>
      </c>
      <c r="S19" s="1017" t="str">
        <f t="shared" si="2"/>
        <v/>
      </c>
      <c r="T19" s="937">
        <f t="shared" si="18"/>
        <v>20</v>
      </c>
      <c r="U19" s="1017">
        <f t="shared" si="11"/>
        <v>40.752936682322982</v>
      </c>
      <c r="V19" s="1017" t="str">
        <f t="shared" si="3"/>
        <v/>
      </c>
      <c r="W19" s="1017" t="str">
        <f t="shared" si="4"/>
        <v/>
      </c>
      <c r="X19" s="1017" t="str">
        <f t="shared" si="5"/>
        <v/>
      </c>
      <c r="Y19" s="762"/>
      <c r="AA19" s="937">
        <f t="shared" si="19"/>
        <v>20</v>
      </c>
      <c r="AB19" s="632">
        <v>16.3</v>
      </c>
      <c r="AC19" s="632"/>
      <c r="AD19" s="632"/>
      <c r="AE19" s="632"/>
      <c r="AF19" s="937">
        <f t="shared" si="20"/>
        <v>20</v>
      </c>
      <c r="AG19" s="397">
        <v>22.6</v>
      </c>
      <c r="AH19" s="632"/>
      <c r="AI19" s="632"/>
      <c r="AJ19" s="398"/>
      <c r="AK19" s="770"/>
      <c r="AL19" s="656">
        <f t="shared" si="12"/>
        <v>73.7</v>
      </c>
      <c r="AM19" s="656" t="str">
        <f t="shared" si="13"/>
        <v/>
      </c>
      <c r="AN19" s="656" t="str">
        <f t="shared" si="14"/>
        <v/>
      </c>
      <c r="AO19" s="656" t="str">
        <f t="shared" si="15"/>
        <v/>
      </c>
      <c r="AQ19" s="656">
        <f t="shared" si="16"/>
        <v>67.400000000000006</v>
      </c>
      <c r="AR19" s="656" t="str">
        <f t="shared" si="7"/>
        <v/>
      </c>
      <c r="AS19" s="656" t="str">
        <f t="shared" si="8"/>
        <v/>
      </c>
      <c r="AT19" s="656" t="str">
        <f t="shared" si="9"/>
        <v/>
      </c>
    </row>
    <row r="20" spans="2:46" s="345" customFormat="1" ht="12.75" customHeight="1">
      <c r="C20" s="937">
        <f>IF('Sections rachis &amp; L pennes'!Q19="","",'Sections rachis &amp; L pennes'!Q19)</f>
        <v>30</v>
      </c>
      <c r="D20" s="632">
        <v>8.4</v>
      </c>
      <c r="E20" s="632"/>
      <c r="F20" s="632"/>
      <c r="G20" s="632">
        <v>8.4</v>
      </c>
      <c r="H20" s="937">
        <f>IF('Sections rachis &amp; L pennes'!V19="","",'Sections rachis &amp; L pennes'!V19)</f>
        <v>30</v>
      </c>
      <c r="I20" s="397">
        <v>14.1</v>
      </c>
      <c r="J20" s="632"/>
      <c r="K20" s="632"/>
      <c r="L20" s="398">
        <v>13.8</v>
      </c>
      <c r="M20" s="762"/>
      <c r="O20" s="937">
        <f t="shared" si="17"/>
        <v>30</v>
      </c>
      <c r="P20" s="1017">
        <f t="shared" si="10"/>
        <v>37.34083524344058</v>
      </c>
      <c r="Q20" s="1017" t="str">
        <f t="shared" si="0"/>
        <v/>
      </c>
      <c r="R20" s="1017" t="str">
        <f t="shared" si="1"/>
        <v/>
      </c>
      <c r="S20" s="1017">
        <f t="shared" si="2"/>
        <v>13.815293743777726</v>
      </c>
      <c r="T20" s="937">
        <f t="shared" si="18"/>
        <v>30</v>
      </c>
      <c r="U20" s="1017">
        <f t="shared" si="11"/>
        <v>41.620927399231661</v>
      </c>
      <c r="V20" s="1017" t="str">
        <f t="shared" si="3"/>
        <v/>
      </c>
      <c r="W20" s="1017" t="str">
        <f t="shared" si="4"/>
        <v/>
      </c>
      <c r="X20" s="1017">
        <f t="shared" si="5"/>
        <v>8.3080422985640254</v>
      </c>
      <c r="Y20" s="762"/>
      <c r="AA20" s="937">
        <f t="shared" si="19"/>
        <v>30</v>
      </c>
      <c r="AB20" s="632">
        <v>34</v>
      </c>
      <c r="AC20" s="632"/>
      <c r="AD20" s="632"/>
      <c r="AE20" s="632">
        <v>112.6</v>
      </c>
      <c r="AF20" s="937">
        <f t="shared" si="20"/>
        <v>30</v>
      </c>
      <c r="AG20" s="397">
        <v>19.7</v>
      </c>
      <c r="AH20" s="632"/>
      <c r="AI20" s="632"/>
      <c r="AJ20" s="398">
        <v>131</v>
      </c>
      <c r="AK20" s="770"/>
      <c r="AL20" s="656">
        <f t="shared" si="12"/>
        <v>56</v>
      </c>
      <c r="AM20" s="656" t="str">
        <f t="shared" si="13"/>
        <v/>
      </c>
      <c r="AN20" s="656" t="str">
        <f t="shared" si="14"/>
        <v/>
      </c>
      <c r="AO20" s="656">
        <f t="shared" si="15"/>
        <v>-22.599999999999994</v>
      </c>
      <c r="AQ20" s="656">
        <f t="shared" si="16"/>
        <v>70.3</v>
      </c>
      <c r="AR20" s="656" t="str">
        <f t="shared" si="7"/>
        <v/>
      </c>
      <c r="AS20" s="656" t="str">
        <f t="shared" si="8"/>
        <v/>
      </c>
      <c r="AT20" s="656">
        <f t="shared" si="9"/>
        <v>-41</v>
      </c>
    </row>
    <row r="21" spans="2:46" s="345" customFormat="1" ht="12.75" customHeight="1">
      <c r="C21" s="937">
        <f>IF('Sections rachis &amp; L pennes'!Q20="","",'Sections rachis &amp; L pennes'!Q20)</f>
        <v>40</v>
      </c>
      <c r="D21" s="632">
        <v>13</v>
      </c>
      <c r="E21" s="632">
        <v>13.6</v>
      </c>
      <c r="F21" s="632"/>
      <c r="G21" s="632">
        <v>16.8</v>
      </c>
      <c r="H21" s="937">
        <f>IF('Sections rachis &amp; L pennes'!V20="","",'Sections rachis &amp; L pennes'!V20)</f>
        <v>40</v>
      </c>
      <c r="I21" s="397">
        <v>3.3</v>
      </c>
      <c r="J21" s="632"/>
      <c r="K21" s="632"/>
      <c r="L21" s="398">
        <v>4.8</v>
      </c>
      <c r="M21" s="762"/>
      <c r="O21" s="937">
        <f t="shared" si="17"/>
        <v>40</v>
      </c>
      <c r="P21" s="1017">
        <f t="shared" si="10"/>
        <v>38.478202389734719</v>
      </c>
      <c r="Q21" s="1017">
        <f t="shared" si="0"/>
        <v>27.254184498674192</v>
      </c>
      <c r="R21" s="1017" t="str">
        <f t="shared" si="1"/>
        <v/>
      </c>
      <c r="S21" s="1017">
        <f t="shared" si="2"/>
        <v>10.163746589886033</v>
      </c>
      <c r="T21" s="937">
        <f t="shared" si="18"/>
        <v>40</v>
      </c>
      <c r="U21" s="1017">
        <f t="shared" si="11"/>
        <v>32.581851657630921</v>
      </c>
      <c r="V21" s="1017" t="str">
        <f t="shared" si="3"/>
        <v/>
      </c>
      <c r="W21" s="1017" t="str">
        <f t="shared" si="4"/>
        <v/>
      </c>
      <c r="X21" s="1017">
        <f t="shared" si="5"/>
        <v>7.1108137235175697</v>
      </c>
      <c r="Y21" s="762"/>
      <c r="AA21" s="937">
        <f t="shared" si="19"/>
        <v>40</v>
      </c>
      <c r="AB21" s="632">
        <v>30.2</v>
      </c>
      <c r="AC21" s="632">
        <v>67.7</v>
      </c>
      <c r="AD21" s="632"/>
      <c r="AE21" s="632">
        <v>124.8</v>
      </c>
      <c r="AF21" s="937">
        <f t="shared" si="20"/>
        <v>40</v>
      </c>
      <c r="AG21" s="397">
        <v>49.9</v>
      </c>
      <c r="AH21" s="632"/>
      <c r="AI21" s="632"/>
      <c r="AJ21" s="398">
        <v>135</v>
      </c>
      <c r="AK21" s="770"/>
      <c r="AL21" s="656">
        <f t="shared" si="12"/>
        <v>59.8</v>
      </c>
      <c r="AM21" s="656">
        <f t="shared" si="13"/>
        <v>22.299999999999997</v>
      </c>
      <c r="AN21" s="656" t="str">
        <f t="shared" si="14"/>
        <v/>
      </c>
      <c r="AO21" s="656">
        <f t="shared" si="15"/>
        <v>-34.799999999999997</v>
      </c>
      <c r="AQ21" s="656">
        <f t="shared" si="16"/>
        <v>40.1</v>
      </c>
      <c r="AR21" s="656" t="str">
        <f t="shared" si="7"/>
        <v/>
      </c>
      <c r="AS21" s="656" t="str">
        <f t="shared" si="8"/>
        <v/>
      </c>
      <c r="AT21" s="656">
        <f t="shared" si="9"/>
        <v>-45</v>
      </c>
    </row>
    <row r="22" spans="2:46" s="345" customFormat="1" ht="12.75" customHeight="1">
      <c r="C22" s="937">
        <f>IF('Sections rachis &amp; L pennes'!Q21="","",'Sections rachis &amp; L pennes'!Q21)</f>
        <v>50</v>
      </c>
      <c r="D22" s="632">
        <v>40</v>
      </c>
      <c r="E22" s="632"/>
      <c r="F22" s="632"/>
      <c r="G22" s="632">
        <v>45</v>
      </c>
      <c r="H22" s="937">
        <f>IF('Sections rachis &amp; L pennes'!V21="","",'Sections rachis &amp; L pennes'!V21)</f>
        <v>50</v>
      </c>
      <c r="I22" s="397">
        <v>18</v>
      </c>
      <c r="J22" s="632"/>
      <c r="K22" s="632"/>
      <c r="L22" s="398"/>
      <c r="M22" s="762"/>
      <c r="O22" s="937">
        <f t="shared" si="17"/>
        <v>50</v>
      </c>
      <c r="P22" s="1017">
        <f t="shared" si="10"/>
        <v>33.030812373273342</v>
      </c>
      <c r="Q22" s="1017" t="str">
        <f t="shared" si="0"/>
        <v/>
      </c>
      <c r="R22" s="1017" t="str">
        <f t="shared" si="1"/>
        <v/>
      </c>
      <c r="S22" s="1017">
        <f t="shared" si="2"/>
        <v>6.9312294372606029</v>
      </c>
      <c r="T22" s="937">
        <f t="shared" si="18"/>
        <v>50</v>
      </c>
      <c r="U22" s="1017">
        <f t="shared" si="11"/>
        <v>30.067671650033365</v>
      </c>
      <c r="V22" s="1017" t="str">
        <f t="shared" si="3"/>
        <v/>
      </c>
      <c r="W22" s="1017" t="str">
        <f t="shared" si="4"/>
        <v/>
      </c>
      <c r="X22" s="1017" t="str">
        <f t="shared" si="5"/>
        <v/>
      </c>
      <c r="Y22" s="762"/>
      <c r="AA22" s="937">
        <f t="shared" si="19"/>
        <v>50</v>
      </c>
      <c r="AB22" s="632">
        <v>48.4</v>
      </c>
      <c r="AC22" s="632"/>
      <c r="AD22" s="632"/>
      <c r="AE22" s="632">
        <v>135.6</v>
      </c>
      <c r="AF22" s="937">
        <f t="shared" si="20"/>
        <v>50</v>
      </c>
      <c r="AG22" s="397">
        <v>58.3</v>
      </c>
      <c r="AH22" s="632"/>
      <c r="AI22" s="632"/>
      <c r="AJ22" s="398"/>
      <c r="AK22" s="770"/>
      <c r="AL22" s="656">
        <f t="shared" si="12"/>
        <v>41.6</v>
      </c>
      <c r="AM22" s="656" t="str">
        <f t="shared" si="13"/>
        <v/>
      </c>
      <c r="AN22" s="656" t="str">
        <f t="shared" si="14"/>
        <v/>
      </c>
      <c r="AO22" s="656">
        <f t="shared" si="15"/>
        <v>-45.599999999999994</v>
      </c>
      <c r="AQ22" s="656">
        <f t="shared" si="16"/>
        <v>31.700000000000003</v>
      </c>
      <c r="AR22" s="656" t="str">
        <f t="shared" si="7"/>
        <v/>
      </c>
      <c r="AS22" s="656" t="str">
        <f t="shared" si="8"/>
        <v/>
      </c>
      <c r="AT22" s="656" t="str">
        <f t="shared" si="9"/>
        <v/>
      </c>
    </row>
    <row r="23" spans="2:46" s="345" customFormat="1" ht="12.75" customHeight="1">
      <c r="C23" s="937">
        <f>IF('Sections rachis &amp; L pennes'!Q22="","",'Sections rachis &amp; L pennes'!Q22)</f>
        <v>60</v>
      </c>
      <c r="D23" s="632">
        <v>21.7</v>
      </c>
      <c r="E23" s="632"/>
      <c r="F23" s="632"/>
      <c r="G23" s="632">
        <v>21.2</v>
      </c>
      <c r="H23" s="937">
        <f>IF('Sections rachis &amp; L pennes'!V22="","",'Sections rachis &amp; L pennes'!V22)</f>
        <v>60</v>
      </c>
      <c r="I23" s="397">
        <v>28.1</v>
      </c>
      <c r="J23" s="632">
        <v>27.7</v>
      </c>
      <c r="K23" s="632"/>
      <c r="L23" s="398">
        <v>26</v>
      </c>
      <c r="M23" s="762"/>
      <c r="O23" s="937">
        <f t="shared" si="17"/>
        <v>60</v>
      </c>
      <c r="P23" s="1017">
        <f t="shared" si="10"/>
        <v>32.970950944521022</v>
      </c>
      <c r="Q23" s="1017" t="str">
        <f t="shared" si="0"/>
        <v/>
      </c>
      <c r="R23" s="1017" t="str">
        <f t="shared" si="1"/>
        <v/>
      </c>
      <c r="S23" s="1017">
        <f t="shared" si="2"/>
        <v>14.593492317557921</v>
      </c>
      <c r="T23" s="937">
        <f t="shared" si="18"/>
        <v>60</v>
      </c>
      <c r="U23" s="1017">
        <f t="shared" si="11"/>
        <v>29.558849505638619</v>
      </c>
      <c r="V23" s="1017">
        <f t="shared" si="3"/>
        <v>21.417695195322718</v>
      </c>
      <c r="W23" s="1017" t="str">
        <f t="shared" si="4"/>
        <v/>
      </c>
      <c r="X23" s="1017">
        <f t="shared" si="5"/>
        <v>8.7270722998302865</v>
      </c>
      <c r="Y23" s="762"/>
      <c r="AA23" s="937">
        <f t="shared" si="19"/>
        <v>60</v>
      </c>
      <c r="AB23" s="632">
        <v>48.6</v>
      </c>
      <c r="AC23" s="632"/>
      <c r="AD23" s="632"/>
      <c r="AE23" s="632">
        <v>110</v>
      </c>
      <c r="AF23" s="937">
        <f t="shared" si="20"/>
        <v>60</v>
      </c>
      <c r="AG23" s="397">
        <v>60</v>
      </c>
      <c r="AH23" s="632">
        <v>87.2</v>
      </c>
      <c r="AI23" s="632"/>
      <c r="AJ23" s="398">
        <v>129.6</v>
      </c>
      <c r="AK23" s="770"/>
      <c r="AL23" s="656">
        <f t="shared" si="12"/>
        <v>41.4</v>
      </c>
      <c r="AM23" s="656" t="str">
        <f t="shared" si="13"/>
        <v/>
      </c>
      <c r="AN23" s="656" t="str">
        <f t="shared" si="14"/>
        <v/>
      </c>
      <c r="AO23" s="656">
        <f t="shared" si="15"/>
        <v>-20</v>
      </c>
      <c r="AQ23" s="656">
        <f t="shared" si="16"/>
        <v>30</v>
      </c>
      <c r="AR23" s="656">
        <f t="shared" si="7"/>
        <v>2.7999999999999972</v>
      </c>
      <c r="AS23" s="656" t="str">
        <f t="shared" si="8"/>
        <v/>
      </c>
      <c r="AT23" s="656">
        <f t="shared" si="9"/>
        <v>-39.599999999999994</v>
      </c>
    </row>
    <row r="24" spans="2:46" s="345" customFormat="1" ht="12.75" customHeight="1">
      <c r="C24" s="937">
        <f>IF('Sections rachis &amp; L pennes'!Q23="","",'Sections rachis &amp; L pennes'!Q23)</f>
        <v>70</v>
      </c>
      <c r="D24" s="632">
        <v>13.1</v>
      </c>
      <c r="E24" s="632"/>
      <c r="F24" s="632"/>
      <c r="G24" s="632">
        <v>14.2</v>
      </c>
      <c r="H24" s="937">
        <f>IF('Sections rachis &amp; L pennes'!V23="","",'Sections rachis &amp; L pennes'!V23)</f>
        <v>70</v>
      </c>
      <c r="I24" s="397">
        <v>12.3</v>
      </c>
      <c r="J24" s="632"/>
      <c r="K24" s="632"/>
      <c r="L24" s="398">
        <v>15.3</v>
      </c>
      <c r="M24" s="762"/>
      <c r="O24" s="937">
        <f t="shared" si="17"/>
        <v>70</v>
      </c>
      <c r="P24" s="1017">
        <f t="shared" si="10"/>
        <v>23.842083059791793</v>
      </c>
      <c r="Q24" s="1017" t="str">
        <f t="shared" si="0"/>
        <v/>
      </c>
      <c r="R24" s="1017" t="str">
        <f t="shared" si="1"/>
        <v/>
      </c>
      <c r="S24" s="1017">
        <f t="shared" si="2"/>
        <v>15.222037319457307</v>
      </c>
      <c r="T24" s="937">
        <f t="shared" si="18"/>
        <v>70</v>
      </c>
      <c r="U24" s="1017">
        <f t="shared" si="11"/>
        <v>27.463699499307321</v>
      </c>
      <c r="V24" s="1017" t="str">
        <f t="shared" si="3"/>
        <v/>
      </c>
      <c r="W24" s="1017" t="str">
        <f t="shared" si="4"/>
        <v/>
      </c>
      <c r="X24" s="1017">
        <f t="shared" si="5"/>
        <v>6.1829615778565685</v>
      </c>
      <c r="Y24" s="762"/>
      <c r="AA24" s="937">
        <f t="shared" si="19"/>
        <v>70</v>
      </c>
      <c r="AB24" s="632">
        <v>79.099999999999994</v>
      </c>
      <c r="AC24" s="632"/>
      <c r="AD24" s="632"/>
      <c r="AE24" s="632">
        <v>107.9</v>
      </c>
      <c r="AF24" s="937">
        <f t="shared" si="20"/>
        <v>70</v>
      </c>
      <c r="AG24" s="397">
        <v>67</v>
      </c>
      <c r="AH24" s="632"/>
      <c r="AI24" s="632"/>
      <c r="AJ24" s="398">
        <v>138.1</v>
      </c>
      <c r="AK24" s="770"/>
      <c r="AL24" s="656">
        <f t="shared" si="12"/>
        <v>10.900000000000006</v>
      </c>
      <c r="AM24" s="656" t="str">
        <f t="shared" si="13"/>
        <v/>
      </c>
      <c r="AN24" s="656" t="str">
        <f t="shared" si="14"/>
        <v/>
      </c>
      <c r="AO24" s="656">
        <f t="shared" si="15"/>
        <v>-17.900000000000006</v>
      </c>
      <c r="AQ24" s="656">
        <f t="shared" si="16"/>
        <v>23</v>
      </c>
      <c r="AR24" s="656" t="str">
        <f t="shared" si="7"/>
        <v/>
      </c>
      <c r="AS24" s="656" t="str">
        <f t="shared" si="8"/>
        <v/>
      </c>
      <c r="AT24" s="656">
        <f t="shared" si="9"/>
        <v>-48.099999999999994</v>
      </c>
    </row>
    <row r="25" spans="2:46" s="345" customFormat="1" ht="12.75" customHeight="1">
      <c r="C25" s="937">
        <f>IF('Sections rachis &amp; L pennes'!Q24="","",'Sections rachis &amp; L pennes'!Q24)</f>
        <v>80</v>
      </c>
      <c r="D25" s="632">
        <v>13.3</v>
      </c>
      <c r="E25" s="632"/>
      <c r="F25" s="632"/>
      <c r="G25" s="632">
        <v>15.3</v>
      </c>
      <c r="H25" s="937">
        <f>IF('Sections rachis &amp; L pennes'!V24="","",'Sections rachis &amp; L pennes'!V24)</f>
        <v>80</v>
      </c>
      <c r="I25" s="397">
        <v>15.5</v>
      </c>
      <c r="J25" s="632">
        <v>21.8</v>
      </c>
      <c r="K25" s="632"/>
      <c r="L25" s="398">
        <v>18.100000000000001</v>
      </c>
      <c r="M25" s="762"/>
      <c r="O25" s="937">
        <f t="shared" si="17"/>
        <v>80</v>
      </c>
      <c r="P25" s="1017">
        <f t="shared" si="10"/>
        <v>32.162821656364663</v>
      </c>
      <c r="Q25" s="1017" t="str">
        <f t="shared" si="0"/>
        <v/>
      </c>
      <c r="R25" s="1017" t="str">
        <f t="shared" si="1"/>
        <v/>
      </c>
      <c r="S25" s="1017">
        <f t="shared" si="2"/>
        <v>7.350259438526864</v>
      </c>
      <c r="T25" s="937">
        <f t="shared" si="18"/>
        <v>80</v>
      </c>
      <c r="U25" s="1017">
        <f t="shared" si="11"/>
        <v>25.218895921095218</v>
      </c>
      <c r="V25" s="1017">
        <f t="shared" si="3"/>
        <v>13.156818027502172</v>
      </c>
      <c r="W25" s="1017" t="str">
        <f t="shared" si="4"/>
        <v/>
      </c>
      <c r="X25" s="1017">
        <f t="shared" si="5"/>
        <v>3.878296570892136</v>
      </c>
      <c r="Y25" s="762"/>
      <c r="AA25" s="937">
        <f t="shared" si="19"/>
        <v>80</v>
      </c>
      <c r="AB25" s="632">
        <v>51.3</v>
      </c>
      <c r="AC25" s="632"/>
      <c r="AD25" s="632"/>
      <c r="AE25" s="632">
        <v>134.19999999999999</v>
      </c>
      <c r="AF25" s="937">
        <f t="shared" si="20"/>
        <v>80</v>
      </c>
      <c r="AG25" s="397">
        <v>74.5</v>
      </c>
      <c r="AH25" s="632">
        <v>114.8</v>
      </c>
      <c r="AI25" s="632"/>
      <c r="AJ25" s="398">
        <v>145.80000000000001</v>
      </c>
      <c r="AK25" s="770"/>
      <c r="AL25" s="656">
        <f t="shared" si="12"/>
        <v>38.700000000000003</v>
      </c>
      <c r="AM25" s="656" t="str">
        <f t="shared" si="13"/>
        <v/>
      </c>
      <c r="AN25" s="656" t="str">
        <f t="shared" si="14"/>
        <v/>
      </c>
      <c r="AO25" s="656">
        <f t="shared" si="15"/>
        <v>-44.199999999999989</v>
      </c>
      <c r="AQ25" s="656">
        <f t="shared" si="16"/>
        <v>15.5</v>
      </c>
      <c r="AR25" s="656">
        <f t="shared" si="7"/>
        <v>-24.799999999999997</v>
      </c>
      <c r="AS25" s="656" t="str">
        <f t="shared" si="8"/>
        <v/>
      </c>
      <c r="AT25" s="656">
        <f t="shared" si="9"/>
        <v>-55.800000000000011</v>
      </c>
    </row>
    <row r="26" spans="2:46" s="345" customFormat="1" ht="12.75" customHeight="1" thickBot="1">
      <c r="C26" s="941">
        <f>IF('Sections rachis &amp; L pennes'!Q25="","",'Sections rachis &amp; L pennes'!Q25)</f>
        <v>90</v>
      </c>
      <c r="D26" s="632"/>
      <c r="E26" s="632">
        <v>20.9</v>
      </c>
      <c r="F26" s="632"/>
      <c r="G26" s="632"/>
      <c r="H26" s="941">
        <f>IF('Sections rachis &amp; L pennes'!V25="","",'Sections rachis &amp; L pennes'!V25)</f>
        <v>90</v>
      </c>
      <c r="I26" s="387"/>
      <c r="J26" s="642">
        <v>18.7</v>
      </c>
      <c r="K26" s="642"/>
      <c r="L26" s="388"/>
      <c r="M26" s="762"/>
      <c r="O26" s="941">
        <f t="shared" si="17"/>
        <v>90</v>
      </c>
      <c r="P26" s="1017" t="str">
        <f t="shared" si="10"/>
        <v/>
      </c>
      <c r="Q26" s="1017">
        <f t="shared" si="0"/>
        <v>24.261113061058051</v>
      </c>
      <c r="R26" s="1017" t="str">
        <f t="shared" si="1"/>
        <v/>
      </c>
      <c r="S26" s="1017" t="str">
        <f t="shared" si="2"/>
        <v/>
      </c>
      <c r="T26" s="941">
        <f t="shared" si="18"/>
        <v>90</v>
      </c>
      <c r="U26" s="1017" t="str">
        <f t="shared" si="11"/>
        <v/>
      </c>
      <c r="V26" s="1017">
        <f t="shared" si="3"/>
        <v>22.225824483479077</v>
      </c>
      <c r="W26" s="1017" t="str">
        <f t="shared" si="4"/>
        <v/>
      </c>
      <c r="X26" s="1017" t="str">
        <f t="shared" si="5"/>
        <v/>
      </c>
      <c r="Y26" s="762"/>
      <c r="AA26" s="941">
        <f t="shared" si="19"/>
        <v>90</v>
      </c>
      <c r="AB26" s="632"/>
      <c r="AC26" s="632">
        <v>77.7</v>
      </c>
      <c r="AD26" s="632"/>
      <c r="AE26" s="632"/>
      <c r="AF26" s="941">
        <f t="shared" si="20"/>
        <v>90</v>
      </c>
      <c r="AG26" s="387"/>
      <c r="AH26" s="642">
        <v>84.5</v>
      </c>
      <c r="AI26" s="642"/>
      <c r="AJ26" s="388"/>
      <c r="AK26" s="770"/>
      <c r="AL26" s="656" t="str">
        <f t="shared" si="12"/>
        <v/>
      </c>
      <c r="AM26" s="656">
        <f t="shared" si="13"/>
        <v>12.299999999999997</v>
      </c>
      <c r="AN26" s="656" t="str">
        <f t="shared" si="14"/>
        <v/>
      </c>
      <c r="AO26" s="656" t="str">
        <f t="shared" si="15"/>
        <v/>
      </c>
      <c r="AQ26" s="656" t="str">
        <f t="shared" si="16"/>
        <v/>
      </c>
      <c r="AR26" s="656">
        <f t="shared" si="7"/>
        <v>5.5</v>
      </c>
      <c r="AS26" s="656" t="str">
        <f t="shared" si="8"/>
        <v/>
      </c>
      <c r="AT26" s="656" t="str">
        <f t="shared" si="9"/>
        <v/>
      </c>
    </row>
    <row r="27" spans="2:46" s="345" customFormat="1" ht="12.75" customHeight="1">
      <c r="B27" s="1018" t="s">
        <v>1247</v>
      </c>
      <c r="C27" s="933">
        <f>IF('Sections rachis &amp; L pennes'!Q26="","",'Sections rachis &amp; L pennes'!Q26)</f>
        <v>97.59213759213759</v>
      </c>
      <c r="D27" s="631"/>
      <c r="E27" s="631"/>
      <c r="F27" s="631"/>
      <c r="G27" s="631">
        <v>21.1</v>
      </c>
      <c r="H27" s="933">
        <f>IF('Sections rachis &amp; L pennes'!V26="","",'Sections rachis &amp; L pennes'!V26)</f>
        <v>97.54299754299754</v>
      </c>
      <c r="I27" s="651">
        <v>19.8</v>
      </c>
      <c r="J27" s="630"/>
      <c r="K27" s="630"/>
      <c r="L27" s="652"/>
      <c r="M27" s="762"/>
      <c r="N27" s="1018" t="s">
        <v>1247</v>
      </c>
      <c r="O27" s="1019">
        <f t="shared" si="17"/>
        <v>97.59213759213759</v>
      </c>
      <c r="P27" s="1020" t="str">
        <f t="shared" si="10"/>
        <v/>
      </c>
      <c r="Q27" s="1020" t="str">
        <f t="shared" si="0"/>
        <v/>
      </c>
      <c r="R27" s="1020" t="str">
        <f t="shared" si="1"/>
        <v/>
      </c>
      <c r="S27" s="1020">
        <f t="shared" si="2"/>
        <v>4.2374651434060766</v>
      </c>
      <c r="T27" s="1019">
        <f t="shared" si="18"/>
        <v>97.54299754299754</v>
      </c>
      <c r="U27" s="1020">
        <f t="shared" si="11"/>
        <v>32.46212880012628</v>
      </c>
      <c r="V27" s="1020" t="str">
        <f t="shared" si="3"/>
        <v/>
      </c>
      <c r="W27" s="1020" t="str">
        <f t="shared" si="4"/>
        <v/>
      </c>
      <c r="X27" s="1020" t="str">
        <f t="shared" si="5"/>
        <v/>
      </c>
      <c r="Y27" s="762"/>
      <c r="Z27" s="1021" t="s">
        <v>1247</v>
      </c>
      <c r="AA27" s="1019">
        <f t="shared" ref="AA27:AA32" si="21">O27</f>
        <v>97.59213759213759</v>
      </c>
      <c r="AB27" s="631"/>
      <c r="AC27" s="631"/>
      <c r="AD27" s="631"/>
      <c r="AE27" s="631">
        <v>144.6</v>
      </c>
      <c r="AF27" s="1019">
        <f t="shared" ref="AF27:AF32" si="22">T27</f>
        <v>97.54299754299754</v>
      </c>
      <c r="AG27" s="651">
        <v>50.3</v>
      </c>
      <c r="AH27" s="630"/>
      <c r="AI27" s="630"/>
      <c r="AJ27" s="652"/>
      <c r="AK27" s="770"/>
      <c r="AL27" s="656" t="str">
        <f t="shared" si="12"/>
        <v/>
      </c>
      <c r="AM27" s="656" t="str">
        <f t="shared" si="13"/>
        <v/>
      </c>
      <c r="AN27" s="656" t="str">
        <f t="shared" si="14"/>
        <v/>
      </c>
      <c r="AO27" s="656">
        <f t="shared" si="15"/>
        <v>-54.599999999999994</v>
      </c>
      <c r="AQ27" s="656">
        <f t="shared" si="16"/>
        <v>39.700000000000003</v>
      </c>
      <c r="AR27" s="656" t="str">
        <f t="shared" si="7"/>
        <v/>
      </c>
      <c r="AS27" s="656" t="str">
        <f t="shared" si="8"/>
        <v/>
      </c>
      <c r="AT27" s="656" t="str">
        <f t="shared" si="9"/>
        <v/>
      </c>
    </row>
    <row r="28" spans="2:46" s="345" customFormat="1" ht="12.75" customHeight="1">
      <c r="B28" s="1022" t="s">
        <v>1248</v>
      </c>
      <c r="C28" s="937">
        <f>IF('Sections rachis &amp; L pennes'!Q27="","",'Sections rachis &amp; L pennes'!Q27)</f>
        <v>98.599508599508596</v>
      </c>
      <c r="D28" s="632">
        <v>18.899999999999999</v>
      </c>
      <c r="E28" s="632"/>
      <c r="F28" s="632"/>
      <c r="G28" s="632"/>
      <c r="H28" s="937">
        <f>IF('Sections rachis &amp; L pennes'!V27="","",'Sections rachis &amp; L pennes'!V27)</f>
        <v>97.960687960687963</v>
      </c>
      <c r="I28" s="397"/>
      <c r="J28" s="632"/>
      <c r="K28" s="632"/>
      <c r="L28" s="398">
        <v>13</v>
      </c>
      <c r="M28" s="762"/>
      <c r="N28" s="1022" t="s">
        <v>1248</v>
      </c>
      <c r="O28" s="937">
        <f t="shared" si="17"/>
        <v>98.599508599508596</v>
      </c>
      <c r="P28" s="1017">
        <f t="shared" si="10"/>
        <v>29.888087363776393</v>
      </c>
      <c r="Q28" s="1017" t="str">
        <f t="shared" si="0"/>
        <v/>
      </c>
      <c r="R28" s="1017" t="str">
        <f t="shared" si="1"/>
        <v/>
      </c>
      <c r="S28" s="1017" t="str">
        <f t="shared" si="2"/>
        <v/>
      </c>
      <c r="T28" s="937">
        <f t="shared" si="18"/>
        <v>97.960687960687963</v>
      </c>
      <c r="U28" s="1017" t="str">
        <f t="shared" si="11"/>
        <v/>
      </c>
      <c r="V28" s="1017" t="str">
        <f t="shared" si="3"/>
        <v/>
      </c>
      <c r="W28" s="1017" t="str">
        <f t="shared" si="4"/>
        <v/>
      </c>
      <c r="X28" s="1017">
        <f t="shared" si="5"/>
        <v>6.9012987228844427</v>
      </c>
      <c r="Y28" s="762"/>
      <c r="Z28" s="1023" t="s">
        <v>1248</v>
      </c>
      <c r="AA28" s="937">
        <f t="shared" si="21"/>
        <v>98.599508599508596</v>
      </c>
      <c r="AB28" s="632">
        <v>58.9</v>
      </c>
      <c r="AC28" s="632"/>
      <c r="AD28" s="632"/>
      <c r="AE28" s="632"/>
      <c r="AF28" s="937">
        <f t="shared" si="22"/>
        <v>97.960687960687963</v>
      </c>
      <c r="AG28" s="397"/>
      <c r="AH28" s="632"/>
      <c r="AI28" s="632"/>
      <c r="AJ28" s="398">
        <v>135.69999999999999</v>
      </c>
      <c r="AK28" s="770"/>
      <c r="AL28" s="656">
        <f t="shared" si="12"/>
        <v>31.1</v>
      </c>
      <c r="AM28" s="656" t="str">
        <f t="shared" si="13"/>
        <v/>
      </c>
      <c r="AN28" s="656" t="str">
        <f t="shared" si="14"/>
        <v/>
      </c>
      <c r="AO28" s="656" t="str">
        <f t="shared" si="15"/>
        <v/>
      </c>
      <c r="AQ28" s="656" t="str">
        <f t="shared" si="16"/>
        <v/>
      </c>
      <c r="AR28" s="656" t="str">
        <f t="shared" si="7"/>
        <v/>
      </c>
      <c r="AS28" s="656" t="str">
        <f t="shared" si="8"/>
        <v/>
      </c>
      <c r="AT28" s="656">
        <f t="shared" si="9"/>
        <v>-45.699999999999989</v>
      </c>
    </row>
    <row r="29" spans="2:46" s="345" customFormat="1" ht="12.75" customHeight="1">
      <c r="B29" s="1022" t="s">
        <v>1249</v>
      </c>
      <c r="C29" s="937">
        <f>IF('Sections rachis &amp; L pennes'!Q28="","",'Sections rachis &amp; L pennes'!Q28)</f>
        <v>99.017199017199019</v>
      </c>
      <c r="D29" s="632"/>
      <c r="E29" s="632"/>
      <c r="F29" s="632"/>
      <c r="G29" s="632">
        <v>13.3</v>
      </c>
      <c r="H29" s="937">
        <f>IF('Sections rachis &amp; L pennes'!V28="","",'Sections rachis &amp; L pennes'!V28)</f>
        <v>99.017199017199019</v>
      </c>
      <c r="I29" s="397">
        <v>13.4</v>
      </c>
      <c r="J29" s="632"/>
      <c r="K29" s="632"/>
      <c r="L29" s="398"/>
      <c r="M29" s="762"/>
      <c r="N29" s="1022" t="s">
        <v>1249</v>
      </c>
      <c r="O29" s="937">
        <f t="shared" si="17"/>
        <v>99.017199017199019</v>
      </c>
      <c r="P29" s="1017" t="str">
        <f t="shared" si="10"/>
        <v/>
      </c>
      <c r="Q29" s="1017" t="str">
        <f t="shared" si="0"/>
        <v/>
      </c>
      <c r="R29" s="1017" t="str">
        <f t="shared" si="1"/>
        <v/>
      </c>
      <c r="S29" s="1017">
        <f t="shared" si="2"/>
        <v>9.2658251586011922</v>
      </c>
      <c r="T29" s="937">
        <f t="shared" si="18"/>
        <v>99.017199017199019</v>
      </c>
      <c r="U29" s="1017">
        <f t="shared" si="11"/>
        <v>22.225824483479077</v>
      </c>
      <c r="V29" s="1017" t="str">
        <f t="shared" si="3"/>
        <v/>
      </c>
      <c r="W29" s="1017" t="str">
        <f t="shared" si="4"/>
        <v/>
      </c>
      <c r="X29" s="1017" t="str">
        <f t="shared" si="5"/>
        <v/>
      </c>
      <c r="Y29" s="762"/>
      <c r="Z29" s="1023" t="s">
        <v>1249</v>
      </c>
      <c r="AA29" s="937">
        <f t="shared" si="21"/>
        <v>99.017199017199019</v>
      </c>
      <c r="AB29" s="632"/>
      <c r="AC29" s="632"/>
      <c r="AD29" s="632"/>
      <c r="AE29" s="632">
        <v>127.8</v>
      </c>
      <c r="AF29" s="937">
        <f t="shared" si="22"/>
        <v>99.017199017199019</v>
      </c>
      <c r="AG29" s="397">
        <v>84.5</v>
      </c>
      <c r="AH29" s="632"/>
      <c r="AI29" s="632"/>
      <c r="AJ29" s="398"/>
      <c r="AK29" s="770"/>
      <c r="AL29" s="656" t="str">
        <f t="shared" si="12"/>
        <v/>
      </c>
      <c r="AM29" s="656" t="str">
        <f t="shared" si="13"/>
        <v/>
      </c>
      <c r="AN29" s="656" t="str">
        <f t="shared" si="14"/>
        <v/>
      </c>
      <c r="AO29" s="656">
        <f t="shared" si="15"/>
        <v>-37.799999999999997</v>
      </c>
      <c r="AQ29" s="656">
        <f t="shared" si="16"/>
        <v>5.5</v>
      </c>
      <c r="AR29" s="656" t="str">
        <f t="shared" si="7"/>
        <v/>
      </c>
      <c r="AS29" s="656" t="str">
        <f t="shared" si="8"/>
        <v/>
      </c>
      <c r="AT29" s="656" t="str">
        <f t="shared" si="9"/>
        <v/>
      </c>
    </row>
    <row r="30" spans="2:46" s="345" customFormat="1" ht="12.75" customHeight="1">
      <c r="B30" s="1022" t="s">
        <v>1251</v>
      </c>
      <c r="C30" s="937">
        <f>IF('Sections rachis &amp; L pennes'!Q29="","",'Sections rachis &amp; L pennes'!Q29)</f>
        <v>99.656019656019652</v>
      </c>
      <c r="D30" s="632"/>
      <c r="E30" s="632">
        <v>14.4</v>
      </c>
      <c r="F30" s="632"/>
      <c r="G30" s="632"/>
      <c r="H30" s="937">
        <f>IF('Sections rachis &amp; L pennes'!V29="","",'Sections rachis &amp; L pennes'!V29)</f>
        <v>99.631449631449627</v>
      </c>
      <c r="I30" s="397"/>
      <c r="J30" s="632"/>
      <c r="K30" s="632"/>
      <c r="L30" s="398">
        <v>11.1</v>
      </c>
      <c r="M30" s="762"/>
      <c r="N30" s="1022" t="s">
        <v>1251</v>
      </c>
      <c r="O30" s="937">
        <f t="shared" si="17"/>
        <v>99.656019656019652</v>
      </c>
      <c r="P30" s="1017" t="str">
        <f t="shared" si="10"/>
        <v/>
      </c>
      <c r="Q30" s="1017">
        <f t="shared" si="0"/>
        <v>13.037095169997526</v>
      </c>
      <c r="R30" s="1017" t="str">
        <f t="shared" si="1"/>
        <v/>
      </c>
      <c r="S30" s="1017" t="str">
        <f t="shared" si="2"/>
        <v/>
      </c>
      <c r="T30" s="937">
        <f t="shared" si="18"/>
        <v>99.631449631449627</v>
      </c>
      <c r="U30" s="1017" t="str">
        <f t="shared" si="11"/>
        <v/>
      </c>
      <c r="V30" s="1017" t="str">
        <f t="shared" si="3"/>
        <v/>
      </c>
      <c r="W30" s="1017" t="str">
        <f t="shared" si="4"/>
        <v/>
      </c>
      <c r="X30" s="1017">
        <f t="shared" si="5"/>
        <v>12.348688739345814</v>
      </c>
      <c r="Y30" s="762"/>
      <c r="Z30" s="1023" t="s">
        <v>1251</v>
      </c>
      <c r="AA30" s="937">
        <f t="shared" si="21"/>
        <v>99.656019656019652</v>
      </c>
      <c r="AB30" s="632"/>
      <c r="AC30" s="632">
        <v>115.2</v>
      </c>
      <c r="AD30" s="632"/>
      <c r="AE30" s="632"/>
      <c r="AF30" s="937">
        <f t="shared" si="22"/>
        <v>99.631449631449627</v>
      </c>
      <c r="AG30" s="397"/>
      <c r="AH30" s="632"/>
      <c r="AI30" s="632"/>
      <c r="AJ30" s="398">
        <v>117.5</v>
      </c>
      <c r="AK30" s="770"/>
      <c r="AL30" s="656" t="str">
        <f t="shared" si="12"/>
        <v/>
      </c>
      <c r="AM30" s="656">
        <f t="shared" si="13"/>
        <v>-25.200000000000003</v>
      </c>
      <c r="AN30" s="656" t="str">
        <f t="shared" si="14"/>
        <v/>
      </c>
      <c r="AO30" s="656" t="str">
        <f t="shared" si="15"/>
        <v/>
      </c>
      <c r="AQ30" s="656" t="str">
        <f t="shared" si="16"/>
        <v/>
      </c>
      <c r="AR30" s="656" t="str">
        <f t="shared" si="7"/>
        <v/>
      </c>
      <c r="AS30" s="656" t="str">
        <f t="shared" si="8"/>
        <v/>
      </c>
      <c r="AT30" s="656">
        <f t="shared" si="9"/>
        <v>-27.5</v>
      </c>
    </row>
    <row r="31" spans="2:46" s="345" customFormat="1" ht="12.75" customHeight="1" thickBot="1">
      <c r="B31" s="1024" t="s">
        <v>1252</v>
      </c>
      <c r="C31" s="659">
        <f>IF('Sections rachis &amp; L pennes'!Q30="","",'Sections rachis &amp; L pennes'!Q30)</f>
        <v>99.877149877149876</v>
      </c>
      <c r="D31" s="642"/>
      <c r="E31" s="642">
        <v>4.3</v>
      </c>
      <c r="F31" s="642"/>
      <c r="G31" s="642"/>
      <c r="H31" s="659">
        <f>IF('Sections rachis &amp; L pennes'!V30="","",'Sections rachis &amp; L pennes'!V30)</f>
        <v>99.975429975429975</v>
      </c>
      <c r="I31" s="387"/>
      <c r="J31" s="642">
        <v>4</v>
      </c>
      <c r="K31" s="642"/>
      <c r="L31" s="388"/>
      <c r="M31" s="762"/>
      <c r="N31" s="1024" t="s">
        <v>1252</v>
      </c>
      <c r="O31" s="659">
        <f t="shared" si="17"/>
        <v>99.877149877149876</v>
      </c>
      <c r="P31" s="1025" t="str">
        <f t="shared" si="10"/>
        <v/>
      </c>
      <c r="Q31" s="1025">
        <f t="shared" si="0"/>
        <v>2.9803751396072933</v>
      </c>
      <c r="R31" s="1025" t="str">
        <f t="shared" si="1"/>
        <v/>
      </c>
      <c r="S31" s="1025" t="str">
        <f t="shared" si="2"/>
        <v/>
      </c>
      <c r="T31" s="659">
        <f t="shared" si="18"/>
        <v>99.975429975429975</v>
      </c>
      <c r="U31" s="1025" t="str">
        <f t="shared" si="11"/>
        <v/>
      </c>
      <c r="V31" s="1025">
        <f t="shared" si="3"/>
        <v>2.9803751396072933</v>
      </c>
      <c r="W31" s="1025" t="str">
        <f t="shared" si="4"/>
        <v/>
      </c>
      <c r="X31" s="1025" t="str">
        <f t="shared" si="5"/>
        <v/>
      </c>
      <c r="Y31" s="762"/>
      <c r="Z31" s="1026" t="s">
        <v>1252</v>
      </c>
      <c r="AA31" s="659">
        <f t="shared" si="21"/>
        <v>99.877149877149876</v>
      </c>
      <c r="AB31" s="642"/>
      <c r="AC31" s="642">
        <v>148.80000000000001</v>
      </c>
      <c r="AD31" s="642"/>
      <c r="AE31" s="642"/>
      <c r="AF31" s="659">
        <f t="shared" si="22"/>
        <v>99.975429975429975</v>
      </c>
      <c r="AG31" s="387"/>
      <c r="AH31" s="642">
        <v>148.80000000000001</v>
      </c>
      <c r="AI31" s="642"/>
      <c r="AJ31" s="388"/>
      <c r="AK31" s="770"/>
      <c r="AL31" s="656" t="str">
        <f t="shared" si="12"/>
        <v/>
      </c>
      <c r="AM31" s="656">
        <f t="shared" si="13"/>
        <v>-58.800000000000011</v>
      </c>
      <c r="AN31" s="656" t="str">
        <f t="shared" si="14"/>
        <v/>
      </c>
      <c r="AO31" s="656" t="str">
        <f t="shared" si="15"/>
        <v/>
      </c>
      <c r="AQ31" s="656" t="str">
        <f t="shared" si="16"/>
        <v/>
      </c>
      <c r="AR31" s="656">
        <f t="shared" si="7"/>
        <v>-58.800000000000011</v>
      </c>
      <c r="AS31" s="656" t="str">
        <f t="shared" si="8"/>
        <v/>
      </c>
      <c r="AT31" s="656" t="str">
        <f t="shared" si="9"/>
        <v/>
      </c>
    </row>
    <row r="32" spans="2:46" s="345" customFormat="1" ht="12.75" customHeight="1" thickBot="1">
      <c r="B32" s="1027" t="s">
        <v>1254</v>
      </c>
      <c r="C32" s="925">
        <f>IF('Sections rachis &amp; L pennes'!Q31="","",'Sections rachis &amp; L pennes'!Q31)</f>
        <v>100</v>
      </c>
      <c r="D32" s="662"/>
      <c r="E32" s="662">
        <v>0.2</v>
      </c>
      <c r="F32" s="662"/>
      <c r="G32" s="662"/>
      <c r="H32" s="925" t="str">
        <f>IF('Sections rachis &amp; L pennes'!V31="","",'Sections rachis &amp; L pennes'!V31)</f>
        <v>XXX</v>
      </c>
      <c r="I32" s="663"/>
      <c r="J32" s="662"/>
      <c r="K32" s="664"/>
      <c r="L32" s="665"/>
      <c r="M32" s="762"/>
      <c r="N32" s="1027" t="s">
        <v>1254</v>
      </c>
      <c r="O32" s="925">
        <f t="shared" si="17"/>
        <v>100</v>
      </c>
      <c r="P32" s="1028" t="str">
        <f t="shared" si="10"/>
        <v/>
      </c>
      <c r="Q32" s="1028">
        <f t="shared" si="0"/>
        <v>19.083099473982131</v>
      </c>
      <c r="R32" s="1028" t="str">
        <f t="shared" si="1"/>
        <v/>
      </c>
      <c r="S32" s="1028" t="str">
        <f t="shared" si="2"/>
        <v/>
      </c>
      <c r="T32" s="925" t="str">
        <f t="shared" si="18"/>
        <v>XXX</v>
      </c>
      <c r="U32" s="1028" t="str">
        <f t="shared" si="11"/>
        <v/>
      </c>
      <c r="V32" s="1028" t="str">
        <f t="shared" si="3"/>
        <v/>
      </c>
      <c r="W32" s="1028" t="str">
        <f t="shared" si="4"/>
        <v/>
      </c>
      <c r="X32" s="1028" t="str">
        <f t="shared" si="5"/>
        <v/>
      </c>
      <c r="Y32" s="762"/>
      <c r="Z32" s="1029" t="s">
        <v>1254</v>
      </c>
      <c r="AA32" s="925">
        <f t="shared" si="21"/>
        <v>100</v>
      </c>
      <c r="AB32" s="662"/>
      <c r="AC32" s="662">
        <v>95</v>
      </c>
      <c r="AD32" s="662"/>
      <c r="AE32" s="662"/>
      <c r="AF32" s="925" t="str">
        <f t="shared" si="22"/>
        <v>XXX</v>
      </c>
      <c r="AG32" s="663"/>
      <c r="AH32" s="662"/>
      <c r="AI32" s="664"/>
      <c r="AJ32" s="665"/>
      <c r="AK32" s="770"/>
      <c r="AL32" s="656" t="str">
        <f t="shared" si="12"/>
        <v/>
      </c>
      <c r="AM32" s="656">
        <f t="shared" si="13"/>
        <v>-5</v>
      </c>
      <c r="AN32" s="656" t="str">
        <f t="shared" si="14"/>
        <v/>
      </c>
      <c r="AO32" s="656" t="str">
        <f t="shared" si="15"/>
        <v/>
      </c>
      <c r="AQ32" s="656" t="str">
        <f t="shared" si="16"/>
        <v/>
      </c>
      <c r="AR32" s="656" t="str">
        <f t="shared" si="7"/>
        <v/>
      </c>
      <c r="AS32" s="656" t="str">
        <f t="shared" si="8"/>
        <v/>
      </c>
      <c r="AT32" s="656" t="str">
        <f t="shared" si="9"/>
        <v/>
      </c>
    </row>
    <row r="33" spans="1:46" s="345" customFormat="1">
      <c r="C33" s="1030"/>
      <c r="D33" s="578"/>
      <c r="E33" s="578"/>
      <c r="F33" s="367"/>
      <c r="G33" s="367"/>
      <c r="H33" s="367"/>
      <c r="I33" s="367"/>
      <c r="J33" s="367"/>
      <c r="K33" s="367"/>
      <c r="L33" s="367"/>
      <c r="M33" s="367"/>
      <c r="N33" s="367"/>
    </row>
    <row r="34" spans="1:46" s="345" customFormat="1">
      <c r="C34" s="1030"/>
      <c r="D34" s="578"/>
      <c r="E34" s="578"/>
      <c r="F34" s="367"/>
      <c r="G34" s="367"/>
      <c r="H34" s="367"/>
      <c r="I34" s="367"/>
      <c r="J34" s="367"/>
      <c r="K34" s="367"/>
      <c r="L34" s="367"/>
      <c r="M34" s="367"/>
      <c r="N34" s="367"/>
    </row>
    <row r="35" spans="1:46" s="345" customFormat="1"/>
    <row r="36" spans="1:46" s="345" customFormat="1" ht="15.75">
      <c r="B36" s="1323" t="s">
        <v>1102</v>
      </c>
      <c r="C36" s="1323"/>
      <c r="D36" s="1323"/>
      <c r="E36" s="1323"/>
      <c r="F36" s="1323"/>
      <c r="G36" s="1322" t="str">
        <f>IF('Stipe=phyllotaxie&amp;croissance'!$E$11&gt;0,'Stipe=phyllotaxie&amp;croissance'!$E$11,"")</f>
        <v>Rochdi</v>
      </c>
      <c r="H36" s="1322"/>
      <c r="I36" s="1323" t="s">
        <v>1103</v>
      </c>
      <c r="J36" s="1323"/>
      <c r="K36" s="1323"/>
      <c r="L36" s="1323"/>
      <c r="M36" s="1512" t="str">
        <f>IF('Stipe=phyllotaxie&amp;croissance'!$E$10&gt;0,'Stipe=phyllotaxie&amp;croissance'!$E$10,"")</f>
        <v>01</v>
      </c>
      <c r="N36" s="1512"/>
    </row>
    <row r="37" spans="1:46" s="345" customFormat="1"/>
    <row r="38" spans="1:46" s="345" customFormat="1" ht="18">
      <c r="A38" s="976"/>
      <c r="B38" s="1319" t="s">
        <v>1368</v>
      </c>
      <c r="C38" s="1319"/>
      <c r="D38" s="1319"/>
      <c r="E38" s="1319"/>
      <c r="F38" s="1319"/>
      <c r="G38" s="1319"/>
      <c r="H38" s="1319"/>
      <c r="I38" s="1319"/>
      <c r="J38" s="1319"/>
      <c r="K38" s="1319"/>
      <c r="L38" s="1319"/>
      <c r="N38" s="1319" t="s">
        <v>1369</v>
      </c>
      <c r="O38" s="1319"/>
      <c r="P38" s="1319"/>
      <c r="Q38" s="1319"/>
      <c r="R38" s="1319"/>
      <c r="S38" s="1319"/>
      <c r="T38" s="1319"/>
      <c r="U38" s="1319"/>
      <c r="V38" s="1319"/>
      <c r="W38" s="1319"/>
      <c r="Z38" s="1319" t="s">
        <v>1370</v>
      </c>
      <c r="AA38" s="1319"/>
      <c r="AB38" s="1319"/>
      <c r="AC38" s="1319"/>
      <c r="AD38" s="1319"/>
      <c r="AE38" s="1319"/>
      <c r="AF38" s="1319"/>
      <c r="AG38" s="1319"/>
      <c r="AH38" s="1319"/>
      <c r="AI38" s="1319"/>
    </row>
    <row r="39" spans="1:46" s="345" customFormat="1" ht="13.5" thickBot="1"/>
    <row r="40" spans="1:46" s="345" customFormat="1" ht="15.75" thickBot="1">
      <c r="C40" s="1498" t="s">
        <v>1229</v>
      </c>
      <c r="D40" s="1499"/>
      <c r="E40" s="1513"/>
      <c r="F40" s="577">
        <f>IF('Folioles=disposition&amp;groupes'!$P$7&gt;0,'Folioles=disposition&amp;groupes'!$P$7,"")</f>
        <v>83</v>
      </c>
    </row>
    <row r="41" spans="1:46" s="345" customFormat="1" ht="15.75" thickBot="1">
      <c r="C41" s="981"/>
      <c r="D41" s="981"/>
      <c r="E41" s="581"/>
      <c r="F41" s="581"/>
      <c r="G41" s="581"/>
      <c r="H41" s="581"/>
      <c r="I41" s="581"/>
      <c r="Q41" s="981"/>
      <c r="R41" s="981"/>
      <c r="S41" s="581"/>
      <c r="T41" s="581"/>
      <c r="U41" s="581"/>
      <c r="AE41" s="981"/>
      <c r="AF41" s="981"/>
      <c r="AG41" s="581"/>
      <c r="AH41" s="581"/>
      <c r="AI41" s="581"/>
    </row>
    <row r="42" spans="1:46" s="345" customFormat="1" ht="15.75" thickBot="1">
      <c r="C42" s="1005" t="s">
        <v>1303</v>
      </c>
      <c r="D42" s="1006"/>
      <c r="E42" s="1007"/>
      <c r="F42" s="1008">
        <v>5</v>
      </c>
      <c r="G42" s="578"/>
      <c r="H42" s="578"/>
      <c r="I42" s="578"/>
      <c r="Q42" s="582"/>
      <c r="R42" s="582"/>
      <c r="S42" s="582"/>
      <c r="T42" s="578"/>
      <c r="U42" s="578"/>
      <c r="AE42" s="582"/>
      <c r="AF42" s="582"/>
      <c r="AG42" s="582"/>
      <c r="AH42" s="578"/>
      <c r="AI42" s="578"/>
    </row>
    <row r="43" spans="1:46" s="345" customFormat="1" ht="15">
      <c r="C43" s="981"/>
      <c r="D43" s="981"/>
      <c r="E43" s="581"/>
      <c r="F43" s="581"/>
      <c r="G43" s="581"/>
      <c r="H43" s="581"/>
      <c r="I43" s="581"/>
      <c r="V43" s="694"/>
      <c r="W43" s="694"/>
      <c r="X43" s="694"/>
      <c r="Y43" s="694"/>
      <c r="Z43" s="694"/>
      <c r="AA43" s="694"/>
      <c r="AB43" s="694"/>
      <c r="AC43" s="694"/>
      <c r="AD43" s="694"/>
      <c r="AE43" s="694"/>
    </row>
    <row r="44" spans="1:46" s="345" customFormat="1" ht="15">
      <c r="C44" s="1616" t="s">
        <v>1304</v>
      </c>
      <c r="D44" s="1616"/>
      <c r="E44" s="1616"/>
      <c r="F44" s="1616"/>
      <c r="G44" s="1616"/>
      <c r="H44" s="1616"/>
      <c r="I44" s="1616"/>
      <c r="J44" s="1616"/>
      <c r="K44" s="1616"/>
      <c r="O44" s="1616" t="s">
        <v>1305</v>
      </c>
      <c r="P44" s="1616"/>
      <c r="Q44" s="1616"/>
      <c r="R44" s="1616"/>
      <c r="S44" s="1616"/>
      <c r="T44" s="1616"/>
      <c r="U44" s="1616"/>
      <c r="V44" s="1616"/>
      <c r="W44" s="1616"/>
      <c r="AA44" s="1616" t="s">
        <v>1306</v>
      </c>
      <c r="AB44" s="1616"/>
      <c r="AC44" s="1616"/>
      <c r="AD44" s="1616"/>
      <c r="AE44" s="1616"/>
      <c r="AF44" s="1616"/>
      <c r="AG44" s="1616"/>
      <c r="AH44" s="1616"/>
      <c r="AI44" s="1616"/>
      <c r="AJ44" s="1616"/>
    </row>
    <row r="45" spans="1:46" s="345" customFormat="1" ht="13.5" thickBot="1"/>
    <row r="46" spans="1:46" s="345" customFormat="1" ht="15.75" thickBot="1">
      <c r="C46" s="1515" t="s">
        <v>1234</v>
      </c>
      <c r="D46" s="1498" t="s">
        <v>1205</v>
      </c>
      <c r="E46" s="1499"/>
      <c r="F46" s="1499"/>
      <c r="G46" s="1500"/>
      <c r="H46" s="981"/>
      <c r="I46" s="1498" t="s">
        <v>1206</v>
      </c>
      <c r="J46" s="1499"/>
      <c r="K46" s="1499"/>
      <c r="L46" s="1500"/>
      <c r="O46" s="1515" t="s">
        <v>1234</v>
      </c>
      <c r="P46" s="1498" t="s">
        <v>1205</v>
      </c>
      <c r="Q46" s="1499"/>
      <c r="R46" s="1499"/>
      <c r="S46" s="1500"/>
      <c r="T46" s="981"/>
      <c r="U46" s="1498" t="s">
        <v>1206</v>
      </c>
      <c r="V46" s="1499"/>
      <c r="W46" s="1499"/>
      <c r="X46" s="1500"/>
      <c r="AA46" s="1515" t="s">
        <v>1234</v>
      </c>
      <c r="AB46" s="1498" t="s">
        <v>1205</v>
      </c>
      <c r="AC46" s="1499"/>
      <c r="AD46" s="1499"/>
      <c r="AE46" s="1500"/>
      <c r="AF46" s="981"/>
      <c r="AG46" s="1498" t="s">
        <v>1206</v>
      </c>
      <c r="AH46" s="1499"/>
      <c r="AI46" s="1499"/>
      <c r="AJ46" s="1500"/>
    </row>
    <row r="47" spans="1:46" s="345" customFormat="1" ht="13.5" thickBot="1">
      <c r="C47" s="1608"/>
      <c r="D47" s="584" t="s">
        <v>1239</v>
      </c>
      <c r="E47" s="585" t="s">
        <v>1240</v>
      </c>
      <c r="F47" s="585" t="s">
        <v>1240</v>
      </c>
      <c r="G47" s="586" t="s">
        <v>1241</v>
      </c>
      <c r="H47" s="587"/>
      <c r="I47" s="584" t="s">
        <v>1239</v>
      </c>
      <c r="J47" s="585" t="s">
        <v>1240</v>
      </c>
      <c r="K47" s="585" t="s">
        <v>1240</v>
      </c>
      <c r="L47" s="586" t="s">
        <v>1241</v>
      </c>
      <c r="O47" s="1608"/>
      <c r="P47" s="584" t="s">
        <v>1239</v>
      </c>
      <c r="Q47" s="585" t="s">
        <v>1240</v>
      </c>
      <c r="R47" s="585" t="s">
        <v>1240</v>
      </c>
      <c r="S47" s="586" t="s">
        <v>1241</v>
      </c>
      <c r="T47" s="587"/>
      <c r="U47" s="584" t="s">
        <v>1239</v>
      </c>
      <c r="V47" s="585" t="s">
        <v>1240</v>
      </c>
      <c r="W47" s="585" t="s">
        <v>1240</v>
      </c>
      <c r="X47" s="586" t="s">
        <v>1241</v>
      </c>
      <c r="AA47" s="1608"/>
      <c r="AB47" s="584" t="s">
        <v>1239</v>
      </c>
      <c r="AC47" s="585" t="s">
        <v>1240</v>
      </c>
      <c r="AD47" s="585" t="s">
        <v>1240</v>
      </c>
      <c r="AE47" s="586" t="s">
        <v>1241</v>
      </c>
      <c r="AF47" s="587"/>
      <c r="AG47" s="584" t="s">
        <v>1239</v>
      </c>
      <c r="AH47" s="585" t="s">
        <v>1240</v>
      </c>
      <c r="AI47" s="585" t="s">
        <v>1240</v>
      </c>
      <c r="AJ47" s="586" t="s">
        <v>1241</v>
      </c>
    </row>
    <row r="48" spans="1:46" s="345" customFormat="1">
      <c r="B48" s="1031" t="s">
        <v>1243</v>
      </c>
      <c r="C48" s="890">
        <f>IF('Sections rachis &amp; L pennes'!$AC13="","",'Sections rachis &amp; L pennes'!$AC13)</f>
        <v>5.3228419347373288</v>
      </c>
      <c r="D48" s="598">
        <v>50.6</v>
      </c>
      <c r="E48" s="598"/>
      <c r="F48" s="598"/>
      <c r="G48" s="598"/>
      <c r="H48" s="890">
        <f>IF('Sections rachis &amp; L pennes'!$AH13="","",'Sections rachis &amp; L pennes'!$AH13)</f>
        <v>5.5542698449432999</v>
      </c>
      <c r="I48" s="597">
        <v>43</v>
      </c>
      <c r="J48" s="598"/>
      <c r="K48" s="598"/>
      <c r="L48" s="599"/>
      <c r="M48" s="770"/>
      <c r="N48" s="1031" t="s">
        <v>1243</v>
      </c>
      <c r="O48" s="890">
        <f>IF('Sections rachis &amp; L pennes'!$AC13="","",'Sections rachis &amp; L pennes'!$AC13)</f>
        <v>5.3228419347373288</v>
      </c>
      <c r="P48" s="1011">
        <f>IF(AB48="","",$Q$79*(90-AB48)+$V$79)</f>
        <v>38.448271675358555</v>
      </c>
      <c r="Q48" s="1011" t="str">
        <f t="shared" ref="Q48:Q66" si="23">IF(AC48="","",$Q$79*(90-AC48)+$V$79)</f>
        <v/>
      </c>
      <c r="R48" s="1011" t="str">
        <f t="shared" ref="R48:R66" si="24">IF(AD48="","",$Q$79*(90-AD48)+$V$79)</f>
        <v/>
      </c>
      <c r="S48" s="1011" t="str">
        <f t="shared" ref="S48:S66" si="25">IF(AE48="","",$Q$79*(90-AE48)+$V$79)</f>
        <v/>
      </c>
      <c r="T48" s="890">
        <f>IF('Sections rachis &amp; L pennes'!$AH13="","",'Sections rachis &amp; L pennes'!$AH13)</f>
        <v>5.5542698449432999</v>
      </c>
      <c r="U48" s="1010">
        <f>IF(AG48="","",$Q$79*(90-AG48)+$V$79)</f>
        <v>34.647070949586059</v>
      </c>
      <c r="V48" s="1011" t="str">
        <f t="shared" ref="V48:V66" si="26">IF(AH48="","",$Q$79*(90-AH48)+$V$79)</f>
        <v/>
      </c>
      <c r="W48" s="1011" t="str">
        <f t="shared" ref="W48:W66" si="27">IF(AI48="","",$Q$79*(90-AI48)+$V$79)</f>
        <v/>
      </c>
      <c r="X48" s="1032" t="str">
        <f t="shared" ref="X48:X66" si="28">IF(AJ48="","",$Q$79*(90-AJ48)+$V$79)</f>
        <v/>
      </c>
      <c r="Z48" s="1031" t="s">
        <v>1243</v>
      </c>
      <c r="AA48" s="890">
        <f>IF('Sections rachis &amp; L pennes'!$AC13="","",'Sections rachis &amp; L pennes'!$AC13)</f>
        <v>5.3228419347373288</v>
      </c>
      <c r="AB48" s="598">
        <v>30.3</v>
      </c>
      <c r="AC48" s="598"/>
      <c r="AD48" s="598"/>
      <c r="AE48" s="598"/>
      <c r="AF48" s="890"/>
      <c r="AG48" s="597">
        <v>43</v>
      </c>
      <c r="AH48" s="598"/>
      <c r="AI48" s="598"/>
      <c r="AJ48" s="599"/>
      <c r="AL48" s="656">
        <f>IF(AB48="","",90-AB48)</f>
        <v>59.7</v>
      </c>
      <c r="AM48" s="656" t="str">
        <f t="shared" ref="AM48:AM66" si="29">IF(AC48="","",90-AC48)</f>
        <v/>
      </c>
      <c r="AN48" s="656" t="str">
        <f t="shared" ref="AN48:AN66" si="30">IF(AD48="","",90-AD48)</f>
        <v/>
      </c>
      <c r="AO48" s="656" t="str">
        <f t="shared" ref="AO48:AO66" si="31">IF(AE48="","",90-AE48)</f>
        <v/>
      </c>
      <c r="AQ48" s="656">
        <f>IF(AG48="","",90-AG48)</f>
        <v>47</v>
      </c>
      <c r="AR48" s="656" t="str">
        <f t="shared" ref="AR48:AR66" si="32">IF(AH48="","",90-AH48)</f>
        <v/>
      </c>
      <c r="AS48" s="656" t="str">
        <f t="shared" ref="AS48:AS66" si="33">IF(AI48="","",90-AI48)</f>
        <v/>
      </c>
      <c r="AT48" s="656" t="str">
        <f t="shared" ref="AT48:AT66" si="34">IF(AJ48="","",90-AJ48)</f>
        <v/>
      </c>
    </row>
    <row r="49" spans="2:46" s="345" customFormat="1">
      <c r="B49" s="1033" t="s">
        <v>1244</v>
      </c>
      <c r="C49" s="894">
        <f>IF('Sections rachis &amp; L pennes'!$AC14="","",'Sections rachis &amp; L pennes'!$AC14)</f>
        <v>26.429067345521869</v>
      </c>
      <c r="D49" s="612">
        <v>16.3</v>
      </c>
      <c r="E49" s="612"/>
      <c r="F49" s="612"/>
      <c r="G49" s="612"/>
      <c r="H49" s="894">
        <f>IF('Sections rachis &amp; L pennes'!$AH14="","",'Sections rachis &amp; L pennes'!$AH14)</f>
        <v>25.757926405924554</v>
      </c>
      <c r="I49" s="611"/>
      <c r="J49" s="612"/>
      <c r="K49" s="612"/>
      <c r="L49" s="613">
        <v>18.600000000000001</v>
      </c>
      <c r="M49" s="770"/>
      <c r="N49" s="1033" t="s">
        <v>1244</v>
      </c>
      <c r="O49" s="894">
        <f>IF('Sections rachis &amp; L pennes'!$AC14="","",'Sections rachis &amp; L pennes'!$AC14)</f>
        <v>26.429067345521869</v>
      </c>
      <c r="P49" s="1013">
        <f t="shared" ref="P49:P66" si="35">IF(AB49="","",$Q$79*(90-AB49)+$V$79)</f>
        <v>39.675430964781171</v>
      </c>
      <c r="Q49" s="1013" t="str">
        <f t="shared" si="23"/>
        <v/>
      </c>
      <c r="R49" s="1013" t="str">
        <f t="shared" si="24"/>
        <v/>
      </c>
      <c r="S49" s="1013" t="str">
        <f t="shared" si="25"/>
        <v/>
      </c>
      <c r="T49" s="894">
        <f>IF('Sections rachis &amp; L pennes'!$AH14="","",'Sections rachis &amp; L pennes'!$AH14)</f>
        <v>25.757926405924554</v>
      </c>
      <c r="U49" s="1034" t="str">
        <f t="shared" ref="U49:U66" si="36">IF(AG49="","",$Q$79*(90-AG49)+$V$79)</f>
        <v/>
      </c>
      <c r="V49" s="1013" t="str">
        <f t="shared" si="26"/>
        <v/>
      </c>
      <c r="W49" s="1013" t="str">
        <f t="shared" si="27"/>
        <v/>
      </c>
      <c r="X49" s="1035">
        <f t="shared" si="28"/>
        <v>0.8552944188998346</v>
      </c>
      <c r="Y49" s="762"/>
      <c r="Z49" s="1033" t="s">
        <v>1244</v>
      </c>
      <c r="AA49" s="894">
        <f>IF('Sections rachis &amp; L pennes'!$AC14="","",'Sections rachis &amp; L pennes'!$AC14)</f>
        <v>26.429067345521869</v>
      </c>
      <c r="AB49" s="612">
        <v>26.2</v>
      </c>
      <c r="AC49" s="612"/>
      <c r="AD49" s="612"/>
      <c r="AE49" s="612"/>
      <c r="AF49" s="894"/>
      <c r="AG49" s="611"/>
      <c r="AH49" s="612"/>
      <c r="AI49" s="612"/>
      <c r="AJ49" s="613">
        <v>155.9</v>
      </c>
      <c r="AL49" s="656">
        <f t="shared" ref="AL49:AL66" si="37">IF(AB49="","",90-AB49)</f>
        <v>63.8</v>
      </c>
      <c r="AM49" s="656" t="str">
        <f t="shared" si="29"/>
        <v/>
      </c>
      <c r="AN49" s="656" t="str">
        <f t="shared" si="30"/>
        <v/>
      </c>
      <c r="AO49" s="656" t="str">
        <f t="shared" si="31"/>
        <v/>
      </c>
      <c r="AQ49" s="656" t="str">
        <f t="shared" ref="AQ49:AQ66" si="38">IF(AG49="","",90-AG49)</f>
        <v/>
      </c>
      <c r="AR49" s="656" t="str">
        <f t="shared" si="32"/>
        <v/>
      </c>
      <c r="AS49" s="656" t="str">
        <f t="shared" si="33"/>
        <v/>
      </c>
      <c r="AT49" s="656">
        <f t="shared" si="34"/>
        <v>-65.900000000000006</v>
      </c>
    </row>
    <row r="50" spans="2:46" s="345" customFormat="1" ht="13.5" thickBot="1">
      <c r="B50" s="1036" t="s">
        <v>1245</v>
      </c>
      <c r="C50" s="897">
        <f>IF('Sections rachis &amp; L pennes'!$AC15="","",'Sections rachis &amp; L pennes'!$AC15)</f>
        <v>26.799352001851421</v>
      </c>
      <c r="D50" s="623"/>
      <c r="E50" s="623"/>
      <c r="F50" s="623"/>
      <c r="G50" s="623">
        <v>18.2</v>
      </c>
      <c r="H50" s="897">
        <f>IF('Sections rachis &amp; L pennes'!$AH15="","",'Sections rachis &amp; L pennes'!$AH15)</f>
        <v>27.794492015737095</v>
      </c>
      <c r="I50" s="622">
        <v>20.2</v>
      </c>
      <c r="J50" s="623"/>
      <c r="K50" s="623"/>
      <c r="L50" s="624"/>
      <c r="M50" s="770"/>
      <c r="N50" s="1036" t="s">
        <v>1245</v>
      </c>
      <c r="O50" s="897">
        <f>IF('Sections rachis &amp; L pennes'!$AC15="","",'Sections rachis &amp; L pennes'!$AC15)</f>
        <v>26.799352001851421</v>
      </c>
      <c r="P50" s="1015" t="str">
        <f t="shared" si="35"/>
        <v/>
      </c>
      <c r="Q50" s="1015" t="str">
        <f t="shared" si="23"/>
        <v/>
      </c>
      <c r="R50" s="1015" t="str">
        <f t="shared" si="24"/>
        <v/>
      </c>
      <c r="S50" s="1015">
        <f t="shared" si="25"/>
        <v>-1.2696298008847862E-2</v>
      </c>
      <c r="T50" s="897">
        <f>IF('Sections rachis &amp; L pennes'!$AH15="","",'Sections rachis &amp; L pennes'!$AH15)</f>
        <v>27.794492015737095</v>
      </c>
      <c r="U50" s="1037">
        <f t="shared" si="36"/>
        <v>40.603283110442177</v>
      </c>
      <c r="V50" s="1015" t="str">
        <f t="shared" si="26"/>
        <v/>
      </c>
      <c r="W50" s="1015" t="str">
        <f t="shared" si="27"/>
        <v/>
      </c>
      <c r="X50" s="1038" t="str">
        <f t="shared" si="28"/>
        <v/>
      </c>
      <c r="Y50" s="762"/>
      <c r="Z50" s="1036" t="s">
        <v>1245</v>
      </c>
      <c r="AA50" s="897">
        <f>IF('Sections rachis &amp; L pennes'!$AC15="","",'Sections rachis &amp; L pennes'!$AC15)</f>
        <v>26.799352001851421</v>
      </c>
      <c r="AB50" s="623"/>
      <c r="AC50" s="623"/>
      <c r="AD50" s="623"/>
      <c r="AE50" s="623">
        <v>158.80000000000001</v>
      </c>
      <c r="AF50" s="897"/>
      <c r="AG50" s="622">
        <v>23.1</v>
      </c>
      <c r="AH50" s="623"/>
      <c r="AI50" s="623"/>
      <c r="AJ50" s="624"/>
      <c r="AL50" s="656" t="str">
        <f t="shared" si="37"/>
        <v/>
      </c>
      <c r="AM50" s="656" t="str">
        <f t="shared" si="29"/>
        <v/>
      </c>
      <c r="AN50" s="656" t="str">
        <f t="shared" si="30"/>
        <v/>
      </c>
      <c r="AO50" s="656">
        <f t="shared" si="31"/>
        <v>-68.800000000000011</v>
      </c>
      <c r="AQ50" s="656">
        <f t="shared" si="38"/>
        <v>66.900000000000006</v>
      </c>
      <c r="AR50" s="656" t="str">
        <f t="shared" si="32"/>
        <v/>
      </c>
      <c r="AS50" s="656" t="str">
        <f t="shared" si="33"/>
        <v/>
      </c>
      <c r="AT50" s="656" t="str">
        <f t="shared" si="34"/>
        <v/>
      </c>
    </row>
    <row r="51" spans="2:46" s="345" customFormat="1">
      <c r="C51" s="933" t="str">
        <f>IF('Sections rachis &amp; L pennes'!$AC16="","",'Sections rachis &amp; L pennes'!$AC16)</f>
        <v/>
      </c>
      <c r="D51" s="384"/>
      <c r="E51" s="631"/>
      <c r="F51" s="631"/>
      <c r="G51" s="385"/>
      <c r="H51" s="933" t="str">
        <f>IF('Sections rachis &amp; L pennes'!$AH16="","",'Sections rachis &amp; L pennes'!$AH16)</f>
        <v/>
      </c>
      <c r="I51" s="384"/>
      <c r="J51" s="631"/>
      <c r="K51" s="631"/>
      <c r="L51" s="385"/>
      <c r="M51" s="770"/>
      <c r="O51" s="933" t="str">
        <f>IF('Sections rachis &amp; L pennes'!$AC16="","",'Sections rachis &amp; L pennes'!$AC16)</f>
        <v/>
      </c>
      <c r="P51" s="1039" t="str">
        <f t="shared" si="35"/>
        <v/>
      </c>
      <c r="Q51" s="1020" t="str">
        <f t="shared" si="23"/>
        <v/>
      </c>
      <c r="R51" s="1020" t="str">
        <f t="shared" si="24"/>
        <v/>
      </c>
      <c r="S51" s="1040" t="str">
        <f t="shared" si="25"/>
        <v/>
      </c>
      <c r="T51" s="933" t="str">
        <f>IF('Sections rachis &amp; L pennes'!$AH16="","",'Sections rachis &amp; L pennes'!$AH16)</f>
        <v/>
      </c>
      <c r="U51" s="1039" t="str">
        <f t="shared" si="36"/>
        <v/>
      </c>
      <c r="V51" s="1020" t="str">
        <f t="shared" si="26"/>
        <v/>
      </c>
      <c r="W51" s="1020" t="str">
        <f t="shared" si="27"/>
        <v/>
      </c>
      <c r="X51" s="1040" t="str">
        <f t="shared" si="28"/>
        <v/>
      </c>
      <c r="Y51" s="762"/>
      <c r="AA51" s="933" t="str">
        <f>IF('Sections rachis &amp; L pennes'!$AC16="","",'Sections rachis &amp; L pennes'!$AC16)</f>
        <v/>
      </c>
      <c r="AB51" s="384"/>
      <c r="AC51" s="631"/>
      <c r="AD51" s="631"/>
      <c r="AE51" s="385"/>
      <c r="AF51" s="933"/>
      <c r="AG51" s="384"/>
      <c r="AH51" s="631"/>
      <c r="AI51" s="631"/>
      <c r="AJ51" s="385"/>
      <c r="AL51" s="656" t="str">
        <f t="shared" si="37"/>
        <v/>
      </c>
      <c r="AM51" s="656" t="str">
        <f t="shared" si="29"/>
        <v/>
      </c>
      <c r="AN51" s="656" t="str">
        <f t="shared" si="30"/>
        <v/>
      </c>
      <c r="AO51" s="656" t="str">
        <f t="shared" si="31"/>
        <v/>
      </c>
      <c r="AQ51" s="656" t="str">
        <f t="shared" si="38"/>
        <v/>
      </c>
      <c r="AR51" s="656" t="str">
        <f t="shared" si="32"/>
        <v/>
      </c>
      <c r="AS51" s="656" t="str">
        <f t="shared" si="33"/>
        <v/>
      </c>
      <c r="AT51" s="656" t="str">
        <f t="shared" si="34"/>
        <v/>
      </c>
    </row>
    <row r="52" spans="2:46" s="345" customFormat="1">
      <c r="C52" s="937">
        <f>IF('Sections rachis &amp; L pennes'!$AC17="","",'Sections rachis &amp; L pennes'!$AC17)</f>
        <v>10</v>
      </c>
      <c r="D52" s="397"/>
      <c r="E52" s="632">
        <v>28.2</v>
      </c>
      <c r="F52" s="632"/>
      <c r="G52" s="398"/>
      <c r="H52" s="937">
        <f>IF('Sections rachis &amp; L pennes'!$AH17="","",'Sections rachis &amp; L pennes'!$AH17)</f>
        <v>10</v>
      </c>
      <c r="I52" s="397"/>
      <c r="J52" s="632">
        <v>36.9</v>
      </c>
      <c r="K52" s="632"/>
      <c r="L52" s="398"/>
      <c r="M52" s="770"/>
      <c r="O52" s="937">
        <f>IF('Sections rachis &amp; L pennes'!$AC17="","",'Sections rachis &amp; L pennes'!$AC17)</f>
        <v>10</v>
      </c>
      <c r="P52" s="1041" t="str">
        <f t="shared" si="35"/>
        <v/>
      </c>
      <c r="Q52" s="1017">
        <f t="shared" si="23"/>
        <v>3.1599594258642689</v>
      </c>
      <c r="R52" s="1017" t="str">
        <f t="shared" si="24"/>
        <v/>
      </c>
      <c r="S52" s="1042" t="str">
        <f t="shared" si="25"/>
        <v/>
      </c>
      <c r="T52" s="937">
        <f>IF('Sections rachis &amp; L pennes'!$AH17="","",'Sections rachis &amp; L pennes'!$AH17)</f>
        <v>10</v>
      </c>
      <c r="U52" s="1041" t="str">
        <f t="shared" si="36"/>
        <v/>
      </c>
      <c r="V52" s="1017">
        <f t="shared" si="26"/>
        <v>38.837370962248656</v>
      </c>
      <c r="W52" s="1017" t="str">
        <f t="shared" si="27"/>
        <v/>
      </c>
      <c r="X52" s="1042" t="str">
        <f t="shared" si="28"/>
        <v/>
      </c>
      <c r="Y52" s="762"/>
      <c r="AA52" s="937">
        <f>IF('Sections rachis &amp; L pennes'!$AC17="","",'Sections rachis &amp; L pennes'!$AC17)</f>
        <v>10</v>
      </c>
      <c r="AB52" s="397"/>
      <c r="AC52" s="632">
        <v>148.19999999999999</v>
      </c>
      <c r="AD52" s="632"/>
      <c r="AE52" s="398"/>
      <c r="AF52" s="937"/>
      <c r="AG52" s="397"/>
      <c r="AH52" s="632">
        <v>29</v>
      </c>
      <c r="AI52" s="632"/>
      <c r="AJ52" s="398"/>
      <c r="AL52" s="656" t="str">
        <f t="shared" si="37"/>
        <v/>
      </c>
      <c r="AM52" s="656">
        <f t="shared" si="29"/>
        <v>-58.199999999999989</v>
      </c>
      <c r="AN52" s="656" t="str">
        <f t="shared" si="30"/>
        <v/>
      </c>
      <c r="AO52" s="656" t="str">
        <f t="shared" si="31"/>
        <v/>
      </c>
      <c r="AQ52" s="656" t="str">
        <f t="shared" si="38"/>
        <v/>
      </c>
      <c r="AR52" s="656">
        <f t="shared" si="32"/>
        <v>61</v>
      </c>
      <c r="AS52" s="656" t="str">
        <f t="shared" si="33"/>
        <v/>
      </c>
      <c r="AT52" s="656" t="str">
        <f t="shared" si="34"/>
        <v/>
      </c>
    </row>
    <row r="53" spans="2:46" s="345" customFormat="1">
      <c r="C53" s="937">
        <f>IF('Sections rachis &amp; L pennes'!$AC18="","",'Sections rachis &amp; L pennes'!$AC18)</f>
        <v>20</v>
      </c>
      <c r="D53" s="397">
        <v>31</v>
      </c>
      <c r="E53" s="632"/>
      <c r="F53" s="632"/>
      <c r="G53" s="398">
        <v>14.1</v>
      </c>
      <c r="H53" s="937">
        <f>IF('Sections rachis &amp; L pennes'!$AH18="","",'Sections rachis &amp; L pennes'!$AH18)</f>
        <v>20</v>
      </c>
      <c r="I53" s="397">
        <v>14.3</v>
      </c>
      <c r="J53" s="632"/>
      <c r="K53" s="632"/>
      <c r="L53" s="398">
        <v>13.5</v>
      </c>
      <c r="M53" s="770"/>
      <c r="O53" s="937">
        <f>IF('Sections rachis &amp; L pennes'!$AC18="","",'Sections rachis &amp; L pennes'!$AC18)</f>
        <v>20</v>
      </c>
      <c r="P53" s="1041">
        <f t="shared" si="35"/>
        <v>38.59792524723936</v>
      </c>
      <c r="Q53" s="1017" t="str">
        <f t="shared" si="23"/>
        <v/>
      </c>
      <c r="R53" s="1017" t="str">
        <f t="shared" si="24"/>
        <v/>
      </c>
      <c r="S53" s="1042">
        <f t="shared" si="25"/>
        <v>5.3149708609478861</v>
      </c>
      <c r="T53" s="937">
        <f>IF('Sections rachis &amp; L pennes'!$AH18="","",'Sections rachis &amp; L pennes'!$AH18)</f>
        <v>20</v>
      </c>
      <c r="U53" s="1041">
        <f t="shared" si="36"/>
        <v>40.483560252937529</v>
      </c>
      <c r="V53" s="1017" t="str">
        <f t="shared" si="26"/>
        <v/>
      </c>
      <c r="W53" s="1017" t="str">
        <f t="shared" si="27"/>
        <v/>
      </c>
      <c r="X53" s="1042">
        <f t="shared" si="28"/>
        <v>-7.2557726761164787E-2</v>
      </c>
      <c r="Y53" s="762"/>
      <c r="AA53" s="937">
        <f>IF('Sections rachis &amp; L pennes'!$AC18="","",'Sections rachis &amp; L pennes'!$AC18)</f>
        <v>20</v>
      </c>
      <c r="AB53" s="651">
        <v>29.8</v>
      </c>
      <c r="AC53" s="630"/>
      <c r="AD53" s="630"/>
      <c r="AE53" s="652">
        <v>141</v>
      </c>
      <c r="AF53" s="937"/>
      <c r="AG53" s="397">
        <v>23.5</v>
      </c>
      <c r="AH53" s="632"/>
      <c r="AI53" s="632"/>
      <c r="AJ53" s="398">
        <v>159</v>
      </c>
      <c r="AL53" s="656">
        <f t="shared" si="37"/>
        <v>60.2</v>
      </c>
      <c r="AM53" s="656" t="str">
        <f t="shared" si="29"/>
        <v/>
      </c>
      <c r="AN53" s="656" t="str">
        <f t="shared" si="30"/>
        <v/>
      </c>
      <c r="AO53" s="656">
        <f t="shared" si="31"/>
        <v>-51</v>
      </c>
      <c r="AQ53" s="656">
        <f t="shared" si="38"/>
        <v>66.5</v>
      </c>
      <c r="AR53" s="656" t="str">
        <f t="shared" si="32"/>
        <v/>
      </c>
      <c r="AS53" s="656" t="str">
        <f t="shared" si="33"/>
        <v/>
      </c>
      <c r="AT53" s="656">
        <f t="shared" si="34"/>
        <v>-69</v>
      </c>
    </row>
    <row r="54" spans="2:46" s="345" customFormat="1">
      <c r="C54" s="937">
        <f>IF('Sections rachis &amp; L pennes'!$AC19="","",'Sections rachis &amp; L pennes'!$AC19)</f>
        <v>30</v>
      </c>
      <c r="D54" s="397">
        <v>9.3000000000000007</v>
      </c>
      <c r="E54" s="632"/>
      <c r="F54" s="632"/>
      <c r="G54" s="398">
        <v>22.8</v>
      </c>
      <c r="H54" s="937">
        <f>IF('Sections rachis &amp; L pennes'!$AH19="","",'Sections rachis &amp; L pennes'!$AH19)</f>
        <v>30</v>
      </c>
      <c r="I54" s="397">
        <v>18.8</v>
      </c>
      <c r="J54" s="632"/>
      <c r="K54" s="632"/>
      <c r="L54" s="398">
        <v>20.100000000000001</v>
      </c>
      <c r="M54" s="770"/>
      <c r="O54" s="937">
        <f>IF('Sections rachis &amp; L pennes'!$AC19="","",'Sections rachis &amp; L pennes'!$AC19)</f>
        <v>30</v>
      </c>
      <c r="P54" s="1041">
        <f t="shared" si="35"/>
        <v>39.97473810854278</v>
      </c>
      <c r="Q54" s="1017" t="str">
        <f t="shared" si="23"/>
        <v/>
      </c>
      <c r="R54" s="1017" t="str">
        <f t="shared" si="24"/>
        <v/>
      </c>
      <c r="S54" s="1042">
        <f t="shared" si="25"/>
        <v>2.2321072802032589</v>
      </c>
      <c r="T54" s="937">
        <f>IF('Sections rachis &amp; L pennes'!$AH19="","",'Sections rachis &amp; L pennes'!$AH19)</f>
        <v>30</v>
      </c>
      <c r="U54" s="1041">
        <f t="shared" si="36"/>
        <v>40.603283110442177</v>
      </c>
      <c r="V54" s="1017" t="str">
        <f t="shared" si="26"/>
        <v/>
      </c>
      <c r="W54" s="1017" t="str">
        <f t="shared" si="27"/>
        <v/>
      </c>
      <c r="X54" s="1042">
        <f t="shared" si="28"/>
        <v>0.8552944188998346</v>
      </c>
      <c r="Y54" s="762"/>
      <c r="AA54" s="937">
        <f>IF('Sections rachis &amp; L pennes'!$AC19="","",'Sections rachis &amp; L pennes'!$AC19)</f>
        <v>30</v>
      </c>
      <c r="AB54" s="397">
        <v>25.2</v>
      </c>
      <c r="AC54" s="632"/>
      <c r="AD54" s="632"/>
      <c r="AE54" s="398">
        <v>151.30000000000001</v>
      </c>
      <c r="AF54" s="937"/>
      <c r="AG54" s="397">
        <v>23.1</v>
      </c>
      <c r="AH54" s="632"/>
      <c r="AI54" s="632"/>
      <c r="AJ54" s="398">
        <v>155.9</v>
      </c>
      <c r="AL54" s="656">
        <f t="shared" si="37"/>
        <v>64.8</v>
      </c>
      <c r="AM54" s="656" t="str">
        <f t="shared" si="29"/>
        <v/>
      </c>
      <c r="AN54" s="656" t="str">
        <f t="shared" si="30"/>
        <v/>
      </c>
      <c r="AO54" s="656">
        <f t="shared" si="31"/>
        <v>-61.300000000000011</v>
      </c>
      <c r="AQ54" s="656">
        <f t="shared" si="38"/>
        <v>66.900000000000006</v>
      </c>
      <c r="AR54" s="656" t="str">
        <f t="shared" si="32"/>
        <v/>
      </c>
      <c r="AS54" s="656" t="str">
        <f t="shared" si="33"/>
        <v/>
      </c>
      <c r="AT54" s="656">
        <f t="shared" si="34"/>
        <v>-65.900000000000006</v>
      </c>
    </row>
    <row r="55" spans="2:46" s="345" customFormat="1">
      <c r="C55" s="937">
        <f>IF('Sections rachis &amp; L pennes'!$AC20="","",'Sections rachis &amp; L pennes'!$AC20)</f>
        <v>40</v>
      </c>
      <c r="D55" s="397">
        <v>16.399999999999999</v>
      </c>
      <c r="E55" s="632"/>
      <c r="F55" s="632"/>
      <c r="G55" s="398">
        <v>13.8</v>
      </c>
      <c r="H55" s="937">
        <f>IF('Sections rachis &amp; L pennes'!$AH20="","",'Sections rachis &amp; L pennes'!$AH20)</f>
        <v>40</v>
      </c>
      <c r="I55" s="397">
        <v>9.5</v>
      </c>
      <c r="J55" s="632"/>
      <c r="K55" s="632"/>
      <c r="L55" s="398">
        <v>13.6</v>
      </c>
      <c r="M55" s="770"/>
      <c r="O55" s="937">
        <f>IF('Sections rachis &amp; L pennes'!$AC20="","",'Sections rachis &amp; L pennes'!$AC20)</f>
        <v>40</v>
      </c>
      <c r="P55" s="1041">
        <f t="shared" si="35"/>
        <v>37.131320242807448</v>
      </c>
      <c r="Q55" s="1017" t="str">
        <f t="shared" si="23"/>
        <v/>
      </c>
      <c r="R55" s="1017" t="str">
        <f t="shared" si="24"/>
        <v/>
      </c>
      <c r="S55" s="1042">
        <f t="shared" si="25"/>
        <v>7.3203287241506967</v>
      </c>
      <c r="T55" s="937">
        <f>IF('Sections rachis &amp; L pennes'!$AH20="","",'Sections rachis &amp; L pennes'!$AH20)</f>
        <v>40</v>
      </c>
      <c r="U55" s="1041">
        <f t="shared" si="36"/>
        <v>33.210396659530311</v>
      </c>
      <c r="V55" s="1017" t="str">
        <f t="shared" si="26"/>
        <v/>
      </c>
      <c r="W55" s="1017" t="str">
        <f t="shared" si="27"/>
        <v/>
      </c>
      <c r="X55" s="1042">
        <f t="shared" si="28"/>
        <v>1.8130772789370049</v>
      </c>
      <c r="Y55" s="762"/>
      <c r="AA55" s="937">
        <f>IF('Sections rachis &amp; L pennes'!$AC20="","",'Sections rachis &amp; L pennes'!$AC20)</f>
        <v>40</v>
      </c>
      <c r="AB55" s="397">
        <v>34.700000000000003</v>
      </c>
      <c r="AC55" s="632"/>
      <c r="AD55" s="632"/>
      <c r="AE55" s="398">
        <v>134.30000000000001</v>
      </c>
      <c r="AF55" s="937"/>
      <c r="AG55" s="397">
        <v>47.8</v>
      </c>
      <c r="AH55" s="632"/>
      <c r="AI55" s="632"/>
      <c r="AJ55" s="398">
        <v>152.69999999999999</v>
      </c>
      <c r="AL55" s="656">
        <f t="shared" si="37"/>
        <v>55.3</v>
      </c>
      <c r="AM55" s="656" t="str">
        <f t="shared" si="29"/>
        <v/>
      </c>
      <c r="AN55" s="656" t="str">
        <f t="shared" si="30"/>
        <v/>
      </c>
      <c r="AO55" s="656">
        <f t="shared" si="31"/>
        <v>-44.300000000000011</v>
      </c>
      <c r="AQ55" s="656">
        <f t="shared" si="38"/>
        <v>42.2</v>
      </c>
      <c r="AR55" s="656" t="str">
        <f t="shared" si="32"/>
        <v/>
      </c>
      <c r="AS55" s="656" t="str">
        <f t="shared" si="33"/>
        <v/>
      </c>
      <c r="AT55" s="656">
        <f t="shared" si="34"/>
        <v>-62.699999999999989</v>
      </c>
    </row>
    <row r="56" spans="2:46" s="345" customFormat="1">
      <c r="C56" s="937">
        <f>IF('Sections rachis &amp; L pennes'!$AC21="","",'Sections rachis &amp; L pennes'!$AC21)</f>
        <v>50</v>
      </c>
      <c r="D56" s="397">
        <v>12.6</v>
      </c>
      <c r="E56" s="632">
        <v>9.8000000000000007</v>
      </c>
      <c r="F56" s="632"/>
      <c r="G56" s="398">
        <v>18.8</v>
      </c>
      <c r="H56" s="937">
        <f>IF('Sections rachis &amp; L pennes'!$AH21="","",'Sections rachis &amp; L pennes'!$AH21)</f>
        <v>50</v>
      </c>
      <c r="I56" s="397">
        <v>10.199999999999999</v>
      </c>
      <c r="J56" s="632"/>
      <c r="K56" s="632"/>
      <c r="L56" s="398">
        <v>12.1</v>
      </c>
      <c r="M56" s="770"/>
      <c r="O56" s="937">
        <f>IF('Sections rachis &amp; L pennes'!$AC21="","",'Sections rachis &amp; L pennes'!$AC21)</f>
        <v>50</v>
      </c>
      <c r="P56" s="1041">
        <f t="shared" si="35"/>
        <v>35.036170236476153</v>
      </c>
      <c r="Q56" s="1017">
        <f t="shared" si="23"/>
        <v>15.04245303320034</v>
      </c>
      <c r="R56" s="1017" t="str">
        <f t="shared" si="24"/>
        <v/>
      </c>
      <c r="S56" s="1042">
        <f t="shared" si="25"/>
        <v>0.16688798824812778</v>
      </c>
      <c r="T56" s="937">
        <f>IF('Sections rachis &amp; L pennes'!$AH21="","",'Sections rachis &amp; L pennes'!$AH21)</f>
        <v>50</v>
      </c>
      <c r="U56" s="1041">
        <f t="shared" si="36"/>
        <v>31.354692368208305</v>
      </c>
      <c r="V56" s="1017" t="str">
        <f t="shared" si="26"/>
        <v/>
      </c>
      <c r="W56" s="1017" t="str">
        <f t="shared" si="27"/>
        <v/>
      </c>
      <c r="X56" s="1042">
        <f t="shared" si="28"/>
        <v>4.1177422859014285</v>
      </c>
      <c r="Y56" s="762"/>
      <c r="AA56" s="937">
        <f>IF('Sections rachis &amp; L pennes'!$AC21="","",'Sections rachis &amp; L pennes'!$AC21)</f>
        <v>50</v>
      </c>
      <c r="AB56" s="397">
        <v>41.7</v>
      </c>
      <c r="AC56" s="632">
        <v>108.5</v>
      </c>
      <c r="AD56" s="632"/>
      <c r="AE56" s="398">
        <v>158.19999999999999</v>
      </c>
      <c r="AF56" s="937"/>
      <c r="AG56" s="397">
        <v>54</v>
      </c>
      <c r="AH56" s="632"/>
      <c r="AI56" s="632"/>
      <c r="AJ56" s="398">
        <v>145</v>
      </c>
      <c r="AL56" s="656">
        <f t="shared" si="37"/>
        <v>48.3</v>
      </c>
      <c r="AM56" s="656">
        <f t="shared" si="29"/>
        <v>-18.5</v>
      </c>
      <c r="AN56" s="656" t="str">
        <f t="shared" si="30"/>
        <v/>
      </c>
      <c r="AO56" s="656">
        <f t="shared" si="31"/>
        <v>-68.199999999999989</v>
      </c>
      <c r="AQ56" s="656">
        <f t="shared" si="38"/>
        <v>36</v>
      </c>
      <c r="AR56" s="656" t="str">
        <f t="shared" si="32"/>
        <v/>
      </c>
      <c r="AS56" s="656" t="str">
        <f t="shared" si="33"/>
        <v/>
      </c>
      <c r="AT56" s="656">
        <f t="shared" si="34"/>
        <v>-55</v>
      </c>
    </row>
    <row r="57" spans="2:46" s="345" customFormat="1">
      <c r="C57" s="937">
        <f>IF('Sections rachis &amp; L pennes'!$AC22="","",'Sections rachis &amp; L pennes'!$AC22)</f>
        <v>60</v>
      </c>
      <c r="D57" s="397">
        <v>17.399999999999999</v>
      </c>
      <c r="E57" s="632"/>
      <c r="F57" s="632"/>
      <c r="G57" s="398">
        <v>15.6</v>
      </c>
      <c r="H57" s="937">
        <f>IF('Sections rachis &amp; L pennes'!$AH22="","",'Sections rachis &amp; L pennes'!$AH22)</f>
        <v>60</v>
      </c>
      <c r="I57" s="397">
        <v>8.6999999999999993</v>
      </c>
      <c r="J57" s="632">
        <v>13.2</v>
      </c>
      <c r="K57" s="632"/>
      <c r="L57" s="398">
        <v>23.2</v>
      </c>
      <c r="M57" s="770"/>
      <c r="O57" s="937">
        <f>IF('Sections rachis &amp; L pennes'!$AC22="","",'Sections rachis &amp; L pennes'!$AC22)</f>
        <v>60</v>
      </c>
      <c r="P57" s="1041">
        <f t="shared" si="35"/>
        <v>27.643283785564286</v>
      </c>
      <c r="Q57" s="1017" t="str">
        <f t="shared" si="23"/>
        <v/>
      </c>
      <c r="R57" s="1017" t="str">
        <f t="shared" si="24"/>
        <v/>
      </c>
      <c r="S57" s="1042">
        <f t="shared" si="25"/>
        <v>6.6019915791228296</v>
      </c>
      <c r="T57" s="937">
        <f>IF('Sections rachis &amp; L pennes'!$AH22="","",'Sections rachis &amp; L pennes'!$AH22)</f>
        <v>60</v>
      </c>
      <c r="U57" s="1041">
        <f t="shared" si="36"/>
        <v>21.657140910332007</v>
      </c>
      <c r="V57" s="1017">
        <f t="shared" si="26"/>
        <v>18.783792330220514</v>
      </c>
      <c r="W57" s="1017" t="str">
        <f t="shared" si="27"/>
        <v/>
      </c>
      <c r="X57" s="1042">
        <f t="shared" si="28"/>
        <v>5.6142780047094991</v>
      </c>
      <c r="Y57" s="762"/>
      <c r="AA57" s="937">
        <f>IF('Sections rachis &amp; L pennes'!$AC22="","",'Sections rachis &amp; L pennes'!$AC22)</f>
        <v>60</v>
      </c>
      <c r="AB57" s="397">
        <v>66.400000000000006</v>
      </c>
      <c r="AC57" s="632"/>
      <c r="AD57" s="632"/>
      <c r="AE57" s="398">
        <v>136.69999999999999</v>
      </c>
      <c r="AF57" s="937"/>
      <c r="AG57" s="397">
        <v>86.4</v>
      </c>
      <c r="AH57" s="632">
        <v>96</v>
      </c>
      <c r="AI57" s="632"/>
      <c r="AJ57" s="398">
        <v>140</v>
      </c>
      <c r="AL57" s="656">
        <f t="shared" si="37"/>
        <v>23.599999999999994</v>
      </c>
      <c r="AM57" s="656" t="str">
        <f t="shared" si="29"/>
        <v/>
      </c>
      <c r="AN57" s="656" t="str">
        <f t="shared" si="30"/>
        <v/>
      </c>
      <c r="AO57" s="656">
        <f t="shared" si="31"/>
        <v>-46.699999999999989</v>
      </c>
      <c r="AQ57" s="656">
        <f t="shared" si="38"/>
        <v>3.5999999999999943</v>
      </c>
      <c r="AR57" s="656">
        <f t="shared" si="32"/>
        <v>-6</v>
      </c>
      <c r="AS57" s="656" t="str">
        <f t="shared" si="33"/>
        <v/>
      </c>
      <c r="AT57" s="656">
        <f t="shared" si="34"/>
        <v>-50</v>
      </c>
    </row>
    <row r="58" spans="2:46" s="345" customFormat="1">
      <c r="C58" s="937">
        <f>IF('Sections rachis &amp; L pennes'!$AC23="","",'Sections rachis &amp; L pennes'!$AC23)</f>
        <v>70</v>
      </c>
      <c r="D58" s="397">
        <v>19.8</v>
      </c>
      <c r="E58" s="632"/>
      <c r="F58" s="632"/>
      <c r="G58" s="398">
        <v>23.9</v>
      </c>
      <c r="H58" s="937">
        <f>IF('Sections rachis &amp; L pennes'!$AH23="","",'Sections rachis &amp; L pennes'!$AH23)</f>
        <v>70</v>
      </c>
      <c r="I58" s="397">
        <v>14.1</v>
      </c>
      <c r="J58" s="632">
        <v>14.2</v>
      </c>
      <c r="K58" s="632"/>
      <c r="L58" s="398">
        <v>14.2</v>
      </c>
      <c r="M58" s="770"/>
      <c r="O58" s="937">
        <f>IF('Sections rachis &amp; L pennes'!$AC23="","",'Sections rachis &amp; L pennes'!$AC23)</f>
        <v>70</v>
      </c>
      <c r="P58" s="1041">
        <f t="shared" si="35"/>
        <v>27.583422356811969</v>
      </c>
      <c r="Q58" s="1017" t="str">
        <f t="shared" si="23"/>
        <v/>
      </c>
      <c r="R58" s="1017" t="str">
        <f t="shared" si="24"/>
        <v/>
      </c>
      <c r="S58" s="1042">
        <f t="shared" si="25"/>
        <v>13.57584802876843</v>
      </c>
      <c r="T58" s="937">
        <f>IF('Sections rachis &amp; L pennes'!$AH23="","",'Sections rachis &amp; L pennes'!$AH23)</f>
        <v>70</v>
      </c>
      <c r="U58" s="1041">
        <f t="shared" si="36"/>
        <v>26.505916639270154</v>
      </c>
      <c r="V58" s="1017">
        <f t="shared" si="26"/>
        <v>23.123745914763919</v>
      </c>
      <c r="W58" s="1017" t="str">
        <f t="shared" si="27"/>
        <v/>
      </c>
      <c r="X58" s="1042">
        <f t="shared" si="28"/>
        <v>1.5137701351753918</v>
      </c>
      <c r="Y58" s="762"/>
      <c r="AA58" s="937">
        <f>IF('Sections rachis &amp; L pennes'!$AC23="","",'Sections rachis &amp; L pennes'!$AC23)</f>
        <v>70</v>
      </c>
      <c r="AB58" s="397">
        <v>66.599999999999994</v>
      </c>
      <c r="AC58" s="632"/>
      <c r="AD58" s="632"/>
      <c r="AE58" s="398">
        <v>113.4</v>
      </c>
      <c r="AF58" s="937"/>
      <c r="AG58" s="397">
        <v>70.2</v>
      </c>
      <c r="AH58" s="632">
        <v>81.5</v>
      </c>
      <c r="AI58" s="632"/>
      <c r="AJ58" s="398">
        <v>153.69999999999999</v>
      </c>
      <c r="AL58" s="656">
        <f t="shared" si="37"/>
        <v>23.400000000000006</v>
      </c>
      <c r="AM58" s="656" t="str">
        <f t="shared" si="29"/>
        <v/>
      </c>
      <c r="AN58" s="656" t="str">
        <f t="shared" si="30"/>
        <v/>
      </c>
      <c r="AO58" s="656">
        <f t="shared" si="31"/>
        <v>-23.400000000000006</v>
      </c>
      <c r="AQ58" s="656">
        <f t="shared" si="38"/>
        <v>19.799999999999997</v>
      </c>
      <c r="AR58" s="656">
        <f t="shared" si="32"/>
        <v>8.5</v>
      </c>
      <c r="AS58" s="656" t="str">
        <f t="shared" si="33"/>
        <v/>
      </c>
      <c r="AT58" s="656">
        <f t="shared" si="34"/>
        <v>-63.699999999999989</v>
      </c>
    </row>
    <row r="59" spans="2:46" s="345" customFormat="1">
      <c r="C59" s="937">
        <f>IF('Sections rachis &amp; L pennes'!$AC24="","",'Sections rachis &amp; L pennes'!$AC24)</f>
        <v>80</v>
      </c>
      <c r="D59" s="397">
        <v>14.8</v>
      </c>
      <c r="E59" s="632">
        <v>18</v>
      </c>
      <c r="F59" s="632"/>
      <c r="G59" s="398">
        <v>15.5</v>
      </c>
      <c r="H59" s="937">
        <f>IF('Sections rachis &amp; L pennes'!$AH24="","",'Sections rachis &amp; L pennes'!$AH24)</f>
        <v>80</v>
      </c>
      <c r="I59" s="397">
        <v>12.5</v>
      </c>
      <c r="J59" s="632">
        <v>14</v>
      </c>
      <c r="K59" s="632"/>
      <c r="L59" s="398">
        <v>15.8</v>
      </c>
      <c r="M59" s="770"/>
      <c r="O59" s="937">
        <f>IF('Sections rachis &amp; L pennes'!$AC24="","",'Sections rachis &amp; L pennes'!$AC24)</f>
        <v>80</v>
      </c>
      <c r="P59" s="1041">
        <f t="shared" si="35"/>
        <v>30.127533078785685</v>
      </c>
      <c r="Q59" s="1017">
        <f t="shared" si="23"/>
        <v>21.028595908432621</v>
      </c>
      <c r="R59" s="1017" t="str">
        <f t="shared" si="24"/>
        <v/>
      </c>
      <c r="S59" s="1042">
        <f t="shared" si="25"/>
        <v>8.1284580123070587</v>
      </c>
      <c r="T59" s="937">
        <f>IF('Sections rachis &amp; L pennes'!$AH24="","",'Sections rachis &amp; L pennes'!$AH24)</f>
        <v>80</v>
      </c>
      <c r="U59" s="1041">
        <f t="shared" si="36"/>
        <v>21.058526622808781</v>
      </c>
      <c r="V59" s="1017">
        <f t="shared" si="26"/>
        <v>15.970305178861341</v>
      </c>
      <c r="W59" s="1017" t="str">
        <f t="shared" si="27"/>
        <v/>
      </c>
      <c r="X59" s="1042">
        <f t="shared" si="28"/>
        <v>3.3694744264973941</v>
      </c>
      <c r="Y59" s="762"/>
      <c r="AA59" s="937">
        <f>IF('Sections rachis &amp; L pennes'!$AC24="","",'Sections rachis &amp; L pennes'!$AC24)</f>
        <v>80</v>
      </c>
      <c r="AB59" s="397">
        <v>58.1</v>
      </c>
      <c r="AC59" s="632">
        <v>88.5</v>
      </c>
      <c r="AD59" s="632"/>
      <c r="AE59" s="398">
        <v>131.6</v>
      </c>
      <c r="AF59" s="937"/>
      <c r="AG59" s="397">
        <v>88.4</v>
      </c>
      <c r="AH59" s="632">
        <v>105.4</v>
      </c>
      <c r="AI59" s="632"/>
      <c r="AJ59" s="398">
        <v>147.5</v>
      </c>
      <c r="AL59" s="656">
        <f t="shared" si="37"/>
        <v>31.9</v>
      </c>
      <c r="AM59" s="656">
        <f t="shared" si="29"/>
        <v>1.5</v>
      </c>
      <c r="AN59" s="656" t="str">
        <f t="shared" si="30"/>
        <v/>
      </c>
      <c r="AO59" s="656">
        <f t="shared" si="31"/>
        <v>-41.599999999999994</v>
      </c>
      <c r="AQ59" s="656">
        <f t="shared" si="38"/>
        <v>1.5999999999999943</v>
      </c>
      <c r="AR59" s="656">
        <f t="shared" si="32"/>
        <v>-15.400000000000006</v>
      </c>
      <c r="AS59" s="656" t="str">
        <f t="shared" si="33"/>
        <v/>
      </c>
      <c r="AT59" s="656">
        <f t="shared" si="34"/>
        <v>-57.5</v>
      </c>
    </row>
    <row r="60" spans="2:46" s="345" customFormat="1" ht="13.5" thickBot="1">
      <c r="C60" s="937">
        <f>IF('Sections rachis &amp; L pennes'!$AC25="","",'Sections rachis &amp; L pennes'!$AC25)</f>
        <v>90</v>
      </c>
      <c r="D60" s="387">
        <v>12.6</v>
      </c>
      <c r="E60" s="642"/>
      <c r="F60" s="642"/>
      <c r="G60" s="388"/>
      <c r="H60" s="937">
        <f>IF('Sections rachis &amp; L pennes'!$AH25="","",'Sections rachis &amp; L pennes'!$AH25)</f>
        <v>90</v>
      </c>
      <c r="I60" s="387">
        <v>12.6</v>
      </c>
      <c r="J60" s="642"/>
      <c r="K60" s="642"/>
      <c r="L60" s="388">
        <v>14.8</v>
      </c>
      <c r="M60" s="770"/>
      <c r="O60" s="937">
        <f>IF('Sections rachis &amp; L pennes'!$AC25="","",'Sections rachis &amp; L pennes'!$AC25)</f>
        <v>90</v>
      </c>
      <c r="P60" s="1043">
        <f t="shared" si="35"/>
        <v>21.387764480946558</v>
      </c>
      <c r="Q60" s="1025" t="str">
        <f t="shared" si="23"/>
        <v/>
      </c>
      <c r="R60" s="1025" t="str">
        <f t="shared" si="24"/>
        <v/>
      </c>
      <c r="S60" s="1044" t="str">
        <f t="shared" si="25"/>
        <v/>
      </c>
      <c r="T60" s="937">
        <f>IF('Sections rachis &amp; L pennes'!$AH25="","",'Sections rachis &amp; L pennes'!$AH25)</f>
        <v>90</v>
      </c>
      <c r="U60" s="1043">
        <f t="shared" si="36"/>
        <v>23.961805917296438</v>
      </c>
      <c r="V60" s="1025" t="str">
        <f t="shared" si="26"/>
        <v/>
      </c>
      <c r="W60" s="1025" t="str">
        <f t="shared" si="27"/>
        <v/>
      </c>
      <c r="X60" s="1044">
        <f t="shared" si="28"/>
        <v>4.7762180021769769</v>
      </c>
      <c r="Y60" s="762"/>
      <c r="AA60" s="937">
        <f>IF('Sections rachis &amp; L pennes'!$AC25="","",'Sections rachis &amp; L pennes'!$AC25)</f>
        <v>90</v>
      </c>
      <c r="AB60" s="397">
        <v>87.3</v>
      </c>
      <c r="AC60" s="632"/>
      <c r="AD60" s="632"/>
      <c r="AE60" s="398"/>
      <c r="AF60" s="937"/>
      <c r="AG60" s="387">
        <v>78.7</v>
      </c>
      <c r="AH60" s="642"/>
      <c r="AI60" s="642"/>
      <c r="AJ60" s="388">
        <v>142.80000000000001</v>
      </c>
      <c r="AL60" s="656">
        <f t="shared" si="37"/>
        <v>2.7000000000000028</v>
      </c>
      <c r="AM60" s="656" t="str">
        <f t="shared" si="29"/>
        <v/>
      </c>
      <c r="AN60" s="656" t="str">
        <f t="shared" si="30"/>
        <v/>
      </c>
      <c r="AO60" s="656" t="str">
        <f t="shared" si="31"/>
        <v/>
      </c>
      <c r="AQ60" s="656">
        <f t="shared" si="38"/>
        <v>11.299999999999997</v>
      </c>
      <c r="AR60" s="656" t="str">
        <f t="shared" si="32"/>
        <v/>
      </c>
      <c r="AS60" s="656" t="str">
        <f t="shared" si="33"/>
        <v/>
      </c>
      <c r="AT60" s="656">
        <f t="shared" si="34"/>
        <v>-52.800000000000011</v>
      </c>
    </row>
    <row r="61" spans="2:46" s="345" customFormat="1">
      <c r="B61" s="1018" t="s">
        <v>1247</v>
      </c>
      <c r="C61" s="933">
        <f>IF('Sections rachis &amp; L pennes'!$AC26="","",'Sections rachis &amp; L pennes'!$AC26)</f>
        <v>98.032862763249241</v>
      </c>
      <c r="D61" s="630"/>
      <c r="E61" s="630"/>
      <c r="F61" s="630"/>
      <c r="G61" s="630">
        <v>12.3</v>
      </c>
      <c r="H61" s="933">
        <f>IF('Sections rachis &amp; L pennes'!$AH26="","",'Sections rachis &amp; L pennes'!$AH26)</f>
        <v>97.778292062022672</v>
      </c>
      <c r="I61" s="651"/>
      <c r="J61" s="631"/>
      <c r="K61" s="630"/>
      <c r="L61" s="652">
        <v>12.6</v>
      </c>
      <c r="M61" s="770"/>
      <c r="N61" s="1018" t="s">
        <v>1247</v>
      </c>
      <c r="O61" s="933">
        <f>IF('Sections rachis &amp; L pennes'!$AC26="","",'Sections rachis &amp; L pennes'!$AC26)</f>
        <v>98.032862763249241</v>
      </c>
      <c r="P61" s="1016" t="str">
        <f t="shared" si="35"/>
        <v/>
      </c>
      <c r="Q61" s="1016" t="str">
        <f t="shared" si="23"/>
        <v/>
      </c>
      <c r="R61" s="1016" t="str">
        <f t="shared" si="24"/>
        <v/>
      </c>
      <c r="S61" s="1016">
        <f t="shared" si="25"/>
        <v>6.8115065797559566</v>
      </c>
      <c r="T61" s="933">
        <f>IF('Sections rachis &amp; L pennes'!$AH26="","",'Sections rachis &amp; L pennes'!$AH26)</f>
        <v>97.778292062022672</v>
      </c>
      <c r="U61" s="1045" t="str">
        <f t="shared" si="36"/>
        <v/>
      </c>
      <c r="V61" s="1016" t="str">
        <f t="shared" si="26"/>
        <v/>
      </c>
      <c r="W61" s="1016" t="str">
        <f t="shared" si="27"/>
        <v/>
      </c>
      <c r="X61" s="1046">
        <f t="shared" si="28"/>
        <v>3.1898901402404292</v>
      </c>
      <c r="Y61" s="762"/>
      <c r="Z61" s="1021" t="s">
        <v>1247</v>
      </c>
      <c r="AA61" s="933">
        <f>IF('Sections rachis &amp; L pennes'!$AC26="","",'Sections rachis &amp; L pennes'!$AC26)</f>
        <v>98.032862763249241</v>
      </c>
      <c r="AB61" s="630"/>
      <c r="AC61" s="630"/>
      <c r="AD61" s="630"/>
      <c r="AE61" s="630">
        <v>136</v>
      </c>
      <c r="AF61" s="933"/>
      <c r="AG61" s="651"/>
      <c r="AH61" s="630"/>
      <c r="AI61" s="630"/>
      <c r="AJ61" s="652">
        <v>148.1</v>
      </c>
      <c r="AL61" s="656" t="str">
        <f t="shared" si="37"/>
        <v/>
      </c>
      <c r="AM61" s="656" t="str">
        <f t="shared" si="29"/>
        <v/>
      </c>
      <c r="AN61" s="656" t="str">
        <f t="shared" si="30"/>
        <v/>
      </c>
      <c r="AO61" s="656">
        <f t="shared" si="31"/>
        <v>-46</v>
      </c>
      <c r="AQ61" s="656" t="str">
        <f t="shared" si="38"/>
        <v/>
      </c>
      <c r="AR61" s="656" t="str">
        <f t="shared" si="32"/>
        <v/>
      </c>
      <c r="AS61" s="656" t="str">
        <f t="shared" si="33"/>
        <v/>
      </c>
      <c r="AT61" s="656">
        <f t="shared" si="34"/>
        <v>-58.099999999999994</v>
      </c>
    </row>
    <row r="62" spans="2:46" s="345" customFormat="1">
      <c r="B62" s="1022" t="s">
        <v>1248</v>
      </c>
      <c r="C62" s="937">
        <f>IF('Sections rachis &amp; L pennes'!$AC27="","",'Sections rachis &amp; L pennes'!$AC27)</f>
        <v>98.704003702846563</v>
      </c>
      <c r="D62" s="632"/>
      <c r="E62" s="632">
        <v>8.6999999999999993</v>
      </c>
      <c r="F62" s="632"/>
      <c r="G62" s="632"/>
      <c r="H62" s="937">
        <f>IF('Sections rachis &amp; L pennes'!$AH27="","",'Sections rachis &amp; L pennes'!$AH27)</f>
        <v>98.634575329784766</v>
      </c>
      <c r="I62" s="397">
        <v>9.4</v>
      </c>
      <c r="J62" s="632"/>
      <c r="K62" s="632"/>
      <c r="L62" s="398"/>
      <c r="M62" s="770"/>
      <c r="N62" s="1022" t="s">
        <v>1248</v>
      </c>
      <c r="O62" s="937">
        <f>IF('Sections rachis &amp; L pennes'!$AC27="","",'Sections rachis &amp; L pennes'!$AC27)</f>
        <v>98.704003702846563</v>
      </c>
      <c r="P62" s="1017" t="str">
        <f t="shared" si="35"/>
        <v/>
      </c>
      <c r="Q62" s="1017">
        <f t="shared" si="23"/>
        <v>19.921159476514649</v>
      </c>
      <c r="R62" s="1017" t="str">
        <f t="shared" si="24"/>
        <v/>
      </c>
      <c r="S62" s="1017" t="str">
        <f t="shared" si="25"/>
        <v/>
      </c>
      <c r="T62" s="937">
        <f>IF('Sections rachis &amp; L pennes'!$AH27="","",'Sections rachis &amp; L pennes'!$AH27)</f>
        <v>98.634575329784766</v>
      </c>
      <c r="U62" s="1041">
        <f t="shared" si="36"/>
        <v>24.530489490443504</v>
      </c>
      <c r="V62" s="1017" t="str">
        <f t="shared" si="26"/>
        <v/>
      </c>
      <c r="W62" s="1017" t="str">
        <f t="shared" si="27"/>
        <v/>
      </c>
      <c r="X62" s="1042" t="str">
        <f t="shared" si="28"/>
        <v/>
      </c>
      <c r="Y62" s="762"/>
      <c r="Z62" s="1023" t="s">
        <v>1248</v>
      </c>
      <c r="AA62" s="937">
        <f>IF('Sections rachis &amp; L pennes'!$AC27="","",'Sections rachis &amp; L pennes'!$AC27)</f>
        <v>98.704003702846563</v>
      </c>
      <c r="AB62" s="632"/>
      <c r="AC62" s="632">
        <v>92.2</v>
      </c>
      <c r="AD62" s="632"/>
      <c r="AE62" s="632"/>
      <c r="AF62" s="937"/>
      <c r="AG62" s="397">
        <v>76.8</v>
      </c>
      <c r="AH62" s="632"/>
      <c r="AI62" s="632"/>
      <c r="AJ62" s="398"/>
      <c r="AL62" s="656" t="str">
        <f t="shared" si="37"/>
        <v/>
      </c>
      <c r="AM62" s="656">
        <f t="shared" si="29"/>
        <v>-2.2000000000000028</v>
      </c>
      <c r="AN62" s="656" t="str">
        <f t="shared" si="30"/>
        <v/>
      </c>
      <c r="AO62" s="656" t="str">
        <f t="shared" si="31"/>
        <v/>
      </c>
      <c r="AQ62" s="656">
        <f t="shared" si="38"/>
        <v>13.200000000000003</v>
      </c>
      <c r="AR62" s="656" t="str">
        <f t="shared" si="32"/>
        <v/>
      </c>
      <c r="AS62" s="656" t="str">
        <f t="shared" si="33"/>
        <v/>
      </c>
      <c r="AT62" s="656" t="str">
        <f t="shared" si="34"/>
        <v/>
      </c>
    </row>
    <row r="63" spans="2:46" s="345" customFormat="1">
      <c r="B63" s="1022" t="s">
        <v>1249</v>
      </c>
      <c r="C63" s="937">
        <f>IF('Sections rachis &amp; L pennes'!$AC28="","",'Sections rachis &amp; L pennes'!$AC28)</f>
        <v>99.352001851423282</v>
      </c>
      <c r="D63" s="632">
        <v>12.8</v>
      </c>
      <c r="E63" s="632"/>
      <c r="F63" s="632"/>
      <c r="G63" s="632"/>
      <c r="H63" s="937">
        <f>IF('Sections rachis &amp; L pennes'!$AH28="","",'Sections rachis &amp; L pennes'!$AH28)</f>
        <v>99.074288359176109</v>
      </c>
      <c r="I63" s="397"/>
      <c r="J63" s="632"/>
      <c r="K63" s="632"/>
      <c r="L63" s="398">
        <v>5.6</v>
      </c>
      <c r="M63" s="770"/>
      <c r="N63" s="1022" t="s">
        <v>1249</v>
      </c>
      <c r="O63" s="937">
        <f>IF('Sections rachis &amp; L pennes'!$AC28="","",'Sections rachis &amp; L pennes'!$AC28)</f>
        <v>99.352001851423282</v>
      </c>
      <c r="P63" s="1017">
        <f t="shared" si="35"/>
        <v>9.1461023010965476</v>
      </c>
      <c r="Q63" s="1017" t="str">
        <f t="shared" si="23"/>
        <v/>
      </c>
      <c r="R63" s="1017" t="str">
        <f t="shared" si="24"/>
        <v/>
      </c>
      <c r="S63" s="1017" t="str">
        <f t="shared" si="25"/>
        <v/>
      </c>
      <c r="T63" s="937">
        <f>IF('Sections rachis &amp; L pennes'!$AH28="","",'Sections rachis &amp; L pennes'!$AH28)</f>
        <v>99.074288359176109</v>
      </c>
      <c r="U63" s="1041" t="str">
        <f t="shared" si="36"/>
        <v/>
      </c>
      <c r="V63" s="1017" t="str">
        <f t="shared" si="26"/>
        <v/>
      </c>
      <c r="W63" s="1017" t="str">
        <f t="shared" si="27"/>
        <v/>
      </c>
      <c r="X63" s="1042">
        <f t="shared" si="28"/>
        <v>1.7532158501846773</v>
      </c>
      <c r="Y63" s="762"/>
      <c r="Z63" s="1023" t="s">
        <v>1249</v>
      </c>
      <c r="AA63" s="937">
        <f>IF('Sections rachis &amp; L pennes'!$AC28="","",'Sections rachis &amp; L pennes'!$AC28)</f>
        <v>99.352001851423282</v>
      </c>
      <c r="AB63" s="632">
        <v>128.19999999999999</v>
      </c>
      <c r="AC63" s="632"/>
      <c r="AD63" s="632"/>
      <c r="AE63" s="632"/>
      <c r="AF63" s="937"/>
      <c r="AG63" s="397"/>
      <c r="AH63" s="632"/>
      <c r="AI63" s="632"/>
      <c r="AJ63" s="398">
        <v>152.9</v>
      </c>
      <c r="AL63" s="656">
        <f t="shared" si="37"/>
        <v>-38.199999999999989</v>
      </c>
      <c r="AM63" s="656" t="str">
        <f t="shared" si="29"/>
        <v/>
      </c>
      <c r="AN63" s="656" t="str">
        <f t="shared" si="30"/>
        <v/>
      </c>
      <c r="AO63" s="656" t="str">
        <f t="shared" si="31"/>
        <v/>
      </c>
      <c r="AQ63" s="656" t="str">
        <f t="shared" si="38"/>
        <v/>
      </c>
      <c r="AR63" s="656" t="str">
        <f t="shared" si="32"/>
        <v/>
      </c>
      <c r="AS63" s="656" t="str">
        <f t="shared" si="33"/>
        <v/>
      </c>
      <c r="AT63" s="656">
        <f t="shared" si="34"/>
        <v>-62.900000000000006</v>
      </c>
    </row>
    <row r="64" spans="2:46" s="345" customFormat="1">
      <c r="B64" s="1022" t="s">
        <v>1251</v>
      </c>
      <c r="C64" s="937">
        <f>IF('Sections rachis &amp; L pennes'!$AC29="","",'Sections rachis &amp; L pennes'!$AC29)</f>
        <v>99.745429298773431</v>
      </c>
      <c r="D64" s="632"/>
      <c r="E64" s="632">
        <v>6</v>
      </c>
      <c r="F64" s="632"/>
      <c r="G64" s="632"/>
      <c r="H64" s="937">
        <f>IF('Sections rachis &amp; L pennes'!$AH29="","",'Sections rachis &amp; L pennes'!$AH29)</f>
        <v>99.629715343670441</v>
      </c>
      <c r="I64" s="397">
        <v>10.8</v>
      </c>
      <c r="J64" s="632"/>
      <c r="K64" s="632"/>
      <c r="L64" s="398"/>
      <c r="M64" s="770"/>
      <c r="N64" s="1022" t="s">
        <v>1251</v>
      </c>
      <c r="O64" s="937">
        <f>IF('Sections rachis &amp; L pennes'!$AC29="","",'Sections rachis &amp; L pennes'!$AC29)</f>
        <v>99.745429298773431</v>
      </c>
      <c r="P64" s="1017" t="str">
        <f t="shared" si="35"/>
        <v/>
      </c>
      <c r="Q64" s="1017">
        <f t="shared" si="23"/>
        <v>8.6073494423256403</v>
      </c>
      <c r="R64" s="1017" t="str">
        <f t="shared" si="24"/>
        <v/>
      </c>
      <c r="S64" s="1017" t="str">
        <f t="shared" si="25"/>
        <v/>
      </c>
      <c r="T64" s="937">
        <f>IF('Sections rachis &amp; L pennes'!$AH29="","",'Sections rachis &amp; L pennes'!$AH29)</f>
        <v>99.629715343670441</v>
      </c>
      <c r="U64" s="1041">
        <f t="shared" si="36"/>
        <v>5.4945551472048528</v>
      </c>
      <c r="V64" s="1017" t="str">
        <f t="shared" si="26"/>
        <v/>
      </c>
      <c r="W64" s="1017" t="str">
        <f t="shared" si="27"/>
        <v/>
      </c>
      <c r="X64" s="1042" t="str">
        <f t="shared" si="28"/>
        <v/>
      </c>
      <c r="Y64" s="762"/>
      <c r="Z64" s="1023" t="s">
        <v>1251</v>
      </c>
      <c r="AA64" s="937">
        <f>IF('Sections rachis &amp; L pennes'!$AC29="","",'Sections rachis &amp; L pennes'!$AC29)</f>
        <v>99.745429298773431</v>
      </c>
      <c r="AB64" s="632"/>
      <c r="AC64" s="632">
        <v>130</v>
      </c>
      <c r="AD64" s="632"/>
      <c r="AE64" s="632"/>
      <c r="AF64" s="937"/>
      <c r="AG64" s="397">
        <v>140.4</v>
      </c>
      <c r="AH64" s="632"/>
      <c r="AI64" s="632"/>
      <c r="AJ64" s="398"/>
      <c r="AL64" s="656" t="str">
        <f t="shared" si="37"/>
        <v/>
      </c>
      <c r="AM64" s="656">
        <f t="shared" si="29"/>
        <v>-40</v>
      </c>
      <c r="AN64" s="656" t="str">
        <f t="shared" si="30"/>
        <v/>
      </c>
      <c r="AO64" s="656" t="str">
        <f t="shared" si="31"/>
        <v/>
      </c>
      <c r="AQ64" s="656">
        <f t="shared" si="38"/>
        <v>-50.400000000000006</v>
      </c>
      <c r="AR64" s="656" t="str">
        <f t="shared" si="32"/>
        <v/>
      </c>
      <c r="AS64" s="656" t="str">
        <f t="shared" si="33"/>
        <v/>
      </c>
      <c r="AT64" s="656" t="str">
        <f t="shared" si="34"/>
        <v/>
      </c>
    </row>
    <row r="65" spans="2:46" s="345" customFormat="1" ht="13.5" thickBot="1">
      <c r="B65" s="1024" t="s">
        <v>1252</v>
      </c>
      <c r="C65" s="659">
        <f>IF('Sections rachis &amp; L pennes'!$AC30="","",'Sections rachis &amp; L pennes'!$AC30)</f>
        <v>99.976857208979396</v>
      </c>
      <c r="D65" s="642"/>
      <c r="E65" s="642"/>
      <c r="F65" s="999"/>
      <c r="G65" s="642">
        <v>5</v>
      </c>
      <c r="H65" s="659">
        <f>IF('Sections rachis &amp; L pennes'!$AH30="","",'Sections rachis &amp; L pennes'!$AH30)</f>
        <v>99.976857208979396</v>
      </c>
      <c r="I65" s="387"/>
      <c r="J65" s="642"/>
      <c r="K65" s="642"/>
      <c r="L65" s="388">
        <v>3.7</v>
      </c>
      <c r="M65" s="770"/>
      <c r="N65" s="1024" t="s">
        <v>1252</v>
      </c>
      <c r="O65" s="659">
        <f>IF('Sections rachis &amp; L pennes'!$AC30="","",'Sections rachis &amp; L pennes'!$AC30)</f>
        <v>99.976857208979396</v>
      </c>
      <c r="P65" s="1025" t="str">
        <f t="shared" si="35"/>
        <v/>
      </c>
      <c r="Q65" s="1025" t="str">
        <f t="shared" si="23"/>
        <v/>
      </c>
      <c r="R65" s="1047" t="str">
        <f t="shared" si="24"/>
        <v/>
      </c>
      <c r="S65" s="1025">
        <f t="shared" si="25"/>
        <v>4.686425859048498</v>
      </c>
      <c r="T65" s="659">
        <f>IF('Sections rachis &amp; L pennes'!$AH30="","",'Sections rachis &amp; L pennes'!$AH30)</f>
        <v>99.976857208979396</v>
      </c>
      <c r="U65" s="1043" t="str">
        <f t="shared" si="36"/>
        <v/>
      </c>
      <c r="V65" s="1025" t="str">
        <f t="shared" si="26"/>
        <v/>
      </c>
      <c r="W65" s="1025" t="str">
        <f t="shared" si="27"/>
        <v/>
      </c>
      <c r="X65" s="1044">
        <f t="shared" si="28"/>
        <v>2.4416222808363948</v>
      </c>
      <c r="Y65" s="762"/>
      <c r="Z65" s="1026" t="s">
        <v>1252</v>
      </c>
      <c r="AA65" s="659">
        <f>IF('Sections rachis &amp; L pennes'!$AC30="","",'Sections rachis &amp; L pennes'!$AC30)</f>
        <v>99.976857208979396</v>
      </c>
      <c r="AB65" s="642"/>
      <c r="AC65" s="642"/>
      <c r="AD65" s="999"/>
      <c r="AE65" s="642">
        <v>143.1</v>
      </c>
      <c r="AF65" s="659"/>
      <c r="AG65" s="387"/>
      <c r="AH65" s="642"/>
      <c r="AI65" s="642"/>
      <c r="AJ65" s="388">
        <v>150.6</v>
      </c>
      <c r="AL65" s="656" t="str">
        <f t="shared" si="37"/>
        <v/>
      </c>
      <c r="AM65" s="656" t="str">
        <f t="shared" si="29"/>
        <v/>
      </c>
      <c r="AN65" s="656" t="str">
        <f t="shared" si="30"/>
        <v/>
      </c>
      <c r="AO65" s="656">
        <f t="shared" si="31"/>
        <v>-53.099999999999994</v>
      </c>
      <c r="AQ65" s="656" t="str">
        <f t="shared" si="38"/>
        <v/>
      </c>
      <c r="AR65" s="656" t="str">
        <f t="shared" si="32"/>
        <v/>
      </c>
      <c r="AS65" s="656" t="str">
        <f t="shared" si="33"/>
        <v/>
      </c>
      <c r="AT65" s="656">
        <f t="shared" si="34"/>
        <v>-60.599999999999994</v>
      </c>
    </row>
    <row r="66" spans="2:46" s="345" customFormat="1" ht="13.5" thickBot="1">
      <c r="B66" s="1027" t="s">
        <v>1254</v>
      </c>
      <c r="C66" s="925">
        <f>IF('Sections rachis &amp; L pennes'!$AC31="","",'Sections rachis &amp; L pennes'!$AC31)</f>
        <v>100</v>
      </c>
      <c r="D66" s="662"/>
      <c r="E66" s="662">
        <v>1.9</v>
      </c>
      <c r="F66" s="664"/>
      <c r="G66" s="662"/>
      <c r="H66" s="1048" t="str">
        <f>IF('Sections rachis &amp; L pennes'!$AH31="","",'Sections rachis &amp; L pennes'!$AH31)</f>
        <v>XXX</v>
      </c>
      <c r="I66" s="663"/>
      <c r="J66" s="664"/>
      <c r="K66" s="664"/>
      <c r="L66" s="665"/>
      <c r="M66" s="770"/>
      <c r="N66" s="1027" t="s">
        <v>1254</v>
      </c>
      <c r="O66" s="925">
        <f>IF('Sections rachis &amp; L pennes'!$AC31="","",'Sections rachis &amp; L pennes'!$AC31)</f>
        <v>100</v>
      </c>
      <c r="P66" s="1028" t="str">
        <f t="shared" si="35"/>
        <v/>
      </c>
      <c r="Q66" s="1028">
        <f t="shared" si="23"/>
        <v>10.702499448656937</v>
      </c>
      <c r="R66" s="1049" t="str">
        <f t="shared" si="24"/>
        <v/>
      </c>
      <c r="S66" s="1028" t="str">
        <f t="shared" si="25"/>
        <v/>
      </c>
      <c r="T66" s="1048" t="str">
        <f>IF('Sections rachis &amp; L pennes'!$AH31="","",'Sections rachis &amp; L pennes'!$AH31)</f>
        <v>XXX</v>
      </c>
      <c r="U66" s="1050" t="str">
        <f t="shared" si="36"/>
        <v/>
      </c>
      <c r="V66" s="1028" t="str">
        <f t="shared" si="26"/>
        <v/>
      </c>
      <c r="W66" s="1049" t="str">
        <f t="shared" si="27"/>
        <v/>
      </c>
      <c r="X66" s="1051" t="str">
        <f t="shared" si="28"/>
        <v/>
      </c>
      <c r="Y66" s="762"/>
      <c r="Z66" s="1029" t="s">
        <v>1254</v>
      </c>
      <c r="AA66" s="925">
        <f>IF('Sections rachis &amp; L pennes'!$AC31="","",'Sections rachis &amp; L pennes'!$AC31)</f>
        <v>100</v>
      </c>
      <c r="AB66" s="662"/>
      <c r="AC66" s="662">
        <v>123</v>
      </c>
      <c r="AD66" s="664"/>
      <c r="AE66" s="662"/>
      <c r="AF66" s="1048"/>
      <c r="AG66" s="663"/>
      <c r="AH66" s="662"/>
      <c r="AI66" s="664"/>
      <c r="AJ66" s="665"/>
      <c r="AL66" s="656" t="str">
        <f t="shared" si="37"/>
        <v/>
      </c>
      <c r="AM66" s="656">
        <f t="shared" si="29"/>
        <v>-33</v>
      </c>
      <c r="AN66" s="656" t="str">
        <f t="shared" si="30"/>
        <v/>
      </c>
      <c r="AO66" s="656" t="str">
        <f t="shared" si="31"/>
        <v/>
      </c>
      <c r="AQ66" s="656" t="str">
        <f t="shared" si="38"/>
        <v/>
      </c>
      <c r="AR66" s="656" t="str">
        <f t="shared" si="32"/>
        <v/>
      </c>
      <c r="AS66" s="656" t="str">
        <f t="shared" si="33"/>
        <v/>
      </c>
      <c r="AT66" s="656" t="str">
        <f t="shared" si="34"/>
        <v/>
      </c>
    </row>
    <row r="67" spans="2:46" s="345" customFormat="1">
      <c r="C67" s="1030"/>
      <c r="D67" s="578"/>
      <c r="E67" s="578"/>
      <c r="F67" s="367"/>
      <c r="G67" s="367"/>
      <c r="H67" s="367"/>
      <c r="I67" s="367"/>
      <c r="J67" s="367"/>
      <c r="K67" s="367"/>
      <c r="L67" s="367"/>
      <c r="M67" s="367"/>
      <c r="N67" s="367"/>
    </row>
    <row r="68" spans="2:46" s="345" customFormat="1">
      <c r="K68" s="1052"/>
      <c r="N68" s="1615" t="s">
        <v>1307</v>
      </c>
      <c r="O68" s="1615"/>
      <c r="P68" s="1615"/>
      <c r="Q68" s="1615"/>
      <c r="R68" s="1615"/>
      <c r="S68" s="1615"/>
      <c r="T68" s="1615"/>
      <c r="U68" s="1615"/>
      <c r="V68" s="1615"/>
      <c r="W68" s="1615"/>
      <c r="X68" s="1615"/>
    </row>
    <row r="69" spans="2:46" s="345" customFormat="1">
      <c r="N69" s="1615"/>
      <c r="O69" s="1615"/>
      <c r="P69" s="1615"/>
      <c r="Q69" s="1615"/>
      <c r="R69" s="1615"/>
      <c r="S69" s="1615"/>
      <c r="T69" s="1615"/>
      <c r="U69" s="1615"/>
      <c r="V69" s="1615"/>
      <c r="W69" s="1615"/>
      <c r="X69" s="1615"/>
    </row>
    <row r="70" spans="2:46" s="345" customFormat="1">
      <c r="N70" s="647"/>
      <c r="O70" s="647"/>
      <c r="P70" s="647"/>
      <c r="Q70" s="647"/>
      <c r="R70" s="647"/>
      <c r="S70" s="647"/>
      <c r="T70" s="647"/>
      <c r="U70" s="647"/>
      <c r="V70" s="647"/>
      <c r="W70" s="647"/>
      <c r="X70" s="647"/>
    </row>
    <row r="71" spans="2:46" s="345" customFormat="1">
      <c r="N71" s="647"/>
      <c r="O71" s="1614" t="s">
        <v>1308</v>
      </c>
      <c r="P71" s="1614"/>
      <c r="Q71" s="1053">
        <v>2.1852376876225801</v>
      </c>
      <c r="R71" s="647"/>
      <c r="S71" s="647"/>
      <c r="T71" s="1614" t="s">
        <v>1309</v>
      </c>
      <c r="U71" s="1614"/>
      <c r="V71" s="1053">
        <v>-45.406476039829698</v>
      </c>
      <c r="W71" s="647"/>
      <c r="X71" s="647"/>
    </row>
    <row r="72" spans="2:46" s="345" customFormat="1">
      <c r="N72" s="647"/>
      <c r="O72" s="647"/>
      <c r="P72" s="647"/>
      <c r="Q72" s="647"/>
      <c r="R72" s="647"/>
      <c r="S72" s="647"/>
      <c r="T72" s="1054"/>
      <c r="U72" s="1054"/>
      <c r="V72" s="647"/>
      <c r="W72" s="647"/>
      <c r="X72" s="647"/>
    </row>
    <row r="73" spans="2:46" s="345" customFormat="1">
      <c r="N73" s="647"/>
      <c r="O73" s="1614" t="s">
        <v>1310</v>
      </c>
      <c r="P73" s="1614"/>
      <c r="Q73" s="1053">
        <v>6.5902739065668098E-2</v>
      </c>
      <c r="R73" s="647"/>
      <c r="S73" s="647"/>
      <c r="T73" s="1614" t="s">
        <v>1311</v>
      </c>
      <c r="U73" s="1614"/>
      <c r="V73" s="1053">
        <v>1.7168307706305499</v>
      </c>
      <c r="W73" s="647"/>
      <c r="X73" s="647"/>
    </row>
    <row r="74" spans="2:46" s="345" customFormat="1">
      <c r="E74" s="1055"/>
      <c r="F74" s="1055"/>
      <c r="G74" s="762"/>
      <c r="N74" s="647"/>
      <c r="O74" s="647"/>
      <c r="P74" s="647"/>
      <c r="Q74" s="647"/>
      <c r="R74" s="647"/>
      <c r="S74" s="647"/>
      <c r="T74" s="647"/>
      <c r="U74" s="647"/>
      <c r="V74" s="647"/>
      <c r="W74" s="647"/>
      <c r="X74" s="647"/>
    </row>
    <row r="75" spans="2:46" s="345" customFormat="1">
      <c r="E75" s="1055"/>
      <c r="F75" s="1055"/>
      <c r="G75" s="762"/>
      <c r="N75" s="694"/>
      <c r="O75" s="694"/>
      <c r="P75" s="694"/>
      <c r="Q75" s="694"/>
      <c r="R75" s="694"/>
      <c r="S75" s="694"/>
      <c r="T75" s="694"/>
      <c r="U75" s="694"/>
      <c r="V75" s="694"/>
      <c r="W75" s="694"/>
      <c r="X75" s="694"/>
    </row>
    <row r="76" spans="2:46" s="345" customFormat="1">
      <c r="E76" s="1055"/>
      <c r="F76" s="1055"/>
      <c r="G76" s="762"/>
      <c r="N76" s="1615" t="s">
        <v>1312</v>
      </c>
      <c r="O76" s="1615"/>
      <c r="P76" s="1615"/>
      <c r="Q76" s="1615"/>
      <c r="R76" s="1615"/>
      <c r="S76" s="1615"/>
      <c r="T76" s="1615"/>
      <c r="U76" s="1615"/>
      <c r="V76" s="1615"/>
      <c r="W76" s="1615"/>
      <c r="X76" s="1615"/>
    </row>
    <row r="77" spans="2:46" s="345" customFormat="1">
      <c r="E77" s="1055"/>
      <c r="F77" s="1055"/>
      <c r="G77" s="762"/>
      <c r="N77" s="1615"/>
      <c r="O77" s="1615"/>
      <c r="P77" s="1615"/>
      <c r="Q77" s="1615"/>
      <c r="R77" s="1615"/>
      <c r="S77" s="1615"/>
      <c r="T77" s="1615"/>
      <c r="U77" s="1615"/>
      <c r="V77" s="1615"/>
      <c r="W77" s="1615"/>
      <c r="X77" s="1615"/>
    </row>
    <row r="78" spans="2:46" s="345" customFormat="1">
      <c r="E78" s="1055"/>
      <c r="F78" s="1055"/>
      <c r="G78" s="762"/>
      <c r="N78" s="647"/>
      <c r="O78" s="647"/>
      <c r="P78" s="647"/>
      <c r="Q78" s="647"/>
      <c r="R78" s="647"/>
      <c r="S78" s="647"/>
      <c r="T78" s="647"/>
      <c r="U78" s="647"/>
      <c r="V78" s="647"/>
      <c r="W78" s="647"/>
      <c r="X78" s="647"/>
    </row>
    <row r="79" spans="2:46" s="345" customFormat="1">
      <c r="E79" s="1055"/>
      <c r="F79" s="1055"/>
      <c r="G79" s="762"/>
      <c r="N79" s="647"/>
      <c r="O79" s="1614" t="s">
        <v>1308</v>
      </c>
      <c r="P79" s="1614"/>
      <c r="Q79" s="1053">
        <v>0.29930714376161399</v>
      </c>
      <c r="R79" s="647"/>
      <c r="S79" s="647"/>
      <c r="T79" s="1614" t="s">
        <v>1309</v>
      </c>
      <c r="U79" s="1614"/>
      <c r="V79" s="1053">
        <v>20.579635192790199</v>
      </c>
      <c r="W79" s="647"/>
      <c r="X79" s="647"/>
    </row>
    <row r="80" spans="2:46" s="345" customFormat="1">
      <c r="E80" s="1055"/>
      <c r="F80" s="1055"/>
      <c r="G80" s="762"/>
      <c r="N80" s="647"/>
      <c r="O80" s="647"/>
      <c r="P80" s="647"/>
      <c r="Q80" s="647"/>
      <c r="R80" s="647"/>
      <c r="S80" s="647"/>
      <c r="T80" s="1054"/>
      <c r="U80" s="1054"/>
      <c r="V80" s="647"/>
      <c r="W80" s="647"/>
      <c r="X80" s="647"/>
    </row>
    <row r="81" spans="5:24" s="345" customFormat="1">
      <c r="E81" s="1055"/>
      <c r="F81" s="1055"/>
      <c r="G81" s="762"/>
      <c r="N81" s="647"/>
      <c r="O81" s="1614" t="s">
        <v>1310</v>
      </c>
      <c r="P81" s="1614"/>
      <c r="Q81" s="1053">
        <v>5.7832133263126901E-3</v>
      </c>
      <c r="R81" s="647"/>
      <c r="S81" s="647"/>
      <c r="T81" s="1614" t="s">
        <v>1311</v>
      </c>
      <c r="U81" s="1614"/>
      <c r="V81" s="1053">
        <v>0.26749923876430198</v>
      </c>
      <c r="W81" s="647"/>
      <c r="X81" s="647"/>
    </row>
    <row r="82" spans="5:24" s="345" customFormat="1">
      <c r="E82" s="1055"/>
      <c r="F82" s="1055"/>
      <c r="G82" s="762"/>
      <c r="N82" s="647"/>
      <c r="O82" s="647"/>
      <c r="P82" s="647"/>
      <c r="Q82" s="647"/>
      <c r="R82" s="647"/>
      <c r="S82" s="647"/>
      <c r="T82" s="647"/>
      <c r="U82" s="647"/>
      <c r="V82" s="647"/>
      <c r="W82" s="647"/>
      <c r="X82" s="647"/>
    </row>
    <row r="83" spans="5:24" s="345" customFormat="1">
      <c r="E83" s="1055"/>
      <c r="F83" s="1055"/>
      <c r="G83" s="762"/>
    </row>
    <row r="84" spans="5:24" s="345" customFormat="1">
      <c r="E84" s="1055"/>
      <c r="F84" s="1055"/>
      <c r="G84" s="762"/>
    </row>
    <row r="85" spans="5:24" s="345" customFormat="1">
      <c r="E85" s="1055"/>
      <c r="F85" s="1055"/>
      <c r="G85" s="762"/>
    </row>
    <row r="86" spans="5:24" s="345" customFormat="1">
      <c r="E86" s="1055"/>
      <c r="F86" s="1055"/>
      <c r="G86" s="762"/>
    </row>
    <row r="87" spans="5:24" s="345" customFormat="1">
      <c r="E87" s="1055"/>
      <c r="F87" s="1055"/>
      <c r="G87" s="762"/>
    </row>
    <row r="88" spans="5:24" s="345" customFormat="1">
      <c r="E88" s="1055"/>
      <c r="F88" s="1055"/>
      <c r="G88" s="762"/>
    </row>
    <row r="89" spans="5:24" s="345" customFormat="1">
      <c r="E89" s="1055"/>
      <c r="F89" s="1055"/>
      <c r="G89" s="762"/>
    </row>
    <row r="90" spans="5:24" s="345" customFormat="1">
      <c r="E90" s="1055"/>
      <c r="F90" s="1055"/>
      <c r="G90" s="762"/>
    </row>
    <row r="91" spans="5:24" s="345" customFormat="1">
      <c r="E91" s="1055"/>
      <c r="F91" s="1055"/>
      <c r="G91" s="762"/>
    </row>
    <row r="92" spans="5:24" s="345" customFormat="1">
      <c r="E92" s="1055"/>
      <c r="F92" s="1055"/>
      <c r="G92" s="762"/>
    </row>
    <row r="93" spans="5:24" s="345" customFormat="1">
      <c r="E93" s="1055"/>
      <c r="F93" s="1055"/>
      <c r="G93" s="762"/>
    </row>
    <row r="94" spans="5:24" s="345" customFormat="1">
      <c r="E94" s="1055"/>
      <c r="F94" s="1055"/>
      <c r="G94" s="762"/>
    </row>
    <row r="95" spans="5:24" s="345" customFormat="1">
      <c r="E95" s="1055"/>
      <c r="F95" s="1055"/>
      <c r="G95" s="762"/>
    </row>
    <row r="96" spans="5:24" s="345" customFormat="1">
      <c r="E96" s="1055"/>
      <c r="F96" s="1055"/>
      <c r="G96" s="762"/>
    </row>
    <row r="97" spans="5:7" s="345" customFormat="1">
      <c r="E97" s="1055"/>
      <c r="F97" s="1055"/>
      <c r="G97" s="762"/>
    </row>
    <row r="98" spans="5:7" s="345" customFormat="1">
      <c r="E98" s="1055"/>
      <c r="F98" s="1055"/>
      <c r="G98" s="762"/>
    </row>
    <row r="99" spans="5:7" s="345" customFormat="1">
      <c r="E99" s="1055"/>
      <c r="F99" s="1055"/>
      <c r="G99" s="762"/>
    </row>
    <row r="100" spans="5:7" s="345" customFormat="1">
      <c r="E100" s="1055"/>
      <c r="F100" s="1055"/>
      <c r="G100" s="762"/>
    </row>
    <row r="101" spans="5:7" s="345" customFormat="1">
      <c r="E101" s="1055"/>
      <c r="F101" s="1055"/>
      <c r="G101" s="762"/>
    </row>
    <row r="102" spans="5:7" s="345" customFormat="1">
      <c r="E102" s="1055"/>
      <c r="F102" s="1055"/>
      <c r="G102" s="762"/>
    </row>
    <row r="103" spans="5:7" s="345" customFormat="1">
      <c r="E103" s="1055"/>
      <c r="F103" s="1055"/>
      <c r="G103" s="762"/>
    </row>
    <row r="104" spans="5:7" s="345" customFormat="1">
      <c r="E104" s="1055"/>
      <c r="F104" s="1055"/>
      <c r="G104" s="762"/>
    </row>
    <row r="105" spans="5:7" s="345" customFormat="1">
      <c r="E105" s="1055"/>
      <c r="F105" s="1055"/>
      <c r="G105" s="762"/>
    </row>
    <row r="106" spans="5:7" s="345" customFormat="1">
      <c r="E106" s="1055"/>
      <c r="F106" s="1055"/>
      <c r="G106" s="762"/>
    </row>
    <row r="107" spans="5:7" s="345" customFormat="1">
      <c r="E107" s="1055"/>
      <c r="F107" s="1055"/>
      <c r="G107" s="762"/>
    </row>
    <row r="108" spans="5:7" s="345" customFormat="1">
      <c r="E108" s="1056"/>
      <c r="F108" s="1055"/>
      <c r="G108" s="762"/>
    </row>
    <row r="109" spans="5:7" s="345" customFormat="1">
      <c r="E109" s="1056"/>
      <c r="F109" s="1055"/>
      <c r="G109" s="762"/>
    </row>
    <row r="110" spans="5:7" s="345" customFormat="1">
      <c r="E110" s="1056"/>
      <c r="F110" s="1055"/>
      <c r="G110" s="762"/>
    </row>
    <row r="111" spans="5:7" s="345" customFormat="1">
      <c r="E111" s="1056"/>
      <c r="F111" s="1055"/>
      <c r="G111" s="762"/>
    </row>
    <row r="112" spans="5:7" s="345" customFormat="1">
      <c r="E112" s="1056"/>
      <c r="F112" s="1055"/>
      <c r="G112" s="762"/>
    </row>
    <row r="113" spans="5:7" s="345" customFormat="1">
      <c r="E113" s="1056"/>
      <c r="F113" s="1055"/>
      <c r="G113" s="762"/>
    </row>
    <row r="114" spans="5:7" s="345" customFormat="1">
      <c r="E114" s="1056"/>
      <c r="F114" s="1055"/>
      <c r="G114" s="762"/>
    </row>
    <row r="115" spans="5:7" s="345" customFormat="1">
      <c r="E115" s="1055"/>
      <c r="F115" s="1055"/>
      <c r="G115" s="762"/>
    </row>
    <row r="116" spans="5:7" s="345" customFormat="1">
      <c r="E116" s="1055"/>
      <c r="F116" s="1055"/>
      <c r="G116" s="762"/>
    </row>
    <row r="117" spans="5:7" s="345" customFormat="1">
      <c r="E117" s="1055"/>
      <c r="F117" s="1055"/>
      <c r="G117" s="762"/>
    </row>
    <row r="118" spans="5:7" s="345" customFormat="1">
      <c r="E118" s="1055"/>
      <c r="F118" s="1055"/>
      <c r="G118" s="762"/>
    </row>
    <row r="119" spans="5:7" s="345" customFormat="1">
      <c r="E119" s="1055"/>
      <c r="F119" s="1055"/>
      <c r="G119" s="762"/>
    </row>
    <row r="120" spans="5:7" s="345" customFormat="1">
      <c r="E120" s="1055"/>
      <c r="F120" s="1055"/>
      <c r="G120" s="762"/>
    </row>
  </sheetData>
  <sheetProtection sheet="1" objects="1" scenarios="1" selectLockedCells="1"/>
  <mergeCells count="63">
    <mergeCell ref="AH1:AI1"/>
    <mergeCell ref="C1:D1"/>
    <mergeCell ref="K1:L1"/>
    <mergeCell ref="N1:O1"/>
    <mergeCell ref="V1:W1"/>
    <mergeCell ref="Z1:AA1"/>
    <mergeCell ref="Z3:AB3"/>
    <mergeCell ref="AC3:AD3"/>
    <mergeCell ref="AF3:AH3"/>
    <mergeCell ref="B5:L5"/>
    <mergeCell ref="N5:W5"/>
    <mergeCell ref="Z5:AI5"/>
    <mergeCell ref="C3:E3"/>
    <mergeCell ref="F3:G3"/>
    <mergeCell ref="J3:K3"/>
    <mergeCell ref="N3:P3"/>
    <mergeCell ref="Q3:R3"/>
    <mergeCell ref="T3:V3"/>
    <mergeCell ref="C7:D7"/>
    <mergeCell ref="O7:P7"/>
    <mergeCell ref="AA7:AB7"/>
    <mergeCell ref="C11:K11"/>
    <mergeCell ref="O11:W11"/>
    <mergeCell ref="AA11:AJ11"/>
    <mergeCell ref="AA12:AA13"/>
    <mergeCell ref="AB12:AE12"/>
    <mergeCell ref="AG12:AJ12"/>
    <mergeCell ref="B36:F36"/>
    <mergeCell ref="G36:H36"/>
    <mergeCell ref="I36:L36"/>
    <mergeCell ref="M36:N36"/>
    <mergeCell ref="C12:C13"/>
    <mergeCell ref="D12:G12"/>
    <mergeCell ref="I12:L12"/>
    <mergeCell ref="O12:O13"/>
    <mergeCell ref="P12:S12"/>
    <mergeCell ref="U12:X12"/>
    <mergeCell ref="C40:E40"/>
    <mergeCell ref="C44:K44"/>
    <mergeCell ref="O44:W44"/>
    <mergeCell ref="AA44:AJ44"/>
    <mergeCell ref="C46:C47"/>
    <mergeCell ref="D46:G46"/>
    <mergeCell ref="I46:L46"/>
    <mergeCell ref="O46:O47"/>
    <mergeCell ref="P46:S46"/>
    <mergeCell ref="U46:X46"/>
    <mergeCell ref="B38:L38"/>
    <mergeCell ref="N38:W38"/>
    <mergeCell ref="Z38:AI38"/>
    <mergeCell ref="O81:P81"/>
    <mergeCell ref="T81:U81"/>
    <mergeCell ref="AA46:AA47"/>
    <mergeCell ref="AB46:AE46"/>
    <mergeCell ref="AG46:AJ46"/>
    <mergeCell ref="N68:X69"/>
    <mergeCell ref="O71:P71"/>
    <mergeCell ref="T71:U71"/>
    <mergeCell ref="O73:P73"/>
    <mergeCell ref="T73:U73"/>
    <mergeCell ref="N76:X77"/>
    <mergeCell ref="O79:P79"/>
    <mergeCell ref="T79:U79"/>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BH308"/>
  <sheetViews>
    <sheetView tabSelected="1" zoomScale="90" zoomScaleNormal="90" workbookViewId="0"/>
  </sheetViews>
  <sheetFormatPr baseColWidth="10" defaultColWidth="57.85546875" defaultRowHeight="12.75"/>
  <cols>
    <col min="1" max="1" width="5.42578125" style="38" bestFit="1" customWidth="1"/>
    <col min="2" max="2" width="38.140625" style="38" bestFit="1" customWidth="1"/>
    <col min="3" max="3" width="91.42578125" style="38" customWidth="1"/>
    <col min="4" max="4" width="5.85546875" style="38" bestFit="1" customWidth="1"/>
    <col min="5" max="5" width="12.85546875" style="38" bestFit="1" customWidth="1"/>
    <col min="6" max="6" width="8.85546875" style="38" bestFit="1" customWidth="1"/>
    <col min="7" max="7" width="5.7109375" style="38" bestFit="1" customWidth="1"/>
    <col min="8" max="8" width="7.42578125" style="74" bestFit="1" customWidth="1"/>
    <col min="9" max="9" width="8.7109375" style="42" bestFit="1" customWidth="1"/>
    <col min="10" max="10" width="15.5703125" style="42" customWidth="1"/>
    <col min="11" max="11" width="9.7109375" style="42" bestFit="1" customWidth="1"/>
    <col min="12" max="14" width="11" style="42" bestFit="1" customWidth="1"/>
    <col min="15" max="16" width="10.140625" style="42" bestFit="1" customWidth="1"/>
    <col min="17" max="18" width="9.7109375" style="42" bestFit="1" customWidth="1"/>
    <col min="19" max="19" width="11" style="42" bestFit="1" customWidth="1"/>
    <col min="20" max="20" width="9.28515625" style="42" bestFit="1" customWidth="1"/>
    <col min="21" max="21" width="11" style="42" customWidth="1"/>
    <col min="22" max="22" width="10" style="42" customWidth="1"/>
    <col min="23" max="23" width="10" style="42" bestFit="1" customWidth="1"/>
    <col min="24" max="24" width="7.85546875" style="42" bestFit="1" customWidth="1"/>
    <col min="25" max="25" width="10" style="42" bestFit="1" customWidth="1"/>
    <col min="26" max="26" width="8.85546875" style="42" bestFit="1" customWidth="1"/>
    <col min="27" max="27" width="10" style="42" bestFit="1" customWidth="1"/>
    <col min="28" max="28" width="8.85546875" style="42" bestFit="1" customWidth="1"/>
    <col min="29" max="29" width="10.140625" style="42" bestFit="1" customWidth="1"/>
    <col min="30" max="30" width="8.85546875" style="42" bestFit="1" customWidth="1"/>
    <col min="31" max="31" width="11.42578125" style="42" bestFit="1" customWidth="1"/>
    <col min="32" max="32" width="9.7109375" style="42" bestFit="1" customWidth="1"/>
    <col min="33" max="33" width="11.42578125" style="42" bestFit="1" customWidth="1"/>
    <col min="34" max="34" width="8.85546875" style="42" bestFit="1" customWidth="1"/>
    <col min="35" max="35" width="12.140625" style="42" bestFit="1" customWidth="1"/>
    <col min="36" max="36" width="8.85546875" style="42" customWidth="1"/>
    <col min="37" max="37" width="12.140625" style="42" bestFit="1" customWidth="1"/>
    <col min="38" max="38" width="8.7109375" style="42" bestFit="1" customWidth="1"/>
    <col min="39" max="39" width="12.140625" style="42" bestFit="1" customWidth="1"/>
    <col min="40" max="40" width="8.7109375" style="42" bestFit="1" customWidth="1"/>
    <col min="41" max="41" width="11" style="42" bestFit="1" customWidth="1"/>
    <col min="42" max="42" width="7.42578125" style="42" bestFit="1" customWidth="1"/>
    <col min="43" max="43" width="10" style="42" bestFit="1" customWidth="1"/>
    <col min="44" max="44" width="7.42578125" style="42" customWidth="1"/>
    <col min="45" max="45" width="10" style="42" bestFit="1" customWidth="1"/>
    <col min="46" max="46" width="8.7109375" style="42" bestFit="1" customWidth="1"/>
    <col min="47" max="47" width="10.28515625" style="42" bestFit="1" customWidth="1"/>
    <col min="48" max="48" width="9.140625" style="42" bestFit="1" customWidth="1"/>
    <col min="49" max="49" width="10" style="42" bestFit="1" customWidth="1"/>
    <col min="50" max="50" width="8.7109375" style="42" bestFit="1" customWidth="1"/>
    <col min="51" max="51" width="10.28515625" style="42" bestFit="1" customWidth="1"/>
    <col min="52" max="52" width="7.85546875" style="42" bestFit="1" customWidth="1"/>
    <col min="53" max="53" width="10.28515625" style="42" bestFit="1" customWidth="1"/>
    <col min="54" max="54" width="7.85546875" style="42" bestFit="1" customWidth="1"/>
    <col min="55" max="55" width="10.28515625" style="42" bestFit="1" customWidth="1"/>
    <col min="56" max="56" width="7.85546875" style="42" bestFit="1" customWidth="1"/>
    <col min="57" max="57" width="10.28515625" style="42" bestFit="1" customWidth="1"/>
    <col min="58" max="58" width="7.85546875" style="42" bestFit="1" customWidth="1"/>
    <col min="59" max="59" width="6.85546875" style="42" bestFit="1" customWidth="1"/>
    <col min="60" max="16384" width="57.85546875" style="38"/>
  </cols>
  <sheetData>
    <row r="1" spans="1:60" s="50" customFormat="1" ht="26.25">
      <c r="A1" s="264" t="s">
        <v>69</v>
      </c>
      <c r="B1" s="109" t="s">
        <v>329</v>
      </c>
      <c r="C1" s="60" t="s">
        <v>330</v>
      </c>
      <c r="D1" s="44"/>
      <c r="E1" s="44"/>
      <c r="F1" s="45"/>
      <c r="G1" s="207"/>
      <c r="H1" s="208"/>
      <c r="I1" s="209"/>
      <c r="J1" s="210"/>
      <c r="K1" s="209"/>
      <c r="L1" s="210"/>
      <c r="M1" s="211"/>
      <c r="N1" s="210"/>
      <c r="O1" s="211"/>
      <c r="P1" s="210"/>
      <c r="Q1" s="211"/>
      <c r="R1" s="210"/>
      <c r="S1" s="211"/>
      <c r="T1" s="210"/>
      <c r="U1" s="211"/>
      <c r="V1" s="210"/>
      <c r="W1" s="211"/>
      <c r="X1" s="210"/>
      <c r="Y1" s="211"/>
      <c r="Z1" s="210"/>
      <c r="AA1" s="211"/>
      <c r="AB1" s="210"/>
      <c r="AC1" s="211"/>
      <c r="AD1" s="210"/>
      <c r="AE1" s="211"/>
      <c r="AF1" s="210"/>
      <c r="AG1" s="211"/>
      <c r="AH1" s="210"/>
      <c r="AI1" s="211"/>
      <c r="AJ1" s="210"/>
      <c r="AK1" s="211"/>
      <c r="AL1" s="210"/>
      <c r="AM1" s="211"/>
      <c r="AN1" s="210"/>
      <c r="AO1" s="211"/>
      <c r="AP1" s="210"/>
      <c r="AQ1" s="211"/>
      <c r="AR1" s="210"/>
      <c r="AS1" s="211"/>
      <c r="AT1" s="210"/>
      <c r="AU1" s="211"/>
      <c r="AV1" s="210"/>
      <c r="AW1" s="211"/>
      <c r="AX1" s="210"/>
      <c r="AY1" s="211"/>
      <c r="AZ1" s="210"/>
      <c r="BA1" s="211"/>
      <c r="BB1" s="210"/>
      <c r="BC1" s="211"/>
      <c r="BD1" s="210"/>
      <c r="BE1" s="211"/>
      <c r="BF1" s="210"/>
      <c r="BG1" s="52" t="s">
        <v>69</v>
      </c>
      <c r="BH1" s="49"/>
    </row>
    <row r="2" spans="1:60">
      <c r="A2" s="19" t="s">
        <v>69</v>
      </c>
      <c r="B2" s="39"/>
      <c r="C2" s="1199" t="s">
        <v>344</v>
      </c>
      <c r="D2" s="1199"/>
      <c r="E2" s="1199"/>
      <c r="F2" s="1199"/>
      <c r="G2" s="1199"/>
      <c r="H2" s="1199"/>
      <c r="I2" s="1199"/>
      <c r="J2" s="1199"/>
      <c r="K2" s="24" t="s">
        <v>12</v>
      </c>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52" t="s">
        <v>69</v>
      </c>
      <c r="BH2" s="3"/>
    </row>
    <row r="3" spans="1:60">
      <c r="A3" s="19" t="s">
        <v>69</v>
      </c>
      <c r="B3" s="39"/>
      <c r="C3" s="1200" t="s">
        <v>332</v>
      </c>
      <c r="D3" s="1200"/>
      <c r="E3" s="1200"/>
      <c r="F3" s="1200"/>
      <c r="G3" s="1200"/>
      <c r="H3" s="1200"/>
      <c r="I3" s="1200"/>
      <c r="J3" s="1200"/>
      <c r="K3" s="25" t="s">
        <v>12</v>
      </c>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52" t="s">
        <v>69</v>
      </c>
      <c r="BH3" s="3"/>
    </row>
    <row r="4" spans="1:60" ht="12.75" customHeight="1">
      <c r="A4" s="19" t="s">
        <v>69</v>
      </c>
      <c r="B4" s="39"/>
      <c r="C4" s="1201" t="s">
        <v>324</v>
      </c>
      <c r="D4" s="1201"/>
      <c r="E4" s="1201"/>
      <c r="F4" s="1201"/>
      <c r="G4" s="1201"/>
      <c r="H4" s="1201"/>
      <c r="I4" s="1201"/>
      <c r="J4" s="1201"/>
      <c r="K4" s="34" t="s">
        <v>12</v>
      </c>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52" t="s">
        <v>69</v>
      </c>
      <c r="BH4" s="3"/>
    </row>
    <row r="5" spans="1:60" ht="12.75" customHeight="1">
      <c r="A5" s="19" t="s">
        <v>69</v>
      </c>
      <c r="B5" s="198" t="s">
        <v>318</v>
      </c>
      <c r="C5" s="199" t="s">
        <v>693</v>
      </c>
      <c r="D5" s="199"/>
      <c r="E5" s="199"/>
      <c r="F5" s="199"/>
      <c r="G5" s="199"/>
      <c r="H5" s="199"/>
      <c r="I5" s="199"/>
      <c r="J5" s="199"/>
      <c r="K5" s="77" t="s">
        <v>12</v>
      </c>
      <c r="L5" s="77"/>
      <c r="M5" s="77"/>
      <c r="N5" s="77"/>
      <c r="O5" s="77"/>
      <c r="P5" s="77"/>
      <c r="Q5" s="77"/>
      <c r="R5" s="77"/>
      <c r="S5" s="77"/>
      <c r="T5" s="77"/>
      <c r="U5" s="77"/>
      <c r="V5" s="77"/>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52" t="s">
        <v>69</v>
      </c>
      <c r="BH5" s="3"/>
    </row>
    <row r="6" spans="1:60" s="65" customFormat="1" ht="25.5">
      <c r="A6" s="21" t="s">
        <v>69</v>
      </c>
      <c r="B6" s="206" t="s">
        <v>708</v>
      </c>
      <c r="C6" s="61" t="s">
        <v>569</v>
      </c>
      <c r="D6" s="43" t="s">
        <v>316</v>
      </c>
      <c r="E6" s="44" t="s">
        <v>317</v>
      </c>
      <c r="F6" s="62"/>
      <c r="G6" s="46" t="s">
        <v>310</v>
      </c>
      <c r="H6" s="66" t="s">
        <v>311</v>
      </c>
      <c r="I6" s="47" t="s">
        <v>106</v>
      </c>
      <c r="J6" s="51" t="s">
        <v>74</v>
      </c>
      <c r="K6" s="47" t="s">
        <v>107</v>
      </c>
      <c r="L6" s="51" t="s">
        <v>75</v>
      </c>
      <c r="M6" s="48" t="s">
        <v>108</v>
      </c>
      <c r="N6" s="51" t="s">
        <v>76</v>
      </c>
      <c r="O6" s="48" t="s">
        <v>109</v>
      </c>
      <c r="P6" s="51" t="s">
        <v>77</v>
      </c>
      <c r="Q6" s="48" t="s">
        <v>110</v>
      </c>
      <c r="R6" s="51" t="s">
        <v>78</v>
      </c>
      <c r="S6" s="48" t="s">
        <v>111</v>
      </c>
      <c r="T6" s="51" t="s">
        <v>94</v>
      </c>
      <c r="U6" s="48" t="s">
        <v>112</v>
      </c>
      <c r="V6" s="51" t="s">
        <v>95</v>
      </c>
      <c r="W6" s="48" t="s">
        <v>113</v>
      </c>
      <c r="X6" s="51" t="s">
        <v>96</v>
      </c>
      <c r="Y6" s="48" t="s">
        <v>114</v>
      </c>
      <c r="Z6" s="51" t="s">
        <v>97</v>
      </c>
      <c r="AA6" s="48" t="s">
        <v>115</v>
      </c>
      <c r="AB6" s="51" t="s">
        <v>98</v>
      </c>
      <c r="AC6" s="48" t="s">
        <v>116</v>
      </c>
      <c r="AD6" s="51" t="s">
        <v>99</v>
      </c>
      <c r="AE6" s="48" t="s">
        <v>117</v>
      </c>
      <c r="AF6" s="51" t="s">
        <v>100</v>
      </c>
      <c r="AG6" s="48" t="s">
        <v>118</v>
      </c>
      <c r="AH6" s="51" t="s">
        <v>101</v>
      </c>
      <c r="AI6" s="48" t="s">
        <v>136</v>
      </c>
      <c r="AJ6" s="51" t="s">
        <v>137</v>
      </c>
      <c r="AK6" s="48" t="s">
        <v>138</v>
      </c>
      <c r="AL6" s="51" t="s">
        <v>139</v>
      </c>
      <c r="AM6" s="48" t="s">
        <v>140</v>
      </c>
      <c r="AN6" s="51" t="s">
        <v>141</v>
      </c>
      <c r="AO6" s="48" t="s">
        <v>142</v>
      </c>
      <c r="AP6" s="51" t="s">
        <v>143</v>
      </c>
      <c r="AQ6" s="48" t="s">
        <v>144</v>
      </c>
      <c r="AR6" s="51" t="s">
        <v>145</v>
      </c>
      <c r="AS6" s="48" t="s">
        <v>146</v>
      </c>
      <c r="AT6" s="51" t="s">
        <v>147</v>
      </c>
      <c r="AU6" s="48" t="s">
        <v>148</v>
      </c>
      <c r="AV6" s="51" t="s">
        <v>149</v>
      </c>
      <c r="AW6" s="48" t="s">
        <v>150</v>
      </c>
      <c r="AX6" s="51" t="s">
        <v>151</v>
      </c>
      <c r="AY6" s="48" t="s">
        <v>152</v>
      </c>
      <c r="AZ6" s="51" t="s">
        <v>153</v>
      </c>
      <c r="BA6" s="48" t="s">
        <v>154</v>
      </c>
      <c r="BB6" s="51" t="s">
        <v>155</v>
      </c>
      <c r="BC6" s="48" t="s">
        <v>156</v>
      </c>
      <c r="BD6" s="51" t="s">
        <v>157</v>
      </c>
      <c r="BE6" s="48" t="s">
        <v>158</v>
      </c>
      <c r="BF6" s="51" t="s">
        <v>159</v>
      </c>
      <c r="BG6" s="52" t="s">
        <v>69</v>
      </c>
      <c r="BH6" s="64"/>
    </row>
    <row r="7" spans="1:60">
      <c r="A7" s="19"/>
      <c r="B7" s="30" t="s">
        <v>1012</v>
      </c>
      <c r="C7" s="2" t="s">
        <v>1013</v>
      </c>
      <c r="D7" s="6" t="s">
        <v>60</v>
      </c>
      <c r="E7" s="2" t="s">
        <v>59</v>
      </c>
      <c r="F7" s="41" t="s">
        <v>86</v>
      </c>
      <c r="G7" s="46">
        <v>0</v>
      </c>
      <c r="H7" s="72">
        <v>1</v>
      </c>
      <c r="I7" s="54">
        <v>1</v>
      </c>
      <c r="J7" s="31" t="str">
        <f>PLANT!C7</f>
        <v>v2015a</v>
      </c>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2" t="s">
        <v>69</v>
      </c>
      <c r="BH7" s="16"/>
    </row>
    <row r="8" spans="1:60" ht="19.5" thickBot="1">
      <c r="A8" s="20"/>
      <c r="B8" s="30" t="s">
        <v>29</v>
      </c>
      <c r="C8" s="2" t="s">
        <v>73</v>
      </c>
      <c r="D8" s="6" t="s">
        <v>60</v>
      </c>
      <c r="E8" s="2" t="s">
        <v>59</v>
      </c>
      <c r="F8" s="41" t="s">
        <v>86</v>
      </c>
      <c r="G8" s="46">
        <v>0</v>
      </c>
      <c r="H8" s="72">
        <v>1</v>
      </c>
      <c r="I8" s="54">
        <v>1</v>
      </c>
      <c r="J8" s="310" t="str">
        <f>PLANT!$E$7</f>
        <v>Phoenix rochdi</v>
      </c>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2" t="s">
        <v>69</v>
      </c>
      <c r="BH8" s="16"/>
    </row>
    <row r="9" spans="1:60" ht="13.5" thickBot="1">
      <c r="A9" s="20"/>
      <c r="B9" s="11" t="s">
        <v>54</v>
      </c>
      <c r="C9" s="2" t="s">
        <v>321</v>
      </c>
      <c r="D9" s="8" t="s">
        <v>62</v>
      </c>
      <c r="E9" s="9" t="s">
        <v>2</v>
      </c>
      <c r="F9" s="40" t="s">
        <v>7</v>
      </c>
      <c r="G9" s="46">
        <v>0</v>
      </c>
      <c r="H9" s="72">
        <v>1</v>
      </c>
      <c r="I9" s="54">
        <v>1</v>
      </c>
      <c r="J9" s="32">
        <f>PLANT!$G$7</f>
        <v>194</v>
      </c>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2" t="s">
        <v>69</v>
      </c>
      <c r="BH9" s="16"/>
    </row>
    <row r="10" spans="1:60">
      <c r="A10" s="20"/>
      <c r="B10" s="11" t="s">
        <v>313</v>
      </c>
      <c r="C10" s="2" t="s">
        <v>653</v>
      </c>
      <c r="D10" s="6" t="s">
        <v>61</v>
      </c>
      <c r="E10" s="9" t="s">
        <v>2</v>
      </c>
      <c r="F10" s="40" t="s">
        <v>331</v>
      </c>
      <c r="G10" s="46">
        <v>0</v>
      </c>
      <c r="H10" s="72">
        <v>1</v>
      </c>
      <c r="I10" s="54">
        <v>1</v>
      </c>
      <c r="J10" s="32">
        <f>PLANT!$I$7</f>
        <v>1</v>
      </c>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2" t="s">
        <v>69</v>
      </c>
      <c r="BH10" s="16"/>
    </row>
    <row r="11" spans="1:60">
      <c r="A11" s="20"/>
      <c r="B11" s="11" t="s">
        <v>351</v>
      </c>
      <c r="C11" s="2" t="s">
        <v>398</v>
      </c>
      <c r="D11" s="13" t="s">
        <v>12</v>
      </c>
      <c r="E11" s="9" t="s">
        <v>4</v>
      </c>
      <c r="F11" s="40" t="s">
        <v>11</v>
      </c>
      <c r="G11" s="46">
        <v>0</v>
      </c>
      <c r="H11" s="72">
        <v>1</v>
      </c>
      <c r="I11" s="56">
        <v>1</v>
      </c>
      <c r="J11" s="31">
        <f>PLANT!$K$7</f>
        <v>5</v>
      </c>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2" t="s">
        <v>69</v>
      </c>
      <c r="BH11" s="16"/>
    </row>
    <row r="12" spans="1:60" ht="13.5" thickBot="1">
      <c r="A12" s="20"/>
      <c r="B12" s="30" t="s">
        <v>83</v>
      </c>
      <c r="C12" s="29" t="s">
        <v>694</v>
      </c>
      <c r="D12" s="6" t="s">
        <v>61</v>
      </c>
      <c r="E12" s="9" t="s">
        <v>2</v>
      </c>
      <c r="F12" s="40" t="s">
        <v>85</v>
      </c>
      <c r="G12" s="46">
        <v>0</v>
      </c>
      <c r="H12" s="72">
        <v>1</v>
      </c>
      <c r="I12" s="54">
        <v>1</v>
      </c>
      <c r="J12" s="32">
        <f>PLANT!$M$7</f>
        <v>1</v>
      </c>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2" t="s">
        <v>69</v>
      </c>
      <c r="BH12" s="16"/>
    </row>
    <row r="13" spans="1:60" ht="13.5" thickBot="1">
      <c r="A13" s="20"/>
      <c r="B13" s="30" t="s">
        <v>84</v>
      </c>
      <c r="C13" s="29" t="s">
        <v>695</v>
      </c>
      <c r="D13" s="8" t="s">
        <v>62</v>
      </c>
      <c r="E13" s="9" t="s">
        <v>4</v>
      </c>
      <c r="F13" s="40" t="s">
        <v>11</v>
      </c>
      <c r="G13" s="46">
        <v>0</v>
      </c>
      <c r="H13" s="72">
        <v>1</v>
      </c>
      <c r="I13" s="54">
        <v>1</v>
      </c>
      <c r="J13" s="31">
        <f>PLANT!$O$7</f>
        <v>4.2105263157894735</v>
      </c>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2" t="s">
        <v>69</v>
      </c>
      <c r="BH13" s="16"/>
    </row>
    <row r="14" spans="1:60">
      <c r="A14" s="192"/>
      <c r="B14" s="10" t="s">
        <v>130</v>
      </c>
      <c r="C14" s="2" t="s">
        <v>347</v>
      </c>
      <c r="D14" s="193" t="s">
        <v>61</v>
      </c>
      <c r="E14" s="9" t="s">
        <v>1</v>
      </c>
      <c r="F14" s="40" t="s">
        <v>348</v>
      </c>
      <c r="G14" s="46">
        <v>0</v>
      </c>
      <c r="H14" s="72">
        <v>1</v>
      </c>
      <c r="I14" s="194">
        <v>1</v>
      </c>
      <c r="J14" s="195">
        <f>PLANT!$Q$7</f>
        <v>1</v>
      </c>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2" t="s">
        <v>69</v>
      </c>
      <c r="BH14" s="16"/>
    </row>
    <row r="15" spans="1:60">
      <c r="A15" s="20"/>
      <c r="B15" s="10" t="s">
        <v>56</v>
      </c>
      <c r="C15" s="2" t="s">
        <v>696</v>
      </c>
      <c r="D15" s="6" t="s">
        <v>61</v>
      </c>
      <c r="E15" s="9" t="s">
        <v>1</v>
      </c>
      <c r="F15" s="40" t="s">
        <v>7</v>
      </c>
      <c r="G15" s="46">
        <v>0</v>
      </c>
      <c r="H15" s="72">
        <v>1</v>
      </c>
      <c r="I15" s="54">
        <v>1</v>
      </c>
      <c r="J15" s="32">
        <f>PLANT!$C$19</f>
        <v>406</v>
      </c>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2" t="s">
        <v>69</v>
      </c>
      <c r="BH15" s="16"/>
    </row>
    <row r="16" spans="1:60">
      <c r="A16" s="20"/>
      <c r="B16" s="10" t="s">
        <v>57</v>
      </c>
      <c r="C16" s="2" t="s">
        <v>697</v>
      </c>
      <c r="D16" s="6" t="s">
        <v>61</v>
      </c>
      <c r="E16" s="9" t="s">
        <v>2</v>
      </c>
      <c r="F16" s="40" t="s">
        <v>7</v>
      </c>
      <c r="G16" s="46">
        <v>0</v>
      </c>
      <c r="H16" s="72">
        <v>1</v>
      </c>
      <c r="I16" s="54">
        <v>1</v>
      </c>
      <c r="J16" s="32">
        <f>PLANT!$E$19</f>
        <v>194</v>
      </c>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2" t="s">
        <v>69</v>
      </c>
      <c r="BH16" s="16"/>
    </row>
    <row r="17" spans="1:60">
      <c r="A17" s="20"/>
      <c r="B17" s="10" t="s">
        <v>93</v>
      </c>
      <c r="C17" s="2" t="s">
        <v>617</v>
      </c>
      <c r="D17" s="6" t="s">
        <v>61</v>
      </c>
      <c r="E17" s="9" t="s">
        <v>2</v>
      </c>
      <c r="F17" s="40" t="s">
        <v>7</v>
      </c>
      <c r="G17" s="46">
        <v>0</v>
      </c>
      <c r="H17" s="72">
        <v>1</v>
      </c>
      <c r="I17" s="54">
        <v>1</v>
      </c>
      <c r="J17" s="32">
        <f>PLANT!$G$19</f>
        <v>17</v>
      </c>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2" t="s">
        <v>69</v>
      </c>
      <c r="BH17" s="16"/>
    </row>
    <row r="18" spans="1:60">
      <c r="A18" s="20"/>
      <c r="B18" s="10" t="s">
        <v>58</v>
      </c>
      <c r="C18" s="3" t="s">
        <v>349</v>
      </c>
      <c r="D18" s="6" t="s">
        <v>61</v>
      </c>
      <c r="E18" s="9" t="s">
        <v>1</v>
      </c>
      <c r="F18" s="40" t="s">
        <v>304</v>
      </c>
      <c r="G18" s="46">
        <v>0</v>
      </c>
      <c r="H18" s="72">
        <v>1</v>
      </c>
      <c r="I18" s="54">
        <v>1</v>
      </c>
      <c r="J18" s="32">
        <f>PLANT!$I$19</f>
        <v>0</v>
      </c>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2" t="s">
        <v>69</v>
      </c>
      <c r="BH18" s="16"/>
    </row>
    <row r="19" spans="1:60" ht="13.5" thickBot="1">
      <c r="A19" s="20"/>
      <c r="B19" s="10" t="s">
        <v>55</v>
      </c>
      <c r="C19" s="2" t="s">
        <v>698</v>
      </c>
      <c r="D19" s="6" t="s">
        <v>61</v>
      </c>
      <c r="E19" s="9" t="s">
        <v>1</v>
      </c>
      <c r="F19" s="40" t="s">
        <v>350</v>
      </c>
      <c r="G19" s="46">
        <v>0</v>
      </c>
      <c r="H19" s="72">
        <v>1</v>
      </c>
      <c r="I19" s="54">
        <v>1</v>
      </c>
      <c r="J19" s="32">
        <f>PLANT!$K$19</f>
        <v>1</v>
      </c>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2" t="s">
        <v>69</v>
      </c>
      <c r="BH19" s="16"/>
    </row>
    <row r="20" spans="1:60" ht="13.5" thickBot="1">
      <c r="A20" s="20"/>
      <c r="B20" s="11" t="s">
        <v>261</v>
      </c>
      <c r="C20" s="2" t="s">
        <v>618</v>
      </c>
      <c r="D20" s="8" t="s">
        <v>62</v>
      </c>
      <c r="E20" s="9" t="s">
        <v>0</v>
      </c>
      <c r="F20" s="40" t="s">
        <v>7</v>
      </c>
      <c r="G20" s="46">
        <v>0</v>
      </c>
      <c r="H20" s="72">
        <v>1</v>
      </c>
      <c r="I20" s="54">
        <v>1</v>
      </c>
      <c r="J20" s="32">
        <f>PLANT!$M$19</f>
        <v>10</v>
      </c>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2" t="s">
        <v>69</v>
      </c>
      <c r="BH20" s="16"/>
    </row>
    <row r="21" spans="1:60" ht="13.5" thickBot="1">
      <c r="A21" s="20"/>
      <c r="B21" s="11" t="s">
        <v>262</v>
      </c>
      <c r="C21" s="2" t="s">
        <v>270</v>
      </c>
      <c r="D21" s="8" t="s">
        <v>62</v>
      </c>
      <c r="E21" s="9" t="s">
        <v>0</v>
      </c>
      <c r="F21" s="40" t="s">
        <v>7</v>
      </c>
      <c r="G21" s="46">
        <v>0</v>
      </c>
      <c r="H21" s="72">
        <v>1</v>
      </c>
      <c r="I21" s="54">
        <v>1</v>
      </c>
      <c r="J21" s="32">
        <f>PLANT!$O$19</f>
        <v>5</v>
      </c>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2" t="s">
        <v>69</v>
      </c>
      <c r="BH21" s="16"/>
    </row>
    <row r="22" spans="1:60" ht="13.5" thickBot="1">
      <c r="A22" s="20"/>
      <c r="B22" s="11" t="s">
        <v>263</v>
      </c>
      <c r="C22" s="2" t="s">
        <v>264</v>
      </c>
      <c r="D22" s="8" t="s">
        <v>62</v>
      </c>
      <c r="E22" s="9" t="s">
        <v>0</v>
      </c>
      <c r="F22" s="40" t="s">
        <v>7</v>
      </c>
      <c r="G22" s="46">
        <v>0</v>
      </c>
      <c r="H22" s="72">
        <v>1</v>
      </c>
      <c r="I22" s="54">
        <v>1</v>
      </c>
      <c r="J22" s="32">
        <f>PLANT!$Q$19</f>
        <v>3</v>
      </c>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2" t="s">
        <v>69</v>
      </c>
      <c r="BH22" s="16"/>
    </row>
    <row r="23" spans="1:60" s="65" customFormat="1" ht="18.75">
      <c r="A23" s="21" t="s">
        <v>69</v>
      </c>
      <c r="B23" s="61"/>
      <c r="C23" s="62" t="s">
        <v>1014</v>
      </c>
      <c r="D23" s="62"/>
      <c r="E23" s="62"/>
      <c r="F23" s="62"/>
      <c r="G23" s="61"/>
      <c r="H23" s="67"/>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52" t="s">
        <v>69</v>
      </c>
      <c r="BH23" s="64"/>
    </row>
    <row r="24" spans="1:60">
      <c r="A24" s="20"/>
      <c r="B24" s="11" t="s">
        <v>1027</v>
      </c>
      <c r="C24" s="2" t="s">
        <v>1028</v>
      </c>
      <c r="D24" s="6" t="s">
        <v>1015</v>
      </c>
      <c r="E24" s="9" t="s">
        <v>2</v>
      </c>
      <c r="F24" s="40" t="s">
        <v>1016</v>
      </c>
      <c r="G24" s="46">
        <v>0</v>
      </c>
      <c r="H24" s="72">
        <v>1</v>
      </c>
      <c r="I24" s="54">
        <v>1</v>
      </c>
      <c r="J24" s="32">
        <f>PLANT!$C$29</f>
        <v>122</v>
      </c>
      <c r="K24" s="32">
        <f>PLANT!$C$30</f>
        <v>160</v>
      </c>
      <c r="L24" s="32">
        <f>PLANT!$C$31</f>
        <v>0</v>
      </c>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2"/>
      <c r="BH24" s="16"/>
    </row>
    <row r="25" spans="1:60">
      <c r="A25" s="20"/>
      <c r="B25" s="11" t="s">
        <v>1029</v>
      </c>
      <c r="C25" s="2" t="s">
        <v>1030</v>
      </c>
      <c r="D25" s="6" t="s">
        <v>1015</v>
      </c>
      <c r="E25" s="9" t="s">
        <v>2</v>
      </c>
      <c r="F25" s="40" t="s">
        <v>1016</v>
      </c>
      <c r="G25" s="46">
        <v>0</v>
      </c>
      <c r="H25" s="72">
        <v>1</v>
      </c>
      <c r="I25" s="54">
        <v>1</v>
      </c>
      <c r="J25" s="32">
        <f>PLANT!$E$29</f>
        <v>28</v>
      </c>
      <c r="K25" s="32">
        <f>PLANT!$E$30</f>
        <v>228</v>
      </c>
      <c r="L25" s="32">
        <f>PLANT!$E$31</f>
        <v>28</v>
      </c>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2"/>
      <c r="BH25" s="16"/>
    </row>
    <row r="26" spans="1:60">
      <c r="A26" s="20"/>
      <c r="B26" s="11" t="s">
        <v>1031</v>
      </c>
      <c r="C26" s="2" t="s">
        <v>1032</v>
      </c>
      <c r="D26" s="6" t="s">
        <v>1015</v>
      </c>
      <c r="E26" s="9" t="s">
        <v>2</v>
      </c>
      <c r="F26" s="40" t="s">
        <v>1016</v>
      </c>
      <c r="G26" s="46">
        <v>0</v>
      </c>
      <c r="H26" s="72">
        <v>1</v>
      </c>
      <c r="I26" s="54">
        <v>1</v>
      </c>
      <c r="J26" s="32">
        <f>PLANT!$G$29</f>
        <v>72</v>
      </c>
      <c r="K26" s="32">
        <f>PLANT!$G$30</f>
        <v>48</v>
      </c>
      <c r="L26" s="32">
        <f>PLANT!$G$31</f>
        <v>24</v>
      </c>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2"/>
      <c r="BH26" s="16"/>
    </row>
    <row r="27" spans="1:60">
      <c r="A27" s="20"/>
      <c r="B27" s="11" t="s">
        <v>1033</v>
      </c>
      <c r="C27" s="2" t="s">
        <v>1034</v>
      </c>
      <c r="D27" s="6" t="s">
        <v>1015</v>
      </c>
      <c r="E27" s="9" t="s">
        <v>2</v>
      </c>
      <c r="F27" s="40" t="s">
        <v>1016</v>
      </c>
      <c r="G27" s="46">
        <v>0</v>
      </c>
      <c r="H27" s="72">
        <v>1</v>
      </c>
      <c r="I27" s="54">
        <v>1</v>
      </c>
      <c r="J27" s="32">
        <f>PLANT!$I$29</f>
        <v>89</v>
      </c>
      <c r="K27" s="32">
        <f>PLANT!$I$30</f>
        <v>59</v>
      </c>
      <c r="L27" s="32">
        <f>PLANT!$I$31</f>
        <v>29</v>
      </c>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2"/>
      <c r="BH27" s="16"/>
    </row>
    <row r="28" spans="1:60">
      <c r="A28" s="20"/>
      <c r="B28" s="11" t="s">
        <v>1035</v>
      </c>
      <c r="C28" s="2" t="s">
        <v>1036</v>
      </c>
      <c r="D28" s="6" t="s">
        <v>1015</v>
      </c>
      <c r="E28" s="9" t="s">
        <v>2</v>
      </c>
      <c r="F28" s="40" t="s">
        <v>1016</v>
      </c>
      <c r="G28" s="46">
        <v>0</v>
      </c>
      <c r="H28" s="72">
        <v>1</v>
      </c>
      <c r="I28" s="54">
        <v>1</v>
      </c>
      <c r="J28" s="32">
        <f>PLANT!$K$29</f>
        <v>50</v>
      </c>
      <c r="K28" s="32">
        <f>PLANT!$K$30</f>
        <v>200</v>
      </c>
      <c r="L28" s="32">
        <f>PLANT!$K$31</f>
        <v>50</v>
      </c>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2"/>
      <c r="BH28" s="16"/>
    </row>
    <row r="29" spans="1:60">
      <c r="A29" s="20"/>
      <c r="B29" s="11" t="s">
        <v>1037</v>
      </c>
      <c r="C29" s="2" t="s">
        <v>1038</v>
      </c>
      <c r="D29" s="6" t="s">
        <v>1015</v>
      </c>
      <c r="E29" s="9" t="s">
        <v>2</v>
      </c>
      <c r="F29" s="40" t="s">
        <v>1016</v>
      </c>
      <c r="G29" s="46">
        <v>0</v>
      </c>
      <c r="H29" s="72">
        <v>1</v>
      </c>
      <c r="I29" s="54">
        <v>1</v>
      </c>
      <c r="J29" s="32">
        <f>PLANT!$M$29</f>
        <v>28</v>
      </c>
      <c r="K29" s="32">
        <f>PLANT!$M$30</f>
        <v>228</v>
      </c>
      <c r="L29" s="32">
        <f>PLANT!$M$31</f>
        <v>28</v>
      </c>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2"/>
      <c r="BH29" s="16"/>
    </row>
    <row r="30" spans="1:60">
      <c r="A30" s="20"/>
      <c r="B30" s="11" t="s">
        <v>1039</v>
      </c>
      <c r="C30" s="2" t="s">
        <v>1040</v>
      </c>
      <c r="D30" s="6" t="s">
        <v>1015</v>
      </c>
      <c r="E30" s="9" t="s">
        <v>2</v>
      </c>
      <c r="F30" s="40" t="s">
        <v>1016</v>
      </c>
      <c r="G30" s="46">
        <v>0</v>
      </c>
      <c r="H30" s="72">
        <v>1</v>
      </c>
      <c r="I30" s="54">
        <v>1</v>
      </c>
      <c r="J30" s="32">
        <f>PLANT!$O$29</f>
        <v>28</v>
      </c>
      <c r="K30" s="32">
        <f>PLANT!$O$30</f>
        <v>228</v>
      </c>
      <c r="L30" s="32">
        <f>PLANT!$O$31</f>
        <v>28</v>
      </c>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2"/>
      <c r="BH30" s="16"/>
    </row>
    <row r="31" spans="1:60">
      <c r="A31" s="20"/>
      <c r="B31" s="11" t="s">
        <v>1041</v>
      </c>
      <c r="C31" s="2" t="s">
        <v>1042</v>
      </c>
      <c r="D31" s="6" t="s">
        <v>1015</v>
      </c>
      <c r="E31" s="9" t="s">
        <v>2</v>
      </c>
      <c r="F31" s="40" t="s">
        <v>1016</v>
      </c>
      <c r="G31" s="46">
        <v>0</v>
      </c>
      <c r="H31" s="72">
        <v>1</v>
      </c>
      <c r="I31" s="54">
        <v>1</v>
      </c>
      <c r="J31" s="32">
        <f>PLANT!$C$35</f>
        <v>255</v>
      </c>
      <c r="K31" s="32">
        <f>PLANT!$C$36</f>
        <v>179</v>
      </c>
      <c r="L31" s="32">
        <f>PLANT!$C$37</f>
        <v>0</v>
      </c>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2"/>
      <c r="BH31" s="16"/>
    </row>
    <row r="32" spans="1:60">
      <c r="A32" s="20"/>
      <c r="B32" s="11" t="s">
        <v>1043</v>
      </c>
      <c r="C32" s="2" t="s">
        <v>1043</v>
      </c>
      <c r="D32" s="6" t="s">
        <v>1015</v>
      </c>
      <c r="E32" s="9" t="s">
        <v>2</v>
      </c>
      <c r="F32" s="40" t="s">
        <v>1016</v>
      </c>
      <c r="G32" s="46">
        <v>0</v>
      </c>
      <c r="H32" s="72">
        <v>1</v>
      </c>
      <c r="I32" s="54">
        <v>1</v>
      </c>
      <c r="J32" s="32">
        <f>PLANT!$E$35</f>
        <v>115</v>
      </c>
      <c r="K32" s="32">
        <f>PLANT!$E$36</f>
        <v>105</v>
      </c>
      <c r="L32" s="32">
        <f>PLANT!$E$37</f>
        <v>79</v>
      </c>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2"/>
      <c r="BH32" s="16"/>
    </row>
    <row r="33" spans="1:60">
      <c r="A33" s="20"/>
      <c r="B33" s="11" t="s">
        <v>1044</v>
      </c>
      <c r="C33" s="2" t="s">
        <v>1045</v>
      </c>
      <c r="D33" s="6" t="s">
        <v>1015</v>
      </c>
      <c r="E33" s="9" t="s">
        <v>2</v>
      </c>
      <c r="F33" s="40" t="s">
        <v>1016</v>
      </c>
      <c r="G33" s="46">
        <v>0</v>
      </c>
      <c r="H33" s="72">
        <v>1</v>
      </c>
      <c r="I33" s="54">
        <v>1</v>
      </c>
      <c r="J33" s="32">
        <f>PLANT!$G$35</f>
        <v>255</v>
      </c>
      <c r="K33" s="32">
        <f>PLANT!$G$36</f>
        <v>179</v>
      </c>
      <c r="L33" s="32">
        <f>PLANT!$G$37</f>
        <v>0</v>
      </c>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2"/>
      <c r="BH33" s="16"/>
    </row>
    <row r="34" spans="1:60">
      <c r="A34" s="20"/>
      <c r="B34" s="11" t="s">
        <v>1046</v>
      </c>
      <c r="C34" s="2" t="s">
        <v>1047</v>
      </c>
      <c r="D34" s="6" t="s">
        <v>1015</v>
      </c>
      <c r="E34" s="9" t="s">
        <v>2</v>
      </c>
      <c r="F34" s="40" t="s">
        <v>1016</v>
      </c>
      <c r="G34" s="46">
        <v>0</v>
      </c>
      <c r="H34" s="72">
        <v>1</v>
      </c>
      <c r="I34" s="54">
        <v>1</v>
      </c>
      <c r="J34" s="32">
        <f>PLANT!$I$35</f>
        <v>255</v>
      </c>
      <c r="K34" s="32">
        <f>PLANT!$I$36</f>
        <v>255</v>
      </c>
      <c r="L34" s="32">
        <f>PLANT!$I$37</f>
        <v>153</v>
      </c>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2"/>
      <c r="BH34" s="16"/>
    </row>
    <row r="35" spans="1:60">
      <c r="A35" s="20"/>
      <c r="B35" s="11" t="s">
        <v>1048</v>
      </c>
      <c r="C35" s="2" t="s">
        <v>1049</v>
      </c>
      <c r="D35" s="6" t="s">
        <v>1015</v>
      </c>
      <c r="E35" s="9" t="s">
        <v>2</v>
      </c>
      <c r="F35" s="40" t="s">
        <v>1016</v>
      </c>
      <c r="G35" s="46">
        <v>0</v>
      </c>
      <c r="H35" s="72">
        <v>1</v>
      </c>
      <c r="I35" s="54">
        <v>1</v>
      </c>
      <c r="J35" s="32">
        <f>PLANT!$K$35</f>
        <v>255</v>
      </c>
      <c r="K35" s="32">
        <f>PLANT!$K$36</f>
        <v>255</v>
      </c>
      <c r="L35" s="32">
        <f>PLANT!$K$37</f>
        <v>153</v>
      </c>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2"/>
      <c r="BH35" s="16"/>
    </row>
    <row r="36" spans="1:60">
      <c r="A36" s="20"/>
      <c r="B36" s="11" t="s">
        <v>1050</v>
      </c>
      <c r="C36" s="2" t="s">
        <v>1051</v>
      </c>
      <c r="D36" s="6" t="s">
        <v>1015</v>
      </c>
      <c r="E36" s="9" t="s">
        <v>2</v>
      </c>
      <c r="F36" s="40" t="s">
        <v>1016</v>
      </c>
      <c r="G36" s="46">
        <v>0</v>
      </c>
      <c r="H36" s="72">
        <v>1</v>
      </c>
      <c r="I36" s="54">
        <v>1</v>
      </c>
      <c r="J36" s="32">
        <f>PLANT!$M$35</f>
        <v>140</v>
      </c>
      <c r="K36" s="32">
        <f>PLANT!$M$36</f>
        <v>60</v>
      </c>
      <c r="L36" s="32">
        <f>PLANT!$M$37</f>
        <v>30</v>
      </c>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2"/>
      <c r="BH36" s="16"/>
    </row>
    <row r="37" spans="1:60" s="65" customFormat="1" ht="19.5" thickBot="1">
      <c r="A37" s="21" t="s">
        <v>69</v>
      </c>
      <c r="B37" s="61"/>
      <c r="C37" s="62" t="s">
        <v>571</v>
      </c>
      <c r="D37" s="62"/>
      <c r="E37" s="62"/>
      <c r="F37" s="62"/>
      <c r="G37" s="61"/>
      <c r="H37" s="67"/>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52" t="s">
        <v>69</v>
      </c>
      <c r="BH37" s="64"/>
    </row>
    <row r="38" spans="1:60" ht="13.5" thickBot="1">
      <c r="A38" s="20"/>
      <c r="B38" s="10" t="s">
        <v>13</v>
      </c>
      <c r="C38" s="2" t="s">
        <v>72</v>
      </c>
      <c r="D38" s="8" t="s">
        <v>62</v>
      </c>
      <c r="E38" s="9" t="s">
        <v>3</v>
      </c>
      <c r="F38" s="40" t="s">
        <v>6</v>
      </c>
      <c r="G38" s="46">
        <f>STEM_Geom!$D$9</f>
        <v>0</v>
      </c>
      <c r="H38" s="72">
        <f>STEM_Geom!$D$10</f>
        <v>1</v>
      </c>
      <c r="I38" s="54">
        <f>STEM_Geom!$C$13</f>
        <v>1</v>
      </c>
      <c r="J38" s="31">
        <f>STEM_Geom!D13</f>
        <v>1</v>
      </c>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2" t="s">
        <v>69</v>
      </c>
      <c r="BH38" s="3"/>
    </row>
    <row r="39" spans="1:60" ht="13.5" thickBot="1">
      <c r="A39" s="20"/>
      <c r="B39" s="11" t="s">
        <v>14</v>
      </c>
      <c r="C39" s="2" t="s">
        <v>312</v>
      </c>
      <c r="D39" s="8" t="s">
        <v>62</v>
      </c>
      <c r="E39" s="9" t="s">
        <v>3</v>
      </c>
      <c r="F39" s="40" t="s">
        <v>6</v>
      </c>
      <c r="G39" s="46">
        <f>STEM_Geom!E9</f>
        <v>0</v>
      </c>
      <c r="H39" s="72">
        <f>STEM_Geom!$E$10</f>
        <v>1</v>
      </c>
      <c r="I39" s="54">
        <f>STEM_Geom!$C$13</f>
        <v>1</v>
      </c>
      <c r="J39" s="31">
        <f>STEM_Geom!E13</f>
        <v>1</v>
      </c>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2" t="s">
        <v>69</v>
      </c>
      <c r="BH39" s="3"/>
    </row>
    <row r="40" spans="1:60">
      <c r="A40" s="20"/>
      <c r="B40" s="11" t="s">
        <v>15</v>
      </c>
      <c r="C40" s="2" t="s">
        <v>70</v>
      </c>
      <c r="D40" s="6" t="s">
        <v>61</v>
      </c>
      <c r="E40" s="9" t="s">
        <v>320</v>
      </c>
      <c r="F40" s="40" t="s">
        <v>7</v>
      </c>
      <c r="G40" s="46">
        <f>STEM_Geom!$G$9</f>
        <v>0</v>
      </c>
      <c r="H40" s="72">
        <f>STEM_Geom!$G$10</f>
        <v>1</v>
      </c>
      <c r="I40" s="54">
        <f>STEM_Geom!$C$13</f>
        <v>1</v>
      </c>
      <c r="J40" s="32">
        <f>STEM_Geom!G13</f>
        <v>20</v>
      </c>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2" t="s">
        <v>69</v>
      </c>
      <c r="BH40" s="3"/>
    </row>
    <row r="41" spans="1:60">
      <c r="A41" s="20"/>
      <c r="B41" s="11" t="s">
        <v>16</v>
      </c>
      <c r="C41" s="2" t="s">
        <v>71</v>
      </c>
      <c r="D41" s="6" t="s">
        <v>61</v>
      </c>
      <c r="E41" s="9" t="s">
        <v>320</v>
      </c>
      <c r="F41" s="41" t="s">
        <v>7</v>
      </c>
      <c r="G41" s="46">
        <f>STEM_Geom!$H$9</f>
        <v>0</v>
      </c>
      <c r="H41" s="72">
        <f>STEM_Geom!$H$10</f>
        <v>1</v>
      </c>
      <c r="I41" s="54">
        <f>STEM_Geom!$C$13</f>
        <v>1</v>
      </c>
      <c r="J41" s="32">
        <f>STEM_Geom!H13</f>
        <v>60</v>
      </c>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2" t="s">
        <v>69</v>
      </c>
      <c r="BH41" s="3"/>
    </row>
    <row r="42" spans="1:60">
      <c r="A42" s="20"/>
      <c r="B42" s="10" t="s">
        <v>17</v>
      </c>
      <c r="C42" s="213" t="s">
        <v>714</v>
      </c>
      <c r="D42" s="13" t="s">
        <v>12</v>
      </c>
      <c r="E42" s="9" t="s">
        <v>0</v>
      </c>
      <c r="F42" s="40" t="s">
        <v>7</v>
      </c>
      <c r="G42" s="46">
        <f>STEM_Geom!$K$9</f>
        <v>1</v>
      </c>
      <c r="H42" s="72">
        <f ca="1">STEM_Geom!$K$10</f>
        <v>6</v>
      </c>
      <c r="I42" s="56">
        <f>STEM_Geom!$J$13</f>
        <v>1</v>
      </c>
      <c r="J42" s="21">
        <f ca="1">STEM_Geom!$K$13</f>
        <v>0.83750000000000002</v>
      </c>
      <c r="K42" s="56">
        <f ca="1">STEM_Geom!$J$14</f>
        <v>16</v>
      </c>
      <c r="L42" s="21">
        <f ca="1">STEM_Geom!$K$14</f>
        <v>1.25</v>
      </c>
      <c r="M42" s="56">
        <f ca="1">STEM_Geom!$J$15</f>
        <v>32</v>
      </c>
      <c r="N42" s="21">
        <f ca="1">STEM_Geom!$K$15</f>
        <v>1.875</v>
      </c>
      <c r="O42" s="56">
        <f ca="1">STEM_Geom!$J$16</f>
        <v>56</v>
      </c>
      <c r="P42" s="21">
        <f ca="1">STEM_Geom!$K$16</f>
        <v>2.0833333333333335</v>
      </c>
      <c r="Q42" s="56">
        <f ca="1">STEM_Geom!$J$17</f>
        <v>96</v>
      </c>
      <c r="R42" s="21">
        <f ca="1">STEM_Geom!$K$17</f>
        <v>1.375</v>
      </c>
      <c r="S42" s="56">
        <f ca="1">STEM_Geom!$J$18</f>
        <v>194</v>
      </c>
      <c r="T42" s="21">
        <f ca="1">STEM_Geom!$K$18</f>
        <v>1.1000000000000001</v>
      </c>
      <c r="U42" s="56">
        <f>STEM_Geom!$J$19</f>
        <v>0</v>
      </c>
      <c r="V42" s="21">
        <f>STEM_Geom!$K$19</f>
        <v>0</v>
      </c>
      <c r="W42" s="56">
        <f>STEM_Geom!$J$20</f>
        <v>0</v>
      </c>
      <c r="X42" s="21">
        <f>STEM_Geom!$K$20</f>
        <v>0</v>
      </c>
      <c r="Y42" s="56">
        <f>STEM_Geom!$J$21</f>
        <v>0</v>
      </c>
      <c r="Z42" s="21">
        <f>STEM_Geom!$K$21</f>
        <v>0</v>
      </c>
      <c r="AA42" s="56">
        <f>STEM_Geom!$J$22</f>
        <v>0</v>
      </c>
      <c r="AB42" s="21">
        <f>STEM_Geom!$K$22</f>
        <v>0</v>
      </c>
      <c r="AC42" s="56">
        <f>STEM_Geom!$J$23</f>
        <v>0</v>
      </c>
      <c r="AD42" s="21">
        <f>STEM_Geom!$K$23</f>
        <v>0</v>
      </c>
      <c r="AE42" s="56">
        <f>STEM_Geom!$J$24</f>
        <v>0</v>
      </c>
      <c r="AF42" s="21">
        <f>STEM_Geom!$K$24</f>
        <v>0</v>
      </c>
      <c r="AG42" s="56">
        <f>STEM_Geom!$J$25</f>
        <v>0</v>
      </c>
      <c r="AH42" s="21">
        <f>STEM_Geom!$K$25</f>
        <v>0</v>
      </c>
      <c r="AI42" s="56">
        <f>STEM_Geom!$J$26</f>
        <v>0</v>
      </c>
      <c r="AJ42" s="21">
        <f>STEM_Geom!$K$26</f>
        <v>0</v>
      </c>
      <c r="AK42" s="56">
        <f>STEM_Geom!$J$27</f>
        <v>0</v>
      </c>
      <c r="AL42" s="21">
        <f>STEM_Geom!$K$27</f>
        <v>0</v>
      </c>
      <c r="AM42" s="56">
        <f>STEM_Geom!$J$28</f>
        <v>0</v>
      </c>
      <c r="AN42" s="21">
        <f>STEM_Geom!$K$28</f>
        <v>0</v>
      </c>
      <c r="AO42" s="56">
        <f>STEM_Geom!$J$29</f>
        <v>0</v>
      </c>
      <c r="AP42" s="21">
        <f>STEM_Geom!$K$29</f>
        <v>0</v>
      </c>
      <c r="AQ42" s="56">
        <f>STEM_Geom!$J$30</f>
        <v>0</v>
      </c>
      <c r="AR42" s="21">
        <f>STEM_Geom!$K$30</f>
        <v>0</v>
      </c>
      <c r="AS42" s="56">
        <f>STEM_Geom!$J$31</f>
        <v>0</v>
      </c>
      <c r="AT42" s="21">
        <f>STEM_Geom!$K$31</f>
        <v>0</v>
      </c>
      <c r="AU42" s="56">
        <f>STEM_Geom!$J$32</f>
        <v>0</v>
      </c>
      <c r="AV42" s="21">
        <f>STEM_Geom!$K$32</f>
        <v>0</v>
      </c>
      <c r="AW42" s="56">
        <f>STEM_Geom!$J$33</f>
        <v>0</v>
      </c>
      <c r="AX42" s="21">
        <f>STEM_Geom!$K$33</f>
        <v>0</v>
      </c>
      <c r="AY42" s="56">
        <f>STEM_Geom!$J$34</f>
        <v>0</v>
      </c>
      <c r="AZ42" s="21">
        <f>STEM_Geom!$K$34</f>
        <v>0</v>
      </c>
      <c r="BA42" s="56">
        <f>STEM_Geom!$J$35</f>
        <v>0</v>
      </c>
      <c r="BB42" s="21">
        <f>STEM_Geom!$K$35</f>
        <v>0</v>
      </c>
      <c r="BC42" s="56">
        <f>STEM_Geom!$J$36</f>
        <v>0</v>
      </c>
      <c r="BD42" s="21">
        <f>STEM_Geom!$K$36</f>
        <v>0</v>
      </c>
      <c r="BE42" s="56">
        <f>STEM_Geom!$J$37</f>
        <v>0</v>
      </c>
      <c r="BF42" s="21">
        <f>STEM_Geom!$K$37</f>
        <v>0</v>
      </c>
      <c r="BG42" s="52" t="s">
        <v>69</v>
      </c>
      <c r="BH42" s="17"/>
    </row>
    <row r="43" spans="1:60">
      <c r="A43" s="20"/>
      <c r="B43" s="11" t="s">
        <v>18</v>
      </c>
      <c r="C43" s="213" t="s">
        <v>715</v>
      </c>
      <c r="D43" s="13" t="s">
        <v>12</v>
      </c>
      <c r="E43" s="9" t="s">
        <v>0</v>
      </c>
      <c r="F43" s="40" t="s">
        <v>7</v>
      </c>
      <c r="G43" s="46">
        <f>STEM_Geom!$L$9</f>
        <v>1</v>
      </c>
      <c r="H43" s="72">
        <f ca="1">STEM_Geom!$L$10</f>
        <v>6</v>
      </c>
      <c r="I43" s="56">
        <f>STEM_Geom!$J$13</f>
        <v>1</v>
      </c>
      <c r="J43" s="21">
        <f ca="1">STEM_Geom!$L$13</f>
        <v>8.3750000000000005E-2</v>
      </c>
      <c r="K43" s="56">
        <f ca="1">STEM_Geom!$J$14</f>
        <v>16</v>
      </c>
      <c r="L43" s="21">
        <f ca="1">STEM_Geom!$L$14</f>
        <v>0.125</v>
      </c>
      <c r="M43" s="56">
        <f ca="1">STEM_Geom!$J$15</f>
        <v>32</v>
      </c>
      <c r="N43" s="21">
        <f ca="1">STEM_Geom!$L$15</f>
        <v>0.1875</v>
      </c>
      <c r="O43" s="56">
        <f ca="1">STEM_Geom!$J$16</f>
        <v>56</v>
      </c>
      <c r="P43" s="21">
        <f ca="1">STEM_Geom!$L$16</f>
        <v>0.20833333333333334</v>
      </c>
      <c r="Q43" s="56">
        <f ca="1">STEM_Geom!$J$17</f>
        <v>96</v>
      </c>
      <c r="R43" s="21">
        <f ca="1">STEM_Geom!$L$17</f>
        <v>0.13750000000000001</v>
      </c>
      <c r="S43" s="56">
        <f ca="1">STEM_Geom!$J$18</f>
        <v>194</v>
      </c>
      <c r="T43" s="21">
        <f ca="1">STEM_Geom!$L$18</f>
        <v>0.11000000000000001</v>
      </c>
      <c r="U43" s="56">
        <f>STEM_Geom!$J$19</f>
        <v>0</v>
      </c>
      <c r="V43" s="21">
        <f>STEM_Geom!$L$19</f>
        <v>0</v>
      </c>
      <c r="W43" s="56">
        <f>STEM_Geom!$J$20</f>
        <v>0</v>
      </c>
      <c r="X43" s="21">
        <f>STEM_Geom!$L$20</f>
        <v>0</v>
      </c>
      <c r="Y43" s="56">
        <f>STEM_Geom!$J$21</f>
        <v>0</v>
      </c>
      <c r="Z43" s="21">
        <f>STEM_Geom!$L$21</f>
        <v>0</v>
      </c>
      <c r="AA43" s="56">
        <f>STEM_Geom!$J$22</f>
        <v>0</v>
      </c>
      <c r="AB43" s="21">
        <f>STEM_Geom!$L$22</f>
        <v>0</v>
      </c>
      <c r="AC43" s="56">
        <f>STEM_Geom!$J$23</f>
        <v>0</v>
      </c>
      <c r="AD43" s="21">
        <f>STEM_Geom!$L$23</f>
        <v>0</v>
      </c>
      <c r="AE43" s="56">
        <f>STEM_Geom!$J$24</f>
        <v>0</v>
      </c>
      <c r="AF43" s="21">
        <f>STEM_Geom!$L$24</f>
        <v>0</v>
      </c>
      <c r="AG43" s="56">
        <f>STEM_Geom!$J$25</f>
        <v>0</v>
      </c>
      <c r="AH43" s="21">
        <f>STEM_Geom!$L$25</f>
        <v>0</v>
      </c>
      <c r="AI43" s="56">
        <f>STEM_Geom!$J$26</f>
        <v>0</v>
      </c>
      <c r="AJ43" s="21">
        <f>STEM_Geom!$L$26</f>
        <v>0</v>
      </c>
      <c r="AK43" s="56">
        <f>STEM_Geom!$J$27</f>
        <v>0</v>
      </c>
      <c r="AL43" s="21">
        <f>STEM_Geom!$L$27</f>
        <v>0</v>
      </c>
      <c r="AM43" s="56">
        <f>STEM_Geom!$J$28</f>
        <v>0</v>
      </c>
      <c r="AN43" s="21">
        <f>STEM_Geom!$L$28</f>
        <v>0</v>
      </c>
      <c r="AO43" s="56">
        <f>STEM_Geom!$J$29</f>
        <v>0</v>
      </c>
      <c r="AP43" s="21">
        <f>STEM_Geom!$L$29</f>
        <v>0</v>
      </c>
      <c r="AQ43" s="56">
        <f>STEM_Geom!$J$30</f>
        <v>0</v>
      </c>
      <c r="AR43" s="21">
        <f>STEM_Geom!$L$30</f>
        <v>0</v>
      </c>
      <c r="AS43" s="56">
        <f>STEM_Geom!$J$31</f>
        <v>0</v>
      </c>
      <c r="AT43" s="21">
        <f>STEM_Geom!$L$31</f>
        <v>0</v>
      </c>
      <c r="AU43" s="56">
        <f>STEM_Geom!$J$32</f>
        <v>0</v>
      </c>
      <c r="AV43" s="21">
        <f>STEM_Geom!$L$32</f>
        <v>0</v>
      </c>
      <c r="AW43" s="56">
        <f>STEM_Geom!$J$33</f>
        <v>0</v>
      </c>
      <c r="AX43" s="21">
        <f>STEM_Geom!$L$33</f>
        <v>0</v>
      </c>
      <c r="AY43" s="56">
        <f>STEM_Geom!$J$34</f>
        <v>0</v>
      </c>
      <c r="AZ43" s="21">
        <f>STEM_Geom!$L$34</f>
        <v>0</v>
      </c>
      <c r="BA43" s="56">
        <f>STEM_Geom!$J$35</f>
        <v>0</v>
      </c>
      <c r="BB43" s="21">
        <f>STEM_Geom!$L$35</f>
        <v>0</v>
      </c>
      <c r="BC43" s="56">
        <f>STEM_Geom!$J$36</f>
        <v>0</v>
      </c>
      <c r="BD43" s="21">
        <f>STEM_Geom!$L$36</f>
        <v>0</v>
      </c>
      <c r="BE43" s="56">
        <f>STEM_Geom!$J$37</f>
        <v>0</v>
      </c>
      <c r="BF43" s="21">
        <f>STEM_Geom!$L$37</f>
        <v>0</v>
      </c>
      <c r="BG43" s="52" t="s">
        <v>69</v>
      </c>
      <c r="BH43" s="17"/>
    </row>
    <row r="44" spans="1:60">
      <c r="A44" s="20"/>
      <c r="B44" s="11" t="s">
        <v>654</v>
      </c>
      <c r="C44" s="213" t="s">
        <v>1009</v>
      </c>
      <c r="D44" s="69" t="s">
        <v>12</v>
      </c>
      <c r="E44" s="2" t="s">
        <v>9</v>
      </c>
      <c r="F44" s="40" t="s">
        <v>304</v>
      </c>
      <c r="G44" s="46">
        <f>STEM_Geom!$N$9</f>
        <v>1</v>
      </c>
      <c r="H44" s="72">
        <f>STEM_Geom!$N$10</f>
        <v>2</v>
      </c>
      <c r="I44" s="76">
        <f>STEM_Geom!$M$13</f>
        <v>1</v>
      </c>
      <c r="J44" s="264">
        <f>STEM_Geom!$N$13</f>
        <v>0.25</v>
      </c>
      <c r="K44" s="76">
        <f>STEM_Geom!$M$14</f>
        <v>40</v>
      </c>
      <c r="L44" s="264">
        <f>STEM_Geom!$N$14</f>
        <v>1</v>
      </c>
      <c r="M44" s="76">
        <f>STEM_Geom!$M$15</f>
        <v>0</v>
      </c>
      <c r="N44" s="264">
        <f>STEM_Geom!$N$15</f>
        <v>0</v>
      </c>
      <c r="O44" s="76">
        <f>STEM_Geom!$M$16</f>
        <v>0</v>
      </c>
      <c r="P44" s="264">
        <f>STEM_Geom!$N$16</f>
        <v>0</v>
      </c>
      <c r="Q44" s="76">
        <f>STEM_Geom!$M$17</f>
        <v>0</v>
      </c>
      <c r="R44" s="264">
        <f>STEM_Geom!$N$17</f>
        <v>0</v>
      </c>
      <c r="S44" s="76">
        <f>STEM_Geom!$M$18</f>
        <v>0</v>
      </c>
      <c r="T44" s="264">
        <f>STEM_Geom!$N$18</f>
        <v>0</v>
      </c>
      <c r="U44" s="76">
        <f>STEM_Geom!$M$19</f>
        <v>0</v>
      </c>
      <c r="V44" s="264">
        <f>STEM_Geom!$N$19</f>
        <v>0</v>
      </c>
      <c r="W44" s="76">
        <f>STEM_Geom!$M$20</f>
        <v>0</v>
      </c>
      <c r="X44" s="264">
        <f>STEM_Geom!$N$20</f>
        <v>0</v>
      </c>
      <c r="Y44" s="76">
        <f>STEM_Geom!$M$21</f>
        <v>0</v>
      </c>
      <c r="Z44" s="264">
        <f>STEM_Geom!$N$21</f>
        <v>0</v>
      </c>
      <c r="AA44" s="76">
        <f>STEM_Geom!$M$22</f>
        <v>0</v>
      </c>
      <c r="AB44" s="264">
        <f>STEM_Geom!$N$22</f>
        <v>0</v>
      </c>
      <c r="AC44" s="76">
        <f>STEM_Geom!$M$23</f>
        <v>0</v>
      </c>
      <c r="AD44" s="264">
        <f>STEM_Geom!$N$23</f>
        <v>0</v>
      </c>
      <c r="AE44" s="76">
        <f>STEM_Geom!$M$24</f>
        <v>0</v>
      </c>
      <c r="AF44" s="264">
        <f>STEM_Geom!$N$24</f>
        <v>0</v>
      </c>
      <c r="AG44" s="76">
        <f>STEM_Geom!$M$25</f>
        <v>0</v>
      </c>
      <c r="AH44" s="264">
        <f>STEM_Geom!$N$25</f>
        <v>0</v>
      </c>
      <c r="AI44" s="76">
        <f>STEM_Geom!$M$26</f>
        <v>0</v>
      </c>
      <c r="AJ44" s="264">
        <f>STEM_Geom!$N$26</f>
        <v>0</v>
      </c>
      <c r="AK44" s="76">
        <f>STEM_Geom!$M$27</f>
        <v>0</v>
      </c>
      <c r="AL44" s="264">
        <f>STEM_Geom!$N$27</f>
        <v>0</v>
      </c>
      <c r="AM44" s="76">
        <f>STEM_Geom!$M$28</f>
        <v>0</v>
      </c>
      <c r="AN44" s="264">
        <f>STEM_Geom!$N$28</f>
        <v>0</v>
      </c>
      <c r="AO44" s="76">
        <f>STEM_Geom!$M$29</f>
        <v>0</v>
      </c>
      <c r="AP44" s="264">
        <f>STEM_Geom!$N$29</f>
        <v>0</v>
      </c>
      <c r="AQ44" s="76">
        <f>STEM_Geom!$M$30</f>
        <v>0</v>
      </c>
      <c r="AR44" s="264">
        <f>STEM_Geom!$N$30</f>
        <v>0</v>
      </c>
      <c r="AS44" s="76">
        <f>STEM_Geom!$M$31</f>
        <v>0</v>
      </c>
      <c r="AT44" s="264">
        <f>STEM_Geom!$N$31</f>
        <v>0</v>
      </c>
      <c r="AU44" s="76">
        <f>STEM_Geom!$M$32</f>
        <v>0</v>
      </c>
      <c r="AV44" s="264">
        <f>STEM_Geom!$N$32</f>
        <v>0</v>
      </c>
      <c r="AW44" s="76">
        <f>STEM_Geom!$M$33</f>
        <v>0</v>
      </c>
      <c r="AX44" s="264">
        <f>STEM_Geom!$N$33</f>
        <v>0</v>
      </c>
      <c r="AY44" s="76">
        <f>STEM_Geom!$M$34</f>
        <v>0</v>
      </c>
      <c r="AZ44" s="264">
        <f>STEM_Geom!$N$34</f>
        <v>0</v>
      </c>
      <c r="BA44" s="76">
        <f>STEM_Geom!$M$35</f>
        <v>0</v>
      </c>
      <c r="BB44" s="264">
        <f>STEM_Geom!$N$35</f>
        <v>0</v>
      </c>
      <c r="BC44" s="76">
        <f>STEM_Geom!$M$36</f>
        <v>0</v>
      </c>
      <c r="BD44" s="264">
        <f>STEM_Geom!$N$36</f>
        <v>0</v>
      </c>
      <c r="BE44" s="76">
        <f>STEM_Geom!$M$37</f>
        <v>0</v>
      </c>
      <c r="BF44" s="21">
        <f>STEM_Geom!$N$37</f>
        <v>0</v>
      </c>
      <c r="BG44" s="52" t="s">
        <v>69</v>
      </c>
      <c r="BH44" s="17"/>
    </row>
    <row r="45" spans="1:60">
      <c r="A45" s="20"/>
      <c r="B45" s="11" t="s">
        <v>19</v>
      </c>
      <c r="C45" s="213" t="s">
        <v>716</v>
      </c>
      <c r="D45" s="13" t="s">
        <v>12</v>
      </c>
      <c r="E45" s="29" t="s">
        <v>0</v>
      </c>
      <c r="F45" s="79" t="s">
        <v>7</v>
      </c>
      <c r="G45" s="46">
        <f>STEM_Geom!$Q$9</f>
        <v>1</v>
      </c>
      <c r="H45" s="72">
        <f>STEM_Geom!$Q10</f>
        <v>6</v>
      </c>
      <c r="I45" s="89">
        <f>STEM_Geom!$P$13</f>
        <v>1</v>
      </c>
      <c r="J45" s="21">
        <f>STEM_Geom!$Q$13</f>
        <v>36.25549603633376</v>
      </c>
      <c r="K45" s="89">
        <f ca="1">STEM_Geom!$P$14</f>
        <v>16</v>
      </c>
      <c r="L45" s="21">
        <f>STEM_Geom!$Q$14</f>
        <v>54.112680651244418</v>
      </c>
      <c r="M45" s="89">
        <f ca="1">STEM_Geom!$P$15</f>
        <v>32</v>
      </c>
      <c r="N45" s="21">
        <f>STEM_Geom!$Q$15</f>
        <v>59.523948716368857</v>
      </c>
      <c r="O45" s="89">
        <f ca="1">STEM_Geom!$P$16</f>
        <v>56</v>
      </c>
      <c r="P45" s="21">
        <f>STEM_Geom!$Q$16</f>
        <v>57.295779513082323</v>
      </c>
      <c r="Q45" s="89">
        <f ca="1">STEM_Geom!$P$17</f>
        <v>96</v>
      </c>
      <c r="R45" s="21">
        <f>STEM_Geom!$Q$17</f>
        <v>52.521131220325458</v>
      </c>
      <c r="S45" s="89">
        <f ca="1">STEM_Geom!$P$18</f>
        <v>194</v>
      </c>
      <c r="T45" s="21">
        <f>STEM_Geom!$Q$18</f>
        <v>49.895074659309181</v>
      </c>
      <c r="U45" s="89">
        <f>STEM_Geom!$P$19</f>
        <v>0</v>
      </c>
      <c r="V45" s="21">
        <f>STEM_Geom!$Q$19</f>
        <v>0</v>
      </c>
      <c r="W45" s="89">
        <f>STEM_Geom!$P$20</f>
        <v>0</v>
      </c>
      <c r="X45" s="21">
        <f>STEM_Geom!$Q$20</f>
        <v>0</v>
      </c>
      <c r="Y45" s="89">
        <f>STEM_Geom!$P$21</f>
        <v>0</v>
      </c>
      <c r="Z45" s="21">
        <f>STEM_Geom!$Q$21</f>
        <v>0</v>
      </c>
      <c r="AA45" s="89">
        <f>STEM_Geom!$P$22</f>
        <v>0</v>
      </c>
      <c r="AB45" s="21">
        <f>STEM_Geom!$Q$22</f>
        <v>0</v>
      </c>
      <c r="AC45" s="89">
        <f>STEM_Geom!$P$23</f>
        <v>0</v>
      </c>
      <c r="AD45" s="21">
        <f>STEM_Geom!$Q$23</f>
        <v>0</v>
      </c>
      <c r="AE45" s="89">
        <f>STEM_Geom!$P$24</f>
        <v>0</v>
      </c>
      <c r="AF45" s="21">
        <f>STEM_Geom!$Q$24</f>
        <v>0</v>
      </c>
      <c r="AG45" s="89">
        <f>STEM_Geom!$P$25</f>
        <v>0</v>
      </c>
      <c r="AH45" s="21">
        <f>STEM_Geom!$Q$25</f>
        <v>0</v>
      </c>
      <c r="AI45" s="89">
        <f>STEM_Geom!$P$26</f>
        <v>0</v>
      </c>
      <c r="AJ45" s="21">
        <f>STEM_Geom!$Q$26</f>
        <v>0</v>
      </c>
      <c r="AK45" s="89">
        <f>STEM_Geom!$P$27</f>
        <v>0</v>
      </c>
      <c r="AL45" s="21">
        <f>STEM_Geom!$Q$27</f>
        <v>0</v>
      </c>
      <c r="AM45" s="89">
        <f>STEM_Geom!$P$28</f>
        <v>0</v>
      </c>
      <c r="AN45" s="21">
        <f>STEM_Geom!$Q$28</f>
        <v>0</v>
      </c>
      <c r="AO45" s="89">
        <f>STEM_Geom!$P$29</f>
        <v>0</v>
      </c>
      <c r="AP45" s="21">
        <f>STEM_Geom!$Q$29</f>
        <v>0</v>
      </c>
      <c r="AQ45" s="89">
        <f>STEM_Geom!$P$30</f>
        <v>0</v>
      </c>
      <c r="AR45" s="21">
        <f>STEM_Geom!$Q$30</f>
        <v>0</v>
      </c>
      <c r="AS45" s="89">
        <f>STEM_Geom!$P$31</f>
        <v>0</v>
      </c>
      <c r="AT45" s="21">
        <f>STEM_Geom!$Q$31</f>
        <v>0</v>
      </c>
      <c r="AU45" s="89">
        <f>STEM_Geom!$P$32</f>
        <v>0</v>
      </c>
      <c r="AV45" s="21">
        <f>STEM_Geom!$Q$32</f>
        <v>0</v>
      </c>
      <c r="AW45" s="89">
        <f>STEM_Geom!$P$33</f>
        <v>0</v>
      </c>
      <c r="AX45" s="21">
        <f>STEM_Geom!$Q$33</f>
        <v>0</v>
      </c>
      <c r="AY45" s="89">
        <f>STEM_Geom!$P$34</f>
        <v>0</v>
      </c>
      <c r="AZ45" s="21">
        <f>STEM_Geom!$Q$34</f>
        <v>0</v>
      </c>
      <c r="BA45" s="89">
        <f>STEM_Geom!$P$35</f>
        <v>0</v>
      </c>
      <c r="BB45" s="21">
        <f>STEM_Geom!$Q$35</f>
        <v>0</v>
      </c>
      <c r="BC45" s="89">
        <f>STEM_Geom!$P$36</f>
        <v>0</v>
      </c>
      <c r="BD45" s="21">
        <f>STEM_Geom!$Q$36</f>
        <v>0</v>
      </c>
      <c r="BE45" s="89">
        <f>STEM_Geom!$P$37</f>
        <v>0</v>
      </c>
      <c r="BF45" s="21">
        <f>STEM_Geom!$Q$37</f>
        <v>0</v>
      </c>
      <c r="BG45" s="52" t="s">
        <v>69</v>
      </c>
      <c r="BH45" s="3"/>
    </row>
    <row r="46" spans="1:60">
      <c r="A46" s="20"/>
      <c r="B46" s="11" t="s">
        <v>20</v>
      </c>
      <c r="C46" s="213" t="s">
        <v>717</v>
      </c>
      <c r="D46" s="13" t="s">
        <v>12</v>
      </c>
      <c r="E46" s="29" t="s">
        <v>0</v>
      </c>
      <c r="F46" s="79" t="s">
        <v>7</v>
      </c>
      <c r="G46" s="46">
        <f>STEM_Geom!$R$9</f>
        <v>1</v>
      </c>
      <c r="H46" s="72">
        <f>STEM_Geom!$R$10</f>
        <v>6</v>
      </c>
      <c r="I46" s="89">
        <f>STEM_Geom!$P$13</f>
        <v>1</v>
      </c>
      <c r="J46" s="21">
        <f>STEM_Geom!$R$13</f>
        <v>1.4502198414533505</v>
      </c>
      <c r="K46" s="89">
        <f ca="1">STEM_Geom!$P$14</f>
        <v>16</v>
      </c>
      <c r="L46" s="21">
        <f>STEM_Geom!$R$14</f>
        <v>2.1645072260497766</v>
      </c>
      <c r="M46" s="89">
        <f ca="1">STEM_Geom!$P$15</f>
        <v>32</v>
      </c>
      <c r="N46" s="21">
        <f>STEM_Geom!$R$15</f>
        <v>2.3809579486547543</v>
      </c>
      <c r="O46" s="89">
        <f ca="1">STEM_Geom!$P$16</f>
        <v>56</v>
      </c>
      <c r="P46" s="21">
        <f>STEM_Geom!$R$16</f>
        <v>2.2918311805232929</v>
      </c>
      <c r="Q46" s="89">
        <f ca="1">STEM_Geom!$P$17</f>
        <v>96</v>
      </c>
      <c r="R46" s="21">
        <f>STEM_Geom!$R$17</f>
        <v>2.1008452488130183</v>
      </c>
      <c r="S46" s="89">
        <f ca="1">STEM_Geom!$P$18</f>
        <v>194</v>
      </c>
      <c r="T46" s="21">
        <f>STEM_Geom!$R$18</f>
        <v>1.9958029863723672</v>
      </c>
      <c r="U46" s="89">
        <f>STEM_Geom!$P$19</f>
        <v>0</v>
      </c>
      <c r="V46" s="21">
        <f>STEM_Geom!$R$19</f>
        <v>0</v>
      </c>
      <c r="W46" s="89">
        <f>STEM_Geom!$P$20</f>
        <v>0</v>
      </c>
      <c r="X46" s="21">
        <f>STEM_Geom!$R$20</f>
        <v>0</v>
      </c>
      <c r="Y46" s="89">
        <f>STEM_Geom!$P$21</f>
        <v>0</v>
      </c>
      <c r="Z46" s="21">
        <f>STEM_Geom!$R$21</f>
        <v>0</v>
      </c>
      <c r="AA46" s="89">
        <f>STEM_Geom!$P$22</f>
        <v>0</v>
      </c>
      <c r="AB46" s="21">
        <f>STEM_Geom!$R$22</f>
        <v>0</v>
      </c>
      <c r="AC46" s="89">
        <f>STEM_Geom!$P$23</f>
        <v>0</v>
      </c>
      <c r="AD46" s="21">
        <f>STEM_Geom!$R$23</f>
        <v>0</v>
      </c>
      <c r="AE46" s="89">
        <f>STEM_Geom!$P$24</f>
        <v>0</v>
      </c>
      <c r="AF46" s="21">
        <f>STEM_Geom!$R$24</f>
        <v>0</v>
      </c>
      <c r="AG46" s="89">
        <f>STEM_Geom!$P$25</f>
        <v>0</v>
      </c>
      <c r="AH46" s="21">
        <f>STEM_Geom!$R$25</f>
        <v>0</v>
      </c>
      <c r="AI46" s="89">
        <f>STEM_Geom!$P$26</f>
        <v>0</v>
      </c>
      <c r="AJ46" s="21">
        <f>STEM_Geom!$R$26</f>
        <v>0</v>
      </c>
      <c r="AK46" s="89">
        <f>STEM_Geom!$P$27</f>
        <v>0</v>
      </c>
      <c r="AL46" s="21">
        <f>STEM_Geom!$R$27</f>
        <v>0</v>
      </c>
      <c r="AM46" s="89">
        <f>STEM_Geom!$P$28</f>
        <v>0</v>
      </c>
      <c r="AN46" s="21">
        <f>STEM_Geom!$R$28</f>
        <v>0</v>
      </c>
      <c r="AO46" s="89">
        <f>STEM_Geom!$P$29</f>
        <v>0</v>
      </c>
      <c r="AP46" s="21">
        <f>STEM_Geom!$R$29</f>
        <v>0</v>
      </c>
      <c r="AQ46" s="89">
        <f>STEM_Geom!$P$30</f>
        <v>0</v>
      </c>
      <c r="AR46" s="21">
        <f>STEM_Geom!$R$30</f>
        <v>0</v>
      </c>
      <c r="AS46" s="89">
        <f>STEM_Geom!$P$31</f>
        <v>0</v>
      </c>
      <c r="AT46" s="21">
        <f>STEM_Geom!$R$31</f>
        <v>0</v>
      </c>
      <c r="AU46" s="89">
        <f>STEM_Geom!$P$32</f>
        <v>0</v>
      </c>
      <c r="AV46" s="21">
        <f>STEM_Geom!$R$32</f>
        <v>0</v>
      </c>
      <c r="AW46" s="89">
        <f>STEM_Geom!$P$33</f>
        <v>0</v>
      </c>
      <c r="AX46" s="21">
        <f>STEM_Geom!$R$33</f>
        <v>0</v>
      </c>
      <c r="AY46" s="89">
        <f>STEM_Geom!$P$34</f>
        <v>0</v>
      </c>
      <c r="AZ46" s="21">
        <f>STEM_Geom!$R$34</f>
        <v>0</v>
      </c>
      <c r="BA46" s="89">
        <f>STEM_Geom!$P$35</f>
        <v>0</v>
      </c>
      <c r="BB46" s="21">
        <f>STEM_Geom!$R$35</f>
        <v>0</v>
      </c>
      <c r="BC46" s="89">
        <f>STEM_Geom!$P$36</f>
        <v>0</v>
      </c>
      <c r="BD46" s="21">
        <f>STEM_Geom!$R$36</f>
        <v>0</v>
      </c>
      <c r="BE46" s="89">
        <f>STEM_Geom!$P$37</f>
        <v>0</v>
      </c>
      <c r="BF46" s="21">
        <f>STEM_Geom!$R$37</f>
        <v>0</v>
      </c>
      <c r="BG46" s="52" t="s">
        <v>69</v>
      </c>
      <c r="BH46" s="3"/>
    </row>
    <row r="47" spans="1:60">
      <c r="A47" s="20"/>
      <c r="B47" s="11" t="s">
        <v>655</v>
      </c>
      <c r="C47" s="213" t="s">
        <v>1010</v>
      </c>
      <c r="D47" s="69" t="s">
        <v>12</v>
      </c>
      <c r="E47" s="2" t="s">
        <v>9</v>
      </c>
      <c r="F47" s="40" t="s">
        <v>304</v>
      </c>
      <c r="G47" s="46">
        <f>STEM_Geom!$T$9</f>
        <v>1</v>
      </c>
      <c r="H47" s="72">
        <f>STEM_Geom!$T$10</f>
        <v>5</v>
      </c>
      <c r="I47" s="76">
        <f>STEM_Geom!$S$13</f>
        <v>1</v>
      </c>
      <c r="J47" s="264">
        <f>STEM_Geom!$T$13</f>
        <v>0.1</v>
      </c>
      <c r="K47" s="76">
        <f>STEM_Geom!$S$14</f>
        <v>5</v>
      </c>
      <c r="L47" s="264">
        <f>STEM_Geom!$T$14</f>
        <v>0.6</v>
      </c>
      <c r="M47" s="76">
        <f>STEM_Geom!$S$15</f>
        <v>10</v>
      </c>
      <c r="N47" s="264">
        <f>STEM_Geom!$T$15</f>
        <v>0.75</v>
      </c>
      <c r="O47" s="76">
        <f>STEM_Geom!$S$16</f>
        <v>20</v>
      </c>
      <c r="P47" s="264">
        <f>STEM_Geom!$T$16</f>
        <v>0.85</v>
      </c>
      <c r="Q47" s="76">
        <f>STEM_Geom!$S$17</f>
        <v>36</v>
      </c>
      <c r="R47" s="264">
        <f>STEM_Geom!$T$17</f>
        <v>1</v>
      </c>
      <c r="S47" s="76">
        <f>STEM_Geom!$S$18</f>
        <v>0</v>
      </c>
      <c r="T47" s="264">
        <f>STEM_Geom!$T$18</f>
        <v>0</v>
      </c>
      <c r="U47" s="76">
        <f>STEM_Geom!$S$19</f>
        <v>0</v>
      </c>
      <c r="V47" s="264">
        <f>STEM_Geom!$T$19</f>
        <v>0</v>
      </c>
      <c r="W47" s="76">
        <f>STEM_Geom!$S$20</f>
        <v>0</v>
      </c>
      <c r="X47" s="264">
        <f>STEM_Geom!$T$20</f>
        <v>0</v>
      </c>
      <c r="Y47" s="76">
        <f>STEM_Geom!$S$21</f>
        <v>0</v>
      </c>
      <c r="Z47" s="264">
        <f>STEM_Geom!$T$21</f>
        <v>0</v>
      </c>
      <c r="AA47" s="76">
        <f>STEM_Geom!$S$22</f>
        <v>0</v>
      </c>
      <c r="AB47" s="264">
        <f>STEM_Geom!$T$22</f>
        <v>0</v>
      </c>
      <c r="AC47" s="76">
        <f>STEM_Geom!$S$23</f>
        <v>0</v>
      </c>
      <c r="AD47" s="264">
        <f>STEM_Geom!$T$23</f>
        <v>0</v>
      </c>
      <c r="AE47" s="76">
        <f>STEM_Geom!$S$24</f>
        <v>0</v>
      </c>
      <c r="AF47" s="264">
        <f>STEM_Geom!$T$24</f>
        <v>0</v>
      </c>
      <c r="AG47" s="76">
        <f>STEM_Geom!$S$25</f>
        <v>0</v>
      </c>
      <c r="AH47" s="264">
        <f>STEM_Geom!$T$25</f>
        <v>0</v>
      </c>
      <c r="AI47" s="76">
        <f>STEM_Geom!$S$26</f>
        <v>0</v>
      </c>
      <c r="AJ47" s="264">
        <f>STEM_Geom!$T$26</f>
        <v>0</v>
      </c>
      <c r="AK47" s="76">
        <f>STEM_Geom!$S$27</f>
        <v>0</v>
      </c>
      <c r="AL47" s="264">
        <f>STEM_Geom!$T$27</f>
        <v>0</v>
      </c>
      <c r="AM47" s="76">
        <f>STEM_Geom!$S$28</f>
        <v>0</v>
      </c>
      <c r="AN47" s="264">
        <f>STEM_Geom!$T$28</f>
        <v>0</v>
      </c>
      <c r="AO47" s="76">
        <f>STEM_Geom!$S$29</f>
        <v>0</v>
      </c>
      <c r="AP47" s="264">
        <f>STEM_Geom!$T$29</f>
        <v>0</v>
      </c>
      <c r="AQ47" s="76">
        <f>STEM_Geom!$S$30</f>
        <v>0</v>
      </c>
      <c r="AR47" s="264">
        <f>STEM_Geom!$T$30</f>
        <v>0</v>
      </c>
      <c r="AS47" s="76">
        <f>STEM_Geom!$S$31</f>
        <v>0</v>
      </c>
      <c r="AT47" s="264">
        <f>STEM_Geom!$T$31</f>
        <v>0</v>
      </c>
      <c r="AU47" s="76">
        <f>STEM_Geom!$S$32</f>
        <v>0</v>
      </c>
      <c r="AV47" s="264">
        <f>STEM_Geom!$T$32</f>
        <v>0</v>
      </c>
      <c r="AW47" s="76">
        <f>STEM_Geom!$S$33</f>
        <v>0</v>
      </c>
      <c r="AX47" s="264">
        <f>STEM_Geom!$T$33</f>
        <v>0</v>
      </c>
      <c r="AY47" s="76">
        <f>STEM_Geom!$S$34</f>
        <v>0</v>
      </c>
      <c r="AZ47" s="264">
        <f>STEM_Geom!$T$34</f>
        <v>0</v>
      </c>
      <c r="BA47" s="76">
        <f>STEM_Geom!$S$35</f>
        <v>0</v>
      </c>
      <c r="BB47" s="264">
        <f>STEM_Geom!$T$35</f>
        <v>0</v>
      </c>
      <c r="BC47" s="76">
        <f>STEM_Geom!$S$36</f>
        <v>0</v>
      </c>
      <c r="BD47" s="264">
        <f>STEM_Geom!$T$36</f>
        <v>0</v>
      </c>
      <c r="BE47" s="76">
        <f>STEM_Geom!$S$37</f>
        <v>0</v>
      </c>
      <c r="BF47" s="21">
        <f>STEM_Geom!$T$37</f>
        <v>0</v>
      </c>
      <c r="BG47" s="52" t="s">
        <v>69</v>
      </c>
      <c r="BH47" s="17"/>
    </row>
    <row r="48" spans="1:60" s="65" customFormat="1" ht="18.75">
      <c r="A48" s="21" t="s">
        <v>69</v>
      </c>
      <c r="B48" s="61"/>
      <c r="C48" s="61" t="s">
        <v>612</v>
      </c>
      <c r="D48" s="62"/>
      <c r="E48" s="62"/>
      <c r="F48" s="62"/>
      <c r="G48" s="62"/>
      <c r="H48" s="67"/>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52" t="s">
        <v>69</v>
      </c>
      <c r="BH48" s="64"/>
    </row>
    <row r="49" spans="1:60" ht="13.5" thickBot="1">
      <c r="A49" s="20"/>
      <c r="B49" s="11" t="s">
        <v>132</v>
      </c>
      <c r="C49" s="2" t="s">
        <v>619</v>
      </c>
      <c r="D49" s="13" t="s">
        <v>12</v>
      </c>
      <c r="E49" s="2" t="s">
        <v>635</v>
      </c>
      <c r="F49" s="40" t="s">
        <v>7</v>
      </c>
      <c r="G49" s="46">
        <f>SPEAR!$D$9</f>
        <v>1</v>
      </c>
      <c r="H49" s="72">
        <f>SPEAR!$D$10</f>
        <v>4</v>
      </c>
      <c r="I49" s="56">
        <f>SPEAR!$C$13</f>
        <v>1</v>
      </c>
      <c r="J49" s="88">
        <f>SPEAR!$D$13</f>
        <v>2</v>
      </c>
      <c r="K49" s="56">
        <f>SPEAR!$C$14</f>
        <v>28</v>
      </c>
      <c r="L49" s="88">
        <f>SPEAR!$D$14</f>
        <v>3</v>
      </c>
      <c r="M49" s="56">
        <f>SPEAR!$C$15</f>
        <v>32</v>
      </c>
      <c r="N49" s="88">
        <f>SPEAR!$D$15</f>
        <v>2</v>
      </c>
      <c r="O49" s="56">
        <f>SPEAR!$C$16</f>
        <v>124</v>
      </c>
      <c r="P49" s="88">
        <f>SPEAR!$D$16</f>
        <v>3</v>
      </c>
      <c r="Q49" s="56">
        <f>SPEAR!$C$17</f>
        <v>0</v>
      </c>
      <c r="R49" s="88">
        <f>SPEAR!$D$17</f>
        <v>0</v>
      </c>
      <c r="S49" s="56">
        <f>SPEAR!$C$18</f>
        <v>0</v>
      </c>
      <c r="T49" s="88">
        <f>SPEAR!$D$18</f>
        <v>0</v>
      </c>
      <c r="U49" s="56">
        <f>SPEAR!$C$19</f>
        <v>0</v>
      </c>
      <c r="V49" s="88">
        <f>SPEAR!$D$19</f>
        <v>0</v>
      </c>
      <c r="W49" s="56">
        <f>SPEAR!$C$20</f>
        <v>0</v>
      </c>
      <c r="X49" s="88">
        <f>SPEAR!$D$20</f>
        <v>0</v>
      </c>
      <c r="Y49" s="56">
        <f>SPEAR!$C$21</f>
        <v>0</v>
      </c>
      <c r="Z49" s="88">
        <f>SPEAR!$D$21</f>
        <v>0</v>
      </c>
      <c r="AA49" s="56">
        <f>SPEAR!$C$22</f>
        <v>0</v>
      </c>
      <c r="AB49" s="88">
        <f>SPEAR!$D$22</f>
        <v>0</v>
      </c>
      <c r="AC49" s="56">
        <f>SPEAR!$C$23</f>
        <v>0</v>
      </c>
      <c r="AD49" s="88">
        <f>SPEAR!$D$23</f>
        <v>0</v>
      </c>
      <c r="AE49" s="56">
        <f>SPEAR!$C$24</f>
        <v>0</v>
      </c>
      <c r="AF49" s="88">
        <f>SPEAR!$D$24</f>
        <v>0</v>
      </c>
      <c r="AG49" s="56">
        <f>SPEAR!$C$25</f>
        <v>0</v>
      </c>
      <c r="AH49" s="88">
        <f>SPEAR!$D$25</f>
        <v>0</v>
      </c>
      <c r="AI49" s="56">
        <f>SPEAR!$C$26</f>
        <v>0</v>
      </c>
      <c r="AJ49" s="88">
        <f>SPEAR!$D$26</f>
        <v>0</v>
      </c>
      <c r="AK49" s="56">
        <f>SPEAR!$C$27</f>
        <v>0</v>
      </c>
      <c r="AL49" s="88">
        <f>SPEAR!$D$27</f>
        <v>0</v>
      </c>
      <c r="AM49" s="56">
        <f>SPEAR!$C$28</f>
        <v>0</v>
      </c>
      <c r="AN49" s="88">
        <f>SPEAR!$D$28</f>
        <v>0</v>
      </c>
      <c r="AO49" s="56">
        <f>SPEAR!$C$29</f>
        <v>0</v>
      </c>
      <c r="AP49" s="88">
        <f>SPEAR!$D$29</f>
        <v>0</v>
      </c>
      <c r="AQ49" s="56">
        <f>SPEAR!$C$30</f>
        <v>0</v>
      </c>
      <c r="AR49" s="88">
        <f>SPEAR!$D$30</f>
        <v>0</v>
      </c>
      <c r="AS49" s="56">
        <f>SPEAR!$C$31</f>
        <v>0</v>
      </c>
      <c r="AT49" s="88">
        <f>SPEAR!$D$31</f>
        <v>0</v>
      </c>
      <c r="AU49" s="56">
        <f>SPEAR!$C$32</f>
        <v>0</v>
      </c>
      <c r="AV49" s="88">
        <f>SPEAR!$D$32</f>
        <v>0</v>
      </c>
      <c r="AW49" s="56">
        <f>SPEAR!$C$33</f>
        <v>0</v>
      </c>
      <c r="AX49" s="88">
        <f>SPEAR!$D$33</f>
        <v>0</v>
      </c>
      <c r="AY49" s="56">
        <f>SPEAR!$C$34</f>
        <v>0</v>
      </c>
      <c r="AZ49" s="88">
        <f>SPEAR!$D$34</f>
        <v>0</v>
      </c>
      <c r="BA49" s="56">
        <f>SPEAR!$C$35</f>
        <v>0</v>
      </c>
      <c r="BB49" s="88">
        <f>SPEAR!$D$35</f>
        <v>0</v>
      </c>
      <c r="BC49" s="56">
        <f>SPEAR!$C$36</f>
        <v>0</v>
      </c>
      <c r="BD49" s="88">
        <f>SPEAR!$D$36</f>
        <v>0</v>
      </c>
      <c r="BE49" s="56">
        <f>SPEAR!$C$37</f>
        <v>0</v>
      </c>
      <c r="BF49" s="88">
        <f>SPEAR!$D$37</f>
        <v>0</v>
      </c>
      <c r="BG49" s="52" t="s">
        <v>69</v>
      </c>
      <c r="BH49" s="17"/>
    </row>
    <row r="50" spans="1:60" ht="13.5" thickBot="1">
      <c r="A50" s="20"/>
      <c r="B50" s="10" t="s">
        <v>23</v>
      </c>
      <c r="C50" s="2" t="s">
        <v>615</v>
      </c>
      <c r="D50" s="14" t="s">
        <v>62</v>
      </c>
      <c r="E50" s="9" t="s">
        <v>3</v>
      </c>
      <c r="F50" s="40" t="s">
        <v>6</v>
      </c>
      <c r="G50" s="46">
        <f>SPEAR!$G$9</f>
        <v>0</v>
      </c>
      <c r="H50" s="72">
        <f>SPEAR!$G$10</f>
        <v>1</v>
      </c>
      <c r="I50" s="54">
        <f>SPEAR!$F$13</f>
        <v>1</v>
      </c>
      <c r="J50" s="21">
        <f>SPEAR!$G$13</f>
        <v>1</v>
      </c>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52" t="s">
        <v>69</v>
      </c>
      <c r="BH50" s="17"/>
    </row>
    <row r="51" spans="1:60">
      <c r="A51" s="20"/>
      <c r="B51" s="10" t="s">
        <v>21</v>
      </c>
      <c r="C51" s="2" t="s">
        <v>718</v>
      </c>
      <c r="D51" s="13" t="s">
        <v>12</v>
      </c>
      <c r="E51" s="9" t="s">
        <v>0</v>
      </c>
      <c r="F51" s="40" t="s">
        <v>7</v>
      </c>
      <c r="G51" s="46">
        <f>SPEAR!$J$9</f>
        <v>1</v>
      </c>
      <c r="H51" s="72">
        <f>SPEAR!$J$10</f>
        <v>4</v>
      </c>
      <c r="I51" s="89">
        <f>SPEAR!$I$13</f>
        <v>1</v>
      </c>
      <c r="J51" s="21">
        <f>SPEAR!$J$13</f>
        <v>37.933261292941459</v>
      </c>
      <c r="K51" s="89">
        <f>SPEAR!$I$14</f>
        <v>28</v>
      </c>
      <c r="L51" s="21">
        <f>SPEAR!$J$14</f>
        <v>113.79978387882439</v>
      </c>
      <c r="M51" s="89">
        <f>SPEAR!$I$15</f>
        <v>32</v>
      </c>
      <c r="N51" s="21">
        <f>SPEAR!$J$15</f>
        <v>113.79978387882439</v>
      </c>
      <c r="O51" s="89">
        <f>SPEAR!$I$16</f>
        <v>124</v>
      </c>
      <c r="P51" s="21">
        <f>SPEAR!$J$16</f>
        <v>351.06396563500567</v>
      </c>
      <c r="Q51" s="89">
        <f>SPEAR!$I$17</f>
        <v>0</v>
      </c>
      <c r="R51" s="21">
        <f>SPEAR!$J$17</f>
        <v>0</v>
      </c>
      <c r="S51" s="89">
        <f>SPEAR!$I$18</f>
        <v>0</v>
      </c>
      <c r="T51" s="21">
        <f>SPEAR!$J$18</f>
        <v>0</v>
      </c>
      <c r="U51" s="89">
        <f>SPEAR!$I$19</f>
        <v>0</v>
      </c>
      <c r="V51" s="21">
        <f>SPEAR!$J$19</f>
        <v>0</v>
      </c>
      <c r="W51" s="89">
        <f>SPEAR!$I$20</f>
        <v>0</v>
      </c>
      <c r="X51" s="21">
        <f>SPEAR!$J$20</f>
        <v>0</v>
      </c>
      <c r="Y51" s="89">
        <f>SPEAR!$I$21</f>
        <v>0</v>
      </c>
      <c r="Z51" s="21">
        <f>SPEAR!$J$21</f>
        <v>0</v>
      </c>
      <c r="AA51" s="89">
        <f>SPEAR!$I$22</f>
        <v>0</v>
      </c>
      <c r="AB51" s="21">
        <f>SPEAR!$J$22</f>
        <v>0</v>
      </c>
      <c r="AC51" s="89">
        <f>SPEAR!$I$23</f>
        <v>0</v>
      </c>
      <c r="AD51" s="21">
        <f>SPEAR!$J$23</f>
        <v>0</v>
      </c>
      <c r="AE51" s="89">
        <f>SPEAR!$I$24</f>
        <v>0</v>
      </c>
      <c r="AF51" s="21">
        <f>SPEAR!$J$24</f>
        <v>0</v>
      </c>
      <c r="AG51" s="89">
        <f>SPEAR!$I$25</f>
        <v>0</v>
      </c>
      <c r="AH51" s="21">
        <f>SPEAR!$J$25</f>
        <v>0</v>
      </c>
      <c r="AI51" s="89">
        <f>SPEAR!$I$26</f>
        <v>0</v>
      </c>
      <c r="AJ51" s="21">
        <f>SPEAR!$J$26</f>
        <v>0</v>
      </c>
      <c r="AK51" s="89">
        <f>SPEAR!$I$27</f>
        <v>0</v>
      </c>
      <c r="AL51" s="21">
        <f>SPEAR!$J$27</f>
        <v>0</v>
      </c>
      <c r="AM51" s="89">
        <f>SPEAR!$I$28</f>
        <v>0</v>
      </c>
      <c r="AN51" s="21">
        <f>SPEAR!$J$28</f>
        <v>0</v>
      </c>
      <c r="AO51" s="89">
        <f>SPEAR!$I$29</f>
        <v>0</v>
      </c>
      <c r="AP51" s="21">
        <f>SPEAR!$J$29</f>
        <v>0</v>
      </c>
      <c r="AQ51" s="89">
        <f>SPEAR!$I$30</f>
        <v>0</v>
      </c>
      <c r="AR51" s="21">
        <f>SPEAR!$J$30</f>
        <v>0</v>
      </c>
      <c r="AS51" s="89">
        <f>SPEAR!$I$31</f>
        <v>0</v>
      </c>
      <c r="AT51" s="21">
        <f>SPEAR!$J$31</f>
        <v>0</v>
      </c>
      <c r="AU51" s="89">
        <f>SPEAR!$I$32</f>
        <v>0</v>
      </c>
      <c r="AV51" s="21">
        <f>SPEAR!$J$32</f>
        <v>0</v>
      </c>
      <c r="AW51" s="89">
        <f>SPEAR!$I$33</f>
        <v>0</v>
      </c>
      <c r="AX51" s="21">
        <f>SPEAR!$J$33</f>
        <v>0</v>
      </c>
      <c r="AY51" s="89">
        <f>SPEAR!$I$34</f>
        <v>0</v>
      </c>
      <c r="AZ51" s="21">
        <f>SPEAR!$J$34</f>
        <v>0</v>
      </c>
      <c r="BA51" s="89">
        <f>SPEAR!$I$35</f>
        <v>0</v>
      </c>
      <c r="BB51" s="21">
        <f>SPEAR!$J$35</f>
        <v>0</v>
      </c>
      <c r="BC51" s="89">
        <f>SPEAR!$I$36</f>
        <v>0</v>
      </c>
      <c r="BD51" s="21">
        <f>SPEAR!$J$36</f>
        <v>0</v>
      </c>
      <c r="BE51" s="89">
        <f>SPEAR!$I$37</f>
        <v>0</v>
      </c>
      <c r="BF51" s="21">
        <f>SPEAR!$J$37</f>
        <v>0</v>
      </c>
      <c r="BG51" s="52" t="s">
        <v>69</v>
      </c>
      <c r="BH51" s="17"/>
    </row>
    <row r="52" spans="1:60">
      <c r="A52" s="20"/>
      <c r="B52" s="11" t="s">
        <v>22</v>
      </c>
      <c r="C52" s="2" t="s">
        <v>719</v>
      </c>
      <c r="D52" s="13" t="s">
        <v>12</v>
      </c>
      <c r="E52" s="9" t="s">
        <v>0</v>
      </c>
      <c r="F52" s="40" t="s">
        <v>7</v>
      </c>
      <c r="G52" s="46">
        <f>SPEAR!$K$9</f>
        <v>1</v>
      </c>
      <c r="H52" s="72">
        <f>SPEAR!$K$10</f>
        <v>4</v>
      </c>
      <c r="I52" s="89">
        <f>SPEAR!$I$13</f>
        <v>1</v>
      </c>
      <c r="J52" s="21">
        <f>SPEAR!$K$13</f>
        <v>1.9177529164250589</v>
      </c>
      <c r="K52" s="56">
        <v>36</v>
      </c>
      <c r="L52" s="21">
        <f>SPEAR!$K$14</f>
        <v>5.7532587492751768</v>
      </c>
      <c r="M52" s="56">
        <v>67</v>
      </c>
      <c r="N52" s="21">
        <f>SPEAR!$K$15</f>
        <v>5.7532587492751768</v>
      </c>
      <c r="O52" s="56">
        <v>175</v>
      </c>
      <c r="P52" s="21">
        <f>SPEAR!$K$16</f>
        <v>17.748380207782358</v>
      </c>
      <c r="Q52" s="89">
        <f>SPEAR!$I$17</f>
        <v>0</v>
      </c>
      <c r="R52" s="21">
        <f>SPEAR!$K$17</f>
        <v>0</v>
      </c>
      <c r="S52" s="89">
        <f>SPEAR!$I$18</f>
        <v>0</v>
      </c>
      <c r="T52" s="21">
        <f>SPEAR!$K$18</f>
        <v>0</v>
      </c>
      <c r="U52" s="89">
        <f>SPEAR!$I$19</f>
        <v>0</v>
      </c>
      <c r="V52" s="21">
        <f>SPEAR!$K$19</f>
        <v>0</v>
      </c>
      <c r="W52" s="89">
        <f>SPEAR!$I$20</f>
        <v>0</v>
      </c>
      <c r="X52" s="21">
        <f>SPEAR!$K$20</f>
        <v>0</v>
      </c>
      <c r="Y52" s="89">
        <f>SPEAR!$I$21</f>
        <v>0</v>
      </c>
      <c r="Z52" s="21">
        <f>SPEAR!$K$21</f>
        <v>0</v>
      </c>
      <c r="AA52" s="89">
        <f>SPEAR!$I$22</f>
        <v>0</v>
      </c>
      <c r="AB52" s="21">
        <f>SPEAR!$K$22</f>
        <v>0</v>
      </c>
      <c r="AC52" s="89">
        <f>SPEAR!$I$23</f>
        <v>0</v>
      </c>
      <c r="AD52" s="21">
        <f>SPEAR!$K$23</f>
        <v>0</v>
      </c>
      <c r="AE52" s="89">
        <f>SPEAR!$I$24</f>
        <v>0</v>
      </c>
      <c r="AF52" s="21">
        <f>SPEAR!$K$24</f>
        <v>0</v>
      </c>
      <c r="AG52" s="89">
        <f>SPEAR!$I$25</f>
        <v>0</v>
      </c>
      <c r="AH52" s="21">
        <f>SPEAR!$K$25</f>
        <v>0</v>
      </c>
      <c r="AI52" s="89">
        <f>SPEAR!$I$26</f>
        <v>0</v>
      </c>
      <c r="AJ52" s="21">
        <f>SPEAR!$K$26</f>
        <v>0</v>
      </c>
      <c r="AK52" s="89">
        <f>SPEAR!$I$27</f>
        <v>0</v>
      </c>
      <c r="AL52" s="21">
        <f>SPEAR!$K$27</f>
        <v>0</v>
      </c>
      <c r="AM52" s="89">
        <f>SPEAR!$I$28</f>
        <v>0</v>
      </c>
      <c r="AN52" s="21">
        <f>SPEAR!$K$28</f>
        <v>0</v>
      </c>
      <c r="AO52" s="89">
        <f>SPEAR!$I$29</f>
        <v>0</v>
      </c>
      <c r="AP52" s="21">
        <f>SPEAR!$K$29</f>
        <v>0</v>
      </c>
      <c r="AQ52" s="89">
        <f>SPEAR!$I$30</f>
        <v>0</v>
      </c>
      <c r="AR52" s="21">
        <f>SPEAR!$K$30</f>
        <v>0</v>
      </c>
      <c r="AS52" s="89">
        <f>SPEAR!$I$31</f>
        <v>0</v>
      </c>
      <c r="AT52" s="21">
        <f>SPEAR!$K$31</f>
        <v>0</v>
      </c>
      <c r="AU52" s="89">
        <f>SPEAR!$I$32</f>
        <v>0</v>
      </c>
      <c r="AV52" s="21">
        <f>SPEAR!$K$32</f>
        <v>0</v>
      </c>
      <c r="AW52" s="89">
        <f>SPEAR!$I$33</f>
        <v>0</v>
      </c>
      <c r="AX52" s="21">
        <f>SPEAR!$K$33</f>
        <v>0</v>
      </c>
      <c r="AY52" s="89">
        <f>SPEAR!$I$34</f>
        <v>0</v>
      </c>
      <c r="AZ52" s="21">
        <f>SPEAR!$K$34</f>
        <v>0</v>
      </c>
      <c r="BA52" s="89">
        <f>SPEAR!$I$35</f>
        <v>0</v>
      </c>
      <c r="BB52" s="21">
        <f>SPEAR!$K$35</f>
        <v>0</v>
      </c>
      <c r="BC52" s="89">
        <f>SPEAR!$I$36</f>
        <v>0</v>
      </c>
      <c r="BD52" s="21">
        <f>SPEAR!$K$36</f>
        <v>0</v>
      </c>
      <c r="BE52" s="89">
        <f>SPEAR!$I$37</f>
        <v>0</v>
      </c>
      <c r="BF52" s="21">
        <f>SPEAR!$K$37</f>
        <v>0</v>
      </c>
      <c r="BG52" s="52" t="s">
        <v>69</v>
      </c>
      <c r="BH52" s="17"/>
    </row>
    <row r="53" spans="1:60">
      <c r="A53" s="20"/>
      <c r="B53" s="11" t="s">
        <v>31</v>
      </c>
      <c r="C53" s="2" t="s">
        <v>614</v>
      </c>
      <c r="D53" s="13" t="s">
        <v>12</v>
      </c>
      <c r="E53" s="9" t="s">
        <v>0</v>
      </c>
      <c r="F53" s="40" t="s">
        <v>7</v>
      </c>
      <c r="G53" s="46">
        <f>SPEAR!$N$9</f>
        <v>1</v>
      </c>
      <c r="H53" s="72">
        <f>SPEAR!$N$10</f>
        <v>4</v>
      </c>
      <c r="I53" s="56">
        <f>SPEAR!$M$13</f>
        <v>1</v>
      </c>
      <c r="J53" s="21">
        <f>SPEAR!$N$13</f>
        <v>0.9696499999999999</v>
      </c>
      <c r="K53" s="56">
        <f>SPEAR!$M$14</f>
        <v>28</v>
      </c>
      <c r="L53" s="21">
        <f>SPEAR!$N$14</f>
        <v>1.4619473245143606</v>
      </c>
      <c r="M53" s="56">
        <f>SPEAR!$M$15</f>
        <v>32</v>
      </c>
      <c r="N53" s="21">
        <f>SPEAR!$N$15</f>
        <v>1.4619473245143606</v>
      </c>
      <c r="O53" s="56">
        <f>SPEAR!$M$16</f>
        <v>124</v>
      </c>
      <c r="P53" s="21">
        <f>SPEAR!$N$16</f>
        <v>4.51</v>
      </c>
      <c r="Q53" s="56">
        <f>SPEAR!$M$17</f>
        <v>0</v>
      </c>
      <c r="R53" s="21">
        <f>SPEAR!$N$17</f>
        <v>0</v>
      </c>
      <c r="S53" s="56">
        <f>SPEAR!$M$18</f>
        <v>0</v>
      </c>
      <c r="T53" s="21">
        <f>SPEAR!$N$18</f>
        <v>0</v>
      </c>
      <c r="U53" s="56">
        <f>SPEAR!$M$19</f>
        <v>0</v>
      </c>
      <c r="V53" s="21">
        <f>SPEAR!$N$19</f>
        <v>0</v>
      </c>
      <c r="W53" s="56">
        <f>SPEAR!$M$20</f>
        <v>0</v>
      </c>
      <c r="X53" s="21">
        <f>SPEAR!$N$20</f>
        <v>0</v>
      </c>
      <c r="Y53" s="56">
        <f>SPEAR!$M$21</f>
        <v>0</v>
      </c>
      <c r="Z53" s="21">
        <f>SPEAR!$N$21</f>
        <v>0</v>
      </c>
      <c r="AA53" s="56">
        <f>SPEAR!$M$22</f>
        <v>0</v>
      </c>
      <c r="AB53" s="21">
        <f>SPEAR!$N$22</f>
        <v>0</v>
      </c>
      <c r="AC53" s="56">
        <f>SPEAR!$M$23</f>
        <v>0</v>
      </c>
      <c r="AD53" s="21">
        <f>SPEAR!$N$23</f>
        <v>0</v>
      </c>
      <c r="AE53" s="56">
        <f>SPEAR!$M$24</f>
        <v>0</v>
      </c>
      <c r="AF53" s="21">
        <f>SPEAR!$N$24</f>
        <v>0</v>
      </c>
      <c r="AG53" s="56">
        <f>SPEAR!$M$25</f>
        <v>0</v>
      </c>
      <c r="AH53" s="21">
        <f>SPEAR!$N$25</f>
        <v>0</v>
      </c>
      <c r="AI53" s="56">
        <f>SPEAR!$M$26</f>
        <v>0</v>
      </c>
      <c r="AJ53" s="21">
        <f>SPEAR!$N$26</f>
        <v>0</v>
      </c>
      <c r="AK53" s="56">
        <f>SPEAR!$M$27</f>
        <v>0</v>
      </c>
      <c r="AL53" s="21">
        <f>SPEAR!$N$27</f>
        <v>0</v>
      </c>
      <c r="AM53" s="56">
        <f>SPEAR!$M$28</f>
        <v>0</v>
      </c>
      <c r="AN53" s="21">
        <f>SPEAR!$N$28</f>
        <v>0</v>
      </c>
      <c r="AO53" s="56">
        <f>SPEAR!$M$29</f>
        <v>0</v>
      </c>
      <c r="AP53" s="21">
        <f>SPEAR!$N$29</f>
        <v>0</v>
      </c>
      <c r="AQ53" s="56">
        <f>SPEAR!$M$30</f>
        <v>0</v>
      </c>
      <c r="AR53" s="21">
        <f>SPEAR!$N$30</f>
        <v>0</v>
      </c>
      <c r="AS53" s="56">
        <f>SPEAR!$M$31</f>
        <v>0</v>
      </c>
      <c r="AT53" s="21">
        <f>SPEAR!$N$31</f>
        <v>0</v>
      </c>
      <c r="AU53" s="56">
        <f>SPEAR!$M$32</f>
        <v>0</v>
      </c>
      <c r="AV53" s="21">
        <f>SPEAR!$N$32</f>
        <v>0</v>
      </c>
      <c r="AW53" s="56">
        <f>SPEAR!$M$33</f>
        <v>0</v>
      </c>
      <c r="AX53" s="21">
        <f>SPEAR!$N$33</f>
        <v>0</v>
      </c>
      <c r="AY53" s="56">
        <f>SPEAR!$M$34</f>
        <v>0</v>
      </c>
      <c r="AZ53" s="21">
        <f>SPEAR!$N$34</f>
        <v>0</v>
      </c>
      <c r="BA53" s="56">
        <f>SPEAR!$M$35</f>
        <v>0</v>
      </c>
      <c r="BB53" s="21">
        <f>SPEAR!$N$35</f>
        <v>0</v>
      </c>
      <c r="BC53" s="56">
        <f>SPEAR!$M$36</f>
        <v>0</v>
      </c>
      <c r="BD53" s="21">
        <f>SPEAR!$N$36</f>
        <v>0</v>
      </c>
      <c r="BE53" s="56">
        <f>SPEAR!$M$37</f>
        <v>0</v>
      </c>
      <c r="BF53" s="21">
        <f>SPEAR!$N$37</f>
        <v>0</v>
      </c>
      <c r="BG53" s="52" t="s">
        <v>69</v>
      </c>
      <c r="BH53" s="17"/>
    </row>
    <row r="54" spans="1:60">
      <c r="A54" s="20"/>
      <c r="B54" s="10" t="s">
        <v>30</v>
      </c>
      <c r="C54" s="2" t="s">
        <v>616</v>
      </c>
      <c r="D54" s="33" t="s">
        <v>12</v>
      </c>
      <c r="E54" s="9" t="s">
        <v>3</v>
      </c>
      <c r="F54" s="40" t="s">
        <v>6</v>
      </c>
      <c r="G54" s="46">
        <f>SPEAR!$Q$9</f>
        <v>1</v>
      </c>
      <c r="H54" s="72">
        <f>SPEAR!$Q$10</f>
        <v>5</v>
      </c>
      <c r="I54" s="57">
        <f>SPEAR!$P$13</f>
        <v>0</v>
      </c>
      <c r="J54" s="21">
        <f>SPEAR!$Q$13</f>
        <v>0</v>
      </c>
      <c r="K54" s="57">
        <f>SPEAR!$P$14</f>
        <v>5.15970515970516</v>
      </c>
      <c r="L54" s="21">
        <f>SPEAR!$Q$14</f>
        <v>1</v>
      </c>
      <c r="M54" s="57">
        <f>SPEAR!$P$15</f>
        <v>19.237669202955026</v>
      </c>
      <c r="N54" s="21">
        <f>SPEAR!$Q$15</f>
        <v>3</v>
      </c>
      <c r="O54" s="57">
        <f>SPEAR!$P$16</f>
        <v>99.99</v>
      </c>
      <c r="P54" s="21">
        <f>SPEAR!$Q$16</f>
        <v>6</v>
      </c>
      <c r="Q54" s="57">
        <f>SPEAR!$P$17</f>
        <v>100</v>
      </c>
      <c r="R54" s="21">
        <f>SPEAR!$Q$17</f>
        <v>10</v>
      </c>
      <c r="S54" s="57">
        <f>SPEAR!$P$18</f>
        <v>0</v>
      </c>
      <c r="T54" s="21">
        <f>SPEAR!$Q$18</f>
        <v>0</v>
      </c>
      <c r="U54" s="57">
        <f>SPEAR!$P$19</f>
        <v>0</v>
      </c>
      <c r="V54" s="21">
        <f>SPEAR!$Q$19</f>
        <v>0</v>
      </c>
      <c r="W54" s="57">
        <f>SPEAR!$P$20</f>
        <v>0</v>
      </c>
      <c r="X54" s="21">
        <f>SPEAR!$Q$20</f>
        <v>0</v>
      </c>
      <c r="Y54" s="57">
        <f>SPEAR!$P$21</f>
        <v>0</v>
      </c>
      <c r="Z54" s="21">
        <f>SPEAR!$Q$21</f>
        <v>0</v>
      </c>
      <c r="AA54" s="57">
        <f>SPEAR!$P$22</f>
        <v>0</v>
      </c>
      <c r="AB54" s="21">
        <f>SPEAR!$Q$22</f>
        <v>0</v>
      </c>
      <c r="AC54" s="57">
        <f>SPEAR!$P$23</f>
        <v>0</v>
      </c>
      <c r="AD54" s="21">
        <f>SPEAR!$Q$23</f>
        <v>0</v>
      </c>
      <c r="AE54" s="57">
        <f>SPEAR!$P$24</f>
        <v>0</v>
      </c>
      <c r="AF54" s="21">
        <f>SPEAR!$Q$24</f>
        <v>0</v>
      </c>
      <c r="AG54" s="57">
        <f>SPEAR!$P$25</f>
        <v>0</v>
      </c>
      <c r="AH54" s="21">
        <f>SPEAR!$Q$25</f>
        <v>0</v>
      </c>
      <c r="AI54" s="57">
        <f>SPEAR!$P$26</f>
        <v>0</v>
      </c>
      <c r="AJ54" s="21">
        <f>SPEAR!$Q$26</f>
        <v>0</v>
      </c>
      <c r="AK54" s="57">
        <f>SPEAR!$P$27</f>
        <v>0</v>
      </c>
      <c r="AL54" s="21">
        <f>SPEAR!$Q$27</f>
        <v>0</v>
      </c>
      <c r="AM54" s="57">
        <f>SPEAR!$P$28</f>
        <v>0</v>
      </c>
      <c r="AN54" s="21">
        <f>SPEAR!$Q$28</f>
        <v>0</v>
      </c>
      <c r="AO54" s="57">
        <f>SPEAR!$P$29</f>
        <v>0</v>
      </c>
      <c r="AP54" s="21">
        <f>SPEAR!$Q$29</f>
        <v>0</v>
      </c>
      <c r="AQ54" s="57">
        <f>SPEAR!$P$30</f>
        <v>0</v>
      </c>
      <c r="AR54" s="21">
        <f>SPEAR!$Q$30</f>
        <v>0</v>
      </c>
      <c r="AS54" s="57">
        <f>SPEAR!$P$31</f>
        <v>0</v>
      </c>
      <c r="AT54" s="21">
        <f>SPEAR!$Q$31</f>
        <v>0</v>
      </c>
      <c r="AU54" s="57">
        <f>SPEAR!$P$32</f>
        <v>0</v>
      </c>
      <c r="AV54" s="21">
        <f>SPEAR!$Q$32</f>
        <v>0</v>
      </c>
      <c r="AW54" s="57">
        <f>SPEAR!$P$33</f>
        <v>0</v>
      </c>
      <c r="AX54" s="21">
        <f>SPEAR!$Q$33</f>
        <v>0</v>
      </c>
      <c r="AY54" s="57">
        <f>SPEAR!$P$34</f>
        <v>0</v>
      </c>
      <c r="AZ54" s="21">
        <f>SPEAR!$Q$34</f>
        <v>0</v>
      </c>
      <c r="BA54" s="57">
        <f>SPEAR!$P$35</f>
        <v>0</v>
      </c>
      <c r="BB54" s="21">
        <f>SPEAR!$Q$35</f>
        <v>0</v>
      </c>
      <c r="BC54" s="57">
        <f>SPEAR!$P$36</f>
        <v>0</v>
      </c>
      <c r="BD54" s="21">
        <f>SPEAR!$Q$36</f>
        <v>0</v>
      </c>
      <c r="BE54" s="57">
        <f>SPEAR!$P$37</f>
        <v>0</v>
      </c>
      <c r="BF54" s="21">
        <f>SPEAR!$Q$37</f>
        <v>0</v>
      </c>
      <c r="BG54" s="52" t="s">
        <v>69</v>
      </c>
      <c r="BH54" s="17"/>
    </row>
    <row r="55" spans="1:60" s="65" customFormat="1" ht="18.75">
      <c r="A55" s="21" t="s">
        <v>69</v>
      </c>
      <c r="B55" s="61"/>
      <c r="C55" s="62" t="s">
        <v>572</v>
      </c>
      <c r="D55" s="62"/>
      <c r="E55" s="62"/>
      <c r="F55" s="62"/>
      <c r="G55" s="62"/>
      <c r="H55" s="67"/>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52" t="s">
        <v>69</v>
      </c>
      <c r="BH55" s="64"/>
    </row>
    <row r="56" spans="1:60">
      <c r="A56" s="20"/>
      <c r="B56" s="11" t="s">
        <v>133</v>
      </c>
      <c r="C56" s="2" t="s">
        <v>131</v>
      </c>
      <c r="D56" s="13" t="s">
        <v>12</v>
      </c>
      <c r="E56" s="2" t="s">
        <v>635</v>
      </c>
      <c r="F56" s="40" t="s">
        <v>7</v>
      </c>
      <c r="G56" s="46">
        <f>FROND_Prod!$D$9</f>
        <v>0</v>
      </c>
      <c r="H56" s="72">
        <f>FROND_Prod!$D$10</f>
        <v>4</v>
      </c>
      <c r="I56" s="56">
        <f>FROND_Prod!$C$13</f>
        <v>1</v>
      </c>
      <c r="J56" s="88">
        <f>FROND_Prod!$D$13</f>
        <v>6</v>
      </c>
      <c r="K56" s="56">
        <f>FROND_Prod!$C$14</f>
        <v>21</v>
      </c>
      <c r="L56" s="88">
        <f>FROND_Prod!$D$14</f>
        <v>11</v>
      </c>
      <c r="M56" s="56">
        <f>FROND_Prod!$C$15</f>
        <v>59</v>
      </c>
      <c r="N56" s="88">
        <f>FROND_Prod!$D$15</f>
        <v>37</v>
      </c>
      <c r="O56" s="56">
        <f>FROND_Prod!$C$16</f>
        <v>96</v>
      </c>
      <c r="P56" s="88">
        <f>FROND_Prod!$D$16</f>
        <v>98</v>
      </c>
      <c r="Q56" s="56">
        <f>FROND_Prod!$C$17</f>
        <v>0</v>
      </c>
      <c r="R56" s="88">
        <f>FROND_Prod!$D$17</f>
        <v>0</v>
      </c>
      <c r="S56" s="56">
        <f>FROND_Prod!$C$18</f>
        <v>0</v>
      </c>
      <c r="T56" s="88">
        <f>FROND_Prod!$D$18</f>
        <v>0</v>
      </c>
      <c r="U56" s="56">
        <f>FROND_Prod!$C$19</f>
        <v>0</v>
      </c>
      <c r="V56" s="88">
        <f>FROND_Prod!$D$19</f>
        <v>0</v>
      </c>
      <c r="W56" s="56">
        <f>FROND_Prod!$C$20</f>
        <v>0</v>
      </c>
      <c r="X56" s="88">
        <f>FROND_Prod!$D$20</f>
        <v>0</v>
      </c>
      <c r="Y56" s="56">
        <f>FROND_Prod!$C$21</f>
        <v>0</v>
      </c>
      <c r="Z56" s="88">
        <f>FROND_Prod!$D$21</f>
        <v>0</v>
      </c>
      <c r="AA56" s="56">
        <f>FROND_Prod!$C$22</f>
        <v>0</v>
      </c>
      <c r="AB56" s="88">
        <f>FROND_Prod!$D$22</f>
        <v>0</v>
      </c>
      <c r="AC56" s="56">
        <f>FROND_Prod!$C$23</f>
        <v>0</v>
      </c>
      <c r="AD56" s="88">
        <f>FROND_Prod!$D$23</f>
        <v>0</v>
      </c>
      <c r="AE56" s="56">
        <f>FROND_Prod!$C$24</f>
        <v>0</v>
      </c>
      <c r="AF56" s="88">
        <f>FROND_Prod!$D$24</f>
        <v>0</v>
      </c>
      <c r="AG56" s="56">
        <f>FROND_Prod!$C$25</f>
        <v>0</v>
      </c>
      <c r="AH56" s="88">
        <f>FROND_Prod!$D$25</f>
        <v>0</v>
      </c>
      <c r="AI56" s="56">
        <f>FROND_Prod!$C$26</f>
        <v>0</v>
      </c>
      <c r="AJ56" s="88">
        <f>FROND_Prod!$D$26</f>
        <v>0</v>
      </c>
      <c r="AK56" s="56">
        <f>FROND_Prod!$C$27</f>
        <v>0</v>
      </c>
      <c r="AL56" s="88">
        <f>FROND_Prod!$D$27</f>
        <v>0</v>
      </c>
      <c r="AM56" s="56">
        <f>FROND_Prod!$C$28</f>
        <v>0</v>
      </c>
      <c r="AN56" s="88">
        <f>FROND_Prod!$D$28</f>
        <v>0</v>
      </c>
      <c r="AO56" s="56">
        <f>FROND_Prod!$C$29</f>
        <v>0</v>
      </c>
      <c r="AP56" s="88">
        <f>FROND_Prod!$D$29</f>
        <v>0</v>
      </c>
      <c r="AQ56" s="56">
        <f>FROND_Prod!$C$30</f>
        <v>0</v>
      </c>
      <c r="AR56" s="88">
        <f>FROND_Prod!$D$30</f>
        <v>0</v>
      </c>
      <c r="AS56" s="56">
        <f>FROND_Prod!$C$31</f>
        <v>0</v>
      </c>
      <c r="AT56" s="88">
        <f>FROND_Prod!$D$31</f>
        <v>0</v>
      </c>
      <c r="AU56" s="56">
        <f>FROND_Prod!$C$32</f>
        <v>0</v>
      </c>
      <c r="AV56" s="88">
        <f>FROND_Prod!$D$32</f>
        <v>0</v>
      </c>
      <c r="AW56" s="56">
        <f>FROND_Prod!$C$33</f>
        <v>0</v>
      </c>
      <c r="AX56" s="88">
        <f>FROND_Prod!$D$33</f>
        <v>0</v>
      </c>
      <c r="AY56" s="56">
        <f>FROND_Prod!$C$34</f>
        <v>0</v>
      </c>
      <c r="AZ56" s="88">
        <f>FROND_Prod!$D$34</f>
        <v>0</v>
      </c>
      <c r="BA56" s="56">
        <f>FROND_Prod!$C$35</f>
        <v>0</v>
      </c>
      <c r="BB56" s="88">
        <f>FROND_Prod!$D$35</f>
        <v>0</v>
      </c>
      <c r="BC56" s="56">
        <f>FROND_Prod!$C$36</f>
        <v>0</v>
      </c>
      <c r="BD56" s="88">
        <f>FROND_Prod!$D$36</f>
        <v>0</v>
      </c>
      <c r="BE56" s="56">
        <f>FROND_Prod!$C$37</f>
        <v>0</v>
      </c>
      <c r="BF56" s="88">
        <f>FROND_Prod!$D$37</f>
        <v>0</v>
      </c>
      <c r="BG56" s="52" t="s">
        <v>69</v>
      </c>
      <c r="BH56" s="3"/>
    </row>
    <row r="57" spans="1:60">
      <c r="A57" s="20"/>
      <c r="B57" s="11" t="s">
        <v>306</v>
      </c>
      <c r="C57" s="2" t="s">
        <v>593</v>
      </c>
      <c r="D57" s="7" t="s">
        <v>12</v>
      </c>
      <c r="E57" s="9" t="s">
        <v>1</v>
      </c>
      <c r="F57" s="40" t="s">
        <v>304</v>
      </c>
      <c r="G57" s="46">
        <f>FROND_Prod!$J$9</f>
        <v>0</v>
      </c>
      <c r="H57" s="72">
        <f>FROND_Prod!$J$10</f>
        <v>1</v>
      </c>
      <c r="I57" s="56">
        <f>FROND_Prod!$I$13</f>
        <v>1</v>
      </c>
      <c r="J57" s="26">
        <f>FROND_Prod!$J$13</f>
        <v>1</v>
      </c>
      <c r="K57" s="56">
        <f>FROND_Prod!$I$14</f>
        <v>0</v>
      </c>
      <c r="L57" s="26">
        <f>FROND_Prod!$J$14</f>
        <v>0</v>
      </c>
      <c r="M57" s="56">
        <f>FROND_Prod!$I$15</f>
        <v>0</v>
      </c>
      <c r="N57" s="26">
        <f>FROND_Prod!$J$15</f>
        <v>0</v>
      </c>
      <c r="O57" s="56">
        <f>FROND_Prod!$I$16</f>
        <v>0</v>
      </c>
      <c r="P57" s="26">
        <f>FROND_Prod!$J$16</f>
        <v>0</v>
      </c>
      <c r="Q57" s="56">
        <f>FROND_Prod!$I$17</f>
        <v>0</v>
      </c>
      <c r="R57" s="26">
        <f>FROND_Prod!$J$17</f>
        <v>0</v>
      </c>
      <c r="S57" s="56">
        <f>FROND_Prod!$I$18</f>
        <v>0</v>
      </c>
      <c r="T57" s="26">
        <f>FROND_Prod!$J$18</f>
        <v>0</v>
      </c>
      <c r="U57" s="56">
        <f>FROND_Prod!$I$19</f>
        <v>0</v>
      </c>
      <c r="V57" s="26">
        <f>FROND_Prod!$J$19</f>
        <v>0</v>
      </c>
      <c r="W57" s="56">
        <f>FROND_Prod!$I$20</f>
        <v>0</v>
      </c>
      <c r="X57" s="26">
        <f>FROND_Prod!$J$20</f>
        <v>0</v>
      </c>
      <c r="Y57" s="56">
        <f>FROND_Prod!$I$21</f>
        <v>0</v>
      </c>
      <c r="Z57" s="26">
        <f>FROND_Prod!$J$21</f>
        <v>0</v>
      </c>
      <c r="AA57" s="56">
        <f>FROND_Prod!$I$22</f>
        <v>0</v>
      </c>
      <c r="AB57" s="26">
        <f>FROND_Prod!$J$22</f>
        <v>0</v>
      </c>
      <c r="AC57" s="56">
        <f>FROND_Prod!$I$23</f>
        <v>0</v>
      </c>
      <c r="AD57" s="26">
        <f>FROND_Prod!$J$23</f>
        <v>0</v>
      </c>
      <c r="AE57" s="56">
        <f>FROND_Prod!$I$24</f>
        <v>0</v>
      </c>
      <c r="AF57" s="26">
        <f>FROND_Prod!$J$24</f>
        <v>0</v>
      </c>
      <c r="AG57" s="56">
        <f>FROND_Prod!$I$25</f>
        <v>0</v>
      </c>
      <c r="AH57" s="26">
        <f>FROND_Prod!$J$25</f>
        <v>0</v>
      </c>
      <c r="AI57" s="56">
        <f>FROND_Prod!$I$26</f>
        <v>0</v>
      </c>
      <c r="AJ57" s="26">
        <f>FROND_Prod!$J$26</f>
        <v>0</v>
      </c>
      <c r="AK57" s="56">
        <f>FROND_Prod!$I$27</f>
        <v>0</v>
      </c>
      <c r="AL57" s="26">
        <f>FROND_Prod!$J$27</f>
        <v>0</v>
      </c>
      <c r="AM57" s="56">
        <f>FROND_Prod!$I$28</f>
        <v>0</v>
      </c>
      <c r="AN57" s="26">
        <f>FROND_Prod!$J$28</f>
        <v>0</v>
      </c>
      <c r="AO57" s="56">
        <f>FROND_Prod!$I$29</f>
        <v>0</v>
      </c>
      <c r="AP57" s="26">
        <f>FROND_Prod!$J$29</f>
        <v>0</v>
      </c>
      <c r="AQ57" s="56">
        <f>FROND_Prod!$I$30</f>
        <v>0</v>
      </c>
      <c r="AR57" s="26">
        <f>FROND_Prod!$J$30</f>
        <v>0</v>
      </c>
      <c r="AS57" s="56">
        <f>FROND_Prod!$I$31</f>
        <v>0</v>
      </c>
      <c r="AT57" s="26">
        <f>FROND_Prod!$J$31</f>
        <v>0</v>
      </c>
      <c r="AU57" s="56">
        <f>FROND_Prod!$I$32</f>
        <v>0</v>
      </c>
      <c r="AV57" s="26">
        <f>FROND_Prod!$J$32</f>
        <v>0</v>
      </c>
      <c r="AW57" s="56">
        <f>FROND_Prod!$I$33</f>
        <v>0</v>
      </c>
      <c r="AX57" s="26">
        <f>FROND_Prod!$J$33</f>
        <v>0</v>
      </c>
      <c r="AY57" s="56">
        <f>FROND_Prod!$I$34</f>
        <v>0</v>
      </c>
      <c r="AZ57" s="26">
        <f>FROND_Prod!$J$34</f>
        <v>0</v>
      </c>
      <c r="BA57" s="56">
        <f>FROND_Prod!$I$35</f>
        <v>0</v>
      </c>
      <c r="BB57" s="26">
        <f>FROND_Prod!$J$35</f>
        <v>0</v>
      </c>
      <c r="BC57" s="56">
        <f>FROND_Prod!$I$36</f>
        <v>0</v>
      </c>
      <c r="BD57" s="26">
        <f>FROND_Prod!$J$36</f>
        <v>0</v>
      </c>
      <c r="BE57" s="56">
        <f>FROND_Prod!$I$37</f>
        <v>0</v>
      </c>
      <c r="BF57" s="26">
        <f>FROND_Prod!$J$37</f>
        <v>0</v>
      </c>
      <c r="BG57" s="52" t="s">
        <v>69</v>
      </c>
      <c r="BH57" s="3"/>
    </row>
    <row r="58" spans="1:60">
      <c r="A58" s="20"/>
      <c r="B58" s="11" t="s">
        <v>34</v>
      </c>
      <c r="C58" s="2" t="s">
        <v>353</v>
      </c>
      <c r="D58" s="7" t="s">
        <v>12</v>
      </c>
      <c r="E58" s="9" t="s">
        <v>3</v>
      </c>
      <c r="F58" s="40" t="s">
        <v>6</v>
      </c>
      <c r="G58" s="46">
        <f>FROND_Prod!$M$9</f>
        <v>1</v>
      </c>
      <c r="H58" s="72">
        <f>FROND_Prod!$M$10</f>
        <v>4</v>
      </c>
      <c r="I58" s="56">
        <f>FROND_Prod!$L$13</f>
        <v>1</v>
      </c>
      <c r="J58" s="21">
        <f>FROND_Prod!$M$13</f>
        <v>137.58058441410265</v>
      </c>
      <c r="K58" s="56">
        <f>FROND_Prod!$L$14</f>
        <v>56</v>
      </c>
      <c r="L58" s="21">
        <f>FROND_Prod!$M$14</f>
        <v>137.68058441410264</v>
      </c>
      <c r="M58" s="56">
        <f>FROND_Prod!$L$15</f>
        <v>96</v>
      </c>
      <c r="N58" s="21">
        <f>FROND_Prod!$M$15</f>
        <v>137.78058441410263</v>
      </c>
      <c r="O58" s="56">
        <f>FROND_Prod!$L$16</f>
        <v>194</v>
      </c>
      <c r="P58" s="21">
        <f>FROND_Prod!$M$16</f>
        <v>137.78058441410263</v>
      </c>
      <c r="Q58" s="56">
        <f>FROND_Prod!$L$17</f>
        <v>0</v>
      </c>
      <c r="R58" s="21">
        <f>FROND_Prod!$M$17</f>
        <v>0</v>
      </c>
      <c r="S58" s="56">
        <f>FROND_Prod!$L$18</f>
        <v>0</v>
      </c>
      <c r="T58" s="21">
        <f>FROND_Prod!$M$18</f>
        <v>0</v>
      </c>
      <c r="U58" s="56">
        <f>FROND_Prod!$L$19</f>
        <v>0</v>
      </c>
      <c r="V58" s="21">
        <f>FROND_Prod!$M$19</f>
        <v>0</v>
      </c>
      <c r="W58" s="56">
        <f>FROND_Prod!$L$20</f>
        <v>0</v>
      </c>
      <c r="X58" s="21">
        <f>FROND_Prod!$M$20</f>
        <v>0</v>
      </c>
      <c r="Y58" s="56">
        <f>FROND_Prod!$L$21</f>
        <v>0</v>
      </c>
      <c r="Z58" s="21">
        <f>FROND_Prod!$M$21</f>
        <v>0</v>
      </c>
      <c r="AA58" s="56">
        <f>FROND_Prod!$L$22</f>
        <v>0</v>
      </c>
      <c r="AB58" s="21">
        <f>FROND_Prod!$M$22</f>
        <v>0</v>
      </c>
      <c r="AC58" s="56">
        <f>FROND_Prod!$L$23</f>
        <v>0</v>
      </c>
      <c r="AD58" s="21">
        <f>FROND_Prod!$M$23</f>
        <v>0</v>
      </c>
      <c r="AE58" s="56">
        <f>FROND_Prod!$L$24</f>
        <v>0</v>
      </c>
      <c r="AF58" s="21">
        <f>FROND_Prod!$M$24</f>
        <v>0</v>
      </c>
      <c r="AG58" s="56">
        <f>FROND_Prod!$L$25</f>
        <v>0</v>
      </c>
      <c r="AH58" s="21">
        <f>FROND_Prod!$M$25</f>
        <v>0</v>
      </c>
      <c r="AI58" s="56">
        <f>FROND_Prod!$L$26</f>
        <v>0</v>
      </c>
      <c r="AJ58" s="21">
        <f>FROND_Prod!$M$26</f>
        <v>0</v>
      </c>
      <c r="AK58" s="56">
        <f>FROND_Prod!$L$27</f>
        <v>0</v>
      </c>
      <c r="AL58" s="21">
        <f>FROND_Prod!$M$27</f>
        <v>0</v>
      </c>
      <c r="AM58" s="56">
        <f>FROND_Prod!$L$28</f>
        <v>0</v>
      </c>
      <c r="AN58" s="21">
        <f>FROND_Prod!$M$28</f>
        <v>0</v>
      </c>
      <c r="AO58" s="56">
        <f>FROND_Prod!$L$29</f>
        <v>0</v>
      </c>
      <c r="AP58" s="21">
        <f>FROND_Prod!$M$29</f>
        <v>0</v>
      </c>
      <c r="AQ58" s="56">
        <f>FROND_Prod!$L$30</f>
        <v>0</v>
      </c>
      <c r="AR58" s="21">
        <f>FROND_Prod!$M$30</f>
        <v>0</v>
      </c>
      <c r="AS58" s="56">
        <f>FROND_Prod!$L$31</f>
        <v>0</v>
      </c>
      <c r="AT58" s="21">
        <f>FROND_Prod!$M$31</f>
        <v>0</v>
      </c>
      <c r="AU58" s="56">
        <f>FROND_Prod!$L$32</f>
        <v>0</v>
      </c>
      <c r="AV58" s="21">
        <f>FROND_Prod!$M$32</f>
        <v>0</v>
      </c>
      <c r="AW58" s="56">
        <f>FROND_Prod!$L$33</f>
        <v>0</v>
      </c>
      <c r="AX58" s="21">
        <f>FROND_Prod!$M$33</f>
        <v>0</v>
      </c>
      <c r="AY58" s="56">
        <f>FROND_Prod!$L$34</f>
        <v>0</v>
      </c>
      <c r="AZ58" s="21">
        <f>FROND_Prod!$M$34</f>
        <v>0</v>
      </c>
      <c r="BA58" s="56">
        <f>FROND_Prod!$L$35</f>
        <v>0</v>
      </c>
      <c r="BB58" s="21">
        <f>FROND_Prod!$M$35</f>
        <v>0</v>
      </c>
      <c r="BC58" s="56">
        <f>FROND_Prod!$L$36</f>
        <v>0</v>
      </c>
      <c r="BD58" s="21">
        <f>FROND_Prod!$M$36</f>
        <v>0</v>
      </c>
      <c r="BE58" s="56">
        <f>FROND_Prod!$L$37</f>
        <v>0</v>
      </c>
      <c r="BF58" s="21">
        <f>FROND_Prod!$M$37</f>
        <v>0</v>
      </c>
      <c r="BG58" s="52" t="s">
        <v>69</v>
      </c>
      <c r="BH58" s="3"/>
    </row>
    <row r="59" spans="1:60">
      <c r="A59" s="20"/>
      <c r="B59" s="11" t="s">
        <v>35</v>
      </c>
      <c r="C59" s="2" t="s">
        <v>352</v>
      </c>
      <c r="D59" s="7" t="s">
        <v>12</v>
      </c>
      <c r="E59" s="9" t="s">
        <v>3</v>
      </c>
      <c r="F59" s="40" t="s">
        <v>6</v>
      </c>
      <c r="G59" s="46">
        <f>FROND_Prod!$N$9</f>
        <v>1</v>
      </c>
      <c r="H59" s="72">
        <f>FROND_Prod!$N$10</f>
        <v>4</v>
      </c>
      <c r="I59" s="56">
        <f>FROND_Prod!$L$13</f>
        <v>1</v>
      </c>
      <c r="J59" s="21">
        <f>FROND_Prod!$N$13</f>
        <v>0.13778058441410262</v>
      </c>
      <c r="K59" s="56">
        <f>FROND_Prod!$L$14</f>
        <v>56</v>
      </c>
      <c r="L59" s="21">
        <f>FROND_Prod!$N$14</f>
        <v>0.11022446753128211</v>
      </c>
      <c r="M59" s="56">
        <f>FROND_Prod!$L$15</f>
        <v>96</v>
      </c>
      <c r="N59" s="21">
        <f>FROND_Prod!$N$15</f>
        <v>6.8890292207051312E-2</v>
      </c>
      <c r="O59" s="56">
        <f>FROND_Prod!$L$16</f>
        <v>194</v>
      </c>
      <c r="P59" s="21">
        <f>FROND_Prod!$N$16</f>
        <v>5.5112233765641054E-2</v>
      </c>
      <c r="Q59" s="56">
        <f>FROND_Prod!$L$17</f>
        <v>0</v>
      </c>
      <c r="R59" s="21">
        <f>FROND_Prod!$N$17</f>
        <v>0</v>
      </c>
      <c r="S59" s="56">
        <f>FROND_Prod!$L$18</f>
        <v>0</v>
      </c>
      <c r="T59" s="21">
        <f>FROND_Prod!$N$18</f>
        <v>0</v>
      </c>
      <c r="U59" s="56">
        <f>FROND_Prod!$L$19</f>
        <v>0</v>
      </c>
      <c r="V59" s="21">
        <f>FROND_Prod!$N$19</f>
        <v>0</v>
      </c>
      <c r="W59" s="56">
        <f>FROND_Prod!$L$20</f>
        <v>0</v>
      </c>
      <c r="X59" s="21">
        <f>FROND_Prod!$N$20</f>
        <v>0</v>
      </c>
      <c r="Y59" s="56">
        <f>FROND_Prod!$L$21</f>
        <v>0</v>
      </c>
      <c r="Z59" s="21">
        <f>FROND_Prod!$N$21</f>
        <v>0</v>
      </c>
      <c r="AA59" s="56">
        <f>FROND_Prod!$L$22</f>
        <v>0</v>
      </c>
      <c r="AB59" s="21">
        <f>FROND_Prod!$N$22</f>
        <v>0</v>
      </c>
      <c r="AC59" s="56">
        <f>FROND_Prod!$L$23</f>
        <v>0</v>
      </c>
      <c r="AD59" s="21">
        <f>FROND_Prod!$N$23</f>
        <v>0</v>
      </c>
      <c r="AE59" s="56">
        <f>FROND_Prod!$L$24</f>
        <v>0</v>
      </c>
      <c r="AF59" s="21">
        <f>FROND_Prod!$N$24</f>
        <v>0</v>
      </c>
      <c r="AG59" s="56">
        <f>FROND_Prod!$L$25</f>
        <v>0</v>
      </c>
      <c r="AH59" s="21">
        <f>FROND_Prod!$N$25</f>
        <v>0</v>
      </c>
      <c r="AI59" s="56">
        <f>FROND_Prod!$L$26</f>
        <v>0</v>
      </c>
      <c r="AJ59" s="21">
        <f>FROND_Prod!$N$26</f>
        <v>0</v>
      </c>
      <c r="AK59" s="56">
        <f>FROND_Prod!$L$27</f>
        <v>0</v>
      </c>
      <c r="AL59" s="21">
        <f>FROND_Prod!$N$27</f>
        <v>0</v>
      </c>
      <c r="AM59" s="56">
        <f>FROND_Prod!$L$28</f>
        <v>0</v>
      </c>
      <c r="AN59" s="21">
        <f>FROND_Prod!$N$28</f>
        <v>0</v>
      </c>
      <c r="AO59" s="56">
        <f>FROND_Prod!$L$29</f>
        <v>0</v>
      </c>
      <c r="AP59" s="21">
        <f>FROND_Prod!$N$29</f>
        <v>0</v>
      </c>
      <c r="AQ59" s="56">
        <f>FROND_Prod!$L$30</f>
        <v>0</v>
      </c>
      <c r="AR59" s="21">
        <f>FROND_Prod!$N$30</f>
        <v>0</v>
      </c>
      <c r="AS59" s="56">
        <f>FROND_Prod!$L$31</f>
        <v>0</v>
      </c>
      <c r="AT59" s="21">
        <f>FROND_Prod!$N$31</f>
        <v>0</v>
      </c>
      <c r="AU59" s="56">
        <f>FROND_Prod!$L$32</f>
        <v>0</v>
      </c>
      <c r="AV59" s="21">
        <f>FROND_Prod!$N$32</f>
        <v>0</v>
      </c>
      <c r="AW59" s="56">
        <f>FROND_Prod!$L$33</f>
        <v>0</v>
      </c>
      <c r="AX59" s="21">
        <f>FROND_Prod!$N$33</f>
        <v>0</v>
      </c>
      <c r="AY59" s="56">
        <f>FROND_Prod!$L$34</f>
        <v>0</v>
      </c>
      <c r="AZ59" s="21">
        <f>FROND_Prod!$N$34</f>
        <v>0</v>
      </c>
      <c r="BA59" s="56">
        <f>FROND_Prod!$L$35</f>
        <v>0</v>
      </c>
      <c r="BB59" s="21">
        <f>FROND_Prod!$N$35</f>
        <v>0</v>
      </c>
      <c r="BC59" s="56">
        <f>FROND_Prod!$L$36</f>
        <v>0</v>
      </c>
      <c r="BD59" s="21">
        <f>FROND_Prod!$N$36</f>
        <v>0</v>
      </c>
      <c r="BE59" s="56">
        <f>FROND_Prod!$L$37</f>
        <v>0</v>
      </c>
      <c r="BF59" s="21">
        <f>FROND_Prod!$N$37</f>
        <v>0</v>
      </c>
      <c r="BG59" s="52" t="s">
        <v>69</v>
      </c>
      <c r="BH59" s="3"/>
    </row>
    <row r="60" spans="1:60">
      <c r="A60" s="20"/>
      <c r="B60" s="10" t="s">
        <v>24</v>
      </c>
      <c r="C60" s="213" t="s">
        <v>720</v>
      </c>
      <c r="D60" s="7" t="s">
        <v>12</v>
      </c>
      <c r="E60" s="80" t="s">
        <v>3</v>
      </c>
      <c r="F60" s="79" t="s">
        <v>6</v>
      </c>
      <c r="G60" s="46">
        <f>FROND_Prod!$Q$9</f>
        <v>1</v>
      </c>
      <c r="H60" s="72">
        <f>FROND_Prod!$Q$10</f>
        <v>4</v>
      </c>
      <c r="I60" s="56">
        <f>FROND_Prod!$P$13</f>
        <v>1</v>
      </c>
      <c r="J60" s="21">
        <f>FROND_Prod!$Q$13</f>
        <v>100</v>
      </c>
      <c r="K60" s="56">
        <f>FROND_Prod!$P$14</f>
        <v>28</v>
      </c>
      <c r="L60" s="21">
        <f>FROND_Prod!$Q$14</f>
        <v>16.412886259040103</v>
      </c>
      <c r="M60" s="56">
        <f>FROND_Prod!$P$15</f>
        <v>32</v>
      </c>
      <c r="N60" s="21">
        <f>FROND_Prod!$Q$15</f>
        <v>13.428725121032812</v>
      </c>
      <c r="O60" s="56">
        <f>FROND_Prod!$P$16</f>
        <v>124</v>
      </c>
      <c r="P60" s="21">
        <f>FROND_Prod!$Q$16</f>
        <v>12.153846153846153</v>
      </c>
      <c r="Q60" s="56">
        <f>FROND_Prod!$P$17</f>
        <v>0</v>
      </c>
      <c r="R60" s="21">
        <f>FROND_Prod!$Q$17</f>
        <v>0</v>
      </c>
      <c r="S60" s="56">
        <f>FROND_Prod!$P$18</f>
        <v>0</v>
      </c>
      <c r="T60" s="21">
        <f>FROND_Prod!$Q$18</f>
        <v>0</v>
      </c>
      <c r="U60" s="56">
        <f>FROND_Prod!$P$19</f>
        <v>0</v>
      </c>
      <c r="V60" s="21">
        <f>FROND_Prod!$Q$19</f>
        <v>0</v>
      </c>
      <c r="W60" s="56">
        <f>FROND_Prod!$P$20</f>
        <v>0</v>
      </c>
      <c r="X60" s="21">
        <f>FROND_Prod!$Q$20</f>
        <v>0</v>
      </c>
      <c r="Y60" s="56">
        <f>FROND_Prod!$P$21</f>
        <v>0</v>
      </c>
      <c r="Z60" s="21">
        <f>FROND_Prod!$Q$21</f>
        <v>0</v>
      </c>
      <c r="AA60" s="56">
        <f>FROND_Prod!$P$22</f>
        <v>0</v>
      </c>
      <c r="AB60" s="21">
        <f>FROND_Prod!$Q$22</f>
        <v>0</v>
      </c>
      <c r="AC60" s="56">
        <f>FROND_Prod!$P$23</f>
        <v>0</v>
      </c>
      <c r="AD60" s="21">
        <f>FROND_Prod!$Q$23</f>
        <v>0</v>
      </c>
      <c r="AE60" s="56">
        <f>FROND_Prod!$P$24</f>
        <v>0</v>
      </c>
      <c r="AF60" s="21">
        <f>FROND_Prod!$Q$24</f>
        <v>0</v>
      </c>
      <c r="AG60" s="56">
        <f>FROND_Prod!$P$25</f>
        <v>0</v>
      </c>
      <c r="AH60" s="21">
        <f>FROND_Prod!$Q$25</f>
        <v>0</v>
      </c>
      <c r="AI60" s="56">
        <f>FROND_Prod!$P$26</f>
        <v>0</v>
      </c>
      <c r="AJ60" s="21">
        <f>FROND_Prod!$Q$26</f>
        <v>0</v>
      </c>
      <c r="AK60" s="56">
        <f>FROND_Prod!$P$27</f>
        <v>0</v>
      </c>
      <c r="AL60" s="21">
        <f>FROND_Prod!$Q$27</f>
        <v>0</v>
      </c>
      <c r="AM60" s="56">
        <f>FROND_Prod!$P$28</f>
        <v>0</v>
      </c>
      <c r="AN60" s="21">
        <f>FROND_Prod!$Q$28</f>
        <v>0</v>
      </c>
      <c r="AO60" s="56">
        <f>FROND_Prod!$P$29</f>
        <v>0</v>
      </c>
      <c r="AP60" s="21">
        <f>FROND_Prod!$Q$29</f>
        <v>0</v>
      </c>
      <c r="AQ60" s="56">
        <f>FROND_Prod!$P$30</f>
        <v>0</v>
      </c>
      <c r="AR60" s="21">
        <f>FROND_Prod!$Q$30</f>
        <v>0</v>
      </c>
      <c r="AS60" s="56">
        <f>FROND_Prod!$P$31</f>
        <v>0</v>
      </c>
      <c r="AT60" s="21">
        <f>FROND_Prod!$Q$31</f>
        <v>0</v>
      </c>
      <c r="AU60" s="56">
        <f>FROND_Prod!$P$32</f>
        <v>0</v>
      </c>
      <c r="AV60" s="21">
        <f>FROND_Prod!$Q$32</f>
        <v>0</v>
      </c>
      <c r="AW60" s="56">
        <f>FROND_Prod!$P$33</f>
        <v>0</v>
      </c>
      <c r="AX60" s="21">
        <f>FROND_Prod!$Q$33</f>
        <v>0</v>
      </c>
      <c r="AY60" s="56">
        <f>FROND_Prod!$P$34</f>
        <v>0</v>
      </c>
      <c r="AZ60" s="21">
        <f>FROND_Prod!$Q$34</f>
        <v>0</v>
      </c>
      <c r="BA60" s="56">
        <f>FROND_Prod!$P$35</f>
        <v>0</v>
      </c>
      <c r="BB60" s="21">
        <f>FROND_Prod!$Q$35</f>
        <v>0</v>
      </c>
      <c r="BC60" s="56">
        <f>FROND_Prod!$P$36</f>
        <v>0</v>
      </c>
      <c r="BD60" s="21">
        <f>FROND_Prod!$Q$36</f>
        <v>0</v>
      </c>
      <c r="BE60" s="56">
        <f>FROND_Prod!$P$37</f>
        <v>0</v>
      </c>
      <c r="BF60" s="21">
        <f>FROND_Prod!$Q$37</f>
        <v>0</v>
      </c>
      <c r="BG60" s="52" t="s">
        <v>69</v>
      </c>
      <c r="BH60" s="3"/>
    </row>
    <row r="61" spans="1:60">
      <c r="A61" s="20"/>
      <c r="B61" s="11" t="s">
        <v>25</v>
      </c>
      <c r="C61" s="213" t="s">
        <v>721</v>
      </c>
      <c r="D61" s="7" t="s">
        <v>12</v>
      </c>
      <c r="E61" s="80" t="s">
        <v>3</v>
      </c>
      <c r="F61" s="79" t="s">
        <v>6</v>
      </c>
      <c r="G61" s="46">
        <f>FROND_Prod!$R$9</f>
        <v>1</v>
      </c>
      <c r="H61" s="72">
        <f>FROND_Prod!$R$10</f>
        <v>4</v>
      </c>
      <c r="I61" s="56">
        <f>FROND_Prod!$P$13</f>
        <v>1</v>
      </c>
      <c r="J61" s="21">
        <f>FROND_Prod!$R$13</f>
        <v>0.5</v>
      </c>
      <c r="K61" s="56">
        <f>FROND_Prod!$P$14</f>
        <v>28</v>
      </c>
      <c r="L61" s="21">
        <f>FROND_Prod!$R$14</f>
        <v>0.10941924172693403</v>
      </c>
      <c r="M61" s="56">
        <f>FROND_Prod!$P$15</f>
        <v>32</v>
      </c>
      <c r="N61" s="21">
        <f>FROND_Prod!$R$15</f>
        <v>0.11190604267527343</v>
      </c>
      <c r="O61" s="56">
        <f>FROND_Prod!$P$16</f>
        <v>124</v>
      </c>
      <c r="P61" s="21">
        <f>FROND_Prod!$R$16</f>
        <v>0.12153846153846154</v>
      </c>
      <c r="Q61" s="56">
        <f>FROND_Prod!$P$17</f>
        <v>0</v>
      </c>
      <c r="R61" s="21">
        <f>FROND_Prod!$R$17</f>
        <v>0</v>
      </c>
      <c r="S61" s="56">
        <f>FROND_Prod!$P$18</f>
        <v>0</v>
      </c>
      <c r="T61" s="21">
        <f>FROND_Prod!$R$18</f>
        <v>0</v>
      </c>
      <c r="U61" s="56">
        <f>FROND_Prod!$P$19</f>
        <v>0</v>
      </c>
      <c r="V61" s="21">
        <f>FROND_Prod!$R$19</f>
        <v>0</v>
      </c>
      <c r="W61" s="56">
        <f>FROND_Prod!$P$20</f>
        <v>0</v>
      </c>
      <c r="X61" s="21">
        <f>FROND_Prod!$R$20</f>
        <v>0</v>
      </c>
      <c r="Y61" s="56">
        <f>FROND_Prod!$P$21</f>
        <v>0</v>
      </c>
      <c r="Z61" s="21">
        <f>FROND_Prod!$R$21</f>
        <v>0</v>
      </c>
      <c r="AA61" s="56">
        <f>FROND_Prod!$P$22</f>
        <v>0</v>
      </c>
      <c r="AB61" s="21">
        <f>FROND_Prod!$R$22</f>
        <v>0</v>
      </c>
      <c r="AC61" s="56">
        <f>FROND_Prod!$P$23</f>
        <v>0</v>
      </c>
      <c r="AD61" s="21">
        <f>FROND_Prod!$R$23</f>
        <v>0</v>
      </c>
      <c r="AE61" s="56">
        <f>FROND_Prod!$P$24</f>
        <v>0</v>
      </c>
      <c r="AF61" s="21">
        <f>FROND_Prod!$R$24</f>
        <v>0</v>
      </c>
      <c r="AG61" s="56">
        <f>FROND_Prod!$P$25</f>
        <v>0</v>
      </c>
      <c r="AH61" s="21">
        <f>FROND_Prod!$R$25</f>
        <v>0</v>
      </c>
      <c r="AI61" s="56">
        <f>FROND_Prod!$P$26</f>
        <v>0</v>
      </c>
      <c r="AJ61" s="21">
        <f>FROND_Prod!$R$26</f>
        <v>0</v>
      </c>
      <c r="AK61" s="56">
        <f>FROND_Prod!$P$27</f>
        <v>0</v>
      </c>
      <c r="AL61" s="21">
        <f>FROND_Prod!$R$27</f>
        <v>0</v>
      </c>
      <c r="AM61" s="56">
        <f>FROND_Prod!$P$28</f>
        <v>0</v>
      </c>
      <c r="AN61" s="21">
        <f>FROND_Prod!$R$28</f>
        <v>0</v>
      </c>
      <c r="AO61" s="56">
        <f>FROND_Prod!$P$29</f>
        <v>0</v>
      </c>
      <c r="AP61" s="21">
        <f>FROND_Prod!$R$29</f>
        <v>0</v>
      </c>
      <c r="AQ61" s="56">
        <f>FROND_Prod!$P$30</f>
        <v>0</v>
      </c>
      <c r="AR61" s="21">
        <f>FROND_Prod!$R$30</f>
        <v>0</v>
      </c>
      <c r="AS61" s="56">
        <f>FROND_Prod!$P$31</f>
        <v>0</v>
      </c>
      <c r="AT61" s="21">
        <f>FROND_Prod!$R$31</f>
        <v>0</v>
      </c>
      <c r="AU61" s="56">
        <f>FROND_Prod!$P$32</f>
        <v>0</v>
      </c>
      <c r="AV61" s="21">
        <f>FROND_Prod!$R$32</f>
        <v>0</v>
      </c>
      <c r="AW61" s="56">
        <f>FROND_Prod!$P$33</f>
        <v>0</v>
      </c>
      <c r="AX61" s="21">
        <f>FROND_Prod!$R$33</f>
        <v>0</v>
      </c>
      <c r="AY61" s="56">
        <f>FROND_Prod!$P$34</f>
        <v>0</v>
      </c>
      <c r="AZ61" s="21">
        <f>FROND_Prod!$R$34</f>
        <v>0</v>
      </c>
      <c r="BA61" s="56">
        <f>FROND_Prod!$P$35</f>
        <v>0</v>
      </c>
      <c r="BB61" s="21">
        <f>FROND_Prod!$R$35</f>
        <v>0</v>
      </c>
      <c r="BC61" s="56">
        <f>FROND_Prod!$P$36</f>
        <v>0</v>
      </c>
      <c r="BD61" s="21">
        <f>FROND_Prod!$R$36</f>
        <v>0</v>
      </c>
      <c r="BE61" s="56">
        <f>FROND_Prod!$P$37</f>
        <v>0</v>
      </c>
      <c r="BF61" s="21">
        <f>FROND_Prod!$R$37</f>
        <v>0</v>
      </c>
      <c r="BG61" s="52" t="s">
        <v>69</v>
      </c>
      <c r="BH61" s="3"/>
    </row>
    <row r="62" spans="1:60">
      <c r="A62" s="20"/>
      <c r="B62" s="11" t="s">
        <v>656</v>
      </c>
      <c r="C62" s="213" t="s">
        <v>1008</v>
      </c>
      <c r="D62" s="69" t="s">
        <v>12</v>
      </c>
      <c r="E62" s="2" t="s">
        <v>9</v>
      </c>
      <c r="F62" s="40" t="s">
        <v>304</v>
      </c>
      <c r="G62" s="46">
        <f>FROND_Prod!$T$9</f>
        <v>1</v>
      </c>
      <c r="H62" s="72">
        <f>FROND_Prod!$T$10</f>
        <v>4</v>
      </c>
      <c r="I62" s="76">
        <f>FROND_Prod!$S$13</f>
        <v>1</v>
      </c>
      <c r="J62" s="264">
        <f>FROND_Prod!$T$13</f>
        <v>8.2278481012658236E-2</v>
      </c>
      <c r="K62" s="76">
        <f>FROND_Prod!$S$14</f>
        <v>57</v>
      </c>
      <c r="L62" s="264">
        <f>FROND_Prod!$T$14</f>
        <v>0.74050632911392411</v>
      </c>
      <c r="M62" s="76">
        <f>FROND_Prod!$S$15</f>
        <v>83</v>
      </c>
      <c r="N62" s="264">
        <f>FROND_Prod!$T$15</f>
        <v>0.90506329113924056</v>
      </c>
      <c r="O62" s="76">
        <f>FROND_Prod!$S$16</f>
        <v>98</v>
      </c>
      <c r="P62" s="264">
        <f>FROND_Prod!$T$16</f>
        <v>1</v>
      </c>
      <c r="Q62" s="76">
        <f>FROND_Prod!$S$17</f>
        <v>0</v>
      </c>
      <c r="R62" s="264">
        <f>FROND_Prod!$T$17</f>
        <v>0</v>
      </c>
      <c r="S62" s="76">
        <f>FROND_Prod!$S$18</f>
        <v>0</v>
      </c>
      <c r="T62" s="264">
        <f>FROND_Prod!$T$18</f>
        <v>0</v>
      </c>
      <c r="U62" s="76">
        <f>FROND_Prod!$S$19</f>
        <v>0</v>
      </c>
      <c r="V62" s="264">
        <f>FROND_Prod!$T$19</f>
        <v>0</v>
      </c>
      <c r="W62" s="76">
        <f>FROND_Prod!$S$20</f>
        <v>0</v>
      </c>
      <c r="X62" s="264">
        <f>FROND_Prod!$T$20</f>
        <v>0</v>
      </c>
      <c r="Y62" s="76">
        <f>FROND_Prod!$S$21</f>
        <v>0</v>
      </c>
      <c r="Z62" s="264">
        <f>FROND_Prod!$T$21</f>
        <v>0</v>
      </c>
      <c r="AA62" s="76">
        <f>FROND_Prod!$S$22</f>
        <v>0</v>
      </c>
      <c r="AB62" s="264">
        <f>FROND_Prod!$T$22</f>
        <v>0</v>
      </c>
      <c r="AC62" s="76">
        <f>FROND_Prod!$S$23</f>
        <v>0</v>
      </c>
      <c r="AD62" s="264">
        <f>FROND_Prod!$T$23</f>
        <v>0</v>
      </c>
      <c r="AE62" s="76">
        <f>FROND_Prod!$S$24</f>
        <v>0</v>
      </c>
      <c r="AF62" s="264">
        <f>FROND_Prod!$T$24</f>
        <v>0</v>
      </c>
      <c r="AG62" s="76">
        <f>FROND_Prod!$S$25</f>
        <v>0</v>
      </c>
      <c r="AH62" s="264">
        <f>FROND_Prod!$T$25</f>
        <v>0</v>
      </c>
      <c r="AI62" s="76">
        <f>FROND_Prod!$S$26</f>
        <v>0</v>
      </c>
      <c r="AJ62" s="264">
        <f>FROND_Prod!$T$26</f>
        <v>0</v>
      </c>
      <c r="AK62" s="76">
        <f>FROND_Prod!$S$27</f>
        <v>0</v>
      </c>
      <c r="AL62" s="264">
        <f>FROND_Prod!$T$27</f>
        <v>0</v>
      </c>
      <c r="AM62" s="76">
        <f>FROND_Prod!$S$28</f>
        <v>0</v>
      </c>
      <c r="AN62" s="264">
        <f>FROND_Prod!$T$28</f>
        <v>0</v>
      </c>
      <c r="AO62" s="76">
        <f>FROND_Prod!$S$29</f>
        <v>0</v>
      </c>
      <c r="AP62" s="264">
        <f>FROND_Prod!$T$29</f>
        <v>0</v>
      </c>
      <c r="AQ62" s="76">
        <f>FROND_Prod!$S$30</f>
        <v>0</v>
      </c>
      <c r="AR62" s="264">
        <f>FROND_Prod!$T$30</f>
        <v>0</v>
      </c>
      <c r="AS62" s="76">
        <f>FROND_Prod!$S$31</f>
        <v>0</v>
      </c>
      <c r="AT62" s="264">
        <f>FROND_Prod!$T$31</f>
        <v>0</v>
      </c>
      <c r="AU62" s="76">
        <f>FROND_Prod!$S$32</f>
        <v>0</v>
      </c>
      <c r="AV62" s="264">
        <f>FROND_Prod!$T$32</f>
        <v>0</v>
      </c>
      <c r="AW62" s="76">
        <f>FROND_Prod!$S$33</f>
        <v>0</v>
      </c>
      <c r="AX62" s="264">
        <f>FROND_Prod!$T$33</f>
        <v>0</v>
      </c>
      <c r="AY62" s="76">
        <f>FROND_Prod!$S$34</f>
        <v>0</v>
      </c>
      <c r="AZ62" s="264">
        <f>FROND_Prod!$T$34</f>
        <v>0</v>
      </c>
      <c r="BA62" s="76">
        <f>FROND_Prod!$S$35</f>
        <v>0</v>
      </c>
      <c r="BB62" s="264">
        <f>FROND_Prod!$T$35</f>
        <v>0</v>
      </c>
      <c r="BC62" s="76">
        <f>FROND_Prod!$S$36</f>
        <v>0</v>
      </c>
      <c r="BD62" s="264">
        <f>FROND_Prod!$T$36</f>
        <v>0</v>
      </c>
      <c r="BE62" s="76">
        <f>FROND_Prod!$S$37</f>
        <v>0</v>
      </c>
      <c r="BF62" s="264">
        <f>FROND_Prod!$T$37</f>
        <v>0</v>
      </c>
      <c r="BG62" s="52" t="s">
        <v>69</v>
      </c>
      <c r="BH62" s="3"/>
    </row>
    <row r="63" spans="1:60" s="65" customFormat="1" ht="18.75">
      <c r="A63" s="21" t="s">
        <v>69</v>
      </c>
      <c r="B63" s="61"/>
      <c r="C63" s="62" t="s">
        <v>573</v>
      </c>
      <c r="D63" s="62"/>
      <c r="E63" s="62"/>
      <c r="F63" s="62"/>
      <c r="G63" s="62"/>
      <c r="H63" s="67"/>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52" t="s">
        <v>69</v>
      </c>
      <c r="BH63" s="64"/>
    </row>
    <row r="64" spans="1:60">
      <c r="A64" s="20"/>
      <c r="B64" s="11" t="s">
        <v>27</v>
      </c>
      <c r="C64" s="2" t="s">
        <v>722</v>
      </c>
      <c r="D64" s="13" t="s">
        <v>12</v>
      </c>
      <c r="E64" s="9" t="s">
        <v>0</v>
      </c>
      <c r="F64" s="40" t="s">
        <v>7</v>
      </c>
      <c r="G64" s="46">
        <f>FROND_NERVURE_Geom!$D$9</f>
        <v>1</v>
      </c>
      <c r="H64" s="72">
        <f>FROND_NERVURE_Geom!$D$10</f>
        <v>5</v>
      </c>
      <c r="I64" s="56">
        <f>FROND_NERVURE_Geom!$C$13</f>
        <v>1</v>
      </c>
      <c r="J64" s="21">
        <f>FROND_NERVURE_Geom!$D$13</f>
        <v>45.333333333333336</v>
      </c>
      <c r="K64" s="56">
        <f>FROND_NERVURE_Geom!$C$14</f>
        <v>28</v>
      </c>
      <c r="L64" s="21">
        <f>FROND_NERVURE_Geom!$D$14</f>
        <v>136</v>
      </c>
      <c r="M64" s="56">
        <f>FROND_NERVURE_Geom!$C$15</f>
        <v>114</v>
      </c>
      <c r="N64" s="21">
        <f>FROND_NERVURE_Geom!$D$15</f>
        <v>356.61750000000001</v>
      </c>
      <c r="O64" s="56">
        <f>FROND_NERVURE_Geom!$C$16</f>
        <v>124</v>
      </c>
      <c r="P64" s="21">
        <f>FROND_NERVURE_Geom!$D$16</f>
        <v>419.55</v>
      </c>
      <c r="Q64" s="56">
        <f>FROND_NERVURE_Geom!$C$17</f>
        <v>295</v>
      </c>
      <c r="R64" s="21">
        <f>FROND_NERVURE_Geom!$D$17</f>
        <v>402.76800000000003</v>
      </c>
      <c r="S64" s="56">
        <f>FROND_NERVURE_Geom!$C$18</f>
        <v>0</v>
      </c>
      <c r="T64" s="21">
        <f>FROND_NERVURE_Geom!$D$18</f>
        <v>0</v>
      </c>
      <c r="U64" s="56">
        <f>FROND_NERVURE_Geom!$C$19</f>
        <v>0</v>
      </c>
      <c r="V64" s="21">
        <f>FROND_NERVURE_Geom!$D$19</f>
        <v>0</v>
      </c>
      <c r="W64" s="56">
        <f>FROND_NERVURE_Geom!$C$20</f>
        <v>0</v>
      </c>
      <c r="X64" s="21">
        <f>FROND_NERVURE_Geom!$D$20</f>
        <v>0</v>
      </c>
      <c r="Y64" s="56">
        <f>FROND_NERVURE_Geom!$C$21</f>
        <v>0</v>
      </c>
      <c r="Z64" s="21">
        <f>FROND_NERVURE_Geom!$D$21</f>
        <v>0</v>
      </c>
      <c r="AA64" s="56">
        <f>FROND_NERVURE_Geom!$C$22</f>
        <v>0</v>
      </c>
      <c r="AB64" s="21">
        <f>FROND_NERVURE_Geom!$D$22</f>
        <v>0</v>
      </c>
      <c r="AC64" s="56">
        <f>FROND_NERVURE_Geom!$C$23</f>
        <v>0</v>
      </c>
      <c r="AD64" s="21">
        <f>FROND_NERVURE_Geom!$D$23</f>
        <v>0</v>
      </c>
      <c r="AE64" s="56">
        <f>FROND_NERVURE_Geom!$C$24</f>
        <v>0</v>
      </c>
      <c r="AF64" s="21">
        <f>FROND_NERVURE_Geom!$D$24</f>
        <v>0</v>
      </c>
      <c r="AG64" s="56">
        <f>FROND_NERVURE_Geom!$C$25</f>
        <v>0</v>
      </c>
      <c r="AH64" s="21">
        <f>FROND_NERVURE_Geom!$D$25</f>
        <v>0</v>
      </c>
      <c r="AI64" s="56">
        <f>FROND_NERVURE_Geom!$C$26</f>
        <v>0</v>
      </c>
      <c r="AJ64" s="21">
        <f>FROND_NERVURE_Geom!$D$26</f>
        <v>0</v>
      </c>
      <c r="AK64" s="56">
        <f>FROND_NERVURE_Geom!$C$27</f>
        <v>0</v>
      </c>
      <c r="AL64" s="21">
        <f>FROND_NERVURE_Geom!$D$27</f>
        <v>0</v>
      </c>
      <c r="AM64" s="56">
        <f>FROND_NERVURE_Geom!$C$28</f>
        <v>0</v>
      </c>
      <c r="AN64" s="21">
        <f>FROND_NERVURE_Geom!$D$28</f>
        <v>0</v>
      </c>
      <c r="AO64" s="56">
        <f>FROND_NERVURE_Geom!$C$29</f>
        <v>0</v>
      </c>
      <c r="AP64" s="21">
        <f>FROND_NERVURE_Geom!$D$29</f>
        <v>0</v>
      </c>
      <c r="AQ64" s="56">
        <f>FROND_NERVURE_Geom!$C$30</f>
        <v>0</v>
      </c>
      <c r="AR64" s="21">
        <f>FROND_NERVURE_Geom!$D$30</f>
        <v>0</v>
      </c>
      <c r="AS64" s="56">
        <f>FROND_NERVURE_Geom!$C$31</f>
        <v>0</v>
      </c>
      <c r="AT64" s="21">
        <f>FROND_NERVURE_Geom!$D$31</f>
        <v>0</v>
      </c>
      <c r="AU64" s="56">
        <f>FROND_NERVURE_Geom!$C$32</f>
        <v>0</v>
      </c>
      <c r="AV64" s="21">
        <f>FROND_NERVURE_Geom!$D$32</f>
        <v>0</v>
      </c>
      <c r="AW64" s="56">
        <f>FROND_NERVURE_Geom!$C$33</f>
        <v>0</v>
      </c>
      <c r="AX64" s="21">
        <f>FROND_NERVURE_Geom!$D$33</f>
        <v>0</v>
      </c>
      <c r="AY64" s="56">
        <f>FROND_NERVURE_Geom!$C$34</f>
        <v>0</v>
      </c>
      <c r="AZ64" s="21">
        <f>FROND_NERVURE_Geom!$D$34</f>
        <v>0</v>
      </c>
      <c r="BA64" s="56">
        <f>FROND_NERVURE_Geom!$C$35</f>
        <v>0</v>
      </c>
      <c r="BB64" s="21">
        <f>FROND_NERVURE_Geom!$D$35</f>
        <v>0</v>
      </c>
      <c r="BC64" s="56">
        <f>FROND_NERVURE_Geom!$C$36</f>
        <v>0</v>
      </c>
      <c r="BD64" s="21">
        <f>FROND_NERVURE_Geom!$D$36</f>
        <v>0</v>
      </c>
      <c r="BE64" s="56">
        <f>FROND_NERVURE_Geom!$C$37</f>
        <v>0</v>
      </c>
      <c r="BF64" s="21">
        <f>FROND_NERVURE_Geom!$D$37</f>
        <v>0</v>
      </c>
      <c r="BG64" s="52" t="s">
        <v>69</v>
      </c>
      <c r="BH64" s="17"/>
    </row>
    <row r="65" spans="1:60">
      <c r="A65" s="20"/>
      <c r="B65" s="11" t="s">
        <v>28</v>
      </c>
      <c r="C65" s="2" t="s">
        <v>723</v>
      </c>
      <c r="D65" s="13" t="s">
        <v>12</v>
      </c>
      <c r="E65" s="9" t="s">
        <v>0</v>
      </c>
      <c r="F65" s="40" t="s">
        <v>7</v>
      </c>
      <c r="G65" s="46">
        <f>FROND_NERVURE_Geom!$E$9</f>
        <v>1</v>
      </c>
      <c r="H65" s="72">
        <f>FROND_NERVURE_Geom!$E$10</f>
        <v>5</v>
      </c>
      <c r="I65" s="56">
        <f>FROND_NERVURE_Geom!$C$13</f>
        <v>1</v>
      </c>
      <c r="J65" s="21">
        <f>FROND_NERVURE_Geom!$E$13</f>
        <v>1.9177529164250593</v>
      </c>
      <c r="K65" s="56">
        <f>FROND_NERVURE_Geom!$C$14</f>
        <v>28</v>
      </c>
      <c r="L65" s="21">
        <f>FROND_NERVURE_Geom!$E$14</f>
        <v>5.7532587492751768</v>
      </c>
      <c r="M65" s="56">
        <f>FROND_NERVURE_Geom!$C$15</f>
        <v>114</v>
      </c>
      <c r="N65" s="21">
        <f>FROND_NERVURE_Geom!$E$15</f>
        <v>15.086123176615004</v>
      </c>
      <c r="O65" s="56">
        <f>FROND_NERVURE_Geom!$C$16</f>
        <v>124</v>
      </c>
      <c r="P65" s="21">
        <f>FROND_NERVURE_Geom!$E$16</f>
        <v>17.748380207782358</v>
      </c>
      <c r="Q65" s="56">
        <f>FROND_NERVURE_Geom!$C$17</f>
        <v>295</v>
      </c>
      <c r="R65" s="21">
        <f>FROND_NERVURE_Geom!$E$17</f>
        <v>17.156767534189612</v>
      </c>
      <c r="S65" s="56">
        <f>FROND_NERVURE_Geom!$C$18</f>
        <v>0</v>
      </c>
      <c r="T65" s="21">
        <f>FROND_NERVURE_Geom!$E$18</f>
        <v>0</v>
      </c>
      <c r="U65" s="56">
        <f>FROND_NERVURE_Geom!$C$19</f>
        <v>0</v>
      </c>
      <c r="V65" s="21">
        <f>FROND_NERVURE_Geom!$E$19</f>
        <v>0</v>
      </c>
      <c r="W65" s="56">
        <f>FROND_NERVURE_Geom!$C$20</f>
        <v>0</v>
      </c>
      <c r="X65" s="21">
        <f>FROND_NERVURE_Geom!$E$20</f>
        <v>0</v>
      </c>
      <c r="Y65" s="56">
        <f>FROND_NERVURE_Geom!$C$21</f>
        <v>0</v>
      </c>
      <c r="Z65" s="21">
        <f>FROND_NERVURE_Geom!$E$21</f>
        <v>0</v>
      </c>
      <c r="AA65" s="56">
        <f>FROND_NERVURE_Geom!$C$22</f>
        <v>0</v>
      </c>
      <c r="AB65" s="21">
        <f>FROND_NERVURE_Geom!$E$22</f>
        <v>0</v>
      </c>
      <c r="AC65" s="56">
        <f>FROND_NERVURE_Geom!$C$23</f>
        <v>0</v>
      </c>
      <c r="AD65" s="21">
        <f>FROND_NERVURE_Geom!$E$23</f>
        <v>0</v>
      </c>
      <c r="AE65" s="56">
        <f>FROND_NERVURE_Geom!$C$24</f>
        <v>0</v>
      </c>
      <c r="AF65" s="21">
        <f>FROND_NERVURE_Geom!$E$24</f>
        <v>0</v>
      </c>
      <c r="AG65" s="56">
        <f>FROND_NERVURE_Geom!$C$25</f>
        <v>0</v>
      </c>
      <c r="AH65" s="21">
        <f>FROND_NERVURE_Geom!$E$25</f>
        <v>0</v>
      </c>
      <c r="AI65" s="56">
        <f>FROND_NERVURE_Geom!$C$26</f>
        <v>0</v>
      </c>
      <c r="AJ65" s="21">
        <f>FROND_NERVURE_Geom!$E$26</f>
        <v>0</v>
      </c>
      <c r="AK65" s="56">
        <f>FROND_NERVURE_Geom!$C$27</f>
        <v>0</v>
      </c>
      <c r="AL65" s="21">
        <f>FROND_NERVURE_Geom!$E$27</f>
        <v>0</v>
      </c>
      <c r="AM65" s="56">
        <f>FROND_NERVURE_Geom!$C$28</f>
        <v>0</v>
      </c>
      <c r="AN65" s="21">
        <f>FROND_NERVURE_Geom!$E$28</f>
        <v>0</v>
      </c>
      <c r="AO65" s="56">
        <f>FROND_NERVURE_Geom!$C$29</f>
        <v>0</v>
      </c>
      <c r="AP65" s="21">
        <f>FROND_NERVURE_Geom!$E$29</f>
        <v>0</v>
      </c>
      <c r="AQ65" s="56">
        <f>FROND_NERVURE_Geom!$C$30</f>
        <v>0</v>
      </c>
      <c r="AR65" s="21">
        <f>FROND_NERVURE_Geom!$E$30</f>
        <v>0</v>
      </c>
      <c r="AS65" s="56">
        <f>FROND_NERVURE_Geom!$C$31</f>
        <v>0</v>
      </c>
      <c r="AT65" s="21">
        <f>FROND_NERVURE_Geom!$E$31</f>
        <v>0</v>
      </c>
      <c r="AU65" s="56">
        <f>FROND_NERVURE_Geom!$C$32</f>
        <v>0</v>
      </c>
      <c r="AV65" s="21">
        <f>FROND_NERVURE_Geom!$E$32</f>
        <v>0</v>
      </c>
      <c r="AW65" s="56">
        <f>FROND_NERVURE_Geom!$C$33</f>
        <v>0</v>
      </c>
      <c r="AX65" s="21">
        <f>FROND_NERVURE_Geom!$E$33</f>
        <v>0</v>
      </c>
      <c r="AY65" s="56">
        <f>FROND_NERVURE_Geom!$C$34</f>
        <v>0</v>
      </c>
      <c r="AZ65" s="21">
        <f>FROND_NERVURE_Geom!$E$34</f>
        <v>0</v>
      </c>
      <c r="BA65" s="56">
        <f>FROND_NERVURE_Geom!$C$35</f>
        <v>0</v>
      </c>
      <c r="BB65" s="21">
        <f>FROND_NERVURE_Geom!$E$35</f>
        <v>0</v>
      </c>
      <c r="BC65" s="56">
        <f>FROND_NERVURE_Geom!$C$36</f>
        <v>0</v>
      </c>
      <c r="BD65" s="21">
        <f>FROND_NERVURE_Geom!$E$36</f>
        <v>0</v>
      </c>
      <c r="BE65" s="56">
        <f>FROND_NERVURE_Geom!$C$37</f>
        <v>0</v>
      </c>
      <c r="BF65" s="21">
        <f>FROND_NERVURE_Geom!$E$37</f>
        <v>0</v>
      </c>
      <c r="BG65" s="52" t="s">
        <v>69</v>
      </c>
      <c r="BH65" s="17"/>
    </row>
    <row r="66" spans="1:60">
      <c r="A66" s="20"/>
      <c r="B66" s="11" t="s">
        <v>87</v>
      </c>
      <c r="C66" s="213" t="s">
        <v>122</v>
      </c>
      <c r="D66" s="13" t="s">
        <v>12</v>
      </c>
      <c r="E66" s="9" t="s">
        <v>0</v>
      </c>
      <c r="F66" s="40" t="s">
        <v>7</v>
      </c>
      <c r="G66" s="46">
        <f>FROND_NERVURE_Geom!$J$9</f>
        <v>1</v>
      </c>
      <c r="H66" s="72">
        <f>FROND_NERVURE_Geom!$J$10</f>
        <v>4</v>
      </c>
      <c r="I66" s="56">
        <f>FROND_NERVURE_Geom!$I$13</f>
        <v>1</v>
      </c>
      <c r="J66" s="21">
        <f>FROND_NERVURE_Geom!$J$13</f>
        <v>0.63102530489016007</v>
      </c>
      <c r="K66" s="56">
        <f>FROND_NERVURE_Geom!$I$14</f>
        <v>28</v>
      </c>
      <c r="L66" s="21">
        <f>FROND_NERVURE_Geom!$J$14</f>
        <v>1.8930759146704803</v>
      </c>
      <c r="M66" s="56">
        <f>FROND_NERVURE_Geom!$I$15</f>
        <v>114</v>
      </c>
      <c r="N66" s="21">
        <f>FROND_NERVURE_Geom!$J$15</f>
        <v>4.9640000000000004</v>
      </c>
      <c r="O66" s="56">
        <f>FROND_NERVURE_Geom!$I$16</f>
        <v>124</v>
      </c>
      <c r="P66" s="21">
        <f>FROND_NERVURE_Geom!$J$16</f>
        <v>5.84</v>
      </c>
      <c r="Q66" s="56">
        <f>FROND_NERVURE_Geom!$I$17</f>
        <v>0</v>
      </c>
      <c r="R66" s="21">
        <f>FROND_NERVURE_Geom!$J$17</f>
        <v>0</v>
      </c>
      <c r="S66" s="56">
        <f>FROND_NERVURE_Geom!$I$18</f>
        <v>0</v>
      </c>
      <c r="T66" s="21">
        <f>FROND_NERVURE_Geom!$J$18</f>
        <v>0</v>
      </c>
      <c r="U66" s="56">
        <f>FROND_NERVURE_Geom!$I$19</f>
        <v>0</v>
      </c>
      <c r="V66" s="21">
        <f>FROND_NERVURE_Geom!$J$19</f>
        <v>0</v>
      </c>
      <c r="W66" s="56">
        <f>FROND_NERVURE_Geom!$I$20</f>
        <v>0</v>
      </c>
      <c r="X66" s="21">
        <f>FROND_NERVURE_Geom!$J$20</f>
        <v>0</v>
      </c>
      <c r="Y66" s="56">
        <f>FROND_NERVURE_Geom!$I$21</f>
        <v>0</v>
      </c>
      <c r="Z66" s="21">
        <f>FROND_NERVURE_Geom!$J$21</f>
        <v>0</v>
      </c>
      <c r="AA66" s="56">
        <f>FROND_NERVURE_Geom!$I$22</f>
        <v>0</v>
      </c>
      <c r="AB66" s="21">
        <f>FROND_NERVURE_Geom!$J$22</f>
        <v>0</v>
      </c>
      <c r="AC66" s="56">
        <f>FROND_NERVURE_Geom!$I$23</f>
        <v>0</v>
      </c>
      <c r="AD66" s="21">
        <f>FROND_NERVURE_Geom!$J$23</f>
        <v>0</v>
      </c>
      <c r="AE66" s="56">
        <f>FROND_NERVURE_Geom!$I$24</f>
        <v>0</v>
      </c>
      <c r="AF66" s="21">
        <f>FROND_NERVURE_Geom!$J$24</f>
        <v>0</v>
      </c>
      <c r="AG66" s="56">
        <f>FROND_NERVURE_Geom!$I$25</f>
        <v>0</v>
      </c>
      <c r="AH66" s="21">
        <f>FROND_NERVURE_Geom!$J$25</f>
        <v>0</v>
      </c>
      <c r="AI66" s="56">
        <f>FROND_NERVURE_Geom!$I$26</f>
        <v>0</v>
      </c>
      <c r="AJ66" s="21">
        <f>FROND_NERVURE_Geom!$J$26</f>
        <v>0</v>
      </c>
      <c r="AK66" s="56">
        <f>FROND_NERVURE_Geom!$I$27</f>
        <v>0</v>
      </c>
      <c r="AL66" s="21">
        <f>FROND_NERVURE_Geom!$J$27</f>
        <v>0</v>
      </c>
      <c r="AM66" s="56">
        <f>FROND_NERVURE_Geom!$I$28</f>
        <v>0</v>
      </c>
      <c r="AN66" s="21">
        <f>FROND_NERVURE_Geom!$J$28</f>
        <v>0</v>
      </c>
      <c r="AO66" s="56">
        <f>FROND_NERVURE_Geom!$I$29</f>
        <v>0</v>
      </c>
      <c r="AP66" s="21">
        <f>FROND_NERVURE_Geom!$J$29</f>
        <v>0</v>
      </c>
      <c r="AQ66" s="56">
        <f>FROND_NERVURE_Geom!$I$30</f>
        <v>0</v>
      </c>
      <c r="AR66" s="21">
        <f>FROND_NERVURE_Geom!$J$30</f>
        <v>0</v>
      </c>
      <c r="AS66" s="56">
        <f>FROND_NERVURE_Geom!$I$31</f>
        <v>0</v>
      </c>
      <c r="AT66" s="21">
        <f>FROND_NERVURE_Geom!$J$31</f>
        <v>0</v>
      </c>
      <c r="AU66" s="56">
        <f>FROND_NERVURE_Geom!$I$32</f>
        <v>0</v>
      </c>
      <c r="AV66" s="21">
        <f>FROND_NERVURE_Geom!$J$32</f>
        <v>0</v>
      </c>
      <c r="AW66" s="56">
        <f>FROND_NERVURE_Geom!$I$33</f>
        <v>0</v>
      </c>
      <c r="AX66" s="21">
        <f>FROND_NERVURE_Geom!$J$33</f>
        <v>0</v>
      </c>
      <c r="AY66" s="56">
        <f>FROND_NERVURE_Geom!$I$34</f>
        <v>0</v>
      </c>
      <c r="AZ66" s="21">
        <f>FROND_NERVURE_Geom!$J$34</f>
        <v>0</v>
      </c>
      <c r="BA66" s="56">
        <f>FROND_NERVURE_Geom!$I$35</f>
        <v>0</v>
      </c>
      <c r="BB66" s="21">
        <f>FROND_NERVURE_Geom!$J$35</f>
        <v>0</v>
      </c>
      <c r="BC66" s="56">
        <f>FROND_NERVURE_Geom!$I$36</f>
        <v>0</v>
      </c>
      <c r="BD66" s="21">
        <f>FROND_NERVURE_Geom!$J$36</f>
        <v>0</v>
      </c>
      <c r="BE66" s="56">
        <f>FROND_NERVURE_Geom!$I$37</f>
        <v>0</v>
      </c>
      <c r="BF66" s="21">
        <f>FROND_NERVURE_Geom!$J$37</f>
        <v>0</v>
      </c>
      <c r="BG66" s="52" t="s">
        <v>69</v>
      </c>
      <c r="BH66" s="17"/>
    </row>
    <row r="67" spans="1:60">
      <c r="A67" s="20"/>
      <c r="B67" s="11" t="s">
        <v>88</v>
      </c>
      <c r="C67" s="213" t="s">
        <v>123</v>
      </c>
      <c r="D67" s="13" t="s">
        <v>12</v>
      </c>
      <c r="E67" s="9" t="s">
        <v>0</v>
      </c>
      <c r="F67" s="40" t="s">
        <v>7</v>
      </c>
      <c r="G67" s="46">
        <f>FROND_NERVURE_Geom!$K$9</f>
        <v>1</v>
      </c>
      <c r="H67" s="72">
        <f>FROND_NERVURE_Geom!$K$10</f>
        <v>4</v>
      </c>
      <c r="I67" s="56">
        <f>FROND_NERVURE_Geom!$I$13</f>
        <v>1</v>
      </c>
      <c r="J67" s="21">
        <f>FROND_NERVURE_Geom!$K$13</f>
        <v>3.0561799464941183E-3</v>
      </c>
      <c r="K67" s="56">
        <f>FROND_NERVURE_Geom!$I$14</f>
        <v>28</v>
      </c>
      <c r="L67" s="21">
        <f>FROND_NERVURE_Geom!$K$14</f>
        <v>9.1685398394823533E-3</v>
      </c>
      <c r="M67" s="56">
        <f>FROND_NERVURE_Geom!$I$15</f>
        <v>114</v>
      </c>
      <c r="N67" s="21">
        <f>FROND_NERVURE_Geom!$K$15</f>
        <v>2.4041630560342635E-2</v>
      </c>
      <c r="O67" s="56">
        <f>FROND_NERVURE_Geom!$I$16</f>
        <v>124</v>
      </c>
      <c r="P67" s="21">
        <f>FROND_NERVURE_Geom!$K$16</f>
        <v>2.8284271247461926E-2</v>
      </c>
      <c r="Q67" s="56">
        <f>FROND_NERVURE_Geom!$I$17</f>
        <v>0</v>
      </c>
      <c r="R67" s="21">
        <f>FROND_NERVURE_Geom!$K$17</f>
        <v>0</v>
      </c>
      <c r="S67" s="56">
        <f>FROND_NERVURE_Geom!$I$18</f>
        <v>0</v>
      </c>
      <c r="T67" s="21">
        <f>FROND_NERVURE_Geom!$K$18</f>
        <v>0</v>
      </c>
      <c r="U67" s="56">
        <f>FROND_NERVURE_Geom!$I$19</f>
        <v>0</v>
      </c>
      <c r="V67" s="21">
        <f>FROND_NERVURE_Geom!$K$19</f>
        <v>0</v>
      </c>
      <c r="W67" s="56">
        <f>FROND_NERVURE_Geom!$I$20</f>
        <v>0</v>
      </c>
      <c r="X67" s="21">
        <f>FROND_NERVURE_Geom!$K$20</f>
        <v>0</v>
      </c>
      <c r="Y67" s="56">
        <f>FROND_NERVURE_Geom!$I$21</f>
        <v>0</v>
      </c>
      <c r="Z67" s="21">
        <f>FROND_NERVURE_Geom!$K$21</f>
        <v>0</v>
      </c>
      <c r="AA67" s="56">
        <f>FROND_NERVURE_Geom!$I$22</f>
        <v>0</v>
      </c>
      <c r="AB67" s="21">
        <f>FROND_NERVURE_Geom!$K$22</f>
        <v>0</v>
      </c>
      <c r="AC67" s="56">
        <f>FROND_NERVURE_Geom!$I$23</f>
        <v>0</v>
      </c>
      <c r="AD67" s="21">
        <f>FROND_NERVURE_Geom!$K$23</f>
        <v>0</v>
      </c>
      <c r="AE67" s="56">
        <f>FROND_NERVURE_Geom!$I$24</f>
        <v>0</v>
      </c>
      <c r="AF67" s="21">
        <f>FROND_NERVURE_Geom!$K$24</f>
        <v>0</v>
      </c>
      <c r="AG67" s="56">
        <f>FROND_NERVURE_Geom!$I$25</f>
        <v>0</v>
      </c>
      <c r="AH67" s="21">
        <f>FROND_NERVURE_Geom!$K$25</f>
        <v>0</v>
      </c>
      <c r="AI67" s="56">
        <f>FROND_NERVURE_Geom!$I$26</f>
        <v>0</v>
      </c>
      <c r="AJ67" s="21">
        <f>FROND_NERVURE_Geom!$K$26</f>
        <v>0</v>
      </c>
      <c r="AK67" s="56">
        <f>FROND_NERVURE_Geom!$I$27</f>
        <v>0</v>
      </c>
      <c r="AL67" s="21">
        <f>FROND_NERVURE_Geom!$K$27</f>
        <v>0</v>
      </c>
      <c r="AM67" s="56">
        <f>FROND_NERVURE_Geom!$I$28</f>
        <v>0</v>
      </c>
      <c r="AN67" s="21">
        <f>FROND_NERVURE_Geom!$K$28</f>
        <v>0</v>
      </c>
      <c r="AO67" s="56">
        <f>FROND_NERVURE_Geom!$I$29</f>
        <v>0</v>
      </c>
      <c r="AP67" s="21">
        <f>FROND_NERVURE_Geom!$K$29</f>
        <v>0</v>
      </c>
      <c r="AQ67" s="56">
        <f>FROND_NERVURE_Geom!$I$30</f>
        <v>0</v>
      </c>
      <c r="AR67" s="21">
        <f>FROND_NERVURE_Geom!$K$30</f>
        <v>0</v>
      </c>
      <c r="AS67" s="56">
        <f>FROND_NERVURE_Geom!$I$31</f>
        <v>0</v>
      </c>
      <c r="AT67" s="21">
        <f>FROND_NERVURE_Geom!$K$31</f>
        <v>0</v>
      </c>
      <c r="AU67" s="56">
        <f>FROND_NERVURE_Geom!$I$32</f>
        <v>0</v>
      </c>
      <c r="AV67" s="21">
        <f>FROND_NERVURE_Geom!$K$32</f>
        <v>0</v>
      </c>
      <c r="AW67" s="56">
        <f>FROND_NERVURE_Geom!$I$33</f>
        <v>0</v>
      </c>
      <c r="AX67" s="21">
        <f>FROND_NERVURE_Geom!$K$33</f>
        <v>0</v>
      </c>
      <c r="AY67" s="56">
        <f>FROND_NERVURE_Geom!$I$34</f>
        <v>0</v>
      </c>
      <c r="AZ67" s="21">
        <f>FROND_NERVURE_Geom!$K$34</f>
        <v>0</v>
      </c>
      <c r="BA67" s="56">
        <f>FROND_NERVURE_Geom!$I$35</f>
        <v>0</v>
      </c>
      <c r="BB67" s="21">
        <f>FROND_NERVURE_Geom!$K$35</f>
        <v>0</v>
      </c>
      <c r="BC67" s="56">
        <f>FROND_NERVURE_Geom!$I$36</f>
        <v>0</v>
      </c>
      <c r="BD67" s="21">
        <f>FROND_NERVURE_Geom!$K$36</f>
        <v>0</v>
      </c>
      <c r="BE67" s="56">
        <f>FROND_NERVURE_Geom!$I$37</f>
        <v>0</v>
      </c>
      <c r="BF67" s="21">
        <f>FROND_NERVURE_Geom!$K$37</f>
        <v>0</v>
      </c>
      <c r="BG67" s="52" t="s">
        <v>69</v>
      </c>
      <c r="BH67" s="17"/>
    </row>
    <row r="68" spans="1:60">
      <c r="A68" s="20"/>
      <c r="B68" s="11" t="s">
        <v>89</v>
      </c>
      <c r="C68" s="213" t="s">
        <v>124</v>
      </c>
      <c r="D68" s="33" t="s">
        <v>12</v>
      </c>
      <c r="E68" s="9" t="s">
        <v>5</v>
      </c>
      <c r="F68" s="40" t="s">
        <v>7</v>
      </c>
      <c r="G68" s="46">
        <f>FROND_NERVURE_Geom!$M$9</f>
        <v>1</v>
      </c>
      <c r="H68" s="72">
        <f>FROND_NERVURE_Geom!$M$10</f>
        <v>11</v>
      </c>
      <c r="I68" s="57">
        <f>FROND_NERVURE_Geom!$L$13</f>
        <v>0</v>
      </c>
      <c r="J68" s="21">
        <f>FROND_NERVURE_Geom!$M$13</f>
        <v>4.8720947032342492</v>
      </c>
      <c r="K68" s="57">
        <f>FROND_NERVURE_Geom!$L$14</f>
        <v>10</v>
      </c>
      <c r="L68" s="21">
        <f>FROND_NERVURE_Geom!$M$14</f>
        <v>1.1884383187377177</v>
      </c>
      <c r="M68" s="57">
        <f>FROND_NERVURE_Geom!$L$15</f>
        <v>20</v>
      </c>
      <c r="N68" s="21">
        <f>FROND_NERVURE_Geom!$M$15</f>
        <v>0.66056068196154039</v>
      </c>
      <c r="O68" s="57">
        <f>FROND_NERVURE_Geom!$L$16</f>
        <v>30</v>
      </c>
      <c r="P68" s="21">
        <f>FROND_NERVURE_Geom!$M$16</f>
        <v>0.45157617823523916</v>
      </c>
      <c r="Q68" s="57">
        <f>FROND_NERVURE_Geom!$L$17</f>
        <v>40</v>
      </c>
      <c r="R68" s="21">
        <f>FROND_NERVURE_Geom!$M$17</f>
        <v>0.34857790733551985</v>
      </c>
      <c r="S68" s="57">
        <f>FROND_NERVURE_Geom!$L$18</f>
        <v>50</v>
      </c>
      <c r="T68" s="21">
        <f>FROND_NERVURE_Geom!$M$18</f>
        <v>0.28804823455413386</v>
      </c>
      <c r="U68" s="57">
        <f>FROND_NERVURE_Geom!$L$19</f>
        <v>60</v>
      </c>
      <c r="V68" s="21">
        <f>FROND_NERVURE_Geom!$M$19</f>
        <v>0.24092499615183752</v>
      </c>
      <c r="W68" s="57">
        <f>FROND_NERVURE_Geom!$L$20</f>
        <v>70</v>
      </c>
      <c r="X68" s="21">
        <f>FROND_NERVURE_Geom!$M$20</f>
        <v>0.19088054165612814</v>
      </c>
      <c r="Y68" s="57">
        <f>FROND_NERVURE_Geom!$L$21</f>
        <v>80</v>
      </c>
      <c r="Z68" s="21">
        <f>FROND_NERVURE_Geom!$M$21</f>
        <v>0.13085146610841319</v>
      </c>
      <c r="AA68" s="57">
        <f>FROND_NERVURE_Geom!$L$22</f>
        <v>90</v>
      </c>
      <c r="AB68" s="21">
        <f>FROND_NERVURE_Geom!$M$22</f>
        <v>6.50106904693529E-2</v>
      </c>
      <c r="AC68" s="57">
        <f>FROND_NERVURE_Geom!$L$23</f>
        <v>100</v>
      </c>
      <c r="AD68" s="21">
        <f>FROND_NERVURE_Geom!$M$23</f>
        <v>1.1602950667116805E-2</v>
      </c>
      <c r="AE68" s="57">
        <f>FROND_NERVURE_Geom!$L$24</f>
        <v>0</v>
      </c>
      <c r="AF68" s="21">
        <f>FROND_NERVURE_Geom!$M$24</f>
        <v>0</v>
      </c>
      <c r="AG68" s="57">
        <f>FROND_NERVURE_Geom!$L$25</f>
        <v>0</v>
      </c>
      <c r="AH68" s="21">
        <f>FROND_NERVURE_Geom!$M$25</f>
        <v>0</v>
      </c>
      <c r="AI68" s="57">
        <f>FROND_NERVURE_Geom!$L$26</f>
        <v>0</v>
      </c>
      <c r="AJ68" s="21">
        <f>FROND_NERVURE_Geom!$M$26</f>
        <v>0</v>
      </c>
      <c r="AK68" s="57">
        <f>FROND_NERVURE_Geom!$L$27</f>
        <v>0</v>
      </c>
      <c r="AL68" s="21">
        <f>FROND_NERVURE_Geom!$M$27</f>
        <v>0</v>
      </c>
      <c r="AM68" s="57">
        <f>FROND_NERVURE_Geom!$L$28</f>
        <v>0</v>
      </c>
      <c r="AN68" s="21">
        <f>FROND_NERVURE_Geom!$M$28</f>
        <v>0</v>
      </c>
      <c r="AO68" s="57">
        <f>FROND_NERVURE_Geom!$L$29</f>
        <v>0</v>
      </c>
      <c r="AP68" s="21">
        <f>FROND_NERVURE_Geom!$M$29</f>
        <v>0</v>
      </c>
      <c r="AQ68" s="57">
        <f>FROND_NERVURE_Geom!$L$30</f>
        <v>0</v>
      </c>
      <c r="AR68" s="21">
        <f>FROND_NERVURE_Geom!$M$30</f>
        <v>0</v>
      </c>
      <c r="AS68" s="57">
        <f>FROND_NERVURE_Geom!$L$31</f>
        <v>0</v>
      </c>
      <c r="AT68" s="21">
        <f>FROND_NERVURE_Geom!$M$31</f>
        <v>0</v>
      </c>
      <c r="AU68" s="57">
        <f>FROND_NERVURE_Geom!$L$32</f>
        <v>0</v>
      </c>
      <c r="AV68" s="21">
        <f>FROND_NERVURE_Geom!$M$32</f>
        <v>0</v>
      </c>
      <c r="AW68" s="57">
        <f>FROND_NERVURE_Geom!$L$33</f>
        <v>0</v>
      </c>
      <c r="AX68" s="21">
        <f>FROND_NERVURE_Geom!$M$33</f>
        <v>0</v>
      </c>
      <c r="AY68" s="57">
        <f>FROND_NERVURE_Geom!$L$34</f>
        <v>0</v>
      </c>
      <c r="AZ68" s="21">
        <f>FROND_NERVURE_Geom!$M$34</f>
        <v>0</v>
      </c>
      <c r="BA68" s="57">
        <f>FROND_NERVURE_Geom!$L$35</f>
        <v>0</v>
      </c>
      <c r="BB68" s="21">
        <f>FROND_NERVURE_Geom!$M$35</f>
        <v>0</v>
      </c>
      <c r="BC68" s="57">
        <f>FROND_NERVURE_Geom!$L$36</f>
        <v>0</v>
      </c>
      <c r="BD68" s="21">
        <f>FROND_NERVURE_Geom!$M$36</f>
        <v>0</v>
      </c>
      <c r="BE68" s="57">
        <f>FROND_NERVURE_Geom!$L$37</f>
        <v>0</v>
      </c>
      <c r="BF68" s="21">
        <f>FROND_NERVURE_Geom!$M$37</f>
        <v>0</v>
      </c>
      <c r="BG68" s="52" t="s">
        <v>69</v>
      </c>
      <c r="BH68" s="16"/>
    </row>
    <row r="69" spans="1:60">
      <c r="A69" s="20"/>
      <c r="B69" s="335" t="s">
        <v>1088</v>
      </c>
      <c r="C69" s="213" t="s">
        <v>1090</v>
      </c>
      <c r="D69" s="69" t="s">
        <v>12</v>
      </c>
      <c r="E69" s="2" t="s">
        <v>9</v>
      </c>
      <c r="F69" s="40" t="s">
        <v>304</v>
      </c>
      <c r="G69" s="46">
        <f>FROND_NERVURE_Geom!$O$9</f>
        <v>1</v>
      </c>
      <c r="H69" s="72">
        <f>FROND_NERVURE_Geom!$O$10</f>
        <v>3</v>
      </c>
      <c r="I69" s="76">
        <f>FROND_NERVURE_Geom!$N$13</f>
        <v>1</v>
      </c>
      <c r="J69" s="264">
        <f>FROND_NERVURE_Geom!$O$13</f>
        <v>0.2</v>
      </c>
      <c r="K69" s="76">
        <f>FROND_NERVURE_Geom!$N$14</f>
        <v>7</v>
      </c>
      <c r="L69" s="264">
        <f>FROND_NERVURE_Geom!$O$14</f>
        <v>0.8</v>
      </c>
      <c r="M69" s="76">
        <f>FROND_NERVURE_Geom!$N$15</f>
        <v>10</v>
      </c>
      <c r="N69" s="264">
        <f>FROND_NERVURE_Geom!$O$15</f>
        <v>1</v>
      </c>
      <c r="O69" s="76">
        <f>FROND_NERVURE_Geom!$N$16</f>
        <v>0</v>
      </c>
      <c r="P69" s="264">
        <f>FROND_NERVURE_Geom!$O$16</f>
        <v>0</v>
      </c>
      <c r="Q69" s="76">
        <f>FROND_NERVURE_Geom!$N$17</f>
        <v>0</v>
      </c>
      <c r="R69" s="264">
        <f>FROND_NERVURE_Geom!$O$17</f>
        <v>0</v>
      </c>
      <c r="S69" s="76">
        <f>FROND_NERVURE_Geom!$N$18</f>
        <v>0</v>
      </c>
      <c r="T69" s="264">
        <f>FROND_NERVURE_Geom!$O$18</f>
        <v>0</v>
      </c>
      <c r="U69" s="76">
        <f>FROND_NERVURE_Geom!$N$19</f>
        <v>0</v>
      </c>
      <c r="V69" s="264">
        <f>FROND_NERVURE_Geom!$O$19</f>
        <v>0</v>
      </c>
      <c r="W69" s="76">
        <f>FROND_NERVURE_Geom!$N$20</f>
        <v>0</v>
      </c>
      <c r="X69" s="264">
        <f>FROND_NERVURE_Geom!$O$20</f>
        <v>0</v>
      </c>
      <c r="Y69" s="76">
        <f>FROND_NERVURE_Geom!$N$21</f>
        <v>0</v>
      </c>
      <c r="Z69" s="264">
        <f>FROND_NERVURE_Geom!$O$21</f>
        <v>0</v>
      </c>
      <c r="AA69" s="76">
        <f>FROND_NERVURE_Geom!$N$22</f>
        <v>0</v>
      </c>
      <c r="AB69" s="264">
        <f>FROND_NERVURE_Geom!$O$22</f>
        <v>0</v>
      </c>
      <c r="AC69" s="76">
        <f>FROND_NERVURE_Geom!$N$23</f>
        <v>0</v>
      </c>
      <c r="AD69" s="264">
        <f>FROND_NERVURE_Geom!$O$23</f>
        <v>0</v>
      </c>
      <c r="AE69" s="76">
        <f>FROND_NERVURE_Geom!$N$24</f>
        <v>0</v>
      </c>
      <c r="AF69" s="264">
        <f>FROND_NERVURE_Geom!$O$24</f>
        <v>0</v>
      </c>
      <c r="AG69" s="76">
        <f>FROND_NERVURE_Geom!$N$25</f>
        <v>0</v>
      </c>
      <c r="AH69" s="264">
        <f>FROND_NERVURE_Geom!$O$25</f>
        <v>0</v>
      </c>
      <c r="AI69" s="76">
        <f>FROND_NERVURE_Geom!$N$26</f>
        <v>0</v>
      </c>
      <c r="AJ69" s="264">
        <f>FROND_NERVURE_Geom!$O$26</f>
        <v>0</v>
      </c>
      <c r="AK69" s="76">
        <f>FROND_NERVURE_Geom!$N$27</f>
        <v>0</v>
      </c>
      <c r="AL69" s="264">
        <f>FROND_NERVURE_Geom!$O$27</f>
        <v>0</v>
      </c>
      <c r="AM69" s="76">
        <f>FROND_NERVURE_Geom!$N$28</f>
        <v>0</v>
      </c>
      <c r="AN69" s="264">
        <f>FROND_NERVURE_Geom!$O$28</f>
        <v>0</v>
      </c>
      <c r="AO69" s="76">
        <f>FROND_NERVURE_Geom!$N$29</f>
        <v>0</v>
      </c>
      <c r="AP69" s="264">
        <f>FROND_NERVURE_Geom!$O$29</f>
        <v>0</v>
      </c>
      <c r="AQ69" s="76">
        <f>FROND_NERVURE_Geom!$N$30</f>
        <v>0</v>
      </c>
      <c r="AR69" s="264">
        <f>FROND_NERVURE_Geom!$O$30</f>
        <v>0</v>
      </c>
      <c r="AS69" s="76">
        <f>FROND_NERVURE_Geom!$N$31</f>
        <v>0</v>
      </c>
      <c r="AT69" s="264">
        <f>FROND_NERVURE_Geom!$O$31</f>
        <v>0</v>
      </c>
      <c r="AU69" s="76">
        <f>FROND_NERVURE_Geom!$N$32</f>
        <v>0</v>
      </c>
      <c r="AV69" s="264">
        <f>FROND_NERVURE_Geom!$O$32</f>
        <v>0</v>
      </c>
      <c r="AW69" s="76">
        <f>FROND_NERVURE_Geom!$N$33</f>
        <v>0</v>
      </c>
      <c r="AX69" s="264">
        <f>FROND_NERVURE_Geom!$O$33</f>
        <v>0</v>
      </c>
      <c r="AY69" s="76">
        <f>FROND_NERVURE_Geom!$N$34</f>
        <v>0</v>
      </c>
      <c r="AZ69" s="264">
        <f>FROND_NERVURE_Geom!$O$34</f>
        <v>0</v>
      </c>
      <c r="BA69" s="76">
        <f>FROND_NERVURE_Geom!$N$35</f>
        <v>0</v>
      </c>
      <c r="BB69" s="264">
        <f>FROND_NERVURE_Geom!$O$35</f>
        <v>0</v>
      </c>
      <c r="BC69" s="76">
        <f>FROND_NERVURE_Geom!$N$36</f>
        <v>0</v>
      </c>
      <c r="BD69" s="264">
        <f>FROND_NERVURE_Geom!$O$36</f>
        <v>0</v>
      </c>
      <c r="BE69" s="76">
        <f>FROND_NERVURE_Geom!$N$37</f>
        <v>0</v>
      </c>
      <c r="BF69" s="264">
        <f>FROND_NERVURE_Geom!$O$37</f>
        <v>0</v>
      </c>
      <c r="BG69" s="52" t="s">
        <v>69</v>
      </c>
      <c r="BH69" s="16"/>
    </row>
    <row r="70" spans="1:60">
      <c r="A70" s="20"/>
      <c r="B70" s="11" t="s">
        <v>90</v>
      </c>
      <c r="C70" s="213" t="s">
        <v>125</v>
      </c>
      <c r="D70" s="7" t="s">
        <v>12</v>
      </c>
      <c r="E70" s="9" t="s">
        <v>0</v>
      </c>
      <c r="F70" s="40" t="s">
        <v>7</v>
      </c>
      <c r="G70" s="46">
        <f>FROND_NERVURE_Geom!$R$9</f>
        <v>1</v>
      </c>
      <c r="H70" s="72">
        <f>FROND_NERVURE_Geom!$R$10</f>
        <v>4</v>
      </c>
      <c r="I70" s="56">
        <f>FROND_NERVURE_Geom!$Q$13</f>
        <v>1</v>
      </c>
      <c r="J70" s="21">
        <f>FROND_NERVURE_Geom!$R$13</f>
        <v>0.34360624478608026</v>
      </c>
      <c r="K70" s="56">
        <f>FROND_NERVURE_Geom!$Q$14</f>
        <v>28</v>
      </c>
      <c r="L70" s="21">
        <f>FROND_NERVURE_Geom!$R$14</f>
        <v>1.0308187343582409</v>
      </c>
      <c r="M70" s="56">
        <f>FROND_NERVURE_Geom!$Q$15</f>
        <v>114</v>
      </c>
      <c r="N70" s="21">
        <f>FROND_NERVURE_Geom!$R$15</f>
        <v>2.7029999999999998</v>
      </c>
      <c r="O70" s="56">
        <f>FROND_NERVURE_Geom!$Q$16</f>
        <v>124</v>
      </c>
      <c r="P70" s="21">
        <f>FROND_NERVURE_Geom!$R$16</f>
        <v>3.1799999999999997</v>
      </c>
      <c r="Q70" s="56">
        <f>FROND_NERVURE_Geom!$Q$17</f>
        <v>0</v>
      </c>
      <c r="R70" s="21">
        <f>FROND_NERVURE_Geom!$R$17</f>
        <v>0</v>
      </c>
      <c r="S70" s="56">
        <f>FROND_NERVURE_Geom!$Q$18</f>
        <v>0</v>
      </c>
      <c r="T70" s="21">
        <f>FROND_NERVURE_Geom!$R$18</f>
        <v>0</v>
      </c>
      <c r="U70" s="56">
        <f>FROND_NERVURE_Geom!$Q$19</f>
        <v>0</v>
      </c>
      <c r="V70" s="21">
        <f>FROND_NERVURE_Geom!$R$19</f>
        <v>0</v>
      </c>
      <c r="W70" s="56">
        <f>FROND_NERVURE_Geom!$Q$20</f>
        <v>0</v>
      </c>
      <c r="X70" s="21">
        <f>FROND_NERVURE_Geom!$R$20</f>
        <v>0</v>
      </c>
      <c r="Y70" s="56">
        <f>FROND_NERVURE_Geom!$Q$21</f>
        <v>0</v>
      </c>
      <c r="Z70" s="21">
        <f>FROND_NERVURE_Geom!$R$21</f>
        <v>0</v>
      </c>
      <c r="AA70" s="56">
        <f>FROND_NERVURE_Geom!$Q$22</f>
        <v>0</v>
      </c>
      <c r="AB70" s="21">
        <f>FROND_NERVURE_Geom!$R$22</f>
        <v>0</v>
      </c>
      <c r="AC70" s="56">
        <f>FROND_NERVURE_Geom!$Q$23</f>
        <v>0</v>
      </c>
      <c r="AD70" s="21">
        <f>FROND_NERVURE_Geom!$R$23</f>
        <v>0</v>
      </c>
      <c r="AE70" s="56">
        <f>FROND_NERVURE_Geom!$Q$24</f>
        <v>0</v>
      </c>
      <c r="AF70" s="21">
        <f>FROND_NERVURE_Geom!$R$24</f>
        <v>0</v>
      </c>
      <c r="AG70" s="56">
        <f>FROND_NERVURE_Geom!$Q$25</f>
        <v>0</v>
      </c>
      <c r="AH70" s="21">
        <f>FROND_NERVURE_Geom!$R$25</f>
        <v>0</v>
      </c>
      <c r="AI70" s="56">
        <f>FROND_NERVURE_Geom!$Q$26</f>
        <v>0</v>
      </c>
      <c r="AJ70" s="21">
        <f>FROND_NERVURE_Geom!$R$26</f>
        <v>0</v>
      </c>
      <c r="AK70" s="56">
        <f>FROND_NERVURE_Geom!$Q$27</f>
        <v>0</v>
      </c>
      <c r="AL70" s="21">
        <f>FROND_NERVURE_Geom!$R$27</f>
        <v>0</v>
      </c>
      <c r="AM70" s="56">
        <f>FROND_NERVURE_Geom!$Q$28</f>
        <v>0</v>
      </c>
      <c r="AN70" s="21">
        <f>FROND_NERVURE_Geom!$R$28</f>
        <v>0</v>
      </c>
      <c r="AO70" s="56">
        <f>FROND_NERVURE_Geom!$Q$29</f>
        <v>0</v>
      </c>
      <c r="AP70" s="21">
        <f>FROND_NERVURE_Geom!$R$29</f>
        <v>0</v>
      </c>
      <c r="AQ70" s="56">
        <f>FROND_NERVURE_Geom!$Q$30</f>
        <v>0</v>
      </c>
      <c r="AR70" s="21">
        <f>FROND_NERVURE_Geom!$R$30</f>
        <v>0</v>
      </c>
      <c r="AS70" s="56">
        <f>FROND_NERVURE_Geom!$Q$31</f>
        <v>0</v>
      </c>
      <c r="AT70" s="21">
        <f>FROND_NERVURE_Geom!$R$31</f>
        <v>0</v>
      </c>
      <c r="AU70" s="56">
        <f>FROND_NERVURE_Geom!$Q$32</f>
        <v>0</v>
      </c>
      <c r="AV70" s="21">
        <f>FROND_NERVURE_Geom!$R$32</f>
        <v>0</v>
      </c>
      <c r="AW70" s="56">
        <f>FROND_NERVURE_Geom!$Q$33</f>
        <v>0</v>
      </c>
      <c r="AX70" s="21">
        <f>FROND_NERVURE_Geom!$R$33</f>
        <v>0</v>
      </c>
      <c r="AY70" s="56">
        <f>FROND_NERVURE_Geom!$Q$34</f>
        <v>0</v>
      </c>
      <c r="AZ70" s="21">
        <f>FROND_NERVURE_Geom!$R$34</f>
        <v>0</v>
      </c>
      <c r="BA70" s="56">
        <f>FROND_NERVURE_Geom!$Q$35</f>
        <v>0</v>
      </c>
      <c r="BB70" s="21">
        <f>FROND_NERVURE_Geom!$R$35</f>
        <v>0</v>
      </c>
      <c r="BC70" s="56">
        <f>FROND_NERVURE_Geom!$Q$36</f>
        <v>0</v>
      </c>
      <c r="BD70" s="21">
        <f>FROND_NERVURE_Geom!$R$36</f>
        <v>0</v>
      </c>
      <c r="BE70" s="56">
        <f>FROND_NERVURE_Geom!$Q$37</f>
        <v>0</v>
      </c>
      <c r="BF70" s="21">
        <f>FROND_NERVURE_Geom!$R$37</f>
        <v>0</v>
      </c>
      <c r="BG70" s="52" t="s">
        <v>69</v>
      </c>
      <c r="BH70" s="16"/>
    </row>
    <row r="71" spans="1:60">
      <c r="A71" s="20"/>
      <c r="B71" s="11" t="s">
        <v>91</v>
      </c>
      <c r="C71" s="213" t="s">
        <v>126</v>
      </c>
      <c r="D71" s="7" t="s">
        <v>12</v>
      </c>
      <c r="E71" s="9" t="s">
        <v>0</v>
      </c>
      <c r="F71" s="40" t="s">
        <v>7</v>
      </c>
      <c r="G71" s="46">
        <f>FROND_NERVURE_Geom!$S$9</f>
        <v>1</v>
      </c>
      <c r="H71" s="72">
        <f>FROND_NERVURE_Geom!$S$10</f>
        <v>4</v>
      </c>
      <c r="I71" s="56">
        <f>FROND_NERVURE_Geom!$Q$13</f>
        <v>1</v>
      </c>
      <c r="J71" s="21">
        <f>FROND_NERVURE_Geom!$S$13</f>
        <v>3.0561799464941183E-3</v>
      </c>
      <c r="K71" s="56">
        <f>FROND_NERVURE_Geom!$Q$14</f>
        <v>28</v>
      </c>
      <c r="L71" s="21">
        <f>FROND_NERVURE_Geom!$S$14</f>
        <v>9.168539839482355E-3</v>
      </c>
      <c r="M71" s="56">
        <f>FROND_NERVURE_Geom!$Q$15</f>
        <v>114</v>
      </c>
      <c r="N71" s="21">
        <f>FROND_NERVURE_Geom!$S$15</f>
        <v>2.4041630560342638E-2</v>
      </c>
      <c r="O71" s="56">
        <f>FROND_NERVURE_Geom!$Q$16</f>
        <v>124</v>
      </c>
      <c r="P71" s="21">
        <f>FROND_NERVURE_Geom!$S$16</f>
        <v>2.8284271247461926E-2</v>
      </c>
      <c r="Q71" s="56">
        <f>FROND_NERVURE_Geom!$Q$17</f>
        <v>0</v>
      </c>
      <c r="R71" s="21">
        <f>FROND_NERVURE_Geom!$S$17</f>
        <v>0</v>
      </c>
      <c r="S71" s="56">
        <f>FROND_NERVURE_Geom!$Q$18</f>
        <v>0</v>
      </c>
      <c r="T71" s="21">
        <f>FROND_NERVURE_Geom!$S$18</f>
        <v>0</v>
      </c>
      <c r="U71" s="56">
        <f>FROND_NERVURE_Geom!$Q$19</f>
        <v>0</v>
      </c>
      <c r="V71" s="21">
        <f>FROND_NERVURE_Geom!$S$19</f>
        <v>0</v>
      </c>
      <c r="W71" s="56">
        <f>FROND_NERVURE_Geom!$Q$20</f>
        <v>0</v>
      </c>
      <c r="X71" s="21">
        <f>FROND_NERVURE_Geom!$S$20</f>
        <v>0</v>
      </c>
      <c r="Y71" s="56">
        <f>FROND_NERVURE_Geom!$Q$21</f>
        <v>0</v>
      </c>
      <c r="Z71" s="21">
        <f>FROND_NERVURE_Geom!$S$21</f>
        <v>0</v>
      </c>
      <c r="AA71" s="56">
        <f>FROND_NERVURE_Geom!$Q$22</f>
        <v>0</v>
      </c>
      <c r="AB71" s="21">
        <f>FROND_NERVURE_Geom!$S$22</f>
        <v>0</v>
      </c>
      <c r="AC71" s="56">
        <f>FROND_NERVURE_Geom!$Q$23</f>
        <v>0</v>
      </c>
      <c r="AD71" s="21">
        <f>FROND_NERVURE_Geom!$S$23</f>
        <v>0</v>
      </c>
      <c r="AE71" s="56">
        <f>FROND_NERVURE_Geom!$Q$24</f>
        <v>0</v>
      </c>
      <c r="AF71" s="21">
        <f>FROND_NERVURE_Geom!$S$24</f>
        <v>0</v>
      </c>
      <c r="AG71" s="56">
        <f>FROND_NERVURE_Geom!$Q$25</f>
        <v>0</v>
      </c>
      <c r="AH71" s="21">
        <f>FROND_NERVURE_Geom!$S$25</f>
        <v>0</v>
      </c>
      <c r="AI71" s="56">
        <f>FROND_NERVURE_Geom!$Q$26</f>
        <v>0</v>
      </c>
      <c r="AJ71" s="21">
        <f>FROND_NERVURE_Geom!$S$26</f>
        <v>0</v>
      </c>
      <c r="AK71" s="56">
        <f>FROND_NERVURE_Geom!$Q$27</f>
        <v>0</v>
      </c>
      <c r="AL71" s="21">
        <f>FROND_NERVURE_Geom!$S$27</f>
        <v>0</v>
      </c>
      <c r="AM71" s="56">
        <f>FROND_NERVURE_Geom!$Q$28</f>
        <v>0</v>
      </c>
      <c r="AN71" s="21">
        <f>FROND_NERVURE_Geom!$S$28</f>
        <v>0</v>
      </c>
      <c r="AO71" s="56">
        <f>FROND_NERVURE_Geom!$Q$29</f>
        <v>0</v>
      </c>
      <c r="AP71" s="21">
        <f>FROND_NERVURE_Geom!$S$29</f>
        <v>0</v>
      </c>
      <c r="AQ71" s="56">
        <f>FROND_NERVURE_Geom!$Q$30</f>
        <v>0</v>
      </c>
      <c r="AR71" s="21">
        <f>FROND_NERVURE_Geom!$S$30</f>
        <v>0</v>
      </c>
      <c r="AS71" s="56">
        <f>FROND_NERVURE_Geom!$Q$31</f>
        <v>0</v>
      </c>
      <c r="AT71" s="21">
        <f>FROND_NERVURE_Geom!$S$31</f>
        <v>0</v>
      </c>
      <c r="AU71" s="56">
        <f>FROND_NERVURE_Geom!$Q$32</f>
        <v>0</v>
      </c>
      <c r="AV71" s="21">
        <f>FROND_NERVURE_Geom!$S$32</f>
        <v>0</v>
      </c>
      <c r="AW71" s="56">
        <f>FROND_NERVURE_Geom!$Q$33</f>
        <v>0</v>
      </c>
      <c r="AX71" s="21">
        <f>FROND_NERVURE_Geom!$S$33</f>
        <v>0</v>
      </c>
      <c r="AY71" s="56">
        <f>FROND_NERVURE_Geom!$Q$34</f>
        <v>0</v>
      </c>
      <c r="AZ71" s="21">
        <f>FROND_NERVURE_Geom!$S$34</f>
        <v>0</v>
      </c>
      <c r="BA71" s="56">
        <f>FROND_NERVURE_Geom!$Q$35</f>
        <v>0</v>
      </c>
      <c r="BB71" s="21">
        <f>FROND_NERVURE_Geom!$S$35</f>
        <v>0</v>
      </c>
      <c r="BC71" s="56">
        <f>FROND_NERVURE_Geom!$Q$36</f>
        <v>0</v>
      </c>
      <c r="BD71" s="21">
        <f>FROND_NERVURE_Geom!$S$36</f>
        <v>0</v>
      </c>
      <c r="BE71" s="56">
        <f>FROND_NERVURE_Geom!$Q$37</f>
        <v>0</v>
      </c>
      <c r="BF71" s="21">
        <f>FROND_NERVURE_Geom!$S$37</f>
        <v>0</v>
      </c>
      <c r="BG71" s="52" t="s">
        <v>69</v>
      </c>
      <c r="BH71" s="16"/>
    </row>
    <row r="72" spans="1:60">
      <c r="A72" s="20"/>
      <c r="B72" s="11" t="s">
        <v>92</v>
      </c>
      <c r="C72" s="213" t="s">
        <v>127</v>
      </c>
      <c r="D72" s="35" t="s">
        <v>12</v>
      </c>
      <c r="E72" s="9" t="s">
        <v>5</v>
      </c>
      <c r="F72" s="40" t="s">
        <v>7</v>
      </c>
      <c r="G72" s="46">
        <f>FROND_NERVURE_Geom!$U$9</f>
        <v>1</v>
      </c>
      <c r="H72" s="72">
        <f ca="1">FROND_NERVURE_Geom!$U$10</f>
        <v>11</v>
      </c>
      <c r="I72" s="57">
        <f>FROND_NERVURE_Geom!$T$13</f>
        <v>0</v>
      </c>
      <c r="J72" s="21">
        <f ca="1">FROND_NERVURE_Geom!$U$13</f>
        <v>2.2072821983684481</v>
      </c>
      <c r="K72" s="57">
        <f>FROND_NERVURE_Geom!$T$14</f>
        <v>10</v>
      </c>
      <c r="L72" s="21">
        <f>FROND_NERVURE_Geom!$U$14</f>
        <v>1.0901551810351211</v>
      </c>
      <c r="M72" s="57">
        <f>FROND_NERVURE_Geom!$T$15</f>
        <v>20</v>
      </c>
      <c r="N72" s="21">
        <f>FROND_NERVURE_Geom!$U$15</f>
        <v>0.81274884310070872</v>
      </c>
      <c r="O72" s="57">
        <f>FROND_NERVURE_Geom!$T$16</f>
        <v>30</v>
      </c>
      <c r="P72" s="21">
        <f>FROND_NERVURE_Geom!$U$16</f>
        <v>0.67199418020935209</v>
      </c>
      <c r="Q72" s="57">
        <f>FROND_NERVURE_Geom!$T$17</f>
        <v>40</v>
      </c>
      <c r="R72" s="21">
        <f>FROND_NERVURE_Geom!$U$17</f>
        <v>0.59040486730337838</v>
      </c>
      <c r="S72" s="57">
        <f>FROND_NERVURE_Geom!$T$18</f>
        <v>50</v>
      </c>
      <c r="T72" s="21">
        <f>FROND_NERVURE_Geom!$U$18</f>
        <v>0.53670125261092305</v>
      </c>
      <c r="U72" s="57">
        <f>FROND_NERVURE_Geom!$T$19</f>
        <v>60</v>
      </c>
      <c r="V72" s="21">
        <f>FROND_NERVURE_Geom!$U$19</f>
        <v>0.49084111090233418</v>
      </c>
      <c r="W72" s="57">
        <f>FROND_NERVURE_Geom!$T$20</f>
        <v>70</v>
      </c>
      <c r="X72" s="21">
        <f>FROND_NERVURE_Geom!$U$20</f>
        <v>0.4368987773570992</v>
      </c>
      <c r="Y72" s="57">
        <f>FROND_NERVURE_Geom!$T$21</f>
        <v>80</v>
      </c>
      <c r="Z72" s="21">
        <f>FROND_NERVURE_Geom!$U$21</f>
        <v>0.36173397146026137</v>
      </c>
      <c r="AA72" s="57">
        <f>FROND_NERVURE_Geom!$T$22</f>
        <v>90</v>
      </c>
      <c r="AB72" s="21">
        <f>FROND_NERVURE_Geom!$U$22</f>
        <v>0.25497194055298106</v>
      </c>
      <c r="AC72" s="57">
        <f>FROND_NERVURE_Geom!$T$23</f>
        <v>100</v>
      </c>
      <c r="AD72" s="21">
        <f>FROND_NERVURE_Geom!$U$23</f>
        <v>0.10771699339991256</v>
      </c>
      <c r="AE72" s="57">
        <f>FROND_NERVURE_Geom!$T$24</f>
        <v>0</v>
      </c>
      <c r="AF72" s="21">
        <f>FROND_NERVURE_Geom!$U$24</f>
        <v>0</v>
      </c>
      <c r="AG72" s="57">
        <f>FROND_NERVURE_Geom!$T$25</f>
        <v>0</v>
      </c>
      <c r="AH72" s="21">
        <f>FROND_NERVURE_Geom!$U$25</f>
        <v>0</v>
      </c>
      <c r="AI72" s="57">
        <f>FROND_NERVURE_Geom!$T$26</f>
        <v>0</v>
      </c>
      <c r="AJ72" s="21">
        <f>FROND_NERVURE_Geom!$U$26</f>
        <v>0</v>
      </c>
      <c r="AK72" s="57">
        <f>FROND_NERVURE_Geom!$T$27</f>
        <v>0</v>
      </c>
      <c r="AL72" s="21">
        <f>FROND_NERVURE_Geom!$U$27</f>
        <v>0</v>
      </c>
      <c r="AM72" s="57">
        <f>FROND_NERVURE_Geom!$T$28</f>
        <v>0</v>
      </c>
      <c r="AN72" s="21">
        <f>FROND_NERVURE_Geom!$U$28</f>
        <v>0</v>
      </c>
      <c r="AO72" s="57">
        <f>FROND_NERVURE_Geom!$T$29</f>
        <v>0</v>
      </c>
      <c r="AP72" s="21">
        <f>FROND_NERVURE_Geom!$U$29</f>
        <v>0</v>
      </c>
      <c r="AQ72" s="57">
        <f>FROND_NERVURE_Geom!$T$30</f>
        <v>0</v>
      </c>
      <c r="AR72" s="21">
        <f>FROND_NERVURE_Geom!$U$30</f>
        <v>0</v>
      </c>
      <c r="AS72" s="57">
        <f>FROND_NERVURE_Geom!$T$31</f>
        <v>0</v>
      </c>
      <c r="AT72" s="21">
        <f>FROND_NERVURE_Geom!$U$31</f>
        <v>0</v>
      </c>
      <c r="AU72" s="57">
        <f>FROND_NERVURE_Geom!$T$32</f>
        <v>0</v>
      </c>
      <c r="AV72" s="21">
        <f>FROND_NERVURE_Geom!$U$32</f>
        <v>0</v>
      </c>
      <c r="AW72" s="57">
        <f>FROND_NERVURE_Geom!$T$33</f>
        <v>0</v>
      </c>
      <c r="AX72" s="21">
        <f>FROND_NERVURE_Geom!$U$33</f>
        <v>0</v>
      </c>
      <c r="AY72" s="57">
        <f>FROND_NERVURE_Geom!$T$34</f>
        <v>0</v>
      </c>
      <c r="AZ72" s="21">
        <f>FROND_NERVURE_Geom!$U$34</f>
        <v>0</v>
      </c>
      <c r="BA72" s="57">
        <f>FROND_NERVURE_Geom!$T$35</f>
        <v>0</v>
      </c>
      <c r="BB72" s="21">
        <f>FROND_NERVURE_Geom!$U$35</f>
        <v>0</v>
      </c>
      <c r="BC72" s="57">
        <f>FROND_NERVURE_Geom!$T$36</f>
        <v>0</v>
      </c>
      <c r="BD72" s="21">
        <f>FROND_NERVURE_Geom!$U$36</f>
        <v>0</v>
      </c>
      <c r="BE72" s="57">
        <f>FROND_NERVURE_Geom!$T$37</f>
        <v>0</v>
      </c>
      <c r="BF72" s="21">
        <f>FROND_NERVURE_Geom!$U$37</f>
        <v>0</v>
      </c>
      <c r="BG72" s="52" t="s">
        <v>69</v>
      </c>
      <c r="BH72" s="16"/>
    </row>
    <row r="73" spans="1:60">
      <c r="A73" s="20"/>
      <c r="B73" s="335" t="s">
        <v>1089</v>
      </c>
      <c r="C73" s="213" t="s">
        <v>1091</v>
      </c>
      <c r="D73" s="69" t="s">
        <v>12</v>
      </c>
      <c r="E73" s="2" t="s">
        <v>9</v>
      </c>
      <c r="F73" s="40" t="s">
        <v>304</v>
      </c>
      <c r="G73" s="46">
        <f>FROND_NERVURE_Geom!$W$9</f>
        <v>1</v>
      </c>
      <c r="H73" s="72">
        <f>FROND_NERVURE_Geom!$W$10</f>
        <v>3</v>
      </c>
      <c r="I73" s="76">
        <f>FROND_NERVURE_Geom!$V$13</f>
        <v>1</v>
      </c>
      <c r="J73" s="264">
        <f>FROND_NERVURE_Geom!$W$13</f>
        <v>0.15</v>
      </c>
      <c r="K73" s="76">
        <f>FROND_NERVURE_Geom!$V$14</f>
        <v>8</v>
      </c>
      <c r="L73" s="264">
        <f>FROND_NERVURE_Geom!$W$14</f>
        <v>0.7</v>
      </c>
      <c r="M73" s="76">
        <f>FROND_NERVURE_Geom!$V$15</f>
        <v>12</v>
      </c>
      <c r="N73" s="264">
        <f>FROND_NERVURE_Geom!$W$15</f>
        <v>1</v>
      </c>
      <c r="O73" s="76">
        <f>FROND_NERVURE_Geom!$V$16</f>
        <v>0</v>
      </c>
      <c r="P73" s="264">
        <f>FROND_NERVURE_Geom!$W$16</f>
        <v>0</v>
      </c>
      <c r="Q73" s="76">
        <f>FROND_NERVURE_Geom!$V$17</f>
        <v>0</v>
      </c>
      <c r="R73" s="264">
        <f>FROND_NERVURE_Geom!$W$17</f>
        <v>0</v>
      </c>
      <c r="S73" s="76">
        <f>FROND_NERVURE_Geom!$V$18</f>
        <v>0</v>
      </c>
      <c r="T73" s="264">
        <f>FROND_NERVURE_Geom!$W$18</f>
        <v>0</v>
      </c>
      <c r="U73" s="76">
        <f>FROND_NERVURE_Geom!$V$19</f>
        <v>0</v>
      </c>
      <c r="V73" s="264">
        <f>FROND_NERVURE_Geom!$W$19</f>
        <v>0</v>
      </c>
      <c r="W73" s="76">
        <f>FROND_NERVURE_Geom!$V$20</f>
        <v>0</v>
      </c>
      <c r="X73" s="264">
        <f>FROND_NERVURE_Geom!$W$20</f>
        <v>0</v>
      </c>
      <c r="Y73" s="76">
        <f>FROND_NERVURE_Geom!$V$21</f>
        <v>0</v>
      </c>
      <c r="Z73" s="264">
        <f>FROND_NERVURE_Geom!$W$21</f>
        <v>0</v>
      </c>
      <c r="AA73" s="76">
        <f>FROND_NERVURE_Geom!$V$22</f>
        <v>0</v>
      </c>
      <c r="AB73" s="264">
        <f>FROND_NERVURE_Geom!$W$22</f>
        <v>0</v>
      </c>
      <c r="AC73" s="76">
        <f>FROND_NERVURE_Geom!$V$23</f>
        <v>0</v>
      </c>
      <c r="AD73" s="264">
        <f>FROND_NERVURE_Geom!$W$23</f>
        <v>0</v>
      </c>
      <c r="AE73" s="76">
        <f>FROND_NERVURE_Geom!$V$24</f>
        <v>0</v>
      </c>
      <c r="AF73" s="264">
        <f>FROND_NERVURE_Geom!$W$24</f>
        <v>0</v>
      </c>
      <c r="AG73" s="76">
        <f>FROND_NERVURE_Geom!$V$25</f>
        <v>0</v>
      </c>
      <c r="AH73" s="264">
        <f>FROND_NERVURE_Geom!$W$25</f>
        <v>0</v>
      </c>
      <c r="AI73" s="76">
        <f>FROND_NERVURE_Geom!$V$26</f>
        <v>0</v>
      </c>
      <c r="AJ73" s="264">
        <f>FROND_NERVURE_Geom!$W$26</f>
        <v>0</v>
      </c>
      <c r="AK73" s="76">
        <f>FROND_NERVURE_Geom!$V$27</f>
        <v>0</v>
      </c>
      <c r="AL73" s="264">
        <f>FROND_NERVURE_Geom!$W$27</f>
        <v>0</v>
      </c>
      <c r="AM73" s="76">
        <f>FROND_NERVURE_Geom!$V$28</f>
        <v>0</v>
      </c>
      <c r="AN73" s="264">
        <f>FROND_NERVURE_Geom!$W$28</f>
        <v>0</v>
      </c>
      <c r="AO73" s="76">
        <f>FROND_NERVURE_Geom!$V$29</f>
        <v>0</v>
      </c>
      <c r="AP73" s="264">
        <f>FROND_NERVURE_Geom!$W$29</f>
        <v>0</v>
      </c>
      <c r="AQ73" s="76">
        <f>FROND_NERVURE_Geom!$V$30</f>
        <v>0</v>
      </c>
      <c r="AR73" s="264">
        <f>FROND_NERVURE_Geom!$W$30</f>
        <v>0</v>
      </c>
      <c r="AS73" s="76">
        <f>FROND_NERVURE_Geom!$V$31</f>
        <v>0</v>
      </c>
      <c r="AT73" s="264">
        <f>FROND_NERVURE_Geom!$W$31</f>
        <v>0</v>
      </c>
      <c r="AU73" s="76">
        <f>FROND_NERVURE_Geom!$V$32</f>
        <v>0</v>
      </c>
      <c r="AV73" s="264">
        <f>FROND_NERVURE_Geom!$W$32</f>
        <v>0</v>
      </c>
      <c r="AW73" s="76">
        <f>FROND_NERVURE_Geom!$V$33</f>
        <v>0</v>
      </c>
      <c r="AX73" s="264">
        <f>FROND_NERVURE_Geom!$W$33</f>
        <v>0</v>
      </c>
      <c r="AY73" s="76">
        <f>FROND_NERVURE_Geom!$V$34</f>
        <v>0</v>
      </c>
      <c r="AZ73" s="264">
        <f>FROND_NERVURE_Geom!$W$34</f>
        <v>0</v>
      </c>
      <c r="BA73" s="76">
        <f>FROND_NERVURE_Geom!$V$35</f>
        <v>0</v>
      </c>
      <c r="BB73" s="264">
        <f>FROND_NERVURE_Geom!$W$35</f>
        <v>0</v>
      </c>
      <c r="BC73" s="76">
        <f>FROND_NERVURE_Geom!$V$36</f>
        <v>0</v>
      </c>
      <c r="BD73" s="264">
        <f>FROND_NERVURE_Geom!$W$36</f>
        <v>0</v>
      </c>
      <c r="BE73" s="76">
        <f>FROND_NERVURE_Geom!$V$37</f>
        <v>0</v>
      </c>
      <c r="BF73" s="264">
        <f>FROND_NERVURE_Geom!$W$37</f>
        <v>0</v>
      </c>
      <c r="BG73" s="52" t="s">
        <v>69</v>
      </c>
      <c r="BH73" s="16"/>
    </row>
    <row r="74" spans="1:60">
      <c r="A74" s="20"/>
      <c r="B74" s="11" t="s">
        <v>79</v>
      </c>
      <c r="C74" s="213" t="s">
        <v>128</v>
      </c>
      <c r="D74" s="35" t="s">
        <v>12</v>
      </c>
      <c r="E74" s="9" t="s">
        <v>3</v>
      </c>
      <c r="F74" s="40" t="s">
        <v>6</v>
      </c>
      <c r="G74" s="46">
        <f>FROND_NERVURE_Geom!$Z$9</f>
        <v>1</v>
      </c>
      <c r="H74" s="72">
        <f>FROND_NERVURE_Geom!$Z$10</f>
        <v>5</v>
      </c>
      <c r="I74" s="57">
        <f>FROND_NERVURE_Geom!$Y$13</f>
        <v>0</v>
      </c>
      <c r="J74" s="21">
        <f>FROND_NERVURE_Geom!$Z$13</f>
        <v>0</v>
      </c>
      <c r="K74" s="57">
        <f>FROND_NERVURE_Geom!$Y$14</f>
        <v>5.15970515970516</v>
      </c>
      <c r="L74" s="21">
        <f>FROND_NERVURE_Geom!$Z$14</f>
        <v>8.9230769230769234</v>
      </c>
      <c r="M74" s="57">
        <f>FROND_NERVURE_Geom!$Y$15</f>
        <v>19.237669202955026</v>
      </c>
      <c r="N74" s="21">
        <f>FROND_NERVURE_Geom!$Z$15</f>
        <v>16.883714734331463</v>
      </c>
      <c r="O74" s="57">
        <f>FROND_NERVURE_Geom!$Y$16</f>
        <v>99.99</v>
      </c>
      <c r="P74" s="21">
        <f>FROND_NERVURE_Geom!$Z$16</f>
        <v>20.865384615384617</v>
      </c>
      <c r="Q74" s="57">
        <f>FROND_NERVURE_Geom!$Y$17</f>
        <v>100</v>
      </c>
      <c r="R74" s="21">
        <f>FROND_NERVURE_Geom!$Z$17</f>
        <v>21.365384615384617</v>
      </c>
      <c r="S74" s="57">
        <f>FROND_NERVURE_Geom!$Y$18</f>
        <v>0</v>
      </c>
      <c r="T74" s="21">
        <f>FROND_NERVURE_Geom!$Z$18</f>
        <v>0</v>
      </c>
      <c r="U74" s="57">
        <f>FROND_NERVURE_Geom!$Y$19</f>
        <v>0</v>
      </c>
      <c r="V74" s="21">
        <f>FROND_NERVURE_Geom!$Z$19</f>
        <v>0</v>
      </c>
      <c r="W74" s="57">
        <f>FROND_NERVURE_Geom!$Y$20</f>
        <v>0</v>
      </c>
      <c r="X74" s="21">
        <f>FROND_NERVURE_Geom!$Z$20</f>
        <v>0</v>
      </c>
      <c r="Y74" s="57">
        <f>FROND_NERVURE_Geom!$Y$21</f>
        <v>0</v>
      </c>
      <c r="Z74" s="21">
        <f>FROND_NERVURE_Geom!$Z$21</f>
        <v>0</v>
      </c>
      <c r="AA74" s="57">
        <f>FROND_NERVURE_Geom!$Y$22</f>
        <v>0</v>
      </c>
      <c r="AB74" s="21">
        <f>FROND_NERVURE_Geom!$Z$22</f>
        <v>0</v>
      </c>
      <c r="AC74" s="57">
        <f>FROND_NERVURE_Geom!$Y$23</f>
        <v>0</v>
      </c>
      <c r="AD74" s="21">
        <f>FROND_NERVURE_Geom!$Z$23</f>
        <v>0</v>
      </c>
      <c r="AE74" s="57">
        <f>FROND_NERVURE_Geom!$Y$24</f>
        <v>0</v>
      </c>
      <c r="AF74" s="21">
        <f>FROND_NERVURE_Geom!$Z$24</f>
        <v>0</v>
      </c>
      <c r="AG74" s="57">
        <f>FROND_NERVURE_Geom!$Y$25</f>
        <v>0</v>
      </c>
      <c r="AH74" s="21">
        <f>FROND_NERVURE_Geom!$Z$25</f>
        <v>0</v>
      </c>
      <c r="AI74" s="57">
        <f>FROND_NERVURE_Geom!$Y$26</f>
        <v>0</v>
      </c>
      <c r="AJ74" s="21">
        <f>FROND_NERVURE_Geom!$Z$26</f>
        <v>0</v>
      </c>
      <c r="AK74" s="57">
        <f>FROND_NERVURE_Geom!$Y$27</f>
        <v>0</v>
      </c>
      <c r="AL74" s="21">
        <f>FROND_NERVURE_Geom!$Z$27</f>
        <v>0</v>
      </c>
      <c r="AM74" s="57">
        <f>FROND_NERVURE_Geom!$Y$28</f>
        <v>0</v>
      </c>
      <c r="AN74" s="21">
        <f>FROND_NERVURE_Geom!$Z$28</f>
        <v>0</v>
      </c>
      <c r="AO74" s="57">
        <f>FROND_NERVURE_Geom!$Y$29</f>
        <v>0</v>
      </c>
      <c r="AP74" s="21">
        <f>FROND_NERVURE_Geom!$Z$29</f>
        <v>0</v>
      </c>
      <c r="AQ74" s="57">
        <f>FROND_NERVURE_Geom!$Y$30</f>
        <v>0</v>
      </c>
      <c r="AR74" s="21">
        <f>FROND_NERVURE_Geom!$Z$30</f>
        <v>0</v>
      </c>
      <c r="AS74" s="57">
        <f>FROND_NERVURE_Geom!$Y$31</f>
        <v>0</v>
      </c>
      <c r="AT74" s="21">
        <f>FROND_NERVURE_Geom!$Z$31</f>
        <v>0</v>
      </c>
      <c r="AU74" s="57">
        <f>FROND_NERVURE_Geom!$Y$32</f>
        <v>0</v>
      </c>
      <c r="AV74" s="21">
        <f>FROND_NERVURE_Geom!$Z$32</f>
        <v>0</v>
      </c>
      <c r="AW74" s="57">
        <f>FROND_NERVURE_Geom!$Y$33</f>
        <v>0</v>
      </c>
      <c r="AX74" s="21">
        <f>FROND_NERVURE_Geom!$Z$33</f>
        <v>0</v>
      </c>
      <c r="AY74" s="57">
        <f>FROND_NERVURE_Geom!$Y$34</f>
        <v>0</v>
      </c>
      <c r="AZ74" s="21">
        <f>FROND_NERVURE_Geom!$Z$34</f>
        <v>0</v>
      </c>
      <c r="BA74" s="57">
        <f>FROND_NERVURE_Geom!$Y$35</f>
        <v>0</v>
      </c>
      <c r="BB74" s="21">
        <f>FROND_NERVURE_Geom!$Z$35</f>
        <v>0</v>
      </c>
      <c r="BC74" s="57">
        <f>FROND_NERVURE_Geom!$Y$36</f>
        <v>0</v>
      </c>
      <c r="BD74" s="21">
        <f>FROND_NERVURE_Geom!$Z$36</f>
        <v>0</v>
      </c>
      <c r="BE74" s="57">
        <f>FROND_NERVURE_Geom!$Y$37</f>
        <v>0</v>
      </c>
      <c r="BF74" s="21">
        <f>FROND_NERVURE_Geom!$Z$37</f>
        <v>0</v>
      </c>
      <c r="BG74" s="52" t="s">
        <v>69</v>
      </c>
      <c r="BH74" s="16"/>
    </row>
    <row r="75" spans="1:60">
      <c r="A75" s="20"/>
      <c r="B75" s="11" t="s">
        <v>80</v>
      </c>
      <c r="C75" s="213" t="s">
        <v>485</v>
      </c>
      <c r="D75" s="35" t="s">
        <v>12</v>
      </c>
      <c r="E75" s="9" t="s">
        <v>3</v>
      </c>
      <c r="F75" s="40" t="s">
        <v>6</v>
      </c>
      <c r="G75" s="46">
        <f>FROND_NERVURE_Geom!$AB$9</f>
        <v>1</v>
      </c>
      <c r="H75" s="72">
        <f>FROND_NERVURE_Geom!$AB$10</f>
        <v>5</v>
      </c>
      <c r="I75" s="57">
        <f>FROND_NERVURE_Geom!$AA$13</f>
        <v>0</v>
      </c>
      <c r="J75" s="21">
        <f>FROND_NERVURE_Geom!$AB$13</f>
        <v>0</v>
      </c>
      <c r="K75" s="57">
        <f>FROND_NERVURE_Geom!$AA$14</f>
        <v>5.3228419347373288</v>
      </c>
      <c r="L75" s="21">
        <f>FROND_NERVURE_Geom!$AB$14</f>
        <v>20.576923076923077</v>
      </c>
      <c r="M75" s="57">
        <f>FROND_NERVURE_Geom!$AA$15</f>
        <v>17.834372324073779</v>
      </c>
      <c r="N75" s="21">
        <f>FROND_NERVURE_Geom!$AB$15</f>
        <v>26.684632057992665</v>
      </c>
      <c r="O75" s="57">
        <f>FROND_NERVURE_Geom!$AA$16</f>
        <v>70.043865825218518</v>
      </c>
      <c r="P75" s="21">
        <f>FROND_NERVURE_Geom!$AB$16</f>
        <v>76.84615384615384</v>
      </c>
      <c r="Q75" s="57">
        <f>FROND_NERVURE_Geom!$AA$17</f>
        <v>100</v>
      </c>
      <c r="R75" s="21">
        <f>FROND_NERVURE_Geom!$AB$17</f>
        <v>98.230769230769226</v>
      </c>
      <c r="S75" s="57">
        <f>FROND_NERVURE_Geom!$AA$18</f>
        <v>0</v>
      </c>
      <c r="T75" s="21">
        <f>FROND_NERVURE_Geom!$AB$18</f>
        <v>0</v>
      </c>
      <c r="U75" s="57">
        <f>FROND_NERVURE_Geom!$AA$19</f>
        <v>0</v>
      </c>
      <c r="V75" s="21">
        <f>FROND_NERVURE_Geom!$AB$19</f>
        <v>0</v>
      </c>
      <c r="W75" s="57">
        <f>FROND_NERVURE_Geom!$AA$20</f>
        <v>0</v>
      </c>
      <c r="X75" s="21">
        <f>FROND_NERVURE_Geom!$AB$20</f>
        <v>0</v>
      </c>
      <c r="Y75" s="57">
        <f>FROND_NERVURE_Geom!$AA$21</f>
        <v>0</v>
      </c>
      <c r="Z75" s="21">
        <f>FROND_NERVURE_Geom!$AB$21</f>
        <v>0</v>
      </c>
      <c r="AA75" s="57">
        <f>FROND_NERVURE_Geom!$AA$22</f>
        <v>0</v>
      </c>
      <c r="AB75" s="21">
        <f>FROND_NERVURE_Geom!$AB$22</f>
        <v>0</v>
      </c>
      <c r="AC75" s="57">
        <f>FROND_NERVURE_Geom!$AA$23</f>
        <v>0</v>
      </c>
      <c r="AD75" s="21">
        <f>FROND_NERVURE_Geom!$AB$23</f>
        <v>0</v>
      </c>
      <c r="AE75" s="57">
        <f>FROND_NERVURE_Geom!$AA$24</f>
        <v>0</v>
      </c>
      <c r="AF75" s="21">
        <f>FROND_NERVURE_Geom!$AB$24</f>
        <v>0</v>
      </c>
      <c r="AG75" s="57">
        <f>FROND_NERVURE_Geom!$AA$25</f>
        <v>0</v>
      </c>
      <c r="AH75" s="21">
        <f>FROND_NERVURE_Geom!$AB$25</f>
        <v>0</v>
      </c>
      <c r="AI75" s="57">
        <f>FROND_NERVURE_Geom!$AA$26</f>
        <v>0</v>
      </c>
      <c r="AJ75" s="21">
        <f>FROND_NERVURE_Geom!$AB$26</f>
        <v>0</v>
      </c>
      <c r="AK75" s="57">
        <f>FROND_NERVURE_Geom!$AA$27</f>
        <v>0</v>
      </c>
      <c r="AL75" s="21">
        <f>FROND_NERVURE_Geom!$AB$27</f>
        <v>0</v>
      </c>
      <c r="AM75" s="57">
        <f>FROND_NERVURE_Geom!$AA$28</f>
        <v>0</v>
      </c>
      <c r="AN75" s="21">
        <f>FROND_NERVURE_Geom!$AB$28</f>
        <v>0</v>
      </c>
      <c r="AO75" s="57">
        <f>FROND_NERVURE_Geom!$AA$29</f>
        <v>0</v>
      </c>
      <c r="AP75" s="21">
        <f>FROND_NERVURE_Geom!$AB$29</f>
        <v>0</v>
      </c>
      <c r="AQ75" s="57">
        <f>FROND_NERVURE_Geom!$AA$30</f>
        <v>0</v>
      </c>
      <c r="AR75" s="21">
        <f>FROND_NERVURE_Geom!$AB$30</f>
        <v>0</v>
      </c>
      <c r="AS75" s="57">
        <f>FROND_NERVURE_Geom!$AA$31</f>
        <v>0</v>
      </c>
      <c r="AT75" s="21">
        <f>FROND_NERVURE_Geom!$AB$31</f>
        <v>0</v>
      </c>
      <c r="AU75" s="57">
        <f>FROND_NERVURE_Geom!$AA$32</f>
        <v>0</v>
      </c>
      <c r="AV75" s="21">
        <f>FROND_NERVURE_Geom!$AB$32</f>
        <v>0</v>
      </c>
      <c r="AW75" s="57">
        <f>FROND_NERVURE_Geom!$AA$33</f>
        <v>0</v>
      </c>
      <c r="AX75" s="21">
        <f>FROND_NERVURE_Geom!$AB$33</f>
        <v>0</v>
      </c>
      <c r="AY75" s="57">
        <f>FROND_NERVURE_Geom!$AA$34</f>
        <v>0</v>
      </c>
      <c r="AZ75" s="21">
        <f>FROND_NERVURE_Geom!$AB$34</f>
        <v>0</v>
      </c>
      <c r="BA75" s="57">
        <f>FROND_NERVURE_Geom!$AA$35</f>
        <v>0</v>
      </c>
      <c r="BB75" s="21">
        <f>FROND_NERVURE_Geom!$AB$35</f>
        <v>0</v>
      </c>
      <c r="BC75" s="57">
        <f>FROND_NERVURE_Geom!$AA$36</f>
        <v>0</v>
      </c>
      <c r="BD75" s="21">
        <f>FROND_NERVURE_Geom!$AB$36</f>
        <v>0</v>
      </c>
      <c r="BE75" s="57">
        <f>FROND_NERVURE_Geom!$AA$37</f>
        <v>0</v>
      </c>
      <c r="BF75" s="21">
        <f>FROND_NERVURE_Geom!$AB$37</f>
        <v>0</v>
      </c>
      <c r="BG75" s="52" t="s">
        <v>69</v>
      </c>
      <c r="BH75" s="16"/>
    </row>
    <row r="76" spans="1:60">
      <c r="A76" s="20"/>
      <c r="B76" s="11" t="s">
        <v>81</v>
      </c>
      <c r="C76" s="213" t="s">
        <v>724</v>
      </c>
      <c r="D76" s="35" t="s">
        <v>12</v>
      </c>
      <c r="E76" s="9" t="s">
        <v>3</v>
      </c>
      <c r="F76" s="40" t="s">
        <v>6</v>
      </c>
      <c r="G76" s="46">
        <f>FROND_NERVURE_Geom!$AC$9</f>
        <v>1</v>
      </c>
      <c r="H76" s="72">
        <f>FROND_NERVURE_Geom!$AC$10</f>
        <v>5</v>
      </c>
      <c r="I76" s="57">
        <f>FROND_NERVURE_Geom!$AA$13</f>
        <v>0</v>
      </c>
      <c r="J76" s="21">
        <f>FROND_NERVURE_Geom!$AC$13</f>
        <v>0</v>
      </c>
      <c r="K76" s="57">
        <f>FROND_NERVURE_Geom!$AA$14</f>
        <v>5.3228419347373288</v>
      </c>
      <c r="L76" s="21">
        <f>FROND_NERVURE_Geom!$AC$14</f>
        <v>0.27435897435897433</v>
      </c>
      <c r="M76" s="57">
        <f>FROND_NERVURE_Geom!$AA$15</f>
        <v>17.834372324073779</v>
      </c>
      <c r="N76" s="21">
        <f>FROND_NERVURE_Geom!$AC$15</f>
        <v>0.33355790072490832</v>
      </c>
      <c r="O76" s="57">
        <f>FROND_NERVURE_Geom!$AA$16</f>
        <v>70.043865825218518</v>
      </c>
      <c r="P76" s="21">
        <f>FROND_NERVURE_Geom!$AC$16</f>
        <v>0.85384615384615381</v>
      </c>
      <c r="Q76" s="57">
        <f>FROND_NERVURE_Geom!$AA$17</f>
        <v>100</v>
      </c>
      <c r="R76" s="21">
        <f>FROND_NERVURE_Geom!$AC$17</f>
        <v>0.98230769230769222</v>
      </c>
      <c r="S76" s="57">
        <f>FROND_NERVURE_Geom!$AA$18</f>
        <v>0</v>
      </c>
      <c r="T76" s="21">
        <f>FROND_NERVURE_Geom!$AC$18</f>
        <v>0</v>
      </c>
      <c r="U76" s="57">
        <f>FROND_NERVURE_Geom!$AA$19</f>
        <v>0</v>
      </c>
      <c r="V76" s="21">
        <f>FROND_NERVURE_Geom!$AC$19</f>
        <v>0</v>
      </c>
      <c r="W76" s="57">
        <f>FROND_NERVURE_Geom!$AA$20</f>
        <v>0</v>
      </c>
      <c r="X76" s="21">
        <f>FROND_NERVURE_Geom!$AC$20</f>
        <v>0</v>
      </c>
      <c r="Y76" s="57">
        <f>FROND_NERVURE_Geom!$AA$21</f>
        <v>0</v>
      </c>
      <c r="Z76" s="21">
        <f>FROND_NERVURE_Geom!$AC$21</f>
        <v>0</v>
      </c>
      <c r="AA76" s="57">
        <f>FROND_NERVURE_Geom!$AA$22</f>
        <v>0</v>
      </c>
      <c r="AB76" s="21">
        <f>FROND_NERVURE_Geom!$AC$22</f>
        <v>0</v>
      </c>
      <c r="AC76" s="57">
        <f>FROND_NERVURE_Geom!$AA$23</f>
        <v>0</v>
      </c>
      <c r="AD76" s="21">
        <f>FROND_NERVURE_Geom!$AC$23</f>
        <v>0</v>
      </c>
      <c r="AE76" s="57">
        <f>FROND_NERVURE_Geom!$AA$24</f>
        <v>0</v>
      </c>
      <c r="AF76" s="21">
        <f>FROND_NERVURE_Geom!$AC$24</f>
        <v>0</v>
      </c>
      <c r="AG76" s="57">
        <f>FROND_NERVURE_Geom!$AA$25</f>
        <v>0</v>
      </c>
      <c r="AH76" s="21">
        <f>FROND_NERVURE_Geom!$AC$25</f>
        <v>0</v>
      </c>
      <c r="AI76" s="57">
        <f>FROND_NERVURE_Geom!$AA$26</f>
        <v>0</v>
      </c>
      <c r="AJ76" s="21">
        <f>FROND_NERVURE_Geom!$AC$26</f>
        <v>0</v>
      </c>
      <c r="AK76" s="57">
        <f>FROND_NERVURE_Geom!$AA$27</f>
        <v>0</v>
      </c>
      <c r="AL76" s="21">
        <f>FROND_NERVURE_Geom!$AC$27</f>
        <v>0</v>
      </c>
      <c r="AM76" s="57">
        <f>FROND_NERVURE_Geom!$AA$28</f>
        <v>0</v>
      </c>
      <c r="AN76" s="21">
        <f>FROND_NERVURE_Geom!$AC$28</f>
        <v>0</v>
      </c>
      <c r="AO76" s="57">
        <f>FROND_NERVURE_Geom!$AA$29</f>
        <v>0</v>
      </c>
      <c r="AP76" s="21">
        <f>FROND_NERVURE_Geom!$AC$29</f>
        <v>0</v>
      </c>
      <c r="AQ76" s="57">
        <f>FROND_NERVURE_Geom!$AA$30</f>
        <v>0</v>
      </c>
      <c r="AR76" s="21">
        <f>FROND_NERVURE_Geom!$AC$30</f>
        <v>0</v>
      </c>
      <c r="AS76" s="57">
        <f>FROND_NERVURE_Geom!$AA$31</f>
        <v>0</v>
      </c>
      <c r="AT76" s="21">
        <f>FROND_NERVURE_Geom!$AC$31</f>
        <v>0</v>
      </c>
      <c r="AU76" s="57">
        <f>FROND_NERVURE_Geom!$AA$32</f>
        <v>0</v>
      </c>
      <c r="AV76" s="21">
        <f>FROND_NERVURE_Geom!$AC$32</f>
        <v>0</v>
      </c>
      <c r="AW76" s="57">
        <f>FROND_NERVURE_Geom!$AA$33</f>
        <v>0</v>
      </c>
      <c r="AX76" s="21">
        <f>FROND_NERVURE_Geom!$AC$33</f>
        <v>0</v>
      </c>
      <c r="AY76" s="57">
        <f>FROND_NERVURE_Geom!$AA$34</f>
        <v>0</v>
      </c>
      <c r="AZ76" s="21">
        <f>FROND_NERVURE_Geom!$AC$34</f>
        <v>0</v>
      </c>
      <c r="BA76" s="57">
        <f>FROND_NERVURE_Geom!$AA$35</f>
        <v>0</v>
      </c>
      <c r="BB76" s="21">
        <f>FROND_NERVURE_Geom!$AC$35</f>
        <v>0</v>
      </c>
      <c r="BC76" s="57">
        <f>FROND_NERVURE_Geom!$AA$36</f>
        <v>0</v>
      </c>
      <c r="BD76" s="21">
        <f>FROND_NERVURE_Geom!$AC$36</f>
        <v>0</v>
      </c>
      <c r="BE76" s="57">
        <f>FROND_NERVURE_Geom!$AA$37</f>
        <v>0</v>
      </c>
      <c r="BF76" s="21">
        <f>FROND_NERVURE_Geom!$AC$36</f>
        <v>0</v>
      </c>
      <c r="BG76" s="52" t="s">
        <v>69</v>
      </c>
      <c r="BH76" s="3"/>
    </row>
    <row r="77" spans="1:60">
      <c r="A77" s="20"/>
      <c r="B77" s="11" t="s">
        <v>82</v>
      </c>
      <c r="C77" s="213" t="s">
        <v>129</v>
      </c>
      <c r="D77" s="6" t="s">
        <v>61</v>
      </c>
      <c r="E77" s="2" t="s">
        <v>635</v>
      </c>
      <c r="F77" s="40" t="s">
        <v>7</v>
      </c>
      <c r="G77" s="46">
        <f>FROND_NERVURE_Geom!$AD$9</f>
        <v>0</v>
      </c>
      <c r="H77" s="72">
        <f>FROND_NERVURE_Geom!$AD$10</f>
        <v>1</v>
      </c>
      <c r="I77" s="54">
        <f>FROND_NERVURE_Geom!$AD$10</f>
        <v>1</v>
      </c>
      <c r="J77" s="76">
        <f>FROND_NERVURE_Geom!$AD$13</f>
        <v>98</v>
      </c>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52" t="s">
        <v>69</v>
      </c>
      <c r="BH77" s="3"/>
    </row>
    <row r="78" spans="1:60">
      <c r="A78" s="20"/>
      <c r="B78" s="11" t="s">
        <v>67</v>
      </c>
      <c r="C78" s="213" t="s">
        <v>725</v>
      </c>
      <c r="D78" s="35" t="s">
        <v>12</v>
      </c>
      <c r="E78" s="9" t="s">
        <v>3</v>
      </c>
      <c r="F78" s="40" t="s">
        <v>6</v>
      </c>
      <c r="G78" s="46">
        <f>FROND_NERVURE_Geom!$AG$9</f>
        <v>1</v>
      </c>
      <c r="H78" s="72">
        <f>FROND_NERVURE_Geom!$AG$10</f>
        <v>5</v>
      </c>
      <c r="I78" s="57">
        <f>FROND_NERVURE_Geom!$AF$13</f>
        <v>0</v>
      </c>
      <c r="J78" s="21">
        <f>FROND_NERVURE_Geom!$AG$13</f>
        <v>0</v>
      </c>
      <c r="K78" s="57">
        <f>FROND_NERVURE_Geom!$AF$14</f>
        <v>44.094863544273622</v>
      </c>
      <c r="L78" s="21">
        <f>FROND_NERVURE_Geom!$AG$14</f>
        <v>13.825371965544246</v>
      </c>
      <c r="M78" s="57">
        <f>FROND_NERVURE_Geom!$AF$15</f>
        <v>62.729909029515746</v>
      </c>
      <c r="N78" s="21">
        <f>FROND_NERVURE_Geom!$AG$15</f>
        <v>17.929063669348245</v>
      </c>
      <c r="O78" s="57">
        <f>FROND_NERVURE_Geom!$AF$16</f>
        <v>81.364954514757869</v>
      </c>
      <c r="P78" s="21">
        <f>FROND_NERVURE_Geom!$AG$16</f>
        <v>51.631949882537192</v>
      </c>
      <c r="Q78" s="57">
        <f>FROND_NERVURE_Geom!$AF$17</f>
        <v>100</v>
      </c>
      <c r="R78" s="21">
        <f>FROND_NERVURE_Geom!$AG$17</f>
        <v>66</v>
      </c>
      <c r="S78" s="57">
        <f>FROND_NERVURE_Geom!$AF$18</f>
        <v>0</v>
      </c>
      <c r="T78" s="21">
        <f>FROND_NERVURE_Geom!$AG$18</f>
        <v>0</v>
      </c>
      <c r="U78" s="57">
        <f>FROND_NERVURE_Geom!$AF$19</f>
        <v>0</v>
      </c>
      <c r="V78" s="21">
        <f>FROND_NERVURE_Geom!$AG$19</f>
        <v>0</v>
      </c>
      <c r="W78" s="57">
        <f>FROND_NERVURE_Geom!$AF$20</f>
        <v>0</v>
      </c>
      <c r="X78" s="21">
        <f>FROND_NERVURE_Geom!$AG$20</f>
        <v>0</v>
      </c>
      <c r="Y78" s="57">
        <f>FROND_NERVURE_Geom!$AF$21</f>
        <v>0</v>
      </c>
      <c r="Z78" s="21">
        <f>FROND_NERVURE_Geom!$AG$21</f>
        <v>0</v>
      </c>
      <c r="AA78" s="57">
        <f>FROND_NERVURE_Geom!$AF$22</f>
        <v>0</v>
      </c>
      <c r="AB78" s="21">
        <f>FROND_NERVURE_Geom!$AG$22</f>
        <v>0</v>
      </c>
      <c r="AC78" s="57">
        <f>FROND_NERVURE_Geom!$AF$23</f>
        <v>0</v>
      </c>
      <c r="AD78" s="21">
        <f>FROND_NERVURE_Geom!$AG$23</f>
        <v>0</v>
      </c>
      <c r="AE78" s="57">
        <f>FROND_NERVURE_Geom!$AF$24</f>
        <v>0</v>
      </c>
      <c r="AF78" s="21">
        <f>FROND_NERVURE_Geom!$AG$24</f>
        <v>0</v>
      </c>
      <c r="AG78" s="57">
        <f>FROND_NERVURE_Geom!$AF$25</f>
        <v>0</v>
      </c>
      <c r="AH78" s="21">
        <f>FROND_NERVURE_Geom!$AG$25</f>
        <v>0</v>
      </c>
      <c r="AI78" s="57">
        <f>FROND_NERVURE_Geom!$AF$26</f>
        <v>0</v>
      </c>
      <c r="AJ78" s="21">
        <f>FROND_NERVURE_Geom!$AG$26</f>
        <v>0</v>
      </c>
      <c r="AK78" s="57">
        <f>FROND_NERVURE_Geom!$AF$27</f>
        <v>0</v>
      </c>
      <c r="AL78" s="21">
        <f>FROND_NERVURE_Geom!$AG$27</f>
        <v>0</v>
      </c>
      <c r="AM78" s="57">
        <f>FROND_NERVURE_Geom!$AF$28</f>
        <v>0</v>
      </c>
      <c r="AN78" s="21">
        <f>FROND_NERVURE_Geom!$AG$28</f>
        <v>0</v>
      </c>
      <c r="AO78" s="57">
        <f>FROND_NERVURE_Geom!$AF$29</f>
        <v>0</v>
      </c>
      <c r="AP78" s="21">
        <f>FROND_NERVURE_Geom!$AG$29</f>
        <v>0</v>
      </c>
      <c r="AQ78" s="57">
        <f>FROND_NERVURE_Geom!$AF$30</f>
        <v>0</v>
      </c>
      <c r="AR78" s="21">
        <f>FROND_NERVURE_Geom!$AG$30</f>
        <v>0</v>
      </c>
      <c r="AS78" s="57">
        <f>FROND_NERVURE_Geom!$AF$31</f>
        <v>0</v>
      </c>
      <c r="AT78" s="21">
        <f>FROND_NERVURE_Geom!$AG$31</f>
        <v>0</v>
      </c>
      <c r="AU78" s="57">
        <f>FROND_NERVURE_Geom!$AF$32</f>
        <v>0</v>
      </c>
      <c r="AV78" s="21">
        <f>FROND_NERVURE_Geom!$AG$32</f>
        <v>0</v>
      </c>
      <c r="AW78" s="57">
        <f>FROND_NERVURE_Geom!$AF$33</f>
        <v>0</v>
      </c>
      <c r="AX78" s="21">
        <f>FROND_NERVURE_Geom!$AG$33</f>
        <v>0</v>
      </c>
      <c r="AY78" s="57">
        <f>FROND_NERVURE_Geom!$AF$34</f>
        <v>0</v>
      </c>
      <c r="AZ78" s="21">
        <f>FROND_NERVURE_Geom!$AG$34</f>
        <v>0</v>
      </c>
      <c r="BA78" s="57">
        <f>FROND_NERVURE_Geom!$AF$35</f>
        <v>0</v>
      </c>
      <c r="BB78" s="21">
        <f>FROND_NERVURE_Geom!$AG$35</f>
        <v>0</v>
      </c>
      <c r="BC78" s="57">
        <f>FROND_NERVURE_Geom!$AF$36</f>
        <v>0</v>
      </c>
      <c r="BD78" s="21">
        <f>FROND_NERVURE_Geom!$AG$36</f>
        <v>0</v>
      </c>
      <c r="BE78" s="57">
        <f>FROND_NERVURE_Geom!$AF$37</f>
        <v>0</v>
      </c>
      <c r="BF78" s="21">
        <f>FROND_NERVURE_Geom!$AG$37</f>
        <v>0</v>
      </c>
      <c r="BG78" s="52" t="s">
        <v>69</v>
      </c>
      <c r="BH78" s="16"/>
    </row>
    <row r="79" spans="1:60">
      <c r="A79" s="20"/>
      <c r="B79" s="11" t="s">
        <v>68</v>
      </c>
      <c r="C79" s="213" t="s">
        <v>726</v>
      </c>
      <c r="D79" s="35" t="s">
        <v>12</v>
      </c>
      <c r="E79" s="9" t="s">
        <v>3</v>
      </c>
      <c r="F79" s="40" t="s">
        <v>6</v>
      </c>
      <c r="G79" s="46">
        <f>FROND_NERVURE_Geom!$AH$9</f>
        <v>1</v>
      </c>
      <c r="H79" s="72">
        <f>FROND_NERVURE_Geom!$AH$10</f>
        <v>5</v>
      </c>
      <c r="I79" s="57">
        <f>FROND_NERVURE_Geom!$AF$13</f>
        <v>0</v>
      </c>
      <c r="J79" s="21">
        <f>FROND_NERVURE_Geom!$AH$13</f>
        <v>0</v>
      </c>
      <c r="K79" s="57">
        <f>FROND_NERVURE_Geom!$AF$14</f>
        <v>44.094863544273622</v>
      </c>
      <c r="L79" s="21">
        <f>FROND_NERVURE_Geom!$AH$14</f>
        <v>0.27152900397563423</v>
      </c>
      <c r="M79" s="57">
        <f>FROND_NERVURE_Geom!$AF$15</f>
        <v>62.729909029515746</v>
      </c>
      <c r="N79" s="21">
        <f>FROND_NERVURE_Geom!$AH$15</f>
        <v>0.67882250993908555</v>
      </c>
      <c r="O79" s="57">
        <f>FROND_NERVURE_Geom!$AF$16</f>
        <v>81.364954514757869</v>
      </c>
      <c r="P79" s="21">
        <f>FROND_NERVURE_Geom!$AH$16</f>
        <v>1.6970562748477138</v>
      </c>
      <c r="Q79" s="57">
        <f>FROND_NERVURE_Geom!$AF$17</f>
        <v>100</v>
      </c>
      <c r="R79" s="21">
        <f>FROND_NERVURE_Geom!$AH$17</f>
        <v>4.2426406871192848</v>
      </c>
      <c r="S79" s="57">
        <f>FROND_NERVURE_Geom!$AF$18</f>
        <v>0</v>
      </c>
      <c r="T79" s="21">
        <f>FROND_NERVURE_Geom!$AH$18</f>
        <v>0</v>
      </c>
      <c r="U79" s="57">
        <f>FROND_NERVURE_Geom!$AF$19</f>
        <v>0</v>
      </c>
      <c r="V79" s="21">
        <f>FROND_NERVURE_Geom!$AH$19</f>
        <v>0</v>
      </c>
      <c r="W79" s="57">
        <f>FROND_NERVURE_Geom!$AF$20</f>
        <v>0</v>
      </c>
      <c r="X79" s="21">
        <f>FROND_NERVURE_Geom!$AH$20</f>
        <v>0</v>
      </c>
      <c r="Y79" s="57">
        <f>FROND_NERVURE_Geom!$AF$21</f>
        <v>0</v>
      </c>
      <c r="Z79" s="21">
        <f>FROND_NERVURE_Geom!$AH$21</f>
        <v>0</v>
      </c>
      <c r="AA79" s="57">
        <f>FROND_NERVURE_Geom!$AF$22</f>
        <v>0</v>
      </c>
      <c r="AB79" s="21">
        <f>FROND_NERVURE_Geom!$AH$22</f>
        <v>0</v>
      </c>
      <c r="AC79" s="57">
        <f>FROND_NERVURE_Geom!$AF$23</f>
        <v>0</v>
      </c>
      <c r="AD79" s="21">
        <f>FROND_NERVURE_Geom!$AH$23</f>
        <v>0</v>
      </c>
      <c r="AE79" s="57">
        <f>FROND_NERVURE_Geom!$AF$24</f>
        <v>0</v>
      </c>
      <c r="AF79" s="21">
        <f>FROND_NERVURE_Geom!$AH$24</f>
        <v>0</v>
      </c>
      <c r="AG79" s="57">
        <f>FROND_NERVURE_Geom!$AF$25</f>
        <v>0</v>
      </c>
      <c r="AH79" s="21">
        <f>FROND_NERVURE_Geom!$AH$25</f>
        <v>0</v>
      </c>
      <c r="AI79" s="57">
        <f>FROND_NERVURE_Geom!$AF$26</f>
        <v>0</v>
      </c>
      <c r="AJ79" s="21">
        <f>FROND_NERVURE_Geom!$AH$26</f>
        <v>0</v>
      </c>
      <c r="AK79" s="57">
        <f>FROND_NERVURE_Geom!$AF$27</f>
        <v>0</v>
      </c>
      <c r="AL79" s="21">
        <f>FROND_NERVURE_Geom!$AH$27</f>
        <v>0</v>
      </c>
      <c r="AM79" s="57">
        <f>FROND_NERVURE_Geom!$AF$28</f>
        <v>0</v>
      </c>
      <c r="AN79" s="21">
        <f>FROND_NERVURE_Geom!$AH$28</f>
        <v>0</v>
      </c>
      <c r="AO79" s="57">
        <f>FROND_NERVURE_Geom!$AF$29</f>
        <v>0</v>
      </c>
      <c r="AP79" s="21">
        <f>FROND_NERVURE_Geom!$AH$29</f>
        <v>0</v>
      </c>
      <c r="AQ79" s="57">
        <f>FROND_NERVURE_Geom!$AF$30</f>
        <v>0</v>
      </c>
      <c r="AR79" s="21">
        <f>FROND_NERVURE_Geom!$AH$30</f>
        <v>0</v>
      </c>
      <c r="AS79" s="57">
        <f>FROND_NERVURE_Geom!$AF$31</f>
        <v>0</v>
      </c>
      <c r="AT79" s="21">
        <f>FROND_NERVURE_Geom!$AH$31</f>
        <v>0</v>
      </c>
      <c r="AU79" s="57">
        <f>FROND_NERVURE_Geom!$AF$32</f>
        <v>0</v>
      </c>
      <c r="AV79" s="21">
        <f>FROND_NERVURE_Geom!$AH$32</f>
        <v>0</v>
      </c>
      <c r="AW79" s="57">
        <f>FROND_NERVURE_Geom!$AF$33</f>
        <v>0</v>
      </c>
      <c r="AX79" s="21">
        <f>FROND_NERVURE_Geom!$AH$33</f>
        <v>0</v>
      </c>
      <c r="AY79" s="57">
        <f>FROND_NERVURE_Geom!$AF$34</f>
        <v>0</v>
      </c>
      <c r="AZ79" s="21">
        <f>FROND_NERVURE_Geom!$AH$34</f>
        <v>0</v>
      </c>
      <c r="BA79" s="57">
        <f>FROND_NERVURE_Geom!$AF$35</f>
        <v>0</v>
      </c>
      <c r="BB79" s="21">
        <f>FROND_NERVURE_Geom!$AH$35</f>
        <v>0</v>
      </c>
      <c r="BC79" s="57">
        <f>FROND_NERVURE_Geom!$AF$36</f>
        <v>0</v>
      </c>
      <c r="BD79" s="21">
        <f>FROND_NERVURE_Geom!$AH$36</f>
        <v>0</v>
      </c>
      <c r="BE79" s="57">
        <f>FROND_NERVURE_Geom!$AF$37</f>
        <v>0</v>
      </c>
      <c r="BF79" s="21">
        <f>FROND_NERVURE_Geom!$AH$37</f>
        <v>0</v>
      </c>
      <c r="BG79" s="52" t="s">
        <v>69</v>
      </c>
      <c r="BH79" s="16"/>
    </row>
    <row r="80" spans="1:60">
      <c r="A80" s="20"/>
      <c r="B80" s="11" t="s">
        <v>657</v>
      </c>
      <c r="C80" s="213" t="s">
        <v>1006</v>
      </c>
      <c r="D80" s="69" t="s">
        <v>12</v>
      </c>
      <c r="E80" s="2" t="s">
        <v>9</v>
      </c>
      <c r="F80" s="40" t="s">
        <v>304</v>
      </c>
      <c r="G80" s="46">
        <f>FROND_NERVURE_Geom!$AJ$9</f>
        <v>1</v>
      </c>
      <c r="H80" s="72">
        <f>FROND_NERVURE_Geom!$AJ$10</f>
        <v>3</v>
      </c>
      <c r="I80" s="76">
        <f>FROND_NERVURE_Geom!$AI$13</f>
        <v>1</v>
      </c>
      <c r="J80" s="264">
        <f>FROND_NERVURE_Geom!$AJ$13</f>
        <v>0.1</v>
      </c>
      <c r="K80" s="76">
        <f>FROND_NERVURE_Geom!$AI$14</f>
        <v>57</v>
      </c>
      <c r="L80" s="264">
        <f>FROND_NERVURE_Geom!$AJ$14</f>
        <v>0.90909090909090906</v>
      </c>
      <c r="M80" s="76">
        <f>FROND_NERVURE_Geom!$AI$15</f>
        <v>83</v>
      </c>
      <c r="N80" s="264">
        <f>FROND_NERVURE_Geom!$AJ$15</f>
        <v>1</v>
      </c>
      <c r="O80" s="76">
        <f>FROND_NERVURE_Geom!$AI$16</f>
        <v>0</v>
      </c>
      <c r="P80" s="264">
        <f>FROND_NERVURE_Geom!$AJ$16</f>
        <v>0</v>
      </c>
      <c r="Q80" s="76">
        <f>FROND_NERVURE_Geom!$AI$17</f>
        <v>0</v>
      </c>
      <c r="R80" s="264">
        <f>FROND_NERVURE_Geom!$AJ$17</f>
        <v>0</v>
      </c>
      <c r="S80" s="76">
        <f>FROND_NERVURE_Geom!$AI$18</f>
        <v>0</v>
      </c>
      <c r="T80" s="264">
        <f>FROND_NERVURE_Geom!$AJ$18</f>
        <v>0</v>
      </c>
      <c r="U80" s="76">
        <f>FROND_NERVURE_Geom!$AI$19</f>
        <v>0</v>
      </c>
      <c r="V80" s="264">
        <f>FROND_NERVURE_Geom!$AJ$19</f>
        <v>0</v>
      </c>
      <c r="W80" s="76">
        <f>FROND_NERVURE_Geom!$AI$20</f>
        <v>0</v>
      </c>
      <c r="X80" s="264">
        <f>FROND_NERVURE_Geom!$AJ$20</f>
        <v>0</v>
      </c>
      <c r="Y80" s="76">
        <f>FROND_NERVURE_Geom!$AI$21</f>
        <v>0</v>
      </c>
      <c r="Z80" s="264">
        <f>FROND_NERVURE_Geom!$AJ$21</f>
        <v>0</v>
      </c>
      <c r="AA80" s="76">
        <f>FROND_NERVURE_Geom!$AI$22</f>
        <v>0</v>
      </c>
      <c r="AB80" s="264">
        <f>FROND_NERVURE_Geom!$AJ$22</f>
        <v>0</v>
      </c>
      <c r="AC80" s="76">
        <f>FROND_NERVURE_Geom!$AI$23</f>
        <v>0</v>
      </c>
      <c r="AD80" s="264">
        <f>FROND_NERVURE_Geom!$AJ$23</f>
        <v>0</v>
      </c>
      <c r="AE80" s="76">
        <f>FROND_NERVURE_Geom!$AI$24</f>
        <v>0</v>
      </c>
      <c r="AF80" s="264">
        <f>FROND_NERVURE_Geom!$AJ$24</f>
        <v>0</v>
      </c>
      <c r="AG80" s="76">
        <f>FROND_NERVURE_Geom!$AI$25</f>
        <v>0</v>
      </c>
      <c r="AH80" s="264">
        <f>FROND_NERVURE_Geom!$AJ$25</f>
        <v>0</v>
      </c>
      <c r="AI80" s="76">
        <f>FROND_NERVURE_Geom!$AI$26</f>
        <v>0</v>
      </c>
      <c r="AJ80" s="264">
        <f>FROND_NERVURE_Geom!$AJ$26</f>
        <v>0</v>
      </c>
      <c r="AK80" s="76">
        <f>FROND_NERVURE_Geom!$AI$27</f>
        <v>0</v>
      </c>
      <c r="AL80" s="264">
        <f>FROND_NERVURE_Geom!$AJ$27</f>
        <v>0</v>
      </c>
      <c r="AM80" s="76">
        <f>FROND_NERVURE_Geom!$AI$28</f>
        <v>0</v>
      </c>
      <c r="AN80" s="264">
        <f>FROND_NERVURE_Geom!$AJ$28</f>
        <v>0</v>
      </c>
      <c r="AO80" s="76">
        <f>FROND_NERVURE_Geom!$AI$29</f>
        <v>0</v>
      </c>
      <c r="AP80" s="264">
        <f>FROND_NERVURE_Geom!$AJ$29</f>
        <v>0</v>
      </c>
      <c r="AQ80" s="76">
        <f>FROND_NERVURE_Geom!$AI$30</f>
        <v>0</v>
      </c>
      <c r="AR80" s="264">
        <f>FROND_NERVURE_Geom!$AJ$30</f>
        <v>0</v>
      </c>
      <c r="AS80" s="76">
        <f>FROND_NERVURE_Geom!$AI$31</f>
        <v>0</v>
      </c>
      <c r="AT80" s="264">
        <f>FROND_NERVURE_Geom!$AJ$31</f>
        <v>0</v>
      </c>
      <c r="AU80" s="76">
        <f>FROND_NERVURE_Geom!$AI$32</f>
        <v>0</v>
      </c>
      <c r="AV80" s="264">
        <f>FROND_NERVURE_Geom!$AJ$32</f>
        <v>0</v>
      </c>
      <c r="AW80" s="76">
        <f>FROND_NERVURE_Geom!$AI$33</f>
        <v>0</v>
      </c>
      <c r="AX80" s="264">
        <f>FROND_NERVURE_Geom!$AJ$33</f>
        <v>0</v>
      </c>
      <c r="AY80" s="76">
        <f>FROND_NERVURE_Geom!$AI$34</f>
        <v>0</v>
      </c>
      <c r="AZ80" s="264">
        <f>FROND_NERVURE_Geom!$AJ$34</f>
        <v>0</v>
      </c>
      <c r="BA80" s="76">
        <f>FROND_NERVURE_Geom!$AI$35</f>
        <v>0</v>
      </c>
      <c r="BB80" s="264">
        <f>FROND_NERVURE_Geom!$AJ$35</f>
        <v>0</v>
      </c>
      <c r="BC80" s="76">
        <f>FROND_NERVURE_Geom!$AI$36</f>
        <v>0</v>
      </c>
      <c r="BD80" s="264">
        <f>FROND_NERVURE_Geom!$AJ$36</f>
        <v>0</v>
      </c>
      <c r="BE80" s="76">
        <f>FROND_NERVURE_Geom!$AI$37</f>
        <v>0</v>
      </c>
      <c r="BF80" s="264">
        <f>FROND_NERVURE_Geom!$AI$37</f>
        <v>0</v>
      </c>
      <c r="BG80" s="52" t="s">
        <v>69</v>
      </c>
      <c r="BH80" s="16"/>
    </row>
    <row r="81" spans="1:60">
      <c r="A81" s="20"/>
      <c r="B81" s="11" t="s">
        <v>65</v>
      </c>
      <c r="C81" s="213" t="s">
        <v>727</v>
      </c>
      <c r="D81" s="35" t="s">
        <v>12</v>
      </c>
      <c r="E81" s="9" t="s">
        <v>3</v>
      </c>
      <c r="F81" s="40" t="s">
        <v>6</v>
      </c>
      <c r="G81" s="46">
        <f>FROND_NERVURE_Geom!$AM$9</f>
        <v>1</v>
      </c>
      <c r="H81" s="72">
        <f>FROND_NERVURE_Geom!$AM$10</f>
        <v>5</v>
      </c>
      <c r="I81" s="57">
        <f>FROND_NERVURE_Geom!$AL$13</f>
        <v>0</v>
      </c>
      <c r="J81" s="21">
        <f>FROND_NERVURE_Geom!$AM$13</f>
        <v>0</v>
      </c>
      <c r="K81" s="57">
        <f>FROND_NERVURE_Geom!$AL$14</f>
        <v>44.690740078655701</v>
      </c>
      <c r="L81" s="21">
        <f>FROND_NERVURE_Geom!$AM$14</f>
        <v>4.3989819890368045</v>
      </c>
      <c r="M81" s="57">
        <f>FROND_NERVURE_Geom!$AL$15</f>
        <v>63.127160052437127</v>
      </c>
      <c r="N81" s="21">
        <f>FROND_NERVURE_Geom!$AM$15</f>
        <v>5.704702076610805</v>
      </c>
      <c r="O81" s="57">
        <f>FROND_NERVURE_Geom!$AL$16</f>
        <v>81.56358002621856</v>
      </c>
      <c r="P81" s="21">
        <f>FROND_NERVURE_Geom!$AM$16</f>
        <v>16.428347689898199</v>
      </c>
      <c r="Q81" s="57">
        <f>FROND_NERVURE_Geom!$AL$17</f>
        <v>100</v>
      </c>
      <c r="R81" s="21">
        <f>FROND_NERVURE_Geom!$AM$17</f>
        <v>21</v>
      </c>
      <c r="S81" s="57">
        <f>FROND_NERVURE_Geom!$AL$18</f>
        <v>0</v>
      </c>
      <c r="T81" s="21">
        <f>FROND_NERVURE_Geom!$AM$18</f>
        <v>0</v>
      </c>
      <c r="U81" s="57">
        <f>FROND_NERVURE_Geom!$AL$19</f>
        <v>0</v>
      </c>
      <c r="V81" s="21">
        <f>FROND_NERVURE_Geom!$AM$19</f>
        <v>0</v>
      </c>
      <c r="W81" s="57">
        <f>FROND_NERVURE_Geom!$AL$20</f>
        <v>0</v>
      </c>
      <c r="X81" s="21">
        <f>FROND_NERVURE_Geom!$AM$20</f>
        <v>0</v>
      </c>
      <c r="Y81" s="57">
        <f>FROND_NERVURE_Geom!$AL$21</f>
        <v>0</v>
      </c>
      <c r="Z81" s="21">
        <f>FROND_NERVURE_Geom!$AM$21</f>
        <v>0</v>
      </c>
      <c r="AA81" s="57">
        <f>FROND_NERVURE_Geom!$AL$22</f>
        <v>0</v>
      </c>
      <c r="AB81" s="21">
        <f>FROND_NERVURE_Geom!$AM$22</f>
        <v>0</v>
      </c>
      <c r="AC81" s="57">
        <f>FROND_NERVURE_Geom!$AL$23</f>
        <v>0</v>
      </c>
      <c r="AD81" s="21">
        <f>FROND_NERVURE_Geom!$AM$23</f>
        <v>0</v>
      </c>
      <c r="AE81" s="57">
        <f>FROND_NERVURE_Geom!$AL$24</f>
        <v>0</v>
      </c>
      <c r="AF81" s="21">
        <f>FROND_NERVURE_Geom!$AM$24</f>
        <v>0</v>
      </c>
      <c r="AG81" s="57">
        <f>FROND_NERVURE_Geom!$AL$25</f>
        <v>0</v>
      </c>
      <c r="AH81" s="21">
        <f>FROND_NERVURE_Geom!$AM$25</f>
        <v>0</v>
      </c>
      <c r="AI81" s="57">
        <f>FROND_NERVURE_Geom!$AL$26</f>
        <v>0</v>
      </c>
      <c r="AJ81" s="21">
        <f>FROND_NERVURE_Geom!$AM$26</f>
        <v>0</v>
      </c>
      <c r="AK81" s="57">
        <f>FROND_NERVURE_Geom!$AL$27</f>
        <v>0</v>
      </c>
      <c r="AL81" s="21">
        <f>FROND_NERVURE_Geom!$AM$27</f>
        <v>0</v>
      </c>
      <c r="AM81" s="57">
        <f>FROND_NERVURE_Geom!$AL$28</f>
        <v>0</v>
      </c>
      <c r="AN81" s="21">
        <f>FROND_NERVURE_Geom!$AM$28</f>
        <v>0</v>
      </c>
      <c r="AO81" s="57">
        <f>FROND_NERVURE_Geom!$AL$29</f>
        <v>0</v>
      </c>
      <c r="AP81" s="21">
        <f>FROND_NERVURE_Geom!$AM$29</f>
        <v>0</v>
      </c>
      <c r="AQ81" s="57">
        <f>FROND_NERVURE_Geom!$AL$30</f>
        <v>0</v>
      </c>
      <c r="AR81" s="21">
        <f>FROND_NERVURE_Geom!$AM$30</f>
        <v>0</v>
      </c>
      <c r="AS81" s="57">
        <f>FROND_NERVURE_Geom!$AL$31</f>
        <v>0</v>
      </c>
      <c r="AT81" s="21">
        <f>FROND_NERVURE_Geom!$AM$31</f>
        <v>0</v>
      </c>
      <c r="AU81" s="57">
        <f>FROND_NERVURE_Geom!$AL$32</f>
        <v>0</v>
      </c>
      <c r="AV81" s="21">
        <f>FROND_NERVURE_Geom!$AM$32</f>
        <v>0</v>
      </c>
      <c r="AW81" s="57">
        <f>FROND_NERVURE_Geom!$AL$33</f>
        <v>0</v>
      </c>
      <c r="AX81" s="21">
        <f>FROND_NERVURE_Geom!$AM$33</f>
        <v>0</v>
      </c>
      <c r="AY81" s="57">
        <f>FROND_NERVURE_Geom!$AL$34</f>
        <v>0</v>
      </c>
      <c r="AZ81" s="21">
        <f>FROND_NERVURE_Geom!$AM$34</f>
        <v>0</v>
      </c>
      <c r="BA81" s="57">
        <f>FROND_NERVURE_Geom!$AL$35</f>
        <v>0</v>
      </c>
      <c r="BB81" s="21">
        <f>FROND_NERVURE_Geom!$AM$35</f>
        <v>0</v>
      </c>
      <c r="BC81" s="57">
        <f>FROND_NERVURE_Geom!$AL$36</f>
        <v>0</v>
      </c>
      <c r="BD81" s="21">
        <f>FROND_NERVURE_Geom!$AM$36</f>
        <v>0</v>
      </c>
      <c r="BE81" s="57">
        <f>FROND_NERVURE_Geom!$AL$37</f>
        <v>0</v>
      </c>
      <c r="BF81" s="21">
        <f>FROND_NERVURE_Geom!$AM$37</f>
        <v>0</v>
      </c>
      <c r="BG81" s="52" t="s">
        <v>69</v>
      </c>
      <c r="BH81" s="16"/>
    </row>
    <row r="82" spans="1:60">
      <c r="A82" s="20"/>
      <c r="B82" s="11" t="s">
        <v>66</v>
      </c>
      <c r="C82" s="213" t="s">
        <v>728</v>
      </c>
      <c r="D82" s="35" t="s">
        <v>12</v>
      </c>
      <c r="E82" s="9" t="s">
        <v>3</v>
      </c>
      <c r="F82" s="40" t="s">
        <v>6</v>
      </c>
      <c r="G82" s="46">
        <f>FROND_NERVURE_Geom!$AN$9</f>
        <v>1</v>
      </c>
      <c r="H82" s="72">
        <f>FROND_NERVURE_Geom!$AN$10</f>
        <v>5</v>
      </c>
      <c r="I82" s="57">
        <f>FROND_NERVURE_Geom!$AL$13</f>
        <v>0</v>
      </c>
      <c r="J82" s="21">
        <f>FROND_NERVURE_Geom!$AN$13</f>
        <v>0</v>
      </c>
      <c r="K82" s="57">
        <f>FROND_NERVURE_Geom!$AL$14</f>
        <v>44.690740078655701</v>
      </c>
      <c r="L82" s="21">
        <f>FROND_NERVURE_Geom!$AN$14</f>
        <v>0.18101933598375619</v>
      </c>
      <c r="M82" s="57">
        <f>FROND_NERVURE_Geom!$AL$15</f>
        <v>63.127160052437127</v>
      </c>
      <c r="N82" s="21">
        <f>FROND_NERVURE_Geom!$AN$15</f>
        <v>0.45254833995939042</v>
      </c>
      <c r="O82" s="57">
        <f>FROND_NERVURE_Geom!$AL$16</f>
        <v>81.56358002621856</v>
      </c>
      <c r="P82" s="21">
        <f>FROND_NERVURE_Geom!$AN$16</f>
        <v>1.131370849898476</v>
      </c>
      <c r="Q82" s="57">
        <f>FROND_NERVURE_Geom!$AL$17</f>
        <v>100</v>
      </c>
      <c r="R82" s="21">
        <f>FROND_NERVURE_Geom!$AN$17</f>
        <v>2.8284271247461903</v>
      </c>
      <c r="S82" s="57">
        <f>FROND_NERVURE_Geom!$AL$18</f>
        <v>0</v>
      </c>
      <c r="T82" s="21">
        <f>FROND_NERVURE_Geom!$AN$18</f>
        <v>0</v>
      </c>
      <c r="U82" s="57">
        <f>FROND_NERVURE_Geom!$AL$19</f>
        <v>0</v>
      </c>
      <c r="V82" s="21">
        <f>FROND_NERVURE_Geom!$AN$19</f>
        <v>0</v>
      </c>
      <c r="W82" s="57">
        <f>FROND_NERVURE_Geom!$AL$20</f>
        <v>0</v>
      </c>
      <c r="X82" s="21">
        <f>FROND_NERVURE_Geom!$AN$20</f>
        <v>0</v>
      </c>
      <c r="Y82" s="57">
        <f>FROND_NERVURE_Geom!$AL$21</f>
        <v>0</v>
      </c>
      <c r="Z82" s="21">
        <f>FROND_NERVURE_Geom!$AN$21</f>
        <v>0</v>
      </c>
      <c r="AA82" s="57">
        <f>FROND_NERVURE_Geom!$AL$22</f>
        <v>0</v>
      </c>
      <c r="AB82" s="21">
        <f>FROND_NERVURE_Geom!$AN$22</f>
        <v>0</v>
      </c>
      <c r="AC82" s="57">
        <f>FROND_NERVURE_Geom!$AL$23</f>
        <v>0</v>
      </c>
      <c r="AD82" s="21">
        <f>FROND_NERVURE_Geom!$AN$23</f>
        <v>0</v>
      </c>
      <c r="AE82" s="57">
        <f>FROND_NERVURE_Geom!$AL$24</f>
        <v>0</v>
      </c>
      <c r="AF82" s="21">
        <f>FROND_NERVURE_Geom!$AN$24</f>
        <v>0</v>
      </c>
      <c r="AG82" s="57">
        <f>FROND_NERVURE_Geom!$AL$25</f>
        <v>0</v>
      </c>
      <c r="AH82" s="21">
        <f>FROND_NERVURE_Geom!$AN$25</f>
        <v>0</v>
      </c>
      <c r="AI82" s="57">
        <f>FROND_NERVURE_Geom!$AL$26</f>
        <v>0</v>
      </c>
      <c r="AJ82" s="21">
        <f>FROND_NERVURE_Geom!$AN$26</f>
        <v>0</v>
      </c>
      <c r="AK82" s="57">
        <f>FROND_NERVURE_Geom!$AL$27</f>
        <v>0</v>
      </c>
      <c r="AL82" s="21">
        <f>FROND_NERVURE_Geom!$AN$27</f>
        <v>0</v>
      </c>
      <c r="AM82" s="57">
        <f>FROND_NERVURE_Geom!$AL$28</f>
        <v>0</v>
      </c>
      <c r="AN82" s="21">
        <f>FROND_NERVURE_Geom!$AN$28</f>
        <v>0</v>
      </c>
      <c r="AO82" s="57">
        <f>FROND_NERVURE_Geom!$AL$29</f>
        <v>0</v>
      </c>
      <c r="AP82" s="21">
        <f>FROND_NERVURE_Geom!$AN$29</f>
        <v>0</v>
      </c>
      <c r="AQ82" s="57">
        <f>FROND_NERVURE_Geom!$AL$30</f>
        <v>0</v>
      </c>
      <c r="AR82" s="21">
        <f>FROND_NERVURE_Geom!$AN$30</f>
        <v>0</v>
      </c>
      <c r="AS82" s="57">
        <f>FROND_NERVURE_Geom!$AL$31</f>
        <v>0</v>
      </c>
      <c r="AT82" s="21">
        <f>FROND_NERVURE_Geom!$AN$31</f>
        <v>0</v>
      </c>
      <c r="AU82" s="57">
        <f>FROND_NERVURE_Geom!$AL$32</f>
        <v>0</v>
      </c>
      <c r="AV82" s="21">
        <f>FROND_NERVURE_Geom!$AN$32</f>
        <v>0</v>
      </c>
      <c r="AW82" s="57">
        <f>FROND_NERVURE_Geom!$AL$33</f>
        <v>0</v>
      </c>
      <c r="AX82" s="21">
        <f>FROND_NERVURE_Geom!$AN$33</f>
        <v>0</v>
      </c>
      <c r="AY82" s="57">
        <f>FROND_NERVURE_Geom!$AL$34</f>
        <v>0</v>
      </c>
      <c r="AZ82" s="21">
        <f>FROND_NERVURE_Geom!$AN$34</f>
        <v>0</v>
      </c>
      <c r="BA82" s="57">
        <f>FROND_NERVURE_Geom!$AL$35</f>
        <v>0</v>
      </c>
      <c r="BB82" s="21">
        <f>FROND_NERVURE_Geom!$AN$35</f>
        <v>0</v>
      </c>
      <c r="BC82" s="57">
        <f>FROND_NERVURE_Geom!$AL$36</f>
        <v>0</v>
      </c>
      <c r="BD82" s="21">
        <f>FROND_NERVURE_Geom!$AN$36</f>
        <v>0</v>
      </c>
      <c r="BE82" s="57">
        <f>FROND_NERVURE_Geom!$AL$37</f>
        <v>0</v>
      </c>
      <c r="BF82" s="21">
        <f>FROND_NERVURE_Geom!$AN$37</f>
        <v>0</v>
      </c>
      <c r="BG82" s="52" t="s">
        <v>69</v>
      </c>
      <c r="BH82" s="16"/>
    </row>
    <row r="83" spans="1:60">
      <c r="A83" s="20"/>
      <c r="B83" s="11" t="s">
        <v>658</v>
      </c>
      <c r="C83" s="213" t="s">
        <v>1007</v>
      </c>
      <c r="D83" s="69" t="s">
        <v>12</v>
      </c>
      <c r="E83" s="2" t="s">
        <v>9</v>
      </c>
      <c r="F83" s="40" t="s">
        <v>304</v>
      </c>
      <c r="G83" s="46">
        <f>FROND_NERVURE_Geom!$AP$9</f>
        <v>1</v>
      </c>
      <c r="H83" s="72">
        <f>FROND_NERVURE_Geom!$AP$10</f>
        <v>3</v>
      </c>
      <c r="I83" s="76">
        <f>FROND_NERVURE_Geom!$AO$13</f>
        <v>1</v>
      </c>
      <c r="J83" s="264">
        <f>FROND_NERVURE_Geom!$AP$13</f>
        <v>0.5</v>
      </c>
      <c r="K83" s="76">
        <f>FROND_NERVURE_Geom!$AO$14</f>
        <v>57</v>
      </c>
      <c r="L83" s="264">
        <f>FROND_NERVURE_Geom!$AP$14</f>
        <v>0.80952380952380953</v>
      </c>
      <c r="M83" s="76">
        <f>FROND_NERVURE_Geom!$AO$15</f>
        <v>83</v>
      </c>
      <c r="N83" s="264">
        <f>FROND_NERVURE_Geom!$AP$15</f>
        <v>1</v>
      </c>
      <c r="O83" s="76">
        <f>FROND_NERVURE_Geom!$AO$16</f>
        <v>0</v>
      </c>
      <c r="P83" s="264">
        <f>FROND_NERVURE_Geom!$AP$16</f>
        <v>0</v>
      </c>
      <c r="Q83" s="76">
        <f>FROND_NERVURE_Geom!$AO$17</f>
        <v>0</v>
      </c>
      <c r="R83" s="264">
        <f>FROND_NERVURE_Geom!$AP$17</f>
        <v>0</v>
      </c>
      <c r="S83" s="76">
        <f>FROND_NERVURE_Geom!$AO$18</f>
        <v>0</v>
      </c>
      <c r="T83" s="264">
        <f>FROND_NERVURE_Geom!$AP$18</f>
        <v>0</v>
      </c>
      <c r="U83" s="76">
        <f>FROND_NERVURE_Geom!$AO$19</f>
        <v>0</v>
      </c>
      <c r="V83" s="264">
        <f>FROND_NERVURE_Geom!$AP$19</f>
        <v>0</v>
      </c>
      <c r="W83" s="76">
        <f>FROND_NERVURE_Geom!$AO$20</f>
        <v>0</v>
      </c>
      <c r="X83" s="264">
        <f>FROND_NERVURE_Geom!$AP$20</f>
        <v>0</v>
      </c>
      <c r="Y83" s="76">
        <f>FROND_NERVURE_Geom!$AO$21</f>
        <v>0</v>
      </c>
      <c r="Z83" s="264">
        <f>FROND_NERVURE_Geom!$AP$21</f>
        <v>0</v>
      </c>
      <c r="AA83" s="76">
        <f>FROND_NERVURE_Geom!$AO$22</f>
        <v>0</v>
      </c>
      <c r="AB83" s="264">
        <f>FROND_NERVURE_Geom!$AP$22</f>
        <v>0</v>
      </c>
      <c r="AC83" s="76">
        <f>FROND_NERVURE_Geom!$AO$23</f>
        <v>0</v>
      </c>
      <c r="AD83" s="264">
        <f>FROND_NERVURE_Geom!$AP$23</f>
        <v>0</v>
      </c>
      <c r="AE83" s="76">
        <f>FROND_NERVURE_Geom!$AO$24</f>
        <v>0</v>
      </c>
      <c r="AF83" s="264">
        <f>FROND_NERVURE_Geom!$AP$24</f>
        <v>0</v>
      </c>
      <c r="AG83" s="76">
        <f>FROND_NERVURE_Geom!$AO$25</f>
        <v>0</v>
      </c>
      <c r="AH83" s="264">
        <f>FROND_NERVURE_Geom!$AP$25</f>
        <v>0</v>
      </c>
      <c r="AI83" s="76">
        <f>FROND_NERVURE_Geom!$AO$26</f>
        <v>0</v>
      </c>
      <c r="AJ83" s="264">
        <f>FROND_NERVURE_Geom!$AP$26</f>
        <v>0</v>
      </c>
      <c r="AK83" s="76">
        <f>FROND_NERVURE_Geom!$AO$27</f>
        <v>0</v>
      </c>
      <c r="AL83" s="264">
        <f>FROND_NERVURE_Geom!$AP$27</f>
        <v>0</v>
      </c>
      <c r="AM83" s="76">
        <f>FROND_NERVURE_Geom!$AO$28</f>
        <v>0</v>
      </c>
      <c r="AN83" s="264">
        <f>FROND_NERVURE_Geom!$AP$28</f>
        <v>0</v>
      </c>
      <c r="AO83" s="76">
        <f>FROND_NERVURE_Geom!$AO$29</f>
        <v>0</v>
      </c>
      <c r="AP83" s="264">
        <f>FROND_NERVURE_Geom!$AP$29</f>
        <v>0</v>
      </c>
      <c r="AQ83" s="76">
        <f>FROND_NERVURE_Geom!$AO$30</f>
        <v>0</v>
      </c>
      <c r="AR83" s="264">
        <f>FROND_NERVURE_Geom!$AP$30</f>
        <v>0</v>
      </c>
      <c r="AS83" s="76">
        <f>FROND_NERVURE_Geom!$AO$31</f>
        <v>0</v>
      </c>
      <c r="AT83" s="264">
        <f>FROND_NERVURE_Geom!$AP$31</f>
        <v>0</v>
      </c>
      <c r="AU83" s="76">
        <f>FROND_NERVURE_Geom!$AO$32</f>
        <v>0</v>
      </c>
      <c r="AV83" s="264">
        <f>FROND_NERVURE_Geom!$AP$32</f>
        <v>0</v>
      </c>
      <c r="AW83" s="76">
        <f>FROND_NERVURE_Geom!$AO$33</f>
        <v>0</v>
      </c>
      <c r="AX83" s="264">
        <f>FROND_NERVURE_Geom!$AP$33</f>
        <v>0</v>
      </c>
      <c r="AY83" s="76">
        <f>FROND_NERVURE_Geom!$AO$34</f>
        <v>0</v>
      </c>
      <c r="AZ83" s="264">
        <f>FROND_NERVURE_Geom!$AP$34</f>
        <v>0</v>
      </c>
      <c r="BA83" s="76">
        <f>FROND_NERVURE_Geom!$AO$35</f>
        <v>0</v>
      </c>
      <c r="BB83" s="264">
        <f>FROND_NERVURE_Geom!$AP$35</f>
        <v>0</v>
      </c>
      <c r="BC83" s="76">
        <f>FROND_NERVURE_Geom!$AO$36</f>
        <v>0</v>
      </c>
      <c r="BD83" s="264">
        <f>FROND_NERVURE_Geom!$AP$36</f>
        <v>0</v>
      </c>
      <c r="BE83" s="76">
        <f>FROND_NERVURE_Geom!$AO$37</f>
        <v>0</v>
      </c>
      <c r="BF83" s="264">
        <f>FROND_NERVURE_Geom!$AP$37</f>
        <v>0</v>
      </c>
      <c r="BG83" s="52" t="s">
        <v>69</v>
      </c>
    </row>
    <row r="84" spans="1:60" s="65" customFormat="1" ht="18.75">
      <c r="A84" s="21" t="s">
        <v>69</v>
      </c>
      <c r="B84" s="61"/>
      <c r="C84" s="62" t="s">
        <v>439</v>
      </c>
      <c r="D84" s="62"/>
      <c r="E84" s="62"/>
      <c r="F84" s="62"/>
      <c r="G84" s="62"/>
      <c r="H84" s="67"/>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52" t="s">
        <v>69</v>
      </c>
      <c r="BH84" s="64"/>
    </row>
    <row r="85" spans="1:60">
      <c r="A85" s="20"/>
      <c r="B85" s="11" t="s">
        <v>134</v>
      </c>
      <c r="C85" s="2" t="s">
        <v>168</v>
      </c>
      <c r="D85" s="7" t="s">
        <v>12</v>
      </c>
      <c r="E85" s="2" t="s">
        <v>635</v>
      </c>
      <c r="F85" s="40" t="s">
        <v>7</v>
      </c>
      <c r="G85" s="46">
        <f>FROND_Prod!$G$9</f>
        <v>0</v>
      </c>
      <c r="H85" s="72">
        <f>FROND_Prod!$G$10</f>
        <v>1</v>
      </c>
      <c r="I85" s="56">
        <f>FROND_Prod!$F$13</f>
        <v>1</v>
      </c>
      <c r="J85" s="88">
        <f>FROND_Prod!$G$13</f>
        <v>999</v>
      </c>
      <c r="K85" s="56">
        <f>FROND_Prod!$F$14</f>
        <v>0</v>
      </c>
      <c r="L85" s="88">
        <f>FROND_Prod!$G$14</f>
        <v>0</v>
      </c>
      <c r="M85" s="56">
        <f>FROND_Prod!$F$15</f>
        <v>0</v>
      </c>
      <c r="N85" s="88">
        <f>FROND_Prod!$G$15</f>
        <v>0</v>
      </c>
      <c r="O85" s="56">
        <f>FROND_Prod!$F$16</f>
        <v>0</v>
      </c>
      <c r="P85" s="88">
        <f>FROND_Prod!$G$16</f>
        <v>0</v>
      </c>
      <c r="Q85" s="56">
        <f>FROND_Prod!$F$17</f>
        <v>0</v>
      </c>
      <c r="R85" s="88">
        <f>FROND_Prod!$G$17</f>
        <v>0</v>
      </c>
      <c r="S85" s="56">
        <f>FROND_Prod!$F$18</f>
        <v>0</v>
      </c>
      <c r="T85" s="88">
        <f>FROND_Prod!$G$18</f>
        <v>0</v>
      </c>
      <c r="U85" s="56">
        <f>FROND_Prod!$F$19</f>
        <v>0</v>
      </c>
      <c r="V85" s="88">
        <f>FROND_Prod!$G$19</f>
        <v>0</v>
      </c>
      <c r="W85" s="56">
        <f>FROND_Prod!$F$20</f>
        <v>0</v>
      </c>
      <c r="X85" s="88">
        <f>FROND_Prod!$G$20</f>
        <v>0</v>
      </c>
      <c r="Y85" s="56">
        <f>FROND_Prod!$F$21</f>
        <v>0</v>
      </c>
      <c r="Z85" s="88">
        <f>FROND_Prod!$G$21</f>
        <v>0</v>
      </c>
      <c r="AA85" s="56">
        <f>FROND_Prod!$F$22</f>
        <v>0</v>
      </c>
      <c r="AB85" s="88">
        <f>FROND_Prod!$G$22</f>
        <v>0</v>
      </c>
      <c r="AC85" s="56">
        <f>FROND_Prod!$F$23</f>
        <v>0</v>
      </c>
      <c r="AD85" s="88">
        <f>FROND_Prod!$G$23</f>
        <v>0</v>
      </c>
      <c r="AE85" s="56">
        <f>FROND_Prod!$F$24</f>
        <v>0</v>
      </c>
      <c r="AF85" s="88">
        <f>FROND_Prod!$G$24</f>
        <v>0</v>
      </c>
      <c r="AG85" s="56">
        <f>FROND_Prod!$F$25</f>
        <v>0</v>
      </c>
      <c r="AH85" s="88">
        <f>FROND_Prod!$G$25</f>
        <v>0</v>
      </c>
      <c r="AI85" s="56">
        <f>FROND_Prod!$F$26</f>
        <v>0</v>
      </c>
      <c r="AJ85" s="88">
        <f>FROND_Prod!$G$26</f>
        <v>0</v>
      </c>
      <c r="AK85" s="56">
        <f>FROND_Prod!$F$27</f>
        <v>0</v>
      </c>
      <c r="AL85" s="88">
        <f>FROND_Prod!$G$27</f>
        <v>0</v>
      </c>
      <c r="AM85" s="56">
        <f>FROND_Prod!$F$28</f>
        <v>0</v>
      </c>
      <c r="AN85" s="88">
        <f>FROND_Prod!$G$28</f>
        <v>0</v>
      </c>
      <c r="AO85" s="56">
        <f>FROND_Prod!$F$29</f>
        <v>0</v>
      </c>
      <c r="AP85" s="88">
        <f>FROND_Prod!$G$29</f>
        <v>0</v>
      </c>
      <c r="AQ85" s="56">
        <f>FROND_Prod!$F$30</f>
        <v>0</v>
      </c>
      <c r="AR85" s="88">
        <f>FROND_Prod!$G$30</f>
        <v>0</v>
      </c>
      <c r="AS85" s="56">
        <f>FROND_Prod!$F$31</f>
        <v>0</v>
      </c>
      <c r="AT85" s="88">
        <f>FROND_Prod!$G$31</f>
        <v>0</v>
      </c>
      <c r="AU85" s="56">
        <f>FROND_Prod!$F$32</f>
        <v>0</v>
      </c>
      <c r="AV85" s="88">
        <f>FROND_Prod!$G$32</f>
        <v>0</v>
      </c>
      <c r="AW85" s="56">
        <f>FROND_Prod!$F$33</f>
        <v>0</v>
      </c>
      <c r="AX85" s="88">
        <f>FROND_Prod!$G$33</f>
        <v>0</v>
      </c>
      <c r="AY85" s="56">
        <f>FROND_Prod!$F$34</f>
        <v>0</v>
      </c>
      <c r="AZ85" s="88">
        <f>FROND_Prod!$G$34</f>
        <v>0</v>
      </c>
      <c r="BA85" s="56">
        <f>FROND_Prod!$F$35</f>
        <v>0</v>
      </c>
      <c r="BB85" s="88">
        <f>FROND_Prod!$G$35</f>
        <v>0</v>
      </c>
      <c r="BC85" s="56">
        <f>FROND_Prod!$F$36</f>
        <v>0</v>
      </c>
      <c r="BD85" s="88">
        <f>FROND_Prod!$G$36</f>
        <v>0</v>
      </c>
      <c r="BE85" s="56">
        <f>FROND_Prod!$F$37</f>
        <v>0</v>
      </c>
      <c r="BF85" s="88">
        <f>FROND_Prod!$G$37</f>
        <v>0</v>
      </c>
      <c r="BG85" s="52" t="s">
        <v>69</v>
      </c>
      <c r="BH85" s="16"/>
    </row>
    <row r="86" spans="1:60">
      <c r="A86" s="20"/>
      <c r="B86" s="11" t="s">
        <v>32</v>
      </c>
      <c r="C86" s="2" t="s">
        <v>169</v>
      </c>
      <c r="D86" s="7" t="s">
        <v>12</v>
      </c>
      <c r="E86" s="9" t="s">
        <v>0</v>
      </c>
      <c r="F86" s="40" t="s">
        <v>7</v>
      </c>
      <c r="G86" s="46">
        <f>FROND_NERVURE_Geom!$F$9</f>
        <v>1</v>
      </c>
      <c r="H86" s="72">
        <f>FROND_NERVURE_Geom!$F$10</f>
        <v>5</v>
      </c>
      <c r="I86" s="334">
        <f>FROND_NERVURE_Geom!$C$13</f>
        <v>1</v>
      </c>
      <c r="J86" s="21">
        <f>FROND_NERVURE_Geom!$F$13</f>
        <v>4</v>
      </c>
      <c r="K86" s="334">
        <f>FROND_NERVURE_Geom!$C$14</f>
        <v>28</v>
      </c>
      <c r="L86" s="21">
        <f>FROND_NERVURE_Geom!$F$14</f>
        <v>6</v>
      </c>
      <c r="M86" s="334">
        <f>FROND_NERVURE_Geom!$C$15</f>
        <v>114</v>
      </c>
      <c r="N86" s="21">
        <f>FROND_NERVURE_Geom!$F$15</f>
        <v>8</v>
      </c>
      <c r="O86" s="334">
        <f>FROND_NERVURE_Geom!$C$16</f>
        <v>124</v>
      </c>
      <c r="P86" s="21">
        <f>FROND_NERVURE_Geom!$F$16</f>
        <v>10</v>
      </c>
      <c r="Q86" s="334">
        <f>FROND_NERVURE_Geom!$C$17</f>
        <v>295</v>
      </c>
      <c r="R86" s="21">
        <f>FROND_NERVURE_Geom!$F$17</f>
        <v>5</v>
      </c>
      <c r="S86" s="334">
        <f>FROND_NERVURE_Geom!$C$18</f>
        <v>0</v>
      </c>
      <c r="T86" s="21">
        <f>FROND_NERVURE_Geom!$F$18</f>
        <v>0</v>
      </c>
      <c r="U86" s="334">
        <f>FROND_NERVURE_Geom!$C$19</f>
        <v>0</v>
      </c>
      <c r="V86" s="21">
        <f>FROND_NERVURE_Geom!$F$19</f>
        <v>0</v>
      </c>
      <c r="W86" s="334">
        <f>FROND_NERVURE_Geom!$C$20</f>
        <v>0</v>
      </c>
      <c r="X86" s="21">
        <f>FROND_NERVURE_Geom!$F$20</f>
        <v>0</v>
      </c>
      <c r="Y86" s="334">
        <f>FROND_NERVURE_Geom!$C$21</f>
        <v>0</v>
      </c>
      <c r="Z86" s="21">
        <f>FROND_NERVURE_Geom!$F$21</f>
        <v>0</v>
      </c>
      <c r="AA86" s="334">
        <f>FROND_NERVURE_Geom!$C$22</f>
        <v>0</v>
      </c>
      <c r="AB86" s="21">
        <f>FROND_NERVURE_Geom!$F$22</f>
        <v>0</v>
      </c>
      <c r="AC86" s="334">
        <f>FROND_NERVURE_Geom!$C$23</f>
        <v>0</v>
      </c>
      <c r="AD86" s="21">
        <f>FROND_NERVURE_Geom!$F$23</f>
        <v>0</v>
      </c>
      <c r="AE86" s="334">
        <f>FROND_NERVURE_Geom!$C$24</f>
        <v>0</v>
      </c>
      <c r="AF86" s="21">
        <f>FROND_NERVURE_Geom!$F$24</f>
        <v>0</v>
      </c>
      <c r="AG86" s="334">
        <f>FROND_NERVURE_Geom!$C$25</f>
        <v>0</v>
      </c>
      <c r="AH86" s="21">
        <f>FROND_NERVURE_Geom!$F$25</f>
        <v>0</v>
      </c>
      <c r="AI86" s="334">
        <f>FROND_NERVURE_Geom!$C$26</f>
        <v>0</v>
      </c>
      <c r="AJ86" s="21">
        <f>FROND_NERVURE_Geom!$F$26</f>
        <v>0</v>
      </c>
      <c r="AK86" s="334">
        <f>FROND_NERVURE_Geom!$C$27</f>
        <v>0</v>
      </c>
      <c r="AL86" s="21">
        <f>FROND_NERVURE_Geom!$F$27</f>
        <v>0</v>
      </c>
      <c r="AM86" s="334">
        <f>FROND_NERVURE_Geom!$C$28</f>
        <v>0</v>
      </c>
      <c r="AN86" s="21">
        <f>FROND_NERVURE_Geom!$F$28</f>
        <v>0</v>
      </c>
      <c r="AO86" s="334">
        <f>FROND_NERVURE_Geom!$C$29</f>
        <v>0</v>
      </c>
      <c r="AP86" s="21">
        <f>FROND_NERVURE_Geom!$F$29</f>
        <v>0</v>
      </c>
      <c r="AQ86" s="334">
        <f>FROND_NERVURE_Geom!$C$30</f>
        <v>0</v>
      </c>
      <c r="AR86" s="21">
        <f>FROND_NERVURE_Geom!$F$30</f>
        <v>0</v>
      </c>
      <c r="AS86" s="334">
        <f>FROND_NERVURE_Geom!$C$31</f>
        <v>0</v>
      </c>
      <c r="AT86" s="21">
        <f>FROND_NERVURE_Geom!$F$31</f>
        <v>0</v>
      </c>
      <c r="AU86" s="334">
        <f>FROND_NERVURE_Geom!$C$32</f>
        <v>0</v>
      </c>
      <c r="AV86" s="21">
        <f>FROND_NERVURE_Geom!$F$32</f>
        <v>0</v>
      </c>
      <c r="AW86" s="334">
        <f>FROND_NERVURE_Geom!$C$33</f>
        <v>0</v>
      </c>
      <c r="AX86" s="21">
        <f>FROND_NERVURE_Geom!$F$33</f>
        <v>0</v>
      </c>
      <c r="AY86" s="334">
        <f>FROND_NERVURE_Geom!$C$34</f>
        <v>0</v>
      </c>
      <c r="AZ86" s="21">
        <f>FROND_NERVURE_Geom!$F$34</f>
        <v>0</v>
      </c>
      <c r="BA86" s="334">
        <f>FROND_NERVURE_Geom!$C$35</f>
        <v>0</v>
      </c>
      <c r="BB86" s="21">
        <f>FROND_NERVURE_Geom!$F$35</f>
        <v>0</v>
      </c>
      <c r="BC86" s="334">
        <f>FROND_NERVURE_Geom!$C$36</f>
        <v>0</v>
      </c>
      <c r="BD86" s="21">
        <f>FROND_NERVURE_Geom!$F$36</f>
        <v>0</v>
      </c>
      <c r="BE86" s="334">
        <f>FROND_NERVURE_Geom!$C$37</f>
        <v>0</v>
      </c>
      <c r="BF86" s="21">
        <f>FROND_NERVURE_Geom!$F$37</f>
        <v>0</v>
      </c>
      <c r="BG86" s="52" t="s">
        <v>69</v>
      </c>
      <c r="BH86" s="16"/>
    </row>
    <row r="87" spans="1:60">
      <c r="A87" s="20"/>
      <c r="B87" s="11" t="s">
        <v>33</v>
      </c>
      <c r="C87" s="2" t="s">
        <v>170</v>
      </c>
      <c r="D87" s="7" t="s">
        <v>12</v>
      </c>
      <c r="E87" s="9" t="s">
        <v>0</v>
      </c>
      <c r="F87" s="40" t="s">
        <v>7</v>
      </c>
      <c r="G87" s="46">
        <f>FROND_NERVURE_Geom!$G$9</f>
        <v>1</v>
      </c>
      <c r="H87" s="72">
        <f>FROND_NERVURE_Geom!$G$10</f>
        <v>5</v>
      </c>
      <c r="I87" s="334">
        <f>FROND_NERVURE_Geom!$C$13</f>
        <v>1</v>
      </c>
      <c r="J87" s="21">
        <f>FROND_NERVURE_Geom!$G$13</f>
        <v>0.4</v>
      </c>
      <c r="K87" s="334">
        <f>FROND_NERVURE_Geom!$C$14</f>
        <v>28</v>
      </c>
      <c r="L87" s="21">
        <f>FROND_NERVURE_Geom!$G$14</f>
        <v>0.6</v>
      </c>
      <c r="M87" s="334">
        <f>FROND_NERVURE_Geom!$C$15</f>
        <v>114</v>
      </c>
      <c r="N87" s="21">
        <f>FROND_NERVURE_Geom!$G$15</f>
        <v>0.8</v>
      </c>
      <c r="O87" s="334">
        <f>FROND_NERVURE_Geom!$C$16</f>
        <v>124</v>
      </c>
      <c r="P87" s="21">
        <f>FROND_NERVURE_Geom!$G$16</f>
        <v>1</v>
      </c>
      <c r="Q87" s="334">
        <f>FROND_NERVURE_Geom!$C$17</f>
        <v>295</v>
      </c>
      <c r="R87" s="21">
        <f>FROND_NERVURE_Geom!$G$17</f>
        <v>0.5</v>
      </c>
      <c r="S87" s="334">
        <f>FROND_NERVURE_Geom!$C$18</f>
        <v>0</v>
      </c>
      <c r="T87" s="21">
        <f>FROND_NERVURE_Geom!$G$18</f>
        <v>0</v>
      </c>
      <c r="U87" s="334">
        <f>FROND_NERVURE_Geom!$C$19</f>
        <v>0</v>
      </c>
      <c r="V87" s="21">
        <f>FROND_NERVURE_Geom!$G$19</f>
        <v>0</v>
      </c>
      <c r="W87" s="334">
        <f>FROND_NERVURE_Geom!$C$20</f>
        <v>0</v>
      </c>
      <c r="X87" s="21">
        <f>FROND_NERVURE_Geom!$G$20</f>
        <v>0</v>
      </c>
      <c r="Y87" s="334">
        <f>FROND_NERVURE_Geom!$C$21</f>
        <v>0</v>
      </c>
      <c r="Z87" s="21">
        <f>FROND_NERVURE_Geom!$G$21</f>
        <v>0</v>
      </c>
      <c r="AA87" s="334">
        <f>FROND_NERVURE_Geom!$C$22</f>
        <v>0</v>
      </c>
      <c r="AB87" s="21">
        <f>FROND_NERVURE_Geom!$G$22</f>
        <v>0</v>
      </c>
      <c r="AC87" s="334">
        <f>FROND_NERVURE_Geom!$C$23</f>
        <v>0</v>
      </c>
      <c r="AD87" s="21">
        <f>FROND_NERVURE_Geom!$G$23</f>
        <v>0</v>
      </c>
      <c r="AE87" s="334">
        <f>FROND_NERVURE_Geom!$C$24</f>
        <v>0</v>
      </c>
      <c r="AF87" s="21">
        <f>FROND_NERVURE_Geom!$G$24</f>
        <v>0</v>
      </c>
      <c r="AG87" s="334">
        <f>FROND_NERVURE_Geom!$C$25</f>
        <v>0</v>
      </c>
      <c r="AH87" s="21">
        <f>FROND_NERVURE_Geom!$G$25</f>
        <v>0</v>
      </c>
      <c r="AI87" s="334">
        <f>FROND_NERVURE_Geom!$C$26</f>
        <v>0</v>
      </c>
      <c r="AJ87" s="21">
        <f>FROND_NERVURE_Geom!$G$26</f>
        <v>0</v>
      </c>
      <c r="AK87" s="334">
        <f>FROND_NERVURE_Geom!$C$27</f>
        <v>0</v>
      </c>
      <c r="AL87" s="21">
        <f>FROND_NERVURE_Geom!$G$27</f>
        <v>0</v>
      </c>
      <c r="AM87" s="334">
        <f>FROND_NERVURE_Geom!$C$28</f>
        <v>0</v>
      </c>
      <c r="AN87" s="21">
        <f>FROND_NERVURE_Geom!$G$28</f>
        <v>0</v>
      </c>
      <c r="AO87" s="334">
        <f>FROND_NERVURE_Geom!$C$29</f>
        <v>0</v>
      </c>
      <c r="AP87" s="21">
        <f>FROND_NERVURE_Geom!$G$29</f>
        <v>0</v>
      </c>
      <c r="AQ87" s="334">
        <f>FROND_NERVURE_Geom!$C$30</f>
        <v>0</v>
      </c>
      <c r="AR87" s="21">
        <f>FROND_NERVURE_Geom!$G$30</f>
        <v>0</v>
      </c>
      <c r="AS87" s="334">
        <f>FROND_NERVURE_Geom!$C$31</f>
        <v>0</v>
      </c>
      <c r="AT87" s="21">
        <f>FROND_NERVURE_Geom!$G$31</f>
        <v>0</v>
      </c>
      <c r="AU87" s="334">
        <f>FROND_NERVURE_Geom!$C$32</f>
        <v>0</v>
      </c>
      <c r="AV87" s="21">
        <f>FROND_NERVURE_Geom!$G$32</f>
        <v>0</v>
      </c>
      <c r="AW87" s="334">
        <f>FROND_NERVURE_Geom!$C$33</f>
        <v>0</v>
      </c>
      <c r="AX87" s="21">
        <f>FROND_NERVURE_Geom!$G$33</f>
        <v>0</v>
      </c>
      <c r="AY87" s="334">
        <f>FROND_NERVURE_Geom!$C$34</f>
        <v>0</v>
      </c>
      <c r="AZ87" s="21">
        <f>FROND_NERVURE_Geom!$G$34</f>
        <v>0</v>
      </c>
      <c r="BA87" s="334">
        <f>FROND_NERVURE_Geom!$C$35</f>
        <v>0</v>
      </c>
      <c r="BB87" s="21">
        <f>FROND_NERVURE_Geom!$G$35</f>
        <v>0</v>
      </c>
      <c r="BC87" s="334">
        <f>FROND_NERVURE_Geom!$C$36</f>
        <v>0</v>
      </c>
      <c r="BD87" s="21">
        <f>FROND_NERVURE_Geom!$G$36</f>
        <v>0</v>
      </c>
      <c r="BE87" s="334">
        <f>FROND_NERVURE_Geom!$C$37</f>
        <v>0</v>
      </c>
      <c r="BF87" s="21">
        <f>FROND_NERVURE_Geom!$G$37</f>
        <v>0</v>
      </c>
      <c r="BG87" s="52" t="s">
        <v>69</v>
      </c>
      <c r="BH87" s="16"/>
    </row>
    <row r="88" spans="1:60" s="65" customFormat="1" ht="18.75">
      <c r="A88" s="21" t="s">
        <v>69</v>
      </c>
      <c r="B88" s="61"/>
      <c r="C88" s="62" t="s">
        <v>659</v>
      </c>
      <c r="D88" s="62"/>
      <c r="E88" s="62"/>
      <c r="F88" s="62"/>
      <c r="G88" s="61"/>
      <c r="H88" s="67"/>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52" t="s">
        <v>69</v>
      </c>
      <c r="BH88" s="64"/>
    </row>
    <row r="89" spans="1:60">
      <c r="A89" s="20"/>
      <c r="B89" s="11" t="s">
        <v>805</v>
      </c>
      <c r="C89" s="213" t="s">
        <v>1000</v>
      </c>
      <c r="D89" s="7" t="s">
        <v>12</v>
      </c>
      <c r="E89" s="9" t="s">
        <v>4</v>
      </c>
      <c r="F89" s="40" t="s">
        <v>11</v>
      </c>
      <c r="G89" s="46">
        <f>PINNAE_Prod!$D$9</f>
        <v>1</v>
      </c>
      <c r="H89" s="72">
        <f>PINNAE_Prod!$D$10</f>
        <v>4</v>
      </c>
      <c r="I89" s="56">
        <f>PINNAE_Prod!$C$13</f>
        <v>1</v>
      </c>
      <c r="J89" s="21">
        <f>PINNAE_Prod!$D$13</f>
        <v>12.85</v>
      </c>
      <c r="K89" s="56">
        <f>PINNAE_Prod!$C$14</f>
        <v>28</v>
      </c>
      <c r="L89" s="21">
        <f>PINNAE_Prod!$D$14</f>
        <v>12.5</v>
      </c>
      <c r="M89" s="56">
        <f>PINNAE_Prod!$C$15</f>
        <v>32</v>
      </c>
      <c r="N89" s="21">
        <f>PINNAE_Prod!$D$15</f>
        <v>11.1</v>
      </c>
      <c r="O89" s="56">
        <f>PINNAE_Prod!$C$16</f>
        <v>124</v>
      </c>
      <c r="P89" s="21">
        <f>PINNAE_Prod!$D$16</f>
        <v>5.4</v>
      </c>
      <c r="Q89" s="56">
        <f>PINNAE_Prod!$C$17</f>
        <v>0</v>
      </c>
      <c r="R89" s="21">
        <f>PINNAE_Prod!$D$17</f>
        <v>0</v>
      </c>
      <c r="S89" s="56">
        <f>PINNAE_Prod!$C$18</f>
        <v>0</v>
      </c>
      <c r="T89" s="21">
        <f>PINNAE_Prod!$D$18</f>
        <v>0</v>
      </c>
      <c r="U89" s="56">
        <f>PINNAE_Prod!$C$19</f>
        <v>0</v>
      </c>
      <c r="V89" s="21">
        <f>PINNAE_Prod!$D$19</f>
        <v>0</v>
      </c>
      <c r="W89" s="56">
        <f>PINNAE_Prod!$C$20</f>
        <v>0</v>
      </c>
      <c r="X89" s="21">
        <f>PINNAE_Prod!$D$20</f>
        <v>0</v>
      </c>
      <c r="Y89" s="56">
        <f>PINNAE_Prod!$C$21</f>
        <v>0</v>
      </c>
      <c r="Z89" s="21">
        <f>PINNAE_Prod!$D$21</f>
        <v>0</v>
      </c>
      <c r="AA89" s="56">
        <f>PINNAE_Prod!$C$22</f>
        <v>0</v>
      </c>
      <c r="AB89" s="21">
        <f>PINNAE_Prod!$D$22</f>
        <v>0</v>
      </c>
      <c r="AC89" s="56">
        <f>PINNAE_Prod!$C$23</f>
        <v>0</v>
      </c>
      <c r="AD89" s="21">
        <f>PINNAE_Prod!$D$23</f>
        <v>0</v>
      </c>
      <c r="AE89" s="56">
        <f>PINNAE_Prod!$C$24</f>
        <v>0</v>
      </c>
      <c r="AF89" s="21">
        <f>PINNAE_Prod!$D$24</f>
        <v>0</v>
      </c>
      <c r="AG89" s="56">
        <f>PINNAE_Prod!$C$25</f>
        <v>0</v>
      </c>
      <c r="AH89" s="21">
        <f>PINNAE_Prod!$D$25</f>
        <v>0</v>
      </c>
      <c r="AI89" s="56">
        <f>PINNAE_Prod!$C$26</f>
        <v>0</v>
      </c>
      <c r="AJ89" s="21">
        <f>PINNAE_Prod!$D$26</f>
        <v>0</v>
      </c>
      <c r="AK89" s="56">
        <f>PINNAE_Prod!$C$27</f>
        <v>0</v>
      </c>
      <c r="AL89" s="21">
        <f>PINNAE_Prod!$D$27</f>
        <v>0</v>
      </c>
      <c r="AM89" s="56">
        <f>PINNAE_Prod!$C$28</f>
        <v>0</v>
      </c>
      <c r="AN89" s="21">
        <f>PINNAE_Prod!$D$28</f>
        <v>0</v>
      </c>
      <c r="AO89" s="56">
        <f>PINNAE_Prod!$C$29</f>
        <v>0</v>
      </c>
      <c r="AP89" s="21">
        <f>PINNAE_Prod!$D$29</f>
        <v>0</v>
      </c>
      <c r="AQ89" s="56">
        <f>PINNAE_Prod!$C$30</f>
        <v>0</v>
      </c>
      <c r="AR89" s="21">
        <f>PINNAE_Prod!$D$30</f>
        <v>0</v>
      </c>
      <c r="AS89" s="56">
        <f>PINNAE_Prod!$C$31</f>
        <v>0</v>
      </c>
      <c r="AT89" s="21">
        <f>PINNAE_Prod!$D$31</f>
        <v>0</v>
      </c>
      <c r="AU89" s="56">
        <f>PINNAE_Prod!$C$32</f>
        <v>0</v>
      </c>
      <c r="AV89" s="21">
        <f>PINNAE_Prod!$D$32</f>
        <v>0</v>
      </c>
      <c r="AW89" s="56">
        <f>PINNAE_Prod!$C$33</f>
        <v>0</v>
      </c>
      <c r="AX89" s="21">
        <f>PINNAE_Prod!$D$33</f>
        <v>0</v>
      </c>
      <c r="AY89" s="56">
        <f>PINNAE_Prod!$C$34</f>
        <v>0</v>
      </c>
      <c r="AZ89" s="21">
        <f>PINNAE_Prod!$D$34</f>
        <v>0</v>
      </c>
      <c r="BA89" s="56">
        <f>PINNAE_Prod!$C$35</f>
        <v>0</v>
      </c>
      <c r="BB89" s="21">
        <f>PINNAE_Prod!$D$35</f>
        <v>0</v>
      </c>
      <c r="BC89" s="56">
        <f>PINNAE_Prod!$C$36</f>
        <v>0</v>
      </c>
      <c r="BD89" s="21">
        <f>PINNAE_Prod!$D$36</f>
        <v>0</v>
      </c>
      <c r="BE89" s="56">
        <f>PINNAE_Prod!$C$37</f>
        <v>0</v>
      </c>
      <c r="BF89" s="21">
        <f>PINNAE_Prod!$D$37</f>
        <v>0</v>
      </c>
      <c r="BG89" s="52" t="s">
        <v>69</v>
      </c>
      <c r="BH89" s="16"/>
    </row>
    <row r="90" spans="1:60">
      <c r="A90" s="20"/>
      <c r="B90" s="11" t="s">
        <v>839</v>
      </c>
      <c r="C90" s="213" t="s">
        <v>994</v>
      </c>
      <c r="D90" s="7" t="s">
        <v>12</v>
      </c>
      <c r="E90" s="9" t="s">
        <v>4</v>
      </c>
      <c r="F90" s="40" t="s">
        <v>11</v>
      </c>
      <c r="G90" s="46">
        <f>PINNAE_Prod!$E$9</f>
        <v>1</v>
      </c>
      <c r="H90" s="72">
        <f>PINNAE_Prod!$E$10</f>
        <v>4</v>
      </c>
      <c r="I90" s="56">
        <f>PINNAE_Prod!$C$13</f>
        <v>1</v>
      </c>
      <c r="J90" s="21">
        <f>PINNAE_Prod!$E$13</f>
        <v>0.39173631716779395</v>
      </c>
      <c r="K90" s="56">
        <f>PINNAE_Prod!$C$14</f>
        <v>28</v>
      </c>
      <c r="L90" s="21">
        <f>PINNAE_Prod!$E$14</f>
        <v>0.38106645638890463</v>
      </c>
      <c r="M90" s="56">
        <f>PINNAE_Prod!$C$15</f>
        <v>32</v>
      </c>
      <c r="N90" s="21">
        <f>PINNAE_Prod!$E$15</f>
        <v>0.3383870132733473</v>
      </c>
      <c r="O90" s="56">
        <f>PINNAE_Prod!$C$16</f>
        <v>124</v>
      </c>
      <c r="P90" s="21">
        <f>PINNAE_Prod!$E$16</f>
        <v>0.16462070916000682</v>
      </c>
      <c r="Q90" s="56">
        <f>PINNAE_Prod!$C$17</f>
        <v>0</v>
      </c>
      <c r="R90" s="21">
        <f>PINNAE_Prod!$E$17</f>
        <v>0</v>
      </c>
      <c r="S90" s="56">
        <f>PINNAE_Prod!$C$18</f>
        <v>0</v>
      </c>
      <c r="T90" s="21">
        <f>PINNAE_Prod!$E$18</f>
        <v>0</v>
      </c>
      <c r="U90" s="56">
        <f>PINNAE_Prod!$C$19</f>
        <v>0</v>
      </c>
      <c r="V90" s="21">
        <f>PINNAE_Prod!$E$19</f>
        <v>0</v>
      </c>
      <c r="W90" s="56">
        <f>PINNAE_Prod!$C$20</f>
        <v>0</v>
      </c>
      <c r="X90" s="21">
        <f>PINNAE_Prod!$E$20</f>
        <v>0</v>
      </c>
      <c r="Y90" s="56">
        <f>PINNAE_Prod!$C$21</f>
        <v>0</v>
      </c>
      <c r="Z90" s="21">
        <f>PINNAE_Prod!$E$21</f>
        <v>0</v>
      </c>
      <c r="AA90" s="56">
        <f>PINNAE_Prod!$C$22</f>
        <v>0</v>
      </c>
      <c r="AB90" s="21">
        <f>PINNAE_Prod!$E$22</f>
        <v>0</v>
      </c>
      <c r="AC90" s="56">
        <f>PINNAE_Prod!$C$23</f>
        <v>0</v>
      </c>
      <c r="AD90" s="21">
        <f>PINNAE_Prod!$E$23</f>
        <v>0</v>
      </c>
      <c r="AE90" s="56">
        <f>PINNAE_Prod!$C$24</f>
        <v>0</v>
      </c>
      <c r="AF90" s="21">
        <f>PINNAE_Prod!$E$24</f>
        <v>0</v>
      </c>
      <c r="AG90" s="56">
        <f>PINNAE_Prod!$C$25</f>
        <v>0</v>
      </c>
      <c r="AH90" s="21">
        <f>PINNAE_Prod!$E$25</f>
        <v>0</v>
      </c>
      <c r="AI90" s="56">
        <f>PINNAE_Prod!$C$26</f>
        <v>0</v>
      </c>
      <c r="AJ90" s="21">
        <f>PINNAE_Prod!$E$26</f>
        <v>0</v>
      </c>
      <c r="AK90" s="56">
        <f>PINNAE_Prod!$C$27</f>
        <v>0</v>
      </c>
      <c r="AL90" s="21">
        <f>PINNAE_Prod!$E$27</f>
        <v>0</v>
      </c>
      <c r="AM90" s="56">
        <f>PINNAE_Prod!$C$28</f>
        <v>0</v>
      </c>
      <c r="AN90" s="21">
        <f>PINNAE_Prod!$E$28</f>
        <v>0</v>
      </c>
      <c r="AO90" s="56">
        <f>PINNAE_Prod!$C$29</f>
        <v>0</v>
      </c>
      <c r="AP90" s="21">
        <f>PINNAE_Prod!$E$29</f>
        <v>0</v>
      </c>
      <c r="AQ90" s="56">
        <f>PINNAE_Prod!$C$30</f>
        <v>0</v>
      </c>
      <c r="AR90" s="21">
        <f>PINNAE_Prod!$E$30</f>
        <v>0</v>
      </c>
      <c r="AS90" s="56">
        <f>PINNAE_Prod!$C$31</f>
        <v>0</v>
      </c>
      <c r="AT90" s="21">
        <f>PINNAE_Prod!$E$31</f>
        <v>0</v>
      </c>
      <c r="AU90" s="56">
        <f>PINNAE_Prod!$C$32</f>
        <v>0</v>
      </c>
      <c r="AV90" s="21">
        <f>PINNAE_Prod!$E$32</f>
        <v>0</v>
      </c>
      <c r="AW90" s="56">
        <f>PINNAE_Prod!$C$33</f>
        <v>0</v>
      </c>
      <c r="AX90" s="21">
        <f>PINNAE_Prod!$E$33</f>
        <v>0</v>
      </c>
      <c r="AY90" s="56">
        <f>PINNAE_Prod!$C$34</f>
        <v>0</v>
      </c>
      <c r="AZ90" s="21">
        <f>PINNAE_Prod!$E$34</f>
        <v>0</v>
      </c>
      <c r="BA90" s="56">
        <f>PINNAE_Prod!$C$35</f>
        <v>0</v>
      </c>
      <c r="BB90" s="21">
        <f>PINNAE_Prod!$E$35</f>
        <v>0</v>
      </c>
      <c r="BC90" s="56">
        <f>PINNAE_Prod!$C$36</f>
        <v>0</v>
      </c>
      <c r="BD90" s="21">
        <f>PINNAE_Prod!$E$36</f>
        <v>0</v>
      </c>
      <c r="BE90" s="56">
        <f>PINNAE_Prod!$C$37</f>
        <v>0</v>
      </c>
      <c r="BF90" s="21">
        <f>PINNAE_Prod!$E$37</f>
        <v>0</v>
      </c>
      <c r="BG90" s="52" t="s">
        <v>69</v>
      </c>
      <c r="BH90" s="16"/>
    </row>
    <row r="91" spans="1:60">
      <c r="A91" s="20"/>
      <c r="B91" s="11" t="s">
        <v>860</v>
      </c>
      <c r="C91" s="213" t="s">
        <v>995</v>
      </c>
      <c r="D91" s="69" t="s">
        <v>12</v>
      </c>
      <c r="E91" s="9" t="s">
        <v>5</v>
      </c>
      <c r="F91" s="40" t="s">
        <v>7</v>
      </c>
      <c r="G91" s="46">
        <f>PINNAE_Prod!$G$9</f>
        <v>1</v>
      </c>
      <c r="H91" s="72">
        <f>PINNAE_Prod!$G$10</f>
        <v>3</v>
      </c>
      <c r="I91" s="76">
        <f>PINNAE_Prod!$F$13</f>
        <v>1</v>
      </c>
      <c r="J91" s="264">
        <f>PINNAE_Prod!$G$13</f>
        <v>0.5</v>
      </c>
      <c r="K91" s="76">
        <f>PINNAE_Prod!$F$14</f>
        <v>10</v>
      </c>
      <c r="L91" s="264">
        <f>PINNAE_Prod!$G$14</f>
        <v>0.8</v>
      </c>
      <c r="M91" s="76">
        <f>PINNAE_Prod!$F$15</f>
        <v>30</v>
      </c>
      <c r="N91" s="264">
        <f>PINNAE_Prod!$G$15</f>
        <v>1</v>
      </c>
      <c r="O91" s="76">
        <f>PINNAE_Prod!$F$16</f>
        <v>0</v>
      </c>
      <c r="P91" s="264">
        <f>PINNAE_Prod!$G$16</f>
        <v>0</v>
      </c>
      <c r="Q91" s="76">
        <f>PINNAE_Prod!$F$17</f>
        <v>0</v>
      </c>
      <c r="R91" s="264">
        <f>PINNAE_Prod!$G$17</f>
        <v>0</v>
      </c>
      <c r="S91" s="76">
        <f>PINNAE_Prod!$F$18</f>
        <v>0</v>
      </c>
      <c r="T91" s="264">
        <f>PINNAE_Prod!$G$18</f>
        <v>0</v>
      </c>
      <c r="U91" s="76">
        <f>PINNAE_Prod!$F$19</f>
        <v>0</v>
      </c>
      <c r="V91" s="264">
        <f>PINNAE_Prod!$G$19</f>
        <v>0</v>
      </c>
      <c r="W91" s="76">
        <f>PINNAE_Prod!$F$20</f>
        <v>0</v>
      </c>
      <c r="X91" s="264">
        <f>PINNAE_Prod!$G$20</f>
        <v>0</v>
      </c>
      <c r="Y91" s="76">
        <f>PINNAE_Prod!$F$21</f>
        <v>0</v>
      </c>
      <c r="Z91" s="264">
        <f>PINNAE_Prod!$G$21</f>
        <v>0</v>
      </c>
      <c r="AA91" s="76">
        <f>PINNAE_Prod!$F$22</f>
        <v>0</v>
      </c>
      <c r="AB91" s="264">
        <f>PINNAE_Prod!$G$22</f>
        <v>0</v>
      </c>
      <c r="AC91" s="76">
        <f>PINNAE_Prod!$F$23</f>
        <v>0</v>
      </c>
      <c r="AD91" s="264">
        <f>PINNAE_Prod!$G$23</f>
        <v>0</v>
      </c>
      <c r="AE91" s="76">
        <f>PINNAE_Prod!$F$24</f>
        <v>0</v>
      </c>
      <c r="AF91" s="264">
        <f>PINNAE_Prod!$G$24</f>
        <v>0</v>
      </c>
      <c r="AG91" s="76">
        <f>PINNAE_Prod!$F$25</f>
        <v>0</v>
      </c>
      <c r="AH91" s="264">
        <f>PINNAE_Prod!$G$25</f>
        <v>0</v>
      </c>
      <c r="AI91" s="76">
        <f>PINNAE_Prod!$F$26</f>
        <v>0</v>
      </c>
      <c r="AJ91" s="264">
        <f>PINNAE_Prod!$G$26</f>
        <v>0</v>
      </c>
      <c r="AK91" s="76">
        <f>PINNAE_Prod!$F$27</f>
        <v>0</v>
      </c>
      <c r="AL91" s="264">
        <f>PINNAE_Prod!$G$27</f>
        <v>0</v>
      </c>
      <c r="AM91" s="76">
        <f>PINNAE_Prod!$F$28</f>
        <v>0</v>
      </c>
      <c r="AN91" s="264">
        <f>PINNAE_Prod!$G$28</f>
        <v>0</v>
      </c>
      <c r="AO91" s="76">
        <f>PINNAE_Prod!$F$29</f>
        <v>0</v>
      </c>
      <c r="AP91" s="264">
        <f>PINNAE_Prod!$G$29</f>
        <v>0</v>
      </c>
      <c r="AQ91" s="76">
        <f>PINNAE_Prod!$F$30</f>
        <v>0</v>
      </c>
      <c r="AR91" s="264">
        <f>PINNAE_Prod!$G$30</f>
        <v>0</v>
      </c>
      <c r="AS91" s="76">
        <f>PINNAE_Prod!$F$31</f>
        <v>0</v>
      </c>
      <c r="AT91" s="264">
        <f>PINNAE_Prod!$G$31</f>
        <v>0</v>
      </c>
      <c r="AU91" s="76">
        <f>PINNAE_Prod!$F$32</f>
        <v>0</v>
      </c>
      <c r="AV91" s="264">
        <f>PINNAE_Prod!$G$32</f>
        <v>0</v>
      </c>
      <c r="AW91" s="76">
        <f>PINNAE_Prod!$F$33</f>
        <v>0</v>
      </c>
      <c r="AX91" s="264">
        <f>PINNAE_Prod!$G$33</f>
        <v>0</v>
      </c>
      <c r="AY91" s="76">
        <f>PINNAE_Prod!$F$34</f>
        <v>0</v>
      </c>
      <c r="AZ91" s="264">
        <f>PINNAE_Prod!$G$34</f>
        <v>0</v>
      </c>
      <c r="BA91" s="76">
        <f>PINNAE_Prod!$F$35</f>
        <v>0</v>
      </c>
      <c r="BB91" s="264">
        <f>PINNAE_Prod!$G$35</f>
        <v>0</v>
      </c>
      <c r="BC91" s="76">
        <f>PINNAE_Prod!$F$36</f>
        <v>0</v>
      </c>
      <c r="BD91" s="264">
        <f>PINNAE_Prod!$G$36</f>
        <v>0</v>
      </c>
      <c r="BE91" s="76">
        <f>PINNAE_Prod!$F$37</f>
        <v>0</v>
      </c>
      <c r="BF91" s="21">
        <f>PINNAE_Prod!$G$37</f>
        <v>0</v>
      </c>
      <c r="BG91" s="52" t="s">
        <v>69</v>
      </c>
      <c r="BH91" s="16"/>
    </row>
    <row r="92" spans="1:60">
      <c r="A92" s="20"/>
      <c r="B92" s="11" t="s">
        <v>806</v>
      </c>
      <c r="C92" s="213" t="s">
        <v>996</v>
      </c>
      <c r="D92" s="7" t="s">
        <v>12</v>
      </c>
      <c r="E92" s="9" t="s">
        <v>4</v>
      </c>
      <c r="F92" s="40" t="s">
        <v>11</v>
      </c>
      <c r="G92" s="46">
        <f>PINNAE_Prod!$I$9</f>
        <v>0</v>
      </c>
      <c r="H92" s="72">
        <f>PINNAE_Prod!$I$10</f>
        <v>4</v>
      </c>
      <c r="I92" s="56">
        <f>PINNAE_Prod!$C$13</f>
        <v>1</v>
      </c>
      <c r="J92" s="28">
        <f>PINNAE_Prod!$I$13</f>
        <v>16.600000000000001</v>
      </c>
      <c r="K92" s="56">
        <f>PINNAE_Prod!$C$14</f>
        <v>28</v>
      </c>
      <c r="L92" s="28">
        <f>PINNAE_Prod!$I$14</f>
        <v>17.600000000000001</v>
      </c>
      <c r="M92" s="56">
        <f>PINNAE_Prod!$C$15</f>
        <v>32</v>
      </c>
      <c r="N92" s="28">
        <f>PINNAE_Prod!$I$15</f>
        <v>19.600000000000001</v>
      </c>
      <c r="O92" s="56">
        <f>PINNAE_Prod!$C$16</f>
        <v>124</v>
      </c>
      <c r="P92" s="28">
        <f>PINNAE_Prod!$I$16</f>
        <v>22.3</v>
      </c>
      <c r="Q92" s="56">
        <f>PINNAE_Prod!$C$17</f>
        <v>0</v>
      </c>
      <c r="R92" s="28">
        <f>PINNAE_Prod!$I$17</f>
        <v>0</v>
      </c>
      <c r="S92" s="56">
        <f>PINNAE_Prod!$C$18</f>
        <v>0</v>
      </c>
      <c r="T92" s="28">
        <f>PINNAE_Prod!$I$18</f>
        <v>0</v>
      </c>
      <c r="U92" s="56">
        <f>PINNAE_Prod!$C$19</f>
        <v>0</v>
      </c>
      <c r="V92" s="28">
        <f>PINNAE_Prod!$I$19</f>
        <v>0</v>
      </c>
      <c r="W92" s="56">
        <f>PINNAE_Prod!$C$20</f>
        <v>0</v>
      </c>
      <c r="X92" s="28">
        <f>PINNAE_Prod!$I$20</f>
        <v>0</v>
      </c>
      <c r="Y92" s="56">
        <f>PINNAE_Prod!$C$21</f>
        <v>0</v>
      </c>
      <c r="Z92" s="28">
        <f>PINNAE_Prod!$I$21</f>
        <v>0</v>
      </c>
      <c r="AA92" s="56">
        <f>PINNAE_Prod!$C$22</f>
        <v>0</v>
      </c>
      <c r="AB92" s="28">
        <f>PINNAE_Prod!$I$22</f>
        <v>0</v>
      </c>
      <c r="AC92" s="56">
        <f>PINNAE_Prod!$C$23</f>
        <v>0</v>
      </c>
      <c r="AD92" s="28">
        <f>PINNAE_Prod!$I$23</f>
        <v>0</v>
      </c>
      <c r="AE92" s="56">
        <f>PINNAE_Prod!$C$24</f>
        <v>0</v>
      </c>
      <c r="AF92" s="28">
        <f>PINNAE_Prod!$I$24</f>
        <v>0</v>
      </c>
      <c r="AG92" s="56">
        <f>PINNAE_Prod!$C$25</f>
        <v>0</v>
      </c>
      <c r="AH92" s="28">
        <f>PINNAE_Prod!$I$25</f>
        <v>0</v>
      </c>
      <c r="AI92" s="56">
        <f>PINNAE_Prod!$C$26</f>
        <v>0</v>
      </c>
      <c r="AJ92" s="28">
        <f>PINNAE_Prod!$I$26</f>
        <v>0</v>
      </c>
      <c r="AK92" s="56">
        <f>PINNAE_Prod!$C$27</f>
        <v>0</v>
      </c>
      <c r="AL92" s="28">
        <f>PINNAE_Prod!$I$27</f>
        <v>0</v>
      </c>
      <c r="AM92" s="56">
        <f>PINNAE_Prod!$C$28</f>
        <v>0</v>
      </c>
      <c r="AN92" s="28">
        <f>PINNAE_Prod!$I$28</f>
        <v>0</v>
      </c>
      <c r="AO92" s="56">
        <f>PINNAE_Prod!$C$29</f>
        <v>0</v>
      </c>
      <c r="AP92" s="28">
        <f>PINNAE_Prod!$I$29</f>
        <v>0</v>
      </c>
      <c r="AQ92" s="56">
        <f>PINNAE_Prod!$C$30</f>
        <v>0</v>
      </c>
      <c r="AR92" s="28">
        <f>PINNAE_Prod!$I$30</f>
        <v>0</v>
      </c>
      <c r="AS92" s="56">
        <f>PINNAE_Prod!$C$31</f>
        <v>0</v>
      </c>
      <c r="AT92" s="28">
        <f>PINNAE_Prod!$I$31</f>
        <v>0</v>
      </c>
      <c r="AU92" s="56">
        <f>PINNAE_Prod!$C$32</f>
        <v>0</v>
      </c>
      <c r="AV92" s="28">
        <f>PINNAE_Prod!$I$32</f>
        <v>0</v>
      </c>
      <c r="AW92" s="56">
        <f>PINNAE_Prod!$C$33</f>
        <v>0</v>
      </c>
      <c r="AX92" s="28">
        <f>PINNAE_Prod!$I$33</f>
        <v>0</v>
      </c>
      <c r="AY92" s="56">
        <f>PINNAE_Prod!$C$34</f>
        <v>0</v>
      </c>
      <c r="AZ92" s="28">
        <f>PINNAE_Prod!$I$34</f>
        <v>0</v>
      </c>
      <c r="BA92" s="56">
        <f>PINNAE_Prod!$C$35</f>
        <v>0</v>
      </c>
      <c r="BB92" s="28">
        <f>PINNAE_Prod!$I$35</f>
        <v>0</v>
      </c>
      <c r="BC92" s="56">
        <f>PINNAE_Prod!$C$36</f>
        <v>0</v>
      </c>
      <c r="BD92" s="28">
        <f>PINNAE_Prod!$I$36</f>
        <v>0</v>
      </c>
      <c r="BE92" s="56">
        <f>PINNAE_Prod!$C$37</f>
        <v>0</v>
      </c>
      <c r="BF92" s="28">
        <f>PINNAE_Prod!$I$37</f>
        <v>0</v>
      </c>
      <c r="BG92" s="52" t="s">
        <v>69</v>
      </c>
      <c r="BH92" s="16"/>
    </row>
    <row r="93" spans="1:60">
      <c r="A93" s="20"/>
      <c r="B93" s="11" t="s">
        <v>807</v>
      </c>
      <c r="C93" s="213" t="s">
        <v>997</v>
      </c>
      <c r="D93" s="7" t="s">
        <v>12</v>
      </c>
      <c r="E93" s="9" t="s">
        <v>4</v>
      </c>
      <c r="F93" s="40" t="s">
        <v>11</v>
      </c>
      <c r="G93" s="46">
        <f>PINNAE_Prod!$J$9</f>
        <v>0</v>
      </c>
      <c r="H93" s="72">
        <f>PINNAE_Prod!$J$10</f>
        <v>4</v>
      </c>
      <c r="I93" s="56">
        <f>PINNAE_Prod!$C$13</f>
        <v>1</v>
      </c>
      <c r="J93" s="28">
        <f>PINNAE_Prod!$J$13</f>
        <v>0.77939822178248275</v>
      </c>
      <c r="K93" s="56">
        <f>PINNAE_Prod!$C$14</f>
        <v>28</v>
      </c>
      <c r="L93" s="28">
        <f>PINNAE_Prod!$J$14</f>
        <v>0.82634992188986134</v>
      </c>
      <c r="M93" s="56">
        <f>PINNAE_Prod!$C$15</f>
        <v>32</v>
      </c>
      <c r="N93" s="28">
        <f>PINNAE_Prod!$J$15</f>
        <v>0.92025332210461808</v>
      </c>
      <c r="O93" s="56">
        <f>PINNAE_Prod!$C$16</f>
        <v>124</v>
      </c>
      <c r="P93" s="28">
        <f>PINNAE_Prod!$J$16</f>
        <v>1.04702291239454</v>
      </c>
      <c r="Q93" s="56">
        <f>PINNAE_Prod!$C$17</f>
        <v>0</v>
      </c>
      <c r="R93" s="28">
        <f>PINNAE_Prod!$J$17</f>
        <v>0</v>
      </c>
      <c r="S93" s="56">
        <f>PINNAE_Prod!$C$18</f>
        <v>0</v>
      </c>
      <c r="T93" s="28">
        <f>PINNAE_Prod!$J$18</f>
        <v>0</v>
      </c>
      <c r="U93" s="56">
        <f>PINNAE_Prod!$C$19</f>
        <v>0</v>
      </c>
      <c r="V93" s="28">
        <f>PINNAE_Prod!$J$19</f>
        <v>0</v>
      </c>
      <c r="W93" s="56">
        <f>PINNAE_Prod!$C$20</f>
        <v>0</v>
      </c>
      <c r="X93" s="28">
        <f>PINNAE_Prod!$J$20</f>
        <v>0</v>
      </c>
      <c r="Y93" s="56">
        <f>PINNAE_Prod!$C$21</f>
        <v>0</v>
      </c>
      <c r="Z93" s="28">
        <f>PINNAE_Prod!$J$21</f>
        <v>0</v>
      </c>
      <c r="AA93" s="56">
        <f>PINNAE_Prod!$C$22</f>
        <v>0</v>
      </c>
      <c r="AB93" s="28">
        <f>PINNAE_Prod!$J$22</f>
        <v>0</v>
      </c>
      <c r="AC93" s="56">
        <f>PINNAE_Prod!$C$23</f>
        <v>0</v>
      </c>
      <c r="AD93" s="28">
        <f>PINNAE_Prod!$J$23</f>
        <v>0</v>
      </c>
      <c r="AE93" s="56">
        <f>PINNAE_Prod!$C$24</f>
        <v>0</v>
      </c>
      <c r="AF93" s="28">
        <f>PINNAE_Prod!$J$24</f>
        <v>0</v>
      </c>
      <c r="AG93" s="56">
        <f>PINNAE_Prod!$C$25</f>
        <v>0</v>
      </c>
      <c r="AH93" s="28">
        <f>PINNAE_Prod!$J$25</f>
        <v>0</v>
      </c>
      <c r="AI93" s="56">
        <f>PINNAE_Prod!$C$26</f>
        <v>0</v>
      </c>
      <c r="AJ93" s="28">
        <f>PINNAE_Prod!$J$26</f>
        <v>0</v>
      </c>
      <c r="AK93" s="56">
        <f>PINNAE_Prod!$C$27</f>
        <v>0</v>
      </c>
      <c r="AL93" s="28">
        <f>PINNAE_Prod!$J$27</f>
        <v>0</v>
      </c>
      <c r="AM93" s="56">
        <f>PINNAE_Prod!$C$28</f>
        <v>0</v>
      </c>
      <c r="AN93" s="28">
        <f>PINNAE_Prod!$J$28</f>
        <v>0</v>
      </c>
      <c r="AO93" s="56">
        <f>PINNAE_Prod!$C$29</f>
        <v>0</v>
      </c>
      <c r="AP93" s="28">
        <f>PINNAE_Prod!$J$29</f>
        <v>0</v>
      </c>
      <c r="AQ93" s="56">
        <f>PINNAE_Prod!$C$30</f>
        <v>0</v>
      </c>
      <c r="AR93" s="28">
        <f>PINNAE_Prod!$J$30</f>
        <v>0</v>
      </c>
      <c r="AS93" s="56">
        <f>PINNAE_Prod!$C$31</f>
        <v>0</v>
      </c>
      <c r="AT93" s="28">
        <f>PINNAE_Prod!$J$31</f>
        <v>0</v>
      </c>
      <c r="AU93" s="56">
        <f>PINNAE_Prod!$C$32</f>
        <v>0</v>
      </c>
      <c r="AV93" s="28">
        <f>PINNAE_Prod!$J$32</f>
        <v>0</v>
      </c>
      <c r="AW93" s="56">
        <f>PINNAE_Prod!$C$33</f>
        <v>0</v>
      </c>
      <c r="AX93" s="28">
        <f>PINNAE_Prod!$J$33</f>
        <v>0</v>
      </c>
      <c r="AY93" s="56">
        <f>PINNAE_Prod!$C$34</f>
        <v>0</v>
      </c>
      <c r="AZ93" s="28">
        <f>PINNAE_Prod!$J$34</f>
        <v>0</v>
      </c>
      <c r="BA93" s="56">
        <f>PINNAE_Prod!$C$35</f>
        <v>0</v>
      </c>
      <c r="BB93" s="28">
        <f>PINNAE_Prod!$J$35</f>
        <v>0</v>
      </c>
      <c r="BC93" s="56">
        <f>PINNAE_Prod!$C$36</f>
        <v>0</v>
      </c>
      <c r="BD93" s="28">
        <f>PINNAE_Prod!$J$36</f>
        <v>0</v>
      </c>
      <c r="BE93" s="56">
        <f>PINNAE_Prod!$C$37</f>
        <v>0</v>
      </c>
      <c r="BF93" s="28">
        <f>PINNAE_Prod!$J$37</f>
        <v>0</v>
      </c>
      <c r="BG93" s="52" t="s">
        <v>69</v>
      </c>
      <c r="BH93" s="16"/>
    </row>
    <row r="94" spans="1:60">
      <c r="A94" s="20"/>
      <c r="B94" s="11" t="s">
        <v>822</v>
      </c>
      <c r="C94" s="213" t="s">
        <v>998</v>
      </c>
      <c r="D94" s="69" t="s">
        <v>12</v>
      </c>
      <c r="E94" s="9" t="s">
        <v>5</v>
      </c>
      <c r="F94" s="40" t="s">
        <v>7</v>
      </c>
      <c r="G94" s="46">
        <f>PINNAE_Prod!$L$9</f>
        <v>1</v>
      </c>
      <c r="H94" s="72">
        <f>PINNAE_Prod!$L$10</f>
        <v>3</v>
      </c>
      <c r="I94" s="76">
        <f>PINNAE_Prod!$K$13</f>
        <v>1</v>
      </c>
      <c r="J94" s="264">
        <f>PINNAE_Prod!$L$13</f>
        <v>0.7</v>
      </c>
      <c r="K94" s="76">
        <f>PINNAE_Prod!$K$14</f>
        <v>10</v>
      </c>
      <c r="L94" s="264">
        <f>PINNAE_Prod!$L$14</f>
        <v>0.92</v>
      </c>
      <c r="M94" s="76">
        <f>PINNAE_Prod!$K$15</f>
        <v>30</v>
      </c>
      <c r="N94" s="264">
        <f>PINNAE_Prod!$L$15</f>
        <v>1</v>
      </c>
      <c r="O94" s="76">
        <f>PINNAE_Prod!$K$16</f>
        <v>0</v>
      </c>
      <c r="P94" s="264">
        <f>PINNAE_Prod!$L$16</f>
        <v>0</v>
      </c>
      <c r="Q94" s="76">
        <f>PINNAE_Prod!$K$17</f>
        <v>0</v>
      </c>
      <c r="R94" s="264">
        <f>PINNAE_Prod!$L$17</f>
        <v>0</v>
      </c>
      <c r="S94" s="76">
        <f>PINNAE_Prod!$K$18</f>
        <v>0</v>
      </c>
      <c r="T94" s="264">
        <f>PINNAE_Prod!$L$18</f>
        <v>0</v>
      </c>
      <c r="U94" s="76">
        <f>PINNAE_Prod!$K$19</f>
        <v>0</v>
      </c>
      <c r="V94" s="264">
        <f>PINNAE_Prod!$L$19</f>
        <v>0</v>
      </c>
      <c r="W94" s="76">
        <f>PINNAE_Prod!$K$20</f>
        <v>0</v>
      </c>
      <c r="X94" s="264">
        <f>PINNAE_Prod!$L$20</f>
        <v>0</v>
      </c>
      <c r="Y94" s="76">
        <f>PINNAE_Prod!$K$21</f>
        <v>0</v>
      </c>
      <c r="Z94" s="264">
        <f>PINNAE_Prod!$L$21</f>
        <v>0</v>
      </c>
      <c r="AA94" s="76">
        <f>PINNAE_Prod!$K$22</f>
        <v>0</v>
      </c>
      <c r="AB94" s="264">
        <f>PINNAE_Prod!$L$22</f>
        <v>0</v>
      </c>
      <c r="AC94" s="76">
        <f>PINNAE_Prod!$K$23</f>
        <v>0</v>
      </c>
      <c r="AD94" s="264">
        <f>PINNAE_Prod!$L$23</f>
        <v>0</v>
      </c>
      <c r="AE94" s="76">
        <f>PINNAE_Prod!$K$24</f>
        <v>0</v>
      </c>
      <c r="AF94" s="264">
        <f>PINNAE_Prod!$L$24</f>
        <v>0</v>
      </c>
      <c r="AG94" s="76">
        <f>PINNAE_Prod!$K$25</f>
        <v>0</v>
      </c>
      <c r="AH94" s="264">
        <f>PINNAE_Prod!$L$25</f>
        <v>0</v>
      </c>
      <c r="AI94" s="76">
        <f>PINNAE_Prod!$K$26</f>
        <v>0</v>
      </c>
      <c r="AJ94" s="264">
        <f>PINNAE_Prod!$L$26</f>
        <v>0</v>
      </c>
      <c r="AK94" s="76">
        <f>PINNAE_Prod!$K$27</f>
        <v>0</v>
      </c>
      <c r="AL94" s="264">
        <f>PINNAE_Prod!$L$27</f>
        <v>0</v>
      </c>
      <c r="AM94" s="76">
        <f>PINNAE_Prod!$K$28</f>
        <v>0</v>
      </c>
      <c r="AN94" s="264">
        <f>PINNAE_Prod!$L$28</f>
        <v>0</v>
      </c>
      <c r="AO94" s="76">
        <f>PINNAE_Prod!$K$29</f>
        <v>0</v>
      </c>
      <c r="AP94" s="264">
        <f>PINNAE_Prod!$L$29</f>
        <v>0</v>
      </c>
      <c r="AQ94" s="76">
        <f>PINNAE_Prod!$K$30</f>
        <v>0</v>
      </c>
      <c r="AR94" s="264">
        <f>PINNAE_Prod!$L$30</f>
        <v>0</v>
      </c>
      <c r="AS94" s="76">
        <f>PINNAE_Prod!$K$31</f>
        <v>0</v>
      </c>
      <c r="AT94" s="264">
        <f>PINNAE_Prod!$L$31</f>
        <v>0</v>
      </c>
      <c r="AU94" s="76">
        <f>PINNAE_Prod!$K$32</f>
        <v>0</v>
      </c>
      <c r="AV94" s="264">
        <f>PINNAE_Prod!$L$32</f>
        <v>0</v>
      </c>
      <c r="AW94" s="76">
        <f>PINNAE_Prod!$K$33</f>
        <v>0</v>
      </c>
      <c r="AX94" s="264">
        <f>PINNAE_Prod!$L$33</f>
        <v>0</v>
      </c>
      <c r="AY94" s="76">
        <f>PINNAE_Prod!$K$34</f>
        <v>0</v>
      </c>
      <c r="AZ94" s="264">
        <f>PINNAE_Prod!$L$34</f>
        <v>0</v>
      </c>
      <c r="BA94" s="76">
        <f>PINNAE_Prod!$K$35</f>
        <v>0</v>
      </c>
      <c r="BB94" s="264">
        <f>PINNAE_Prod!$L$35</f>
        <v>0</v>
      </c>
      <c r="BC94" s="76">
        <f>PINNAE_Prod!$K$36</f>
        <v>0</v>
      </c>
      <c r="BD94" s="264">
        <f>PINNAE_Prod!$L$36</f>
        <v>0</v>
      </c>
      <c r="BE94" s="76">
        <f>PINNAE_Prod!$K$37</f>
        <v>0</v>
      </c>
      <c r="BF94" s="21">
        <f>PINNAE_Prod!$L$37</f>
        <v>0</v>
      </c>
      <c r="BG94" s="52" t="s">
        <v>69</v>
      </c>
      <c r="BH94" s="16"/>
    </row>
    <row r="95" spans="1:60">
      <c r="A95" s="20"/>
      <c r="B95" s="11" t="s">
        <v>808</v>
      </c>
      <c r="C95" s="213" t="s">
        <v>999</v>
      </c>
      <c r="D95" s="7" t="s">
        <v>12</v>
      </c>
      <c r="E95" s="9" t="s">
        <v>4</v>
      </c>
      <c r="F95" s="40" t="s">
        <v>11</v>
      </c>
      <c r="G95" s="46">
        <f>PINNAE_Prod!$N$9</f>
        <v>0</v>
      </c>
      <c r="H95" s="72">
        <f>PINNAE_Prod!$N$10</f>
        <v>4</v>
      </c>
      <c r="I95" s="56">
        <f>PINNAE_Prod!$C$13</f>
        <v>1</v>
      </c>
      <c r="J95" s="28">
        <f>PINNAE_Prod!$N$13</f>
        <v>70.550000000000011</v>
      </c>
      <c r="K95" s="56">
        <f>PINNAE_Prod!$C$14</f>
        <v>28</v>
      </c>
      <c r="L95" s="28">
        <f>PINNAE_Prod!$N$14</f>
        <v>69.900000000000006</v>
      </c>
      <c r="M95" s="56">
        <f>PINNAE_Prod!$C$15</f>
        <v>32</v>
      </c>
      <c r="N95" s="28">
        <f>PINNAE_Prod!$N$15</f>
        <v>69.300000000000011</v>
      </c>
      <c r="O95" s="56">
        <f>PINNAE_Prod!$C$16</f>
        <v>124</v>
      </c>
      <c r="P95" s="28">
        <f>PINNAE_Prod!$N$16</f>
        <v>72.3</v>
      </c>
      <c r="Q95" s="56">
        <f>PINNAE_Prod!$C$17</f>
        <v>0</v>
      </c>
      <c r="R95" s="28">
        <f>PINNAE_Prod!$N$17</f>
        <v>0</v>
      </c>
      <c r="S95" s="56">
        <f>PINNAE_Prod!$C$18</f>
        <v>0</v>
      </c>
      <c r="T95" s="28">
        <f>PINNAE_Prod!$N$18</f>
        <v>0</v>
      </c>
      <c r="U95" s="56">
        <f>PINNAE_Prod!$C$19</f>
        <v>0</v>
      </c>
      <c r="V95" s="28">
        <f>PINNAE_Prod!$N$19</f>
        <v>0</v>
      </c>
      <c r="W95" s="56">
        <f>PINNAE_Prod!$C$20</f>
        <v>0</v>
      </c>
      <c r="X95" s="28">
        <f>PINNAE_Prod!$N$20</f>
        <v>0</v>
      </c>
      <c r="Y95" s="56">
        <f>PINNAE_Prod!$C$21</f>
        <v>0</v>
      </c>
      <c r="Z95" s="28">
        <f>PINNAE_Prod!$N$21</f>
        <v>0</v>
      </c>
      <c r="AA95" s="56">
        <f>PINNAE_Prod!$C$22</f>
        <v>0</v>
      </c>
      <c r="AB95" s="28">
        <f>PINNAE_Prod!$N$22</f>
        <v>0</v>
      </c>
      <c r="AC95" s="56">
        <f>PINNAE_Prod!$C$23</f>
        <v>0</v>
      </c>
      <c r="AD95" s="28">
        <f>PINNAE_Prod!$N$23</f>
        <v>0</v>
      </c>
      <c r="AE95" s="56">
        <f>PINNAE_Prod!$C$24</f>
        <v>0</v>
      </c>
      <c r="AF95" s="28">
        <f>PINNAE_Prod!$N$24</f>
        <v>0</v>
      </c>
      <c r="AG95" s="56">
        <f>PINNAE_Prod!$C$25</f>
        <v>0</v>
      </c>
      <c r="AH95" s="28">
        <f>PINNAE_Prod!$N$25</f>
        <v>0</v>
      </c>
      <c r="AI95" s="56">
        <f>PINNAE_Prod!$C$26</f>
        <v>0</v>
      </c>
      <c r="AJ95" s="28">
        <f>PINNAE_Prod!$N$26</f>
        <v>0</v>
      </c>
      <c r="AK95" s="56">
        <f>PINNAE_Prod!$C$27</f>
        <v>0</v>
      </c>
      <c r="AL95" s="28">
        <f>PINNAE_Prod!$N$27</f>
        <v>0</v>
      </c>
      <c r="AM95" s="56">
        <f>PINNAE_Prod!$C$28</f>
        <v>0</v>
      </c>
      <c r="AN95" s="28">
        <f>PINNAE_Prod!$N$28</f>
        <v>0</v>
      </c>
      <c r="AO95" s="56">
        <f>PINNAE_Prod!$C$29</f>
        <v>0</v>
      </c>
      <c r="AP95" s="28">
        <f>PINNAE_Prod!$N$29</f>
        <v>0</v>
      </c>
      <c r="AQ95" s="56">
        <f>PINNAE_Prod!$C$30</f>
        <v>0</v>
      </c>
      <c r="AR95" s="28">
        <f>PINNAE_Prod!$N$30</f>
        <v>0</v>
      </c>
      <c r="AS95" s="56">
        <f>PINNAE_Prod!$C$31</f>
        <v>0</v>
      </c>
      <c r="AT95" s="28">
        <f>PINNAE_Prod!$N$31</f>
        <v>0</v>
      </c>
      <c r="AU95" s="56">
        <f>PINNAE_Prod!$C$32</f>
        <v>0</v>
      </c>
      <c r="AV95" s="28">
        <f>PINNAE_Prod!$N$32</f>
        <v>0</v>
      </c>
      <c r="AW95" s="56">
        <f>PINNAE_Prod!$C$33</f>
        <v>0</v>
      </c>
      <c r="AX95" s="28">
        <f>PINNAE_Prod!$N$33</f>
        <v>0</v>
      </c>
      <c r="AY95" s="56">
        <f>PINNAE_Prod!$C$34</f>
        <v>0</v>
      </c>
      <c r="AZ95" s="28">
        <f>PINNAE_Prod!$N$34</f>
        <v>0</v>
      </c>
      <c r="BA95" s="56">
        <f>PINNAE_Prod!$C$35</f>
        <v>0</v>
      </c>
      <c r="BB95" s="28">
        <f>PINNAE_Prod!$N$35</f>
        <v>0</v>
      </c>
      <c r="BC95" s="56">
        <f>PINNAE_Prod!$C$36</f>
        <v>0</v>
      </c>
      <c r="BD95" s="28">
        <f>PINNAE_Prod!$N$36</f>
        <v>0</v>
      </c>
      <c r="BE95" s="56">
        <f>PINNAE_Prod!$C$37</f>
        <v>0</v>
      </c>
      <c r="BF95" s="28">
        <f>PINNAE_Prod!$N$37</f>
        <v>0</v>
      </c>
      <c r="BG95" s="52" t="s">
        <v>69</v>
      </c>
      <c r="BH95" s="16"/>
    </row>
    <row r="96" spans="1:60">
      <c r="A96" s="20"/>
      <c r="B96" s="11" t="s">
        <v>809</v>
      </c>
      <c r="C96" s="213" t="s">
        <v>1001</v>
      </c>
      <c r="D96" s="7" t="s">
        <v>12</v>
      </c>
      <c r="E96" s="9" t="s">
        <v>4</v>
      </c>
      <c r="F96" s="40" t="s">
        <v>11</v>
      </c>
      <c r="G96" s="46">
        <f>PINNAE_Prod!$O$9</f>
        <v>0</v>
      </c>
      <c r="H96" s="72">
        <f>PINNAE_Prod!$O$10</f>
        <v>4</v>
      </c>
      <c r="I96" s="56">
        <f>PINNAE_Prod!$C$13</f>
        <v>1</v>
      </c>
      <c r="J96" s="28">
        <f>PINNAE_Prod!$O$13</f>
        <v>0</v>
      </c>
      <c r="K96" s="56">
        <f>PINNAE_Prod!$C$14</f>
        <v>28</v>
      </c>
      <c r="L96" s="28">
        <f>PINNAE_Prod!$O$14</f>
        <v>0</v>
      </c>
      <c r="M96" s="56">
        <f>PINNAE_Prod!$C$15</f>
        <v>32</v>
      </c>
      <c r="N96" s="28">
        <f>PINNAE_Prod!$O$15</f>
        <v>0</v>
      </c>
      <c r="O96" s="56">
        <f>PINNAE_Prod!$C$16</f>
        <v>124</v>
      </c>
      <c r="P96" s="28">
        <f>PINNAE_Prod!$O$16</f>
        <v>0</v>
      </c>
      <c r="Q96" s="56">
        <f>PINNAE_Prod!$C$17</f>
        <v>0</v>
      </c>
      <c r="R96" s="28">
        <f>PINNAE_Prod!$O$17</f>
        <v>0</v>
      </c>
      <c r="S96" s="56">
        <f>PINNAE_Prod!$C$18</f>
        <v>0</v>
      </c>
      <c r="T96" s="28">
        <f>PINNAE_Prod!$O$18</f>
        <v>0</v>
      </c>
      <c r="U96" s="56">
        <f>PINNAE_Prod!$C$19</f>
        <v>0</v>
      </c>
      <c r="V96" s="28">
        <f>PINNAE_Prod!$O$19</f>
        <v>0</v>
      </c>
      <c r="W96" s="56">
        <f>PINNAE_Prod!$C$20</f>
        <v>0</v>
      </c>
      <c r="X96" s="28">
        <f>PINNAE_Prod!$O$20</f>
        <v>0</v>
      </c>
      <c r="Y96" s="56">
        <f>PINNAE_Prod!$C$21</f>
        <v>0</v>
      </c>
      <c r="Z96" s="28">
        <f>PINNAE_Prod!$O$21</f>
        <v>0</v>
      </c>
      <c r="AA96" s="56">
        <f>PINNAE_Prod!$C$22</f>
        <v>0</v>
      </c>
      <c r="AB96" s="28">
        <f>PINNAE_Prod!$O$22</f>
        <v>0</v>
      </c>
      <c r="AC96" s="56">
        <f>PINNAE_Prod!$C$23</f>
        <v>0</v>
      </c>
      <c r="AD96" s="28">
        <f>PINNAE_Prod!$O$23</f>
        <v>0</v>
      </c>
      <c r="AE96" s="56">
        <f>PINNAE_Prod!$C$24</f>
        <v>0</v>
      </c>
      <c r="AF96" s="28">
        <f>PINNAE_Prod!$O$24</f>
        <v>0</v>
      </c>
      <c r="AG96" s="56">
        <f>PINNAE_Prod!$C$25</f>
        <v>0</v>
      </c>
      <c r="AH96" s="28">
        <f>PINNAE_Prod!$O$25</f>
        <v>0</v>
      </c>
      <c r="AI96" s="56">
        <f>PINNAE_Prod!$C$26</f>
        <v>0</v>
      </c>
      <c r="AJ96" s="28">
        <f>PINNAE_Prod!$O$26</f>
        <v>0</v>
      </c>
      <c r="AK96" s="56">
        <f>PINNAE_Prod!$C$27</f>
        <v>0</v>
      </c>
      <c r="AL96" s="28">
        <f>PINNAE_Prod!$O$27</f>
        <v>0</v>
      </c>
      <c r="AM96" s="56">
        <f>PINNAE_Prod!$C$28</f>
        <v>0</v>
      </c>
      <c r="AN96" s="28">
        <f>PINNAE_Prod!$O$28</f>
        <v>0</v>
      </c>
      <c r="AO96" s="56">
        <f>PINNAE_Prod!$C$29</f>
        <v>0</v>
      </c>
      <c r="AP96" s="28">
        <f>PINNAE_Prod!$O$29</f>
        <v>0</v>
      </c>
      <c r="AQ96" s="56">
        <f>PINNAE_Prod!$C$30</f>
        <v>0</v>
      </c>
      <c r="AR96" s="28">
        <f>PINNAE_Prod!$O$30</f>
        <v>0</v>
      </c>
      <c r="AS96" s="56">
        <f>PINNAE_Prod!$C$31</f>
        <v>0</v>
      </c>
      <c r="AT96" s="28">
        <f>PINNAE_Prod!$O$31</f>
        <v>0</v>
      </c>
      <c r="AU96" s="56">
        <f>PINNAE_Prod!$C$32</f>
        <v>0</v>
      </c>
      <c r="AV96" s="28">
        <f>PINNAE_Prod!$O$32</f>
        <v>0</v>
      </c>
      <c r="AW96" s="56">
        <f>PINNAE_Prod!$C$33</f>
        <v>0</v>
      </c>
      <c r="AX96" s="28">
        <f>PINNAE_Prod!$O$33</f>
        <v>0</v>
      </c>
      <c r="AY96" s="56">
        <f>PINNAE_Prod!$C$34</f>
        <v>0</v>
      </c>
      <c r="AZ96" s="28">
        <f>PINNAE_Prod!$O$34</f>
        <v>0</v>
      </c>
      <c r="BA96" s="56">
        <f>PINNAE_Prod!$C$35</f>
        <v>0</v>
      </c>
      <c r="BB96" s="28">
        <f>PINNAE_Prod!$O$35</f>
        <v>0</v>
      </c>
      <c r="BC96" s="56">
        <f>PINNAE_Prod!$C$36</f>
        <v>0</v>
      </c>
      <c r="BD96" s="28">
        <f>PINNAE_Prod!$O$36</f>
        <v>0</v>
      </c>
      <c r="BE96" s="56">
        <f>PINNAE_Prod!$C$37</f>
        <v>0</v>
      </c>
      <c r="BF96" s="28">
        <f>PINNAE_Prod!$O$37</f>
        <v>0</v>
      </c>
      <c r="BG96" s="52" t="s">
        <v>69</v>
      </c>
      <c r="BH96" s="16"/>
    </row>
    <row r="97" spans="1:60">
      <c r="A97" s="20"/>
      <c r="B97" s="11" t="s">
        <v>823</v>
      </c>
      <c r="C97" s="213" t="s">
        <v>1002</v>
      </c>
      <c r="D97" s="69" t="s">
        <v>12</v>
      </c>
      <c r="E97" s="9" t="s">
        <v>5</v>
      </c>
      <c r="F97" s="40" t="s">
        <v>7</v>
      </c>
      <c r="G97" s="46">
        <f>PINNAE_Prod!$Q$9</f>
        <v>1</v>
      </c>
      <c r="H97" s="72">
        <f>PINNAE_Prod!$Q$10</f>
        <v>3</v>
      </c>
      <c r="I97" s="76">
        <f>PINNAE_Prod!$P$13</f>
        <v>1</v>
      </c>
      <c r="J97" s="264">
        <f>PINNAE_Prod!$Q$13</f>
        <v>0.95</v>
      </c>
      <c r="K97" s="76">
        <f>PINNAE_Prod!$P$14</f>
        <v>10</v>
      </c>
      <c r="L97" s="264">
        <f>PINNAE_Prod!$Q$14</f>
        <v>0.98</v>
      </c>
      <c r="M97" s="76">
        <f>PINNAE_Prod!$P$15</f>
        <v>30</v>
      </c>
      <c r="N97" s="264">
        <f>PINNAE_Prod!$Q$15</f>
        <v>1</v>
      </c>
      <c r="O97" s="76">
        <f>PINNAE_Prod!$P$16</f>
        <v>0</v>
      </c>
      <c r="P97" s="264">
        <f>PINNAE_Prod!$Q$16</f>
        <v>0</v>
      </c>
      <c r="Q97" s="76">
        <f>PINNAE_Prod!$P$17</f>
        <v>0</v>
      </c>
      <c r="R97" s="264">
        <f>PINNAE_Prod!$Q$17</f>
        <v>0</v>
      </c>
      <c r="S97" s="76">
        <f>PINNAE_Prod!$P$18</f>
        <v>0</v>
      </c>
      <c r="T97" s="264">
        <f>PINNAE_Prod!$Q$18</f>
        <v>0</v>
      </c>
      <c r="U97" s="76">
        <f>PINNAE_Prod!$P$19</f>
        <v>0</v>
      </c>
      <c r="V97" s="264">
        <f>PINNAE_Prod!$Q$19</f>
        <v>0</v>
      </c>
      <c r="W97" s="76">
        <f>PINNAE_Prod!$P$20</f>
        <v>0</v>
      </c>
      <c r="X97" s="264">
        <f>PINNAE_Prod!$Q$20</f>
        <v>0</v>
      </c>
      <c r="Y97" s="76">
        <f>PINNAE_Prod!$P$21</f>
        <v>0</v>
      </c>
      <c r="Z97" s="264">
        <f>PINNAE_Prod!$Q$21</f>
        <v>0</v>
      </c>
      <c r="AA97" s="76">
        <f>PINNAE_Prod!$P$22</f>
        <v>0</v>
      </c>
      <c r="AB97" s="264">
        <f>PINNAE_Prod!$Q$22</f>
        <v>0</v>
      </c>
      <c r="AC97" s="76">
        <f>PINNAE_Prod!$P$23</f>
        <v>0</v>
      </c>
      <c r="AD97" s="264">
        <f>PINNAE_Prod!$Q$23</f>
        <v>0</v>
      </c>
      <c r="AE97" s="76">
        <f>PINNAE_Prod!$P$24</f>
        <v>0</v>
      </c>
      <c r="AF97" s="264">
        <f>PINNAE_Prod!$Q$24</f>
        <v>0</v>
      </c>
      <c r="AG97" s="76">
        <f>PINNAE_Prod!$P$25</f>
        <v>0</v>
      </c>
      <c r="AH97" s="264">
        <f>PINNAE_Prod!$Q$25</f>
        <v>0</v>
      </c>
      <c r="AI97" s="76">
        <f>PINNAE_Prod!$P$26</f>
        <v>0</v>
      </c>
      <c r="AJ97" s="264">
        <f>PINNAE_Prod!$Q$26</f>
        <v>0</v>
      </c>
      <c r="AK97" s="76">
        <f>PINNAE_Prod!$P$27</f>
        <v>0</v>
      </c>
      <c r="AL97" s="264">
        <f>PINNAE_Prod!$Q$27</f>
        <v>0</v>
      </c>
      <c r="AM97" s="76">
        <f>PINNAE_Prod!$P$28</f>
        <v>0</v>
      </c>
      <c r="AN97" s="264">
        <f>PINNAE_Prod!$Q$28</f>
        <v>0</v>
      </c>
      <c r="AO97" s="76">
        <f>PINNAE_Prod!$P$29</f>
        <v>0</v>
      </c>
      <c r="AP97" s="264">
        <f>PINNAE_Prod!$Q$29</f>
        <v>0</v>
      </c>
      <c r="AQ97" s="76">
        <f>PINNAE_Prod!$P$30</f>
        <v>0</v>
      </c>
      <c r="AR97" s="264">
        <f>PINNAE_Prod!$Q$30</f>
        <v>0</v>
      </c>
      <c r="AS97" s="76">
        <f>PINNAE_Prod!$P$31</f>
        <v>0</v>
      </c>
      <c r="AT97" s="264">
        <f>PINNAE_Prod!$Q$31</f>
        <v>0</v>
      </c>
      <c r="AU97" s="76">
        <f>PINNAE_Prod!$P$32</f>
        <v>0</v>
      </c>
      <c r="AV97" s="264">
        <f>PINNAE_Prod!$Q$32</f>
        <v>0</v>
      </c>
      <c r="AW97" s="76">
        <f>PINNAE_Prod!$P$33</f>
        <v>0</v>
      </c>
      <c r="AX97" s="264">
        <f>PINNAE_Prod!$Q$33</f>
        <v>0</v>
      </c>
      <c r="AY97" s="76">
        <f>PINNAE_Prod!$P$34</f>
        <v>0</v>
      </c>
      <c r="AZ97" s="264">
        <f>PINNAE_Prod!$Q$34</f>
        <v>0</v>
      </c>
      <c r="BA97" s="76">
        <f>PINNAE_Prod!$P$35</f>
        <v>0</v>
      </c>
      <c r="BB97" s="264">
        <f>PINNAE_Prod!$Q$35</f>
        <v>0</v>
      </c>
      <c r="BC97" s="76">
        <f>PINNAE_Prod!$P$36</f>
        <v>0</v>
      </c>
      <c r="BD97" s="264">
        <f>PINNAE_Prod!$Q$36</f>
        <v>0</v>
      </c>
      <c r="BE97" s="76">
        <f>PINNAE_Prod!$P$37</f>
        <v>0</v>
      </c>
      <c r="BF97" s="21">
        <f>PINNAE_Prod!$Q$37</f>
        <v>0</v>
      </c>
      <c r="BG97" s="52" t="s">
        <v>69</v>
      </c>
      <c r="BH97" s="16"/>
    </row>
    <row r="98" spans="1:60">
      <c r="A98" s="20"/>
      <c r="B98" s="11" t="s">
        <v>810</v>
      </c>
      <c r="C98" s="213" t="s">
        <v>1003</v>
      </c>
      <c r="D98" s="7" t="s">
        <v>12</v>
      </c>
      <c r="E98" s="9" t="s">
        <v>4</v>
      </c>
      <c r="F98" s="40" t="s">
        <v>11</v>
      </c>
      <c r="G98" s="46">
        <f>PINNAE_Prod!$S$9</f>
        <v>0</v>
      </c>
      <c r="H98" s="72">
        <f>PINNAE_Prod!$S$10</f>
        <v>4</v>
      </c>
      <c r="I98" s="56">
        <f>PINNAE_Prod!$C$13</f>
        <v>1</v>
      </c>
      <c r="J98" s="28">
        <f>PINNAE_Prod!$S$13</f>
        <v>0</v>
      </c>
      <c r="K98" s="56">
        <f>PINNAE_Prod!$C$14</f>
        <v>28</v>
      </c>
      <c r="L98" s="28">
        <f>PINNAE_Prod!$S$14</f>
        <v>0</v>
      </c>
      <c r="M98" s="56">
        <f>PINNAE_Prod!$C$15</f>
        <v>32</v>
      </c>
      <c r="N98" s="28">
        <f>PINNAE_Prod!$S$15</f>
        <v>0</v>
      </c>
      <c r="O98" s="56">
        <f>PINNAE_Prod!$C$16</f>
        <v>124</v>
      </c>
      <c r="P98" s="28">
        <f>PINNAE_Prod!$S$16</f>
        <v>0</v>
      </c>
      <c r="Q98" s="56">
        <f>PINNAE_Prod!$C$17</f>
        <v>0</v>
      </c>
      <c r="R98" s="28">
        <f>PINNAE_Prod!$S$17</f>
        <v>0</v>
      </c>
      <c r="S98" s="56">
        <f>PINNAE_Prod!$C$18</f>
        <v>0</v>
      </c>
      <c r="T98" s="28">
        <f>PINNAE_Prod!$S$18</f>
        <v>0</v>
      </c>
      <c r="U98" s="56">
        <f>PINNAE_Prod!$C$19</f>
        <v>0</v>
      </c>
      <c r="V98" s="28">
        <f>PINNAE_Prod!$S$19</f>
        <v>0</v>
      </c>
      <c r="W98" s="56">
        <f>PINNAE_Prod!$C$20</f>
        <v>0</v>
      </c>
      <c r="X98" s="28">
        <f>PINNAE_Prod!$S$20</f>
        <v>0</v>
      </c>
      <c r="Y98" s="56">
        <f>PINNAE_Prod!$C$21</f>
        <v>0</v>
      </c>
      <c r="Z98" s="28">
        <f>PINNAE_Prod!$S$21</f>
        <v>0</v>
      </c>
      <c r="AA98" s="56">
        <f>PINNAE_Prod!$C$22</f>
        <v>0</v>
      </c>
      <c r="AB98" s="28">
        <f>PINNAE_Prod!$S$22</f>
        <v>0</v>
      </c>
      <c r="AC98" s="56">
        <f>PINNAE_Prod!$C$23</f>
        <v>0</v>
      </c>
      <c r="AD98" s="28">
        <f>PINNAE_Prod!$S$23</f>
        <v>0</v>
      </c>
      <c r="AE98" s="56">
        <f>PINNAE_Prod!$C$24</f>
        <v>0</v>
      </c>
      <c r="AF98" s="28">
        <f>PINNAE_Prod!$S$24</f>
        <v>0</v>
      </c>
      <c r="AG98" s="56">
        <f>PINNAE_Prod!$C$25</f>
        <v>0</v>
      </c>
      <c r="AH98" s="28">
        <f>PINNAE_Prod!$S$25</f>
        <v>0</v>
      </c>
      <c r="AI98" s="56">
        <f>PINNAE_Prod!$C$26</f>
        <v>0</v>
      </c>
      <c r="AJ98" s="28">
        <f>PINNAE_Prod!$S$26</f>
        <v>0</v>
      </c>
      <c r="AK98" s="56">
        <f>PINNAE_Prod!$C$27</f>
        <v>0</v>
      </c>
      <c r="AL98" s="28">
        <f>PINNAE_Prod!$S$27</f>
        <v>0</v>
      </c>
      <c r="AM98" s="56">
        <f>PINNAE_Prod!$C$28</f>
        <v>0</v>
      </c>
      <c r="AN98" s="28">
        <f>PINNAE_Prod!$S$28</f>
        <v>0</v>
      </c>
      <c r="AO98" s="56">
        <f>PINNAE_Prod!$C$29</f>
        <v>0</v>
      </c>
      <c r="AP98" s="28">
        <f>PINNAE_Prod!$S$29</f>
        <v>0</v>
      </c>
      <c r="AQ98" s="56">
        <f>PINNAE_Prod!$C$30</f>
        <v>0</v>
      </c>
      <c r="AR98" s="28">
        <f>PINNAE_Prod!$S$30</f>
        <v>0</v>
      </c>
      <c r="AS98" s="56">
        <f>PINNAE_Prod!$C$31</f>
        <v>0</v>
      </c>
      <c r="AT98" s="28">
        <f>PINNAE_Prod!$S$31</f>
        <v>0</v>
      </c>
      <c r="AU98" s="56">
        <f>PINNAE_Prod!$C$32</f>
        <v>0</v>
      </c>
      <c r="AV98" s="28">
        <f>PINNAE_Prod!$S$32</f>
        <v>0</v>
      </c>
      <c r="AW98" s="56">
        <f>PINNAE_Prod!$C$33</f>
        <v>0</v>
      </c>
      <c r="AX98" s="28">
        <f>PINNAE_Prod!$S$33</f>
        <v>0</v>
      </c>
      <c r="AY98" s="56">
        <f>PINNAE_Prod!$C$34</f>
        <v>0</v>
      </c>
      <c r="AZ98" s="28">
        <f>PINNAE_Prod!$S$34</f>
        <v>0</v>
      </c>
      <c r="BA98" s="56">
        <f>PINNAE_Prod!$C$35</f>
        <v>0</v>
      </c>
      <c r="BB98" s="28">
        <f>PINNAE_Prod!$S$35</f>
        <v>0</v>
      </c>
      <c r="BC98" s="56">
        <f>PINNAE_Prod!$C$36</f>
        <v>0</v>
      </c>
      <c r="BD98" s="28">
        <f>PINNAE_Prod!$S$36</f>
        <v>0</v>
      </c>
      <c r="BE98" s="56">
        <f>PINNAE_Prod!$C$37</f>
        <v>0</v>
      </c>
      <c r="BF98" s="28">
        <f>PINNAE_Prod!$S$37</f>
        <v>0</v>
      </c>
      <c r="BG98" s="52" t="s">
        <v>69</v>
      </c>
      <c r="BH98" s="16"/>
    </row>
    <row r="99" spans="1:60">
      <c r="A99" s="20"/>
      <c r="B99" s="11" t="s">
        <v>811</v>
      </c>
      <c r="C99" s="213" t="s">
        <v>1004</v>
      </c>
      <c r="D99" s="7" t="s">
        <v>12</v>
      </c>
      <c r="E99" s="9" t="s">
        <v>4</v>
      </c>
      <c r="F99" s="40" t="s">
        <v>11</v>
      </c>
      <c r="G99" s="46">
        <f>PINNAE_Prod!$T$9</f>
        <v>0</v>
      </c>
      <c r="H99" s="72">
        <f>PINNAE_Prod!$T$10</f>
        <v>4</v>
      </c>
      <c r="I99" s="56">
        <f>PINNAE_Prod!$C$13</f>
        <v>1</v>
      </c>
      <c r="J99" s="28">
        <f>PINNAE_Prod!$T$13</f>
        <v>0</v>
      </c>
      <c r="K99" s="56">
        <f>PINNAE_Prod!$C$14</f>
        <v>28</v>
      </c>
      <c r="L99" s="28">
        <f>PINNAE_Prod!$T$14</f>
        <v>0</v>
      </c>
      <c r="M99" s="56">
        <f>PINNAE_Prod!$C$15</f>
        <v>32</v>
      </c>
      <c r="N99" s="28">
        <f>PINNAE_Prod!$T$15</f>
        <v>0</v>
      </c>
      <c r="O99" s="56">
        <f>PINNAE_Prod!$C$16</f>
        <v>124</v>
      </c>
      <c r="P99" s="28">
        <f>PINNAE_Prod!$T$16</f>
        <v>0</v>
      </c>
      <c r="Q99" s="56">
        <f>PINNAE_Prod!$C$17</f>
        <v>0</v>
      </c>
      <c r="R99" s="28">
        <f>PINNAE_Prod!$T$17</f>
        <v>0</v>
      </c>
      <c r="S99" s="56">
        <f>PINNAE_Prod!$C$18</f>
        <v>0</v>
      </c>
      <c r="T99" s="28">
        <f>PINNAE_Prod!$T$18</f>
        <v>0</v>
      </c>
      <c r="U99" s="56">
        <f>PINNAE_Prod!$C$19</f>
        <v>0</v>
      </c>
      <c r="V99" s="28">
        <f>PINNAE_Prod!$T$19</f>
        <v>0</v>
      </c>
      <c r="W99" s="56">
        <f>PINNAE_Prod!$C$20</f>
        <v>0</v>
      </c>
      <c r="X99" s="28">
        <f>PINNAE_Prod!$T$20</f>
        <v>0</v>
      </c>
      <c r="Y99" s="56">
        <f>PINNAE_Prod!$C$21</f>
        <v>0</v>
      </c>
      <c r="Z99" s="28">
        <f>PINNAE_Prod!$T$21</f>
        <v>0</v>
      </c>
      <c r="AA99" s="56">
        <f>PINNAE_Prod!$C$22</f>
        <v>0</v>
      </c>
      <c r="AB99" s="28">
        <f>PINNAE_Prod!$T$22</f>
        <v>0</v>
      </c>
      <c r="AC99" s="56">
        <f>PINNAE_Prod!$C$23</f>
        <v>0</v>
      </c>
      <c r="AD99" s="28">
        <f>PINNAE_Prod!$T$23</f>
        <v>0</v>
      </c>
      <c r="AE99" s="56">
        <f>PINNAE_Prod!$C$24</f>
        <v>0</v>
      </c>
      <c r="AF99" s="28">
        <f>PINNAE_Prod!$T$24</f>
        <v>0</v>
      </c>
      <c r="AG99" s="56">
        <f>PINNAE_Prod!$C$25</f>
        <v>0</v>
      </c>
      <c r="AH99" s="28">
        <f>PINNAE_Prod!$T$25</f>
        <v>0</v>
      </c>
      <c r="AI99" s="56">
        <f>PINNAE_Prod!$C$26</f>
        <v>0</v>
      </c>
      <c r="AJ99" s="28">
        <f>PINNAE_Prod!$T$26</f>
        <v>0</v>
      </c>
      <c r="AK99" s="56">
        <f>PINNAE_Prod!$C$27</f>
        <v>0</v>
      </c>
      <c r="AL99" s="28">
        <f>PINNAE_Prod!$T$27</f>
        <v>0</v>
      </c>
      <c r="AM99" s="56">
        <f>PINNAE_Prod!$C$28</f>
        <v>0</v>
      </c>
      <c r="AN99" s="28">
        <f>PINNAE_Prod!$T$28</f>
        <v>0</v>
      </c>
      <c r="AO99" s="56">
        <f>PINNAE_Prod!$C$29</f>
        <v>0</v>
      </c>
      <c r="AP99" s="28">
        <f>PINNAE_Prod!$T$29</f>
        <v>0</v>
      </c>
      <c r="AQ99" s="56">
        <f>PINNAE_Prod!$C$30</f>
        <v>0</v>
      </c>
      <c r="AR99" s="28">
        <f>PINNAE_Prod!$T$30</f>
        <v>0</v>
      </c>
      <c r="AS99" s="56">
        <f>PINNAE_Prod!$C$31</f>
        <v>0</v>
      </c>
      <c r="AT99" s="28">
        <f>PINNAE_Prod!$T$31</f>
        <v>0</v>
      </c>
      <c r="AU99" s="56">
        <f>PINNAE_Prod!$C$32</f>
        <v>0</v>
      </c>
      <c r="AV99" s="28">
        <f>PINNAE_Prod!$T$32</f>
        <v>0</v>
      </c>
      <c r="AW99" s="56">
        <f>PINNAE_Prod!$C$33</f>
        <v>0</v>
      </c>
      <c r="AX99" s="28">
        <f>PINNAE_Prod!$T$33</f>
        <v>0</v>
      </c>
      <c r="AY99" s="56">
        <f>PINNAE_Prod!$C$34</f>
        <v>0</v>
      </c>
      <c r="AZ99" s="28">
        <f>PINNAE_Prod!$T$34</f>
        <v>0</v>
      </c>
      <c r="BA99" s="56">
        <f>PINNAE_Prod!$C$35</f>
        <v>0</v>
      </c>
      <c r="BB99" s="28">
        <f>PINNAE_Prod!$T$35</f>
        <v>0</v>
      </c>
      <c r="BC99" s="56">
        <f>PINNAE_Prod!$C$36</f>
        <v>0</v>
      </c>
      <c r="BD99" s="28">
        <f>PINNAE_Prod!$T$36</f>
        <v>0</v>
      </c>
      <c r="BE99" s="56">
        <f>PINNAE_Prod!$C$37</f>
        <v>0</v>
      </c>
      <c r="BF99" s="28">
        <f>PINNAE_Prod!$T$37</f>
        <v>0</v>
      </c>
      <c r="BG99" s="52" t="s">
        <v>69</v>
      </c>
      <c r="BH99" s="16"/>
    </row>
    <row r="100" spans="1:60">
      <c r="A100" s="20"/>
      <c r="B100" s="11" t="s">
        <v>824</v>
      </c>
      <c r="C100" s="213" t="s">
        <v>1005</v>
      </c>
      <c r="D100" s="69" t="s">
        <v>12</v>
      </c>
      <c r="E100" s="9" t="s">
        <v>5</v>
      </c>
      <c r="F100" s="40" t="s">
        <v>7</v>
      </c>
      <c r="G100" s="46">
        <f>PINNAE_Prod!$V$9</f>
        <v>1</v>
      </c>
      <c r="H100" s="72">
        <f>PINNAE_Prod!$V$10</f>
        <v>3</v>
      </c>
      <c r="I100" s="76">
        <f>PINNAE_Prod!$U$13</f>
        <v>1</v>
      </c>
      <c r="J100" s="264">
        <f>PINNAE_Prod!$V$13</f>
        <v>1</v>
      </c>
      <c r="K100" s="76">
        <f>PINNAE_Prod!$U$14</f>
        <v>10</v>
      </c>
      <c r="L100" s="264">
        <f>PINNAE_Prod!$V$14</f>
        <v>1</v>
      </c>
      <c r="M100" s="76">
        <f>PINNAE_Prod!$U$15</f>
        <v>30</v>
      </c>
      <c r="N100" s="264">
        <f>PINNAE_Prod!$V$15</f>
        <v>1</v>
      </c>
      <c r="O100" s="76">
        <f>PINNAE_Prod!$U$16</f>
        <v>0</v>
      </c>
      <c r="P100" s="264">
        <f>PINNAE_Prod!$V$16</f>
        <v>0</v>
      </c>
      <c r="Q100" s="76">
        <f>PINNAE_Prod!$U$17</f>
        <v>0</v>
      </c>
      <c r="R100" s="264">
        <f>PINNAE_Prod!$V$17</f>
        <v>0</v>
      </c>
      <c r="S100" s="76">
        <f>PINNAE_Prod!$U$18</f>
        <v>0</v>
      </c>
      <c r="T100" s="264">
        <f>PINNAE_Prod!$V$18</f>
        <v>0</v>
      </c>
      <c r="U100" s="76">
        <f>PINNAE_Prod!$U$19</f>
        <v>0</v>
      </c>
      <c r="V100" s="264">
        <f>PINNAE_Prod!$V$19</f>
        <v>0</v>
      </c>
      <c r="W100" s="76">
        <f>PINNAE_Prod!$U$20</f>
        <v>0</v>
      </c>
      <c r="X100" s="264">
        <f>PINNAE_Prod!$V$20</f>
        <v>0</v>
      </c>
      <c r="Y100" s="76">
        <f>PINNAE_Prod!$U$21</f>
        <v>0</v>
      </c>
      <c r="Z100" s="264">
        <f>PINNAE_Prod!$V$21</f>
        <v>0</v>
      </c>
      <c r="AA100" s="76">
        <f>PINNAE_Prod!$U$22</f>
        <v>0</v>
      </c>
      <c r="AB100" s="264">
        <f>PINNAE_Prod!$V$22</f>
        <v>0</v>
      </c>
      <c r="AC100" s="76">
        <f>PINNAE_Prod!$U$23</f>
        <v>0</v>
      </c>
      <c r="AD100" s="264">
        <f>PINNAE_Prod!$V$23</f>
        <v>0</v>
      </c>
      <c r="AE100" s="76">
        <f>PINNAE_Prod!$U$24</f>
        <v>0</v>
      </c>
      <c r="AF100" s="264">
        <f>PINNAE_Prod!$V$24</f>
        <v>0</v>
      </c>
      <c r="AG100" s="76">
        <f>PINNAE_Prod!$U$25</f>
        <v>0</v>
      </c>
      <c r="AH100" s="264">
        <f>PINNAE_Prod!$V$25</f>
        <v>0</v>
      </c>
      <c r="AI100" s="76">
        <f>PINNAE_Prod!$U$26</f>
        <v>0</v>
      </c>
      <c r="AJ100" s="264">
        <f>PINNAE_Prod!$V$26</f>
        <v>0</v>
      </c>
      <c r="AK100" s="76">
        <f>PINNAE_Prod!$U$27</f>
        <v>0</v>
      </c>
      <c r="AL100" s="264">
        <f>PINNAE_Prod!$V$27</f>
        <v>0</v>
      </c>
      <c r="AM100" s="76">
        <f>PINNAE_Prod!$U$28</f>
        <v>0</v>
      </c>
      <c r="AN100" s="264">
        <f>PINNAE_Prod!$V$28</f>
        <v>0</v>
      </c>
      <c r="AO100" s="76">
        <f>PINNAE_Prod!$U$29</f>
        <v>0</v>
      </c>
      <c r="AP100" s="264">
        <f>PINNAE_Prod!$V$29</f>
        <v>0</v>
      </c>
      <c r="AQ100" s="76">
        <f>PINNAE_Prod!$U$30</f>
        <v>0</v>
      </c>
      <c r="AR100" s="264">
        <f>PINNAE_Prod!$V$30</f>
        <v>0</v>
      </c>
      <c r="AS100" s="76">
        <f>PINNAE_Prod!$U$31</f>
        <v>0</v>
      </c>
      <c r="AT100" s="264">
        <f>PINNAE_Prod!$V$31</f>
        <v>0</v>
      </c>
      <c r="AU100" s="76">
        <f>PINNAE_Prod!$U$32</f>
        <v>0</v>
      </c>
      <c r="AV100" s="264">
        <f>PINNAE_Prod!$V$32</f>
        <v>0</v>
      </c>
      <c r="AW100" s="76">
        <f>PINNAE_Prod!$U$33</f>
        <v>0</v>
      </c>
      <c r="AX100" s="264">
        <f>PINNAE_Prod!$V$33</f>
        <v>0</v>
      </c>
      <c r="AY100" s="76">
        <f>PINNAE_Prod!$U$34</f>
        <v>0</v>
      </c>
      <c r="AZ100" s="264">
        <f>PINNAE_Prod!$V$34</f>
        <v>0</v>
      </c>
      <c r="BA100" s="76">
        <f>PINNAE_Prod!$U$35</f>
        <v>0</v>
      </c>
      <c r="BB100" s="264">
        <f>PINNAE_Prod!$V$35</f>
        <v>0</v>
      </c>
      <c r="BC100" s="76">
        <f>PINNAE_Prod!$U$36</f>
        <v>0</v>
      </c>
      <c r="BD100" s="264">
        <f>PINNAE_Prod!$V$36</f>
        <v>0</v>
      </c>
      <c r="BE100" s="76">
        <f>PINNAE_Prod!$U$37</f>
        <v>0</v>
      </c>
      <c r="BF100" s="21">
        <f>PINNAE_Prod!$V$37</f>
        <v>0</v>
      </c>
      <c r="BG100" s="52" t="s">
        <v>69</v>
      </c>
      <c r="BH100" s="16"/>
    </row>
    <row r="101" spans="1:60">
      <c r="A101" s="20"/>
      <c r="B101" s="12" t="s">
        <v>174</v>
      </c>
      <c r="C101" s="2" t="s">
        <v>267</v>
      </c>
      <c r="D101" s="15" t="s">
        <v>12</v>
      </c>
      <c r="E101" s="9" t="s">
        <v>4</v>
      </c>
      <c r="F101" s="40" t="s">
        <v>11</v>
      </c>
      <c r="G101" s="46">
        <f>PINNAE_Prod!$AA$9</f>
        <v>1</v>
      </c>
      <c r="H101" s="72">
        <f>PINNAE_Prod!$AA$10</f>
        <v>13</v>
      </c>
      <c r="I101" s="59">
        <f>PINNAE_Prod!$Z$13</f>
        <v>0</v>
      </c>
      <c r="J101" s="21">
        <f>PINNAE_Prod!$AA$13</f>
        <v>100</v>
      </c>
      <c r="K101" s="59">
        <f>PINNAE_Prod!$Z$14</f>
        <v>3.5</v>
      </c>
      <c r="L101" s="21">
        <f>PINNAE_Prod!$AA$14</f>
        <v>50</v>
      </c>
      <c r="M101" s="59">
        <f>PINNAE_Prod!$Z$15</f>
        <v>7</v>
      </c>
      <c r="N101" s="21">
        <f>PINNAE_Prod!$AA$15</f>
        <v>60</v>
      </c>
      <c r="O101" s="59">
        <f>PINNAE_Prod!$Z$16</f>
        <v>11.5</v>
      </c>
      <c r="P101" s="21">
        <f>PINNAE_Prod!$AA$16</f>
        <v>20</v>
      </c>
      <c r="Q101" s="59">
        <f>PINNAE_Prod!$Z$17</f>
        <v>17</v>
      </c>
      <c r="R101" s="21">
        <f>PINNAE_Prod!$AA$17</f>
        <v>0</v>
      </c>
      <c r="S101" s="59">
        <f>PINNAE_Prod!$Z$18</f>
        <v>24</v>
      </c>
      <c r="T101" s="21">
        <f>PINNAE_Prod!$AA$18</f>
        <v>0</v>
      </c>
      <c r="U101" s="59">
        <f>PINNAE_Prod!$Z$19</f>
        <v>32</v>
      </c>
      <c r="V101" s="21">
        <f>PINNAE_Prod!$AA$19</f>
        <v>0</v>
      </c>
      <c r="W101" s="59">
        <f>PINNAE_Prod!$Z$20</f>
        <v>44</v>
      </c>
      <c r="X101" s="21">
        <f>PINNAE_Prod!$AA$20</f>
        <v>0</v>
      </c>
      <c r="Y101" s="59">
        <f>PINNAE_Prod!$Z$21</f>
        <v>60</v>
      </c>
      <c r="Z101" s="21">
        <f>PINNAE_Prod!$AA$21</f>
        <v>0</v>
      </c>
      <c r="AA101" s="59">
        <f>PINNAE_Prod!$Z$22</f>
        <v>76</v>
      </c>
      <c r="AB101" s="21">
        <f>PINNAE_Prod!$AA$22</f>
        <v>4.4444444444444446</v>
      </c>
      <c r="AC101" s="59">
        <f>PINNAE_Prod!$Z$23</f>
        <v>88</v>
      </c>
      <c r="AD101" s="21">
        <f>PINNAE_Prod!$AA$23</f>
        <v>5.5555555555555554</v>
      </c>
      <c r="AE101" s="59">
        <f>PINNAE_Prod!$Z$24</f>
        <v>96</v>
      </c>
      <c r="AF101" s="21">
        <f>PINNAE_Prod!$AA$24</f>
        <v>33.333333333333336</v>
      </c>
      <c r="AG101" s="59">
        <f>PINNAE_Prod!$Z$25</f>
        <v>100</v>
      </c>
      <c r="AH101" s="21">
        <f>PINNAE_Prod!$AA$25</f>
        <v>100</v>
      </c>
      <c r="AI101" s="59">
        <f>PINNAE_Prod!$Z$26</f>
        <v>0</v>
      </c>
      <c r="AJ101" s="21">
        <f>PINNAE_Prod!$AA$26</f>
        <v>0</v>
      </c>
      <c r="AK101" s="59">
        <f>PINNAE_Prod!$Z$27</f>
        <v>0</v>
      </c>
      <c r="AL101" s="21">
        <f>PINNAE_Prod!$AA$27</f>
        <v>0</v>
      </c>
      <c r="AM101" s="59">
        <f>PINNAE_Prod!$Z$28</f>
        <v>0</v>
      </c>
      <c r="AN101" s="21">
        <f>PINNAE_Prod!$AA$28</f>
        <v>0</v>
      </c>
      <c r="AO101" s="59">
        <f>PINNAE_Prod!$Z$29</f>
        <v>0</v>
      </c>
      <c r="AP101" s="21">
        <f>PINNAE_Prod!$AA$29</f>
        <v>0</v>
      </c>
      <c r="AQ101" s="59">
        <f>PINNAE_Prod!$Z$30</f>
        <v>0</v>
      </c>
      <c r="AR101" s="21">
        <f>PINNAE_Prod!$AA$30</f>
        <v>0</v>
      </c>
      <c r="AS101" s="59">
        <f>PINNAE_Prod!$Z$31</f>
        <v>0</v>
      </c>
      <c r="AT101" s="21">
        <f>PINNAE_Prod!$AA$31</f>
        <v>0</v>
      </c>
      <c r="AU101" s="59">
        <f>PINNAE_Prod!$Z$32</f>
        <v>0</v>
      </c>
      <c r="AV101" s="21">
        <f>PINNAE_Prod!$AA$32</f>
        <v>0</v>
      </c>
      <c r="AW101" s="59">
        <f>PINNAE_Prod!$Z$33</f>
        <v>0</v>
      </c>
      <c r="AX101" s="21">
        <f>PINNAE_Prod!$AA$33</f>
        <v>0</v>
      </c>
      <c r="AY101" s="59">
        <f>PINNAE_Prod!$Z$34</f>
        <v>0</v>
      </c>
      <c r="AZ101" s="21">
        <f>PINNAE_Prod!$AA$34</f>
        <v>0</v>
      </c>
      <c r="BA101" s="59">
        <f>PINNAE_Prod!$Z$35</f>
        <v>0</v>
      </c>
      <c r="BB101" s="21">
        <f>PINNAE_Prod!$AA$35</f>
        <v>0</v>
      </c>
      <c r="BC101" s="59">
        <f>PINNAE_Prod!$Z$36</f>
        <v>0</v>
      </c>
      <c r="BD101" s="21">
        <f>PINNAE_Prod!$AA$36</f>
        <v>0</v>
      </c>
      <c r="BE101" s="59">
        <f>PINNAE_Prod!$Z$37</f>
        <v>0</v>
      </c>
      <c r="BF101" s="21">
        <f>PINNAE_Prod!$AA$37</f>
        <v>0</v>
      </c>
      <c r="BG101" s="52" t="s">
        <v>69</v>
      </c>
      <c r="BH101" s="16"/>
    </row>
    <row r="102" spans="1:60">
      <c r="A102" s="20"/>
      <c r="B102" s="12" t="s">
        <v>175</v>
      </c>
      <c r="C102" s="2" t="s">
        <v>266</v>
      </c>
      <c r="D102" s="15" t="s">
        <v>12</v>
      </c>
      <c r="E102" s="9" t="s">
        <v>4</v>
      </c>
      <c r="F102" s="40" t="s">
        <v>11</v>
      </c>
      <c r="G102" s="46">
        <f>PINNAE_Prod!$AB$9</f>
        <v>1</v>
      </c>
      <c r="H102" s="72">
        <f>PINNAE_Prod!$AB$10</f>
        <v>13</v>
      </c>
      <c r="I102" s="59">
        <f>PINNAE_Prod!$Z$13</f>
        <v>0</v>
      </c>
      <c r="J102" s="21">
        <f>PINNAE_Prod!$AB$13</f>
        <v>0</v>
      </c>
      <c r="K102" s="59">
        <f>PINNAE_Prod!$Z$14</f>
        <v>3.5</v>
      </c>
      <c r="L102" s="21">
        <f>PINNAE_Prod!$AB$14</f>
        <v>50</v>
      </c>
      <c r="M102" s="59">
        <f>PINNAE_Prod!$Z$15</f>
        <v>7</v>
      </c>
      <c r="N102" s="21">
        <f>PINNAE_Prod!$AB$15</f>
        <v>40</v>
      </c>
      <c r="O102" s="59">
        <f>PINNAE_Prod!$Z$16</f>
        <v>11.5</v>
      </c>
      <c r="P102" s="21">
        <f>PINNAE_Prod!$AB$16</f>
        <v>80</v>
      </c>
      <c r="Q102" s="59">
        <f>PINNAE_Prod!$Z$17</f>
        <v>17</v>
      </c>
      <c r="R102" s="21">
        <f>PINNAE_Prod!$AB$17</f>
        <v>100</v>
      </c>
      <c r="S102" s="59">
        <f>PINNAE_Prod!$Z$18</f>
        <v>24</v>
      </c>
      <c r="T102" s="21">
        <f>PINNAE_Prod!$AB$18</f>
        <v>100</v>
      </c>
      <c r="U102" s="59">
        <f>PINNAE_Prod!$Z$19</f>
        <v>32</v>
      </c>
      <c r="V102" s="21">
        <f>PINNAE_Prod!$AB$19</f>
        <v>87.5</v>
      </c>
      <c r="W102" s="59">
        <f>PINNAE_Prod!$Z$20</f>
        <v>44</v>
      </c>
      <c r="X102" s="21">
        <f>PINNAE_Prod!$AB$20</f>
        <v>69.230769230769226</v>
      </c>
      <c r="Y102" s="59">
        <f>PINNAE_Prod!$Z$21</f>
        <v>60</v>
      </c>
      <c r="Z102" s="21">
        <f>PINNAE_Prod!$AB$21</f>
        <v>55.882352941176471</v>
      </c>
      <c r="AA102" s="59">
        <f>PINNAE_Prod!$Z$22</f>
        <v>76</v>
      </c>
      <c r="AB102" s="21">
        <f>PINNAE_Prod!$AB$22</f>
        <v>64.444444444444443</v>
      </c>
      <c r="AC102" s="59">
        <f>PINNAE_Prod!$Z$23</f>
        <v>88</v>
      </c>
      <c r="AD102" s="21">
        <f>PINNAE_Prod!$AB$23</f>
        <v>55.555555555555557</v>
      </c>
      <c r="AE102" s="59">
        <f>PINNAE_Prod!$Z$24</f>
        <v>96</v>
      </c>
      <c r="AF102" s="21">
        <f>PINNAE_Prod!$AB$24</f>
        <v>56.666666666666664</v>
      </c>
      <c r="AG102" s="59">
        <f>PINNAE_Prod!$Z$25</f>
        <v>100</v>
      </c>
      <c r="AH102" s="21">
        <f>PINNAE_Prod!$AB$25</f>
        <v>0</v>
      </c>
      <c r="AI102" s="59">
        <f>PINNAE_Prod!$Z$26</f>
        <v>0</v>
      </c>
      <c r="AJ102" s="21">
        <f>PINNAE_Prod!$AB$26</f>
        <v>0</v>
      </c>
      <c r="AK102" s="59">
        <f>PINNAE_Prod!$Z$27</f>
        <v>0</v>
      </c>
      <c r="AL102" s="21">
        <f>PINNAE_Prod!$AB$27</f>
        <v>0</v>
      </c>
      <c r="AM102" s="59">
        <f>PINNAE_Prod!$Z$28</f>
        <v>0</v>
      </c>
      <c r="AN102" s="21">
        <f>PINNAE_Prod!$AB$28</f>
        <v>0</v>
      </c>
      <c r="AO102" s="59">
        <f>PINNAE_Prod!$Z$29</f>
        <v>0</v>
      </c>
      <c r="AP102" s="21">
        <f>PINNAE_Prod!$AB$29</f>
        <v>0</v>
      </c>
      <c r="AQ102" s="59">
        <f>PINNAE_Prod!$Z$30</f>
        <v>0</v>
      </c>
      <c r="AR102" s="21">
        <f>PINNAE_Prod!$AB$30</f>
        <v>0</v>
      </c>
      <c r="AS102" s="59">
        <f>PINNAE_Prod!$Z$31</f>
        <v>0</v>
      </c>
      <c r="AT102" s="21">
        <f>PINNAE_Prod!$AB$31</f>
        <v>0</v>
      </c>
      <c r="AU102" s="59">
        <f>PINNAE_Prod!$Z$32</f>
        <v>0</v>
      </c>
      <c r="AV102" s="21">
        <f>PINNAE_Prod!$AB$32</f>
        <v>0</v>
      </c>
      <c r="AW102" s="59">
        <f>PINNAE_Prod!$Z$33</f>
        <v>0</v>
      </c>
      <c r="AX102" s="21">
        <f>PINNAE_Prod!$AB$33</f>
        <v>0</v>
      </c>
      <c r="AY102" s="59">
        <f>PINNAE_Prod!$Z$34</f>
        <v>0</v>
      </c>
      <c r="AZ102" s="21">
        <f>PINNAE_Prod!$AB$34</f>
        <v>0</v>
      </c>
      <c r="BA102" s="59">
        <f>PINNAE_Prod!$Z$35</f>
        <v>0</v>
      </c>
      <c r="BB102" s="21">
        <f>PINNAE_Prod!$AB$35</f>
        <v>0</v>
      </c>
      <c r="BC102" s="59">
        <f>PINNAE_Prod!$Z$36</f>
        <v>0</v>
      </c>
      <c r="BD102" s="21">
        <f>PINNAE_Prod!$AB$36</f>
        <v>0</v>
      </c>
      <c r="BE102" s="59">
        <f>PINNAE_Prod!$Z$37</f>
        <v>0</v>
      </c>
      <c r="BF102" s="21">
        <f>PINNAE_Prod!$AB$37</f>
        <v>0</v>
      </c>
      <c r="BG102" s="52" t="s">
        <v>69</v>
      </c>
      <c r="BH102" s="16"/>
    </row>
    <row r="103" spans="1:60">
      <c r="A103" s="20"/>
      <c r="B103" s="12" t="s">
        <v>176</v>
      </c>
      <c r="C103" s="2" t="s">
        <v>268</v>
      </c>
      <c r="D103" s="15" t="s">
        <v>12</v>
      </c>
      <c r="E103" s="9" t="s">
        <v>4</v>
      </c>
      <c r="F103" s="40" t="s">
        <v>11</v>
      </c>
      <c r="G103" s="46">
        <f>PINNAE_Prod!$AC$9</f>
        <v>1</v>
      </c>
      <c r="H103" s="72">
        <f>PINNAE_Prod!$AC$10</f>
        <v>13</v>
      </c>
      <c r="I103" s="59">
        <f>PINNAE_Prod!$Z$13</f>
        <v>0</v>
      </c>
      <c r="J103" s="21">
        <f>PINNAE_Prod!$AC$13</f>
        <v>0</v>
      </c>
      <c r="K103" s="59">
        <f>PINNAE_Prod!$Z$14</f>
        <v>3.5</v>
      </c>
      <c r="L103" s="21">
        <f>PINNAE_Prod!$AC$14</f>
        <v>0</v>
      </c>
      <c r="M103" s="59">
        <f>PINNAE_Prod!$Z$15</f>
        <v>7</v>
      </c>
      <c r="N103" s="21">
        <f>PINNAE_Prod!$AC$15</f>
        <v>0</v>
      </c>
      <c r="O103" s="59">
        <f>PINNAE_Prod!$Z$16</f>
        <v>11.5</v>
      </c>
      <c r="P103" s="21">
        <f>PINNAE_Prod!$AC$16</f>
        <v>0</v>
      </c>
      <c r="Q103" s="59">
        <f>PINNAE_Prod!$Z$17</f>
        <v>17</v>
      </c>
      <c r="R103" s="21">
        <f>PINNAE_Prod!$AC$17</f>
        <v>0</v>
      </c>
      <c r="S103" s="59">
        <f>PINNAE_Prod!$Z$18</f>
        <v>24</v>
      </c>
      <c r="T103" s="21">
        <f>PINNAE_Prod!$AC$18</f>
        <v>0</v>
      </c>
      <c r="U103" s="59">
        <f>PINNAE_Prod!$Z$19</f>
        <v>32</v>
      </c>
      <c r="V103" s="21">
        <f>PINNAE_Prod!$AC$19</f>
        <v>12.5</v>
      </c>
      <c r="W103" s="59">
        <f>PINNAE_Prod!$Z$20</f>
        <v>44</v>
      </c>
      <c r="X103" s="21">
        <f>PINNAE_Prod!$AC$20</f>
        <v>30.76923076923077</v>
      </c>
      <c r="Y103" s="59">
        <f>PINNAE_Prod!$Z$21</f>
        <v>60</v>
      </c>
      <c r="Z103" s="21">
        <f>PINNAE_Prod!$AC$21</f>
        <v>44.117647058823529</v>
      </c>
      <c r="AA103" s="59">
        <f>PINNAE_Prod!$Z$22</f>
        <v>76</v>
      </c>
      <c r="AB103" s="21">
        <f>PINNAE_Prod!$AC$22</f>
        <v>31.111111111111111</v>
      </c>
      <c r="AC103" s="59">
        <f>PINNAE_Prod!$Z$23</f>
        <v>88</v>
      </c>
      <c r="AD103" s="21">
        <f>PINNAE_Prod!$AC$23</f>
        <v>38.888888888888886</v>
      </c>
      <c r="AE103" s="59">
        <f>PINNAE_Prod!$Z$24</f>
        <v>96</v>
      </c>
      <c r="AF103" s="21">
        <f>PINNAE_Prod!$AC$24</f>
        <v>10</v>
      </c>
      <c r="AG103" s="59">
        <f>PINNAE_Prod!$Z$25</f>
        <v>100</v>
      </c>
      <c r="AH103" s="21">
        <f>PINNAE_Prod!$AC$25</f>
        <v>0</v>
      </c>
      <c r="AI103" s="59">
        <f>PINNAE_Prod!$Z$26</f>
        <v>0</v>
      </c>
      <c r="AJ103" s="21">
        <f>PINNAE_Prod!$AC$26</f>
        <v>0</v>
      </c>
      <c r="AK103" s="59">
        <f>PINNAE_Prod!$Z$27</f>
        <v>0</v>
      </c>
      <c r="AL103" s="21">
        <f>PINNAE_Prod!$AC$27</f>
        <v>0</v>
      </c>
      <c r="AM103" s="59">
        <f>PINNAE_Prod!$Z$28</f>
        <v>0</v>
      </c>
      <c r="AN103" s="21">
        <f>PINNAE_Prod!$AC$28</f>
        <v>0</v>
      </c>
      <c r="AO103" s="59">
        <f>PINNAE_Prod!$Z$29</f>
        <v>0</v>
      </c>
      <c r="AP103" s="21">
        <f>PINNAE_Prod!$AC$29</f>
        <v>0</v>
      </c>
      <c r="AQ103" s="59">
        <f>PINNAE_Prod!$Z$30</f>
        <v>0</v>
      </c>
      <c r="AR103" s="21">
        <f>PINNAE_Prod!$AC$30</f>
        <v>0</v>
      </c>
      <c r="AS103" s="59">
        <f>PINNAE_Prod!$Z$31</f>
        <v>0</v>
      </c>
      <c r="AT103" s="21">
        <f>PINNAE_Prod!$AC$31</f>
        <v>0</v>
      </c>
      <c r="AU103" s="59">
        <f>PINNAE_Prod!$Z$32</f>
        <v>0</v>
      </c>
      <c r="AV103" s="21">
        <f>PINNAE_Prod!$AC$32</f>
        <v>0</v>
      </c>
      <c r="AW103" s="59">
        <f>PINNAE_Prod!$Z$33</f>
        <v>0</v>
      </c>
      <c r="AX103" s="21">
        <f>PINNAE_Prod!$AC$33</f>
        <v>0</v>
      </c>
      <c r="AY103" s="59">
        <f>PINNAE_Prod!$Z$34</f>
        <v>0</v>
      </c>
      <c r="AZ103" s="21">
        <f>PINNAE_Prod!$AC$34</f>
        <v>0</v>
      </c>
      <c r="BA103" s="59">
        <f>PINNAE_Prod!$Z$35</f>
        <v>0</v>
      </c>
      <c r="BB103" s="21">
        <f>PINNAE_Prod!$AC$35</f>
        <v>0</v>
      </c>
      <c r="BC103" s="59">
        <f>PINNAE_Prod!$Z$36</f>
        <v>0</v>
      </c>
      <c r="BD103" s="21">
        <f>PINNAE_Prod!$AC$36</f>
        <v>0</v>
      </c>
      <c r="BE103" s="59">
        <f>PINNAE_Prod!$Z$37</f>
        <v>0</v>
      </c>
      <c r="BF103" s="21">
        <f>PINNAE_Prod!$AC$37</f>
        <v>0</v>
      </c>
      <c r="BG103" s="52" t="s">
        <v>69</v>
      </c>
      <c r="BH103" s="16"/>
    </row>
    <row r="104" spans="1:60">
      <c r="A104" s="20"/>
      <c r="B104" s="12" t="s">
        <v>177</v>
      </c>
      <c r="C104" s="2" t="s">
        <v>269</v>
      </c>
      <c r="D104" s="15" t="s">
        <v>12</v>
      </c>
      <c r="E104" s="9" t="s">
        <v>4</v>
      </c>
      <c r="F104" s="40" t="s">
        <v>11</v>
      </c>
      <c r="G104" s="46">
        <f>PINNAE_Prod!$AD$9</f>
        <v>1</v>
      </c>
      <c r="H104" s="72">
        <f>PINNAE_Prod!$AD$10</f>
        <v>13</v>
      </c>
      <c r="I104" s="59">
        <f>PINNAE_Prod!$Z$13</f>
        <v>0</v>
      </c>
      <c r="J104" s="21">
        <f>PINNAE_Prod!$AD$13</f>
        <v>0</v>
      </c>
      <c r="K104" s="59">
        <f>PINNAE_Prod!$Z$14</f>
        <v>3.5</v>
      </c>
      <c r="L104" s="21">
        <f>PINNAE_Prod!$AD$14</f>
        <v>0</v>
      </c>
      <c r="M104" s="59">
        <f>PINNAE_Prod!$Z$15</f>
        <v>7</v>
      </c>
      <c r="N104" s="21">
        <f>PINNAE_Prod!$AD$15</f>
        <v>0</v>
      </c>
      <c r="O104" s="59">
        <f>PINNAE_Prod!$Z$16</f>
        <v>11.5</v>
      </c>
      <c r="P104" s="21">
        <f>PINNAE_Prod!$AD$16</f>
        <v>0</v>
      </c>
      <c r="Q104" s="59">
        <f>PINNAE_Prod!$Z$17</f>
        <v>17</v>
      </c>
      <c r="R104" s="21">
        <f>PINNAE_Prod!$AD$17</f>
        <v>0</v>
      </c>
      <c r="S104" s="59">
        <f>PINNAE_Prod!$Z$18</f>
        <v>24</v>
      </c>
      <c r="T104" s="21">
        <f>PINNAE_Prod!$AD$18</f>
        <v>0</v>
      </c>
      <c r="U104" s="59">
        <f>PINNAE_Prod!$Z$19</f>
        <v>32</v>
      </c>
      <c r="V104" s="21">
        <f>PINNAE_Prod!$AD$19</f>
        <v>0</v>
      </c>
      <c r="W104" s="59">
        <f>PINNAE_Prod!$Z$20</f>
        <v>44</v>
      </c>
      <c r="X104" s="21">
        <f>PINNAE_Prod!$AD$20</f>
        <v>0</v>
      </c>
      <c r="Y104" s="59">
        <f>PINNAE_Prod!$Z$21</f>
        <v>60</v>
      </c>
      <c r="Z104" s="21">
        <f>PINNAE_Prod!$AD$21</f>
        <v>0</v>
      </c>
      <c r="AA104" s="59">
        <f>PINNAE_Prod!$Z$22</f>
        <v>76</v>
      </c>
      <c r="AB104" s="21">
        <f>PINNAE_Prod!$AD$22</f>
        <v>0</v>
      </c>
      <c r="AC104" s="59">
        <f>PINNAE_Prod!$Z$23</f>
        <v>88</v>
      </c>
      <c r="AD104" s="21">
        <f>PINNAE_Prod!$AD$23</f>
        <v>0</v>
      </c>
      <c r="AE104" s="59">
        <f>PINNAE_Prod!$Z$24</f>
        <v>96</v>
      </c>
      <c r="AF104" s="21">
        <f>PINNAE_Prod!$AD$24</f>
        <v>0</v>
      </c>
      <c r="AG104" s="59">
        <f>PINNAE_Prod!$Z$25</f>
        <v>100</v>
      </c>
      <c r="AH104" s="21">
        <f>PINNAE_Prod!$AD$25</f>
        <v>0</v>
      </c>
      <c r="AI104" s="59">
        <f>PINNAE_Prod!$Z$26</f>
        <v>0</v>
      </c>
      <c r="AJ104" s="21">
        <f>PINNAE_Prod!$AD$26</f>
        <v>0</v>
      </c>
      <c r="AK104" s="59">
        <f>PINNAE_Prod!$Z$27</f>
        <v>0</v>
      </c>
      <c r="AL104" s="21">
        <f>PINNAE_Prod!$AD$27</f>
        <v>0</v>
      </c>
      <c r="AM104" s="59">
        <f>PINNAE_Prod!$Z$28</f>
        <v>0</v>
      </c>
      <c r="AN104" s="21">
        <f>PINNAE_Prod!$AD$28</f>
        <v>0</v>
      </c>
      <c r="AO104" s="59">
        <f>PINNAE_Prod!$Z$29</f>
        <v>0</v>
      </c>
      <c r="AP104" s="21">
        <f>PINNAE_Prod!$AD$29</f>
        <v>0</v>
      </c>
      <c r="AQ104" s="59">
        <f>PINNAE_Prod!$Z$30</f>
        <v>0</v>
      </c>
      <c r="AR104" s="21">
        <f>PINNAE_Prod!$AD$30</f>
        <v>0</v>
      </c>
      <c r="AS104" s="59">
        <f>PINNAE_Prod!$Z$31</f>
        <v>0</v>
      </c>
      <c r="AT104" s="21">
        <f>PINNAE_Prod!$AD$31</f>
        <v>0</v>
      </c>
      <c r="AU104" s="59">
        <f>PINNAE_Prod!$Z$32</f>
        <v>0</v>
      </c>
      <c r="AV104" s="21">
        <f>PINNAE_Prod!$AD$32</f>
        <v>0</v>
      </c>
      <c r="AW104" s="59">
        <f>PINNAE_Prod!$Z$33</f>
        <v>0</v>
      </c>
      <c r="AX104" s="21">
        <f>PINNAE_Prod!$AD$33</f>
        <v>0</v>
      </c>
      <c r="AY104" s="59">
        <f>PINNAE_Prod!$Z$34</f>
        <v>0</v>
      </c>
      <c r="AZ104" s="21">
        <f>PINNAE_Prod!$AD$34</f>
        <v>0</v>
      </c>
      <c r="BA104" s="59">
        <f>PINNAE_Prod!$Z$35</f>
        <v>0</v>
      </c>
      <c r="BB104" s="21">
        <f>PINNAE_Prod!$AD$35</f>
        <v>0</v>
      </c>
      <c r="BC104" s="59">
        <f>PINNAE_Prod!$Z$36</f>
        <v>0</v>
      </c>
      <c r="BD104" s="21">
        <f>PINNAE_Prod!$AD$36</f>
        <v>0</v>
      </c>
      <c r="BE104" s="59">
        <f>PINNAE_Prod!$Z$37</f>
        <v>0</v>
      </c>
      <c r="BF104" s="21">
        <f>PINNAE_Prod!$AD$37</f>
        <v>0</v>
      </c>
      <c r="BG104" s="52" t="s">
        <v>69</v>
      </c>
      <c r="BH104" s="16"/>
    </row>
    <row r="105" spans="1:60">
      <c r="A105" s="20"/>
      <c r="B105" s="12" t="s">
        <v>178</v>
      </c>
      <c r="C105" s="213" t="s">
        <v>729</v>
      </c>
      <c r="D105" s="15" t="s">
        <v>12</v>
      </c>
      <c r="E105" s="9" t="s">
        <v>0</v>
      </c>
      <c r="F105" s="40" t="s">
        <v>7</v>
      </c>
      <c r="G105" s="46">
        <f>PINNAE_Prod!$AG$9</f>
        <v>1</v>
      </c>
      <c r="H105" s="72">
        <f>PINNAE_Prod!$AG$10</f>
        <v>13</v>
      </c>
      <c r="I105" s="59">
        <f>PINNAE_Prod!$AF$13</f>
        <v>0</v>
      </c>
      <c r="J105" s="21">
        <f>PINNAE_Prod!$AG$13</f>
        <v>3.65</v>
      </c>
      <c r="K105" s="59">
        <f>PINNAE_Prod!$AF$14</f>
        <v>3.5</v>
      </c>
      <c r="L105" s="21">
        <f>PINNAE_Prod!$AG$14</f>
        <v>9.9500000000000028</v>
      </c>
      <c r="M105" s="59">
        <f>PINNAE_Prod!$AF$15</f>
        <v>7</v>
      </c>
      <c r="N105" s="21">
        <f>PINNAE_Prod!$AG$15</f>
        <v>2.7380952380952386</v>
      </c>
      <c r="O105" s="59">
        <f>PINNAE_Prod!$AF$16</f>
        <v>11.5</v>
      </c>
      <c r="P105" s="21">
        <f>PINNAE_Prod!$AG$16</f>
        <v>14.840000000000003</v>
      </c>
      <c r="Q105" s="59">
        <f>PINNAE_Prod!$AF$17</f>
        <v>17</v>
      </c>
      <c r="R105" s="21">
        <f>PINNAE_Prod!$AG$17</f>
        <v>16.716666666666669</v>
      </c>
      <c r="S105" s="59">
        <f>PINNAE_Prod!$AF$18</f>
        <v>24</v>
      </c>
      <c r="T105" s="21">
        <f>PINNAE_Prod!$AG$18</f>
        <v>14.542857142857139</v>
      </c>
      <c r="U105" s="59">
        <f>PINNAE_Prod!$AF$19</f>
        <v>32</v>
      </c>
      <c r="V105" s="21">
        <f>PINNAE_Prod!$AG$19</f>
        <v>11.8775</v>
      </c>
      <c r="W105" s="59">
        <f>PINNAE_Prod!$AF$20</f>
        <v>44</v>
      </c>
      <c r="X105" s="21">
        <f>PINNAE_Prod!$AG$20</f>
        <v>9.0576923076923066</v>
      </c>
      <c r="Y105" s="59">
        <f>PINNAE_Prod!$AF$21</f>
        <v>60</v>
      </c>
      <c r="Z105" s="21">
        <f>PINNAE_Prod!$AG$21</f>
        <v>4.6897058823529401</v>
      </c>
      <c r="AA105" s="59">
        <f>PINNAE_Prod!$AF$22</f>
        <v>76</v>
      </c>
      <c r="AB105" s="21">
        <f>PINNAE_Prod!$AG$22</f>
        <v>2.4355555555555575</v>
      </c>
      <c r="AC105" s="59">
        <f>PINNAE_Prod!$AF$23</f>
        <v>88</v>
      </c>
      <c r="AD105" s="21">
        <f>PINNAE_Prod!$AG$23</f>
        <v>4.0555555555555589</v>
      </c>
      <c r="AE105" s="59">
        <f>PINNAE_Prod!$AF$24</f>
        <v>96</v>
      </c>
      <c r="AF105" s="21">
        <f>PINNAE_Prod!$AG$24</f>
        <v>3.4000000000000035</v>
      </c>
      <c r="AG105" s="59">
        <f>PINNAE_Prod!$AF$25</f>
        <v>100</v>
      </c>
      <c r="AH105" s="21">
        <f>PINNAE_Prod!$AG$25</f>
        <v>0.01</v>
      </c>
      <c r="AI105" s="59">
        <f>PINNAE_Prod!$AF$26</f>
        <v>0</v>
      </c>
      <c r="AJ105" s="21">
        <f>PINNAE_Prod!$AG$26</f>
        <v>0</v>
      </c>
      <c r="AK105" s="59">
        <f>PINNAE_Prod!$AF$27</f>
        <v>0</v>
      </c>
      <c r="AL105" s="21">
        <f>PINNAE_Prod!$AG$27</f>
        <v>0</v>
      </c>
      <c r="AM105" s="59">
        <f>PINNAE_Prod!$AF$28</f>
        <v>0</v>
      </c>
      <c r="AN105" s="21">
        <f>PINNAE_Prod!$AG$28</f>
        <v>0</v>
      </c>
      <c r="AO105" s="59">
        <f>PINNAE_Prod!$AF$29</f>
        <v>0</v>
      </c>
      <c r="AP105" s="21">
        <f>PINNAE_Prod!$AG$29</f>
        <v>0</v>
      </c>
      <c r="AQ105" s="59">
        <f>PINNAE_Prod!$AF$30</f>
        <v>0</v>
      </c>
      <c r="AR105" s="21">
        <f>PINNAE_Prod!$AG$30</f>
        <v>0</v>
      </c>
      <c r="AS105" s="59">
        <f>PINNAE_Prod!$AF$31</f>
        <v>0</v>
      </c>
      <c r="AT105" s="21">
        <f>PINNAE_Prod!$AG$31</f>
        <v>0</v>
      </c>
      <c r="AU105" s="59">
        <f>PINNAE_Prod!$AF$32</f>
        <v>0</v>
      </c>
      <c r="AV105" s="21">
        <f>PINNAE_Prod!$AG$32</f>
        <v>0</v>
      </c>
      <c r="AW105" s="59">
        <f>PINNAE_Prod!$AF$33</f>
        <v>0</v>
      </c>
      <c r="AX105" s="21">
        <f>PINNAE_Prod!$AG$33</f>
        <v>0</v>
      </c>
      <c r="AY105" s="59">
        <f>PINNAE_Prod!$AF$34</f>
        <v>0</v>
      </c>
      <c r="AZ105" s="21">
        <f>PINNAE_Prod!$AG$34</f>
        <v>0</v>
      </c>
      <c r="BA105" s="59">
        <f>PINNAE_Prod!$AF$35</f>
        <v>0</v>
      </c>
      <c r="BB105" s="21">
        <f>PINNAE_Prod!$AG$35</f>
        <v>0</v>
      </c>
      <c r="BC105" s="59">
        <f>PINNAE_Prod!$AF$36</f>
        <v>0</v>
      </c>
      <c r="BD105" s="21">
        <f>PINNAE_Prod!$AG$36</f>
        <v>0</v>
      </c>
      <c r="BE105" s="59">
        <f>PINNAE_Prod!$AF$37</f>
        <v>0</v>
      </c>
      <c r="BF105" s="21">
        <f>PINNAE_Prod!$AG$37</f>
        <v>0</v>
      </c>
      <c r="BG105" s="52" t="s">
        <v>69</v>
      </c>
      <c r="BH105" s="16"/>
    </row>
    <row r="106" spans="1:60">
      <c r="A106" s="20"/>
      <c r="B106" s="12" t="s">
        <v>179</v>
      </c>
      <c r="C106" s="213" t="s">
        <v>730</v>
      </c>
      <c r="D106" s="15" t="s">
        <v>12</v>
      </c>
      <c r="E106" s="9" t="s">
        <v>0</v>
      </c>
      <c r="F106" s="40" t="s">
        <v>7</v>
      </c>
      <c r="G106" s="46">
        <f>PINNAE_Prod!$AH$9</f>
        <v>1</v>
      </c>
      <c r="H106" s="72">
        <f>PINNAE_Prod!$AH$10</f>
        <v>13</v>
      </c>
      <c r="I106" s="59">
        <f>PINNAE_Prod!$AF$13</f>
        <v>0</v>
      </c>
      <c r="J106" s="21">
        <f>PINNAE_Prod!$AH$13</f>
        <v>0.59707620954112695</v>
      </c>
      <c r="K106" s="59">
        <f>PINNAE_Prod!$AF$14</f>
        <v>3.5</v>
      </c>
      <c r="L106" s="21">
        <f>PINNAE_Prod!$AH$14</f>
        <v>1.5713582235335983</v>
      </c>
      <c r="M106" s="59">
        <f>PINNAE_Prod!$AF$15</f>
        <v>7</v>
      </c>
      <c r="N106" s="21">
        <f>PINNAE_Prod!$AH$15</f>
        <v>1.1136699560350258</v>
      </c>
      <c r="O106" s="59">
        <f>PINNAE_Prod!$AF$16</f>
        <v>11.5</v>
      </c>
      <c r="P106" s="21">
        <f>PINNAE_Prod!$AH$16</f>
        <v>1.7045820602129951</v>
      </c>
      <c r="Q106" s="59">
        <f>PINNAE_Prod!$AF$17</f>
        <v>17</v>
      </c>
      <c r="R106" s="21">
        <f>PINNAE_Prod!$AH$17</f>
        <v>1.1688788550477587</v>
      </c>
      <c r="S106" s="59">
        <f>PINNAE_Prod!$AF$18</f>
        <v>24</v>
      </c>
      <c r="T106" s="21">
        <f>PINNAE_Prod!$AH$18</f>
        <v>1.1882073618244708</v>
      </c>
      <c r="U106" s="59">
        <f>PINNAE_Prod!$AF$19</f>
        <v>32</v>
      </c>
      <c r="V106" s="21">
        <f>PINNAE_Prod!$AH$19</f>
        <v>1.018896023715308</v>
      </c>
      <c r="W106" s="59">
        <f>PINNAE_Prod!$AF$20</f>
        <v>44</v>
      </c>
      <c r="X106" s="21">
        <f>PINNAE_Prod!$AH$20</f>
        <v>1.7475536578263486</v>
      </c>
      <c r="Y106" s="59">
        <f>PINNAE_Prod!$AF$21</f>
        <v>60</v>
      </c>
      <c r="Z106" s="21">
        <f>PINNAE_Prod!$AH$21</f>
        <v>0.16945676300041607</v>
      </c>
      <c r="AA106" s="59">
        <f>PINNAE_Prod!$AF$22</f>
        <v>76</v>
      </c>
      <c r="AB106" s="21">
        <f>PINNAE_Prod!$AH$22</f>
        <v>1.3290927472769523</v>
      </c>
      <c r="AC106" s="59">
        <f>PINNAE_Prod!$AF$23</f>
        <v>88</v>
      </c>
      <c r="AD106" s="21">
        <f>PINNAE_Prod!$AH$23</f>
        <v>0.12890241083003368</v>
      </c>
      <c r="AE106" s="59">
        <f>PINNAE_Prod!$AF$24</f>
        <v>96</v>
      </c>
      <c r="AF106" s="21">
        <f>PINNAE_Prod!$AH$24</f>
        <v>0.2681560969056821</v>
      </c>
      <c r="AG106" s="59">
        <f>PINNAE_Prod!$AF$25</f>
        <v>100</v>
      </c>
      <c r="AH106" s="21">
        <f>PINNAE_Prod!$AH$25</f>
        <v>0</v>
      </c>
      <c r="AI106" s="59">
        <f>PINNAE_Prod!$AF$26</f>
        <v>0</v>
      </c>
      <c r="AJ106" s="21">
        <f>PINNAE_Prod!$AH$26</f>
        <v>0</v>
      </c>
      <c r="AK106" s="59">
        <f>PINNAE_Prod!$AF$27</f>
        <v>0</v>
      </c>
      <c r="AL106" s="21">
        <f>PINNAE_Prod!$AH$27</f>
        <v>0</v>
      </c>
      <c r="AM106" s="59">
        <f>PINNAE_Prod!$AF$28</f>
        <v>0</v>
      </c>
      <c r="AN106" s="21">
        <f>PINNAE_Prod!$AH$28</f>
        <v>0</v>
      </c>
      <c r="AO106" s="59">
        <f>PINNAE_Prod!$AF$29</f>
        <v>0</v>
      </c>
      <c r="AP106" s="21">
        <f>PINNAE_Prod!$AH$29</f>
        <v>0</v>
      </c>
      <c r="AQ106" s="59">
        <f>PINNAE_Prod!$AF$30</f>
        <v>0</v>
      </c>
      <c r="AR106" s="21">
        <f>PINNAE_Prod!$AH$30</f>
        <v>0</v>
      </c>
      <c r="AS106" s="59">
        <f>PINNAE_Prod!$AF$31</f>
        <v>0</v>
      </c>
      <c r="AT106" s="21">
        <f>PINNAE_Prod!$AH$31</f>
        <v>0</v>
      </c>
      <c r="AU106" s="59">
        <f>PINNAE_Prod!$AF$32</f>
        <v>0</v>
      </c>
      <c r="AV106" s="21">
        <f>PINNAE_Prod!$AH$32</f>
        <v>0</v>
      </c>
      <c r="AW106" s="59">
        <f>PINNAE_Prod!$AF$33</f>
        <v>0</v>
      </c>
      <c r="AX106" s="21">
        <f>PINNAE_Prod!$AH$33</f>
        <v>0</v>
      </c>
      <c r="AY106" s="59">
        <f>PINNAE_Prod!$AF$34</f>
        <v>0</v>
      </c>
      <c r="AZ106" s="21">
        <f>PINNAE_Prod!$AH$34</f>
        <v>0</v>
      </c>
      <c r="BA106" s="59">
        <f>PINNAE_Prod!$AF$35</f>
        <v>0</v>
      </c>
      <c r="BB106" s="21">
        <f>PINNAE_Prod!$AH$35</f>
        <v>0</v>
      </c>
      <c r="BC106" s="59">
        <f>PINNAE_Prod!$AF$36</f>
        <v>0</v>
      </c>
      <c r="BD106" s="21">
        <f>PINNAE_Prod!$AH$36</f>
        <v>0</v>
      </c>
      <c r="BE106" s="59">
        <f>PINNAE_Prod!$AF$37</f>
        <v>0</v>
      </c>
      <c r="BF106" s="21">
        <f>PINNAE_Prod!$AH$37</f>
        <v>0</v>
      </c>
      <c r="BG106" s="52" t="s">
        <v>69</v>
      </c>
      <c r="BH106" s="16"/>
    </row>
    <row r="107" spans="1:60">
      <c r="A107" s="20"/>
      <c r="B107" s="12" t="s">
        <v>180</v>
      </c>
      <c r="C107" s="213" t="s">
        <v>731</v>
      </c>
      <c r="D107" s="15" t="s">
        <v>12</v>
      </c>
      <c r="E107" s="9" t="s">
        <v>0</v>
      </c>
      <c r="F107" s="40" t="s">
        <v>7</v>
      </c>
      <c r="G107" s="46">
        <f>PINNAE_Prod!$AI$9</f>
        <v>1</v>
      </c>
      <c r="H107" s="72">
        <f>PINNAE_Prod!$AI$10</f>
        <v>13</v>
      </c>
      <c r="I107" s="59">
        <f>PINNAE_Prod!$AF$13</f>
        <v>0</v>
      </c>
      <c r="J107" s="21">
        <f>PINNAE_Prod!$AI$13</f>
        <v>3.65</v>
      </c>
      <c r="K107" s="59">
        <f>PINNAE_Prod!$AF$14</f>
        <v>3.5</v>
      </c>
      <c r="L107" s="21">
        <f>PINNAE_Prod!$AI$14</f>
        <v>4.5599999999999996</v>
      </c>
      <c r="M107" s="59">
        <f>PINNAE_Prod!$AF$15</f>
        <v>7</v>
      </c>
      <c r="N107" s="21">
        <f>PINNAE_Prod!$AI$15</f>
        <v>3.0499999999999972</v>
      </c>
      <c r="O107" s="59">
        <f>PINNAE_Prod!$AF$16</f>
        <v>11.5</v>
      </c>
      <c r="P107" s="21">
        <f>PINNAE_Prod!$AI$16</f>
        <v>2.6499999999999986</v>
      </c>
      <c r="Q107" s="59">
        <f>PINNAE_Prod!$AF$17</f>
        <v>17</v>
      </c>
      <c r="R107" s="21">
        <f>PINNAE_Prod!$AI$17</f>
        <v>1.7</v>
      </c>
      <c r="S107" s="59">
        <f>PINNAE_Prod!$AF$18</f>
        <v>24</v>
      </c>
      <c r="T107" s="21">
        <f>PINNAE_Prod!$AI$18</f>
        <v>1.6250000000000018</v>
      </c>
      <c r="U107" s="59">
        <f>PINNAE_Prod!$AF$19</f>
        <v>32</v>
      </c>
      <c r="V107" s="21">
        <f>PINNAE_Prod!$AI$19</f>
        <v>1.7125000000000021</v>
      </c>
      <c r="W107" s="59">
        <f>PINNAE_Prod!$AF$20</f>
        <v>44</v>
      </c>
      <c r="X107" s="21">
        <f>PINNAE_Prod!$AI$20</f>
        <v>0.76857142857142857</v>
      </c>
      <c r="Y107" s="59">
        <f>PINNAE_Prod!$AF$21</f>
        <v>60</v>
      </c>
      <c r="Z107" s="21">
        <f>PINNAE_Prod!$AI$21</f>
        <v>2.8770000000000016</v>
      </c>
      <c r="AA107" s="59">
        <f>PINNAE_Prod!$AF$22</f>
        <v>76</v>
      </c>
      <c r="AB107" s="21">
        <f>PINNAE_Prod!$AI$22</f>
        <v>1.6067796610169485</v>
      </c>
      <c r="AC107" s="59">
        <f>PINNAE_Prod!$AF$23</f>
        <v>88</v>
      </c>
      <c r="AD107" s="21">
        <f>PINNAE_Prod!$AI$23</f>
        <v>1.9119999999999937</v>
      </c>
      <c r="AE107" s="59">
        <f>PINNAE_Prod!$AF$24</f>
        <v>96</v>
      </c>
      <c r="AF107" s="21">
        <f>PINNAE_Prod!$AI$24</f>
        <v>1.8526315789473649</v>
      </c>
      <c r="AG107" s="59">
        <f>PINNAE_Prod!$AF$25</f>
        <v>100</v>
      </c>
      <c r="AH107" s="21">
        <f>PINNAE_Prod!$AI$25</f>
        <v>0.01</v>
      </c>
      <c r="AI107" s="59">
        <f>PINNAE_Prod!$AF$26</f>
        <v>0</v>
      </c>
      <c r="AJ107" s="21">
        <f>PINNAE_Prod!$AI$26</f>
        <v>0</v>
      </c>
      <c r="AK107" s="59">
        <f>PINNAE_Prod!$AF$27</f>
        <v>0</v>
      </c>
      <c r="AL107" s="21">
        <f>PINNAE_Prod!$AI$27</f>
        <v>0</v>
      </c>
      <c r="AM107" s="59">
        <f>PINNAE_Prod!$AF$28</f>
        <v>0</v>
      </c>
      <c r="AN107" s="21">
        <f>PINNAE_Prod!$AI$28</f>
        <v>0</v>
      </c>
      <c r="AO107" s="59">
        <f>PINNAE_Prod!$AF$29</f>
        <v>0</v>
      </c>
      <c r="AP107" s="21">
        <f>PINNAE_Prod!$AI$29</f>
        <v>0</v>
      </c>
      <c r="AQ107" s="59">
        <f>PINNAE_Prod!$AF$30</f>
        <v>0</v>
      </c>
      <c r="AR107" s="21">
        <f>PINNAE_Prod!$AI$30</f>
        <v>0</v>
      </c>
      <c r="AS107" s="59">
        <f>PINNAE_Prod!$AF$31</f>
        <v>0</v>
      </c>
      <c r="AT107" s="21">
        <f>PINNAE_Prod!$AI$31</f>
        <v>0</v>
      </c>
      <c r="AU107" s="59">
        <f>PINNAE_Prod!$AF$32</f>
        <v>0</v>
      </c>
      <c r="AV107" s="21">
        <f>PINNAE_Prod!$AI$32</f>
        <v>0</v>
      </c>
      <c r="AW107" s="59">
        <f>PINNAE_Prod!$AF$33</f>
        <v>0</v>
      </c>
      <c r="AX107" s="21">
        <f>PINNAE_Prod!$AI$33</f>
        <v>0</v>
      </c>
      <c r="AY107" s="59">
        <f>PINNAE_Prod!$AF$34</f>
        <v>0</v>
      </c>
      <c r="AZ107" s="21">
        <f>PINNAE_Prod!$AI$34</f>
        <v>0</v>
      </c>
      <c r="BA107" s="59">
        <f>PINNAE_Prod!$AF$35</f>
        <v>0</v>
      </c>
      <c r="BB107" s="21">
        <f>PINNAE_Prod!$AI$35</f>
        <v>0</v>
      </c>
      <c r="BC107" s="59">
        <f>PINNAE_Prod!$AF$36</f>
        <v>0</v>
      </c>
      <c r="BD107" s="21">
        <f>PINNAE_Prod!$AI$36</f>
        <v>0</v>
      </c>
      <c r="BE107" s="59">
        <f>PINNAE_Prod!$AF$37</f>
        <v>0</v>
      </c>
      <c r="BF107" s="21">
        <f>PINNAE_Prod!$AI$37</f>
        <v>0</v>
      </c>
      <c r="BG107" s="52" t="s">
        <v>69</v>
      </c>
      <c r="BH107" s="16"/>
    </row>
    <row r="108" spans="1:60">
      <c r="A108" s="20"/>
      <c r="B108" s="12" t="s">
        <v>181</v>
      </c>
      <c r="C108" s="213" t="s">
        <v>732</v>
      </c>
      <c r="D108" s="15" t="s">
        <v>12</v>
      </c>
      <c r="E108" s="9" t="s">
        <v>0</v>
      </c>
      <c r="F108" s="40" t="s">
        <v>7</v>
      </c>
      <c r="G108" s="46">
        <f>PINNAE_Prod!$AJ$9</f>
        <v>1</v>
      </c>
      <c r="H108" s="72">
        <f>PINNAE_Prod!$AJ$10</f>
        <v>13</v>
      </c>
      <c r="I108" s="59">
        <f>PINNAE_Prod!$AF$13</f>
        <v>0</v>
      </c>
      <c r="J108" s="21">
        <f>PINNAE_Prod!$AJ$13</f>
        <v>0.59707620954112695</v>
      </c>
      <c r="K108" s="59">
        <f>PINNAE_Prod!$AF$14</f>
        <v>3.5</v>
      </c>
      <c r="L108" s="21">
        <f>PINNAE_Prod!$AJ$14</f>
        <v>1.2757742747053644</v>
      </c>
      <c r="M108" s="59">
        <f>PINNAE_Prod!$AF$15</f>
        <v>7</v>
      </c>
      <c r="N108" s="21">
        <f>PINNAE_Prod!$AJ$15</f>
        <v>0.25000000000001421</v>
      </c>
      <c r="O108" s="59">
        <f>PINNAE_Prod!$AF$16</f>
        <v>11.5</v>
      </c>
      <c r="P108" s="21">
        <f>PINNAE_Prod!$AJ$16</f>
        <v>0.85391256382996805</v>
      </c>
      <c r="Q108" s="59">
        <f>PINNAE_Prod!$AF$17</f>
        <v>17</v>
      </c>
      <c r="R108" s="21">
        <f>PINNAE_Prod!$AJ$17</f>
        <v>0.11401754250991677</v>
      </c>
      <c r="S108" s="59">
        <f>PINNAE_Prod!$AF$18</f>
        <v>24</v>
      </c>
      <c r="T108" s="21">
        <f>PINNAE_Prod!$AJ$18</f>
        <v>3.1339158526399347E-2</v>
      </c>
      <c r="U108" s="59">
        <f>PINNAE_Prod!$AF$19</f>
        <v>32</v>
      </c>
      <c r="V108" s="21">
        <f>PINNAE_Prod!$AJ$19</f>
        <v>8.9517556139246335E-2</v>
      </c>
      <c r="W108" s="59">
        <f>PINNAE_Prod!$AF$20</f>
        <v>44</v>
      </c>
      <c r="X108" s="21">
        <f>PINNAE_Prod!$AJ$20</f>
        <v>1.0691831833733771</v>
      </c>
      <c r="Y108" s="59">
        <f>PINNAE_Prod!$AF$21</f>
        <v>60</v>
      </c>
      <c r="Z108" s="21">
        <f>PINNAE_Prod!$AJ$21</f>
        <v>1.1970484193913566</v>
      </c>
      <c r="AA108" s="59">
        <f>PINNAE_Prod!$AF$22</f>
        <v>76</v>
      </c>
      <c r="AB108" s="21">
        <f>PINNAE_Prod!$AJ$22</f>
        <v>8.6092335096451506E-2</v>
      </c>
      <c r="AC108" s="59">
        <f>PINNAE_Prod!$AF$23</f>
        <v>88</v>
      </c>
      <c r="AD108" s="21">
        <f>PINNAE_Prod!$AJ$23</f>
        <v>0.12306096050331643</v>
      </c>
      <c r="AE108" s="59">
        <f>PINNAE_Prod!$AF$24</f>
        <v>96</v>
      </c>
      <c r="AF108" s="21">
        <f>PINNAE_Prod!$AJ$24</f>
        <v>0.10985594529441114</v>
      </c>
      <c r="AG108" s="59">
        <f>PINNAE_Prod!$AF$25</f>
        <v>100</v>
      </c>
      <c r="AH108" s="21">
        <f>PINNAE_Prod!$AJ$25</f>
        <v>0</v>
      </c>
      <c r="AI108" s="59">
        <f>PINNAE_Prod!$AF$26</f>
        <v>0</v>
      </c>
      <c r="AJ108" s="21">
        <f>PINNAE_Prod!$AJ$26</f>
        <v>0</v>
      </c>
      <c r="AK108" s="59">
        <f>PINNAE_Prod!$AF$27</f>
        <v>0</v>
      </c>
      <c r="AL108" s="21">
        <f>PINNAE_Prod!$AJ$27</f>
        <v>0</v>
      </c>
      <c r="AM108" s="59">
        <f>PINNAE_Prod!$AF$28</f>
        <v>0</v>
      </c>
      <c r="AN108" s="21">
        <f>PINNAE_Prod!$AJ$28</f>
        <v>0</v>
      </c>
      <c r="AO108" s="59">
        <f>PINNAE_Prod!$AF$29</f>
        <v>0</v>
      </c>
      <c r="AP108" s="21">
        <f>PINNAE_Prod!$AJ$29</f>
        <v>0</v>
      </c>
      <c r="AQ108" s="59">
        <f>PINNAE_Prod!$AF$30</f>
        <v>0</v>
      </c>
      <c r="AR108" s="21">
        <f>PINNAE_Prod!$AJ$30</f>
        <v>0</v>
      </c>
      <c r="AS108" s="59">
        <f>PINNAE_Prod!$AF$31</f>
        <v>0</v>
      </c>
      <c r="AT108" s="21">
        <f>PINNAE_Prod!$AJ$31</f>
        <v>0</v>
      </c>
      <c r="AU108" s="59">
        <f>PINNAE_Prod!$AF$32</f>
        <v>0</v>
      </c>
      <c r="AV108" s="21">
        <f>PINNAE_Prod!$AJ$32</f>
        <v>0</v>
      </c>
      <c r="AW108" s="59">
        <f>PINNAE_Prod!$AF$33</f>
        <v>0</v>
      </c>
      <c r="AX108" s="21">
        <f>PINNAE_Prod!$AJ$33</f>
        <v>0</v>
      </c>
      <c r="AY108" s="59">
        <f>PINNAE_Prod!$AF$34</f>
        <v>0</v>
      </c>
      <c r="AZ108" s="21">
        <f>PINNAE_Prod!$AJ$34</f>
        <v>0</v>
      </c>
      <c r="BA108" s="59">
        <f>PINNAE_Prod!$AF$35</f>
        <v>0</v>
      </c>
      <c r="BB108" s="21">
        <f>PINNAE_Prod!$AJ$35</f>
        <v>0</v>
      </c>
      <c r="BC108" s="59">
        <f>PINNAE_Prod!$AF$36</f>
        <v>0</v>
      </c>
      <c r="BD108" s="21">
        <f>PINNAE_Prod!$AJ$36</f>
        <v>0</v>
      </c>
      <c r="BE108" s="59">
        <f>PINNAE_Prod!$AF$37</f>
        <v>0</v>
      </c>
      <c r="BF108" s="21">
        <f>PINNAE_Prod!$AJ$37</f>
        <v>0</v>
      </c>
      <c r="BG108" s="52" t="s">
        <v>69</v>
      </c>
      <c r="BH108" s="16"/>
    </row>
    <row r="109" spans="1:60">
      <c r="A109" s="20"/>
      <c r="B109" s="12" t="s">
        <v>184</v>
      </c>
      <c r="C109" s="12" t="s">
        <v>486</v>
      </c>
      <c r="D109" s="15" t="s">
        <v>12</v>
      </c>
      <c r="E109" s="9" t="s">
        <v>3</v>
      </c>
      <c r="F109" s="40" t="s">
        <v>10</v>
      </c>
      <c r="G109" s="46">
        <f>PINNAE_Prod!$AO$9</f>
        <v>1</v>
      </c>
      <c r="H109" s="72">
        <f>PINNAE_Prod!$AO$10</f>
        <v>17</v>
      </c>
      <c r="I109" s="59">
        <f>PINNAE_Prod!$AN$13</f>
        <v>0</v>
      </c>
      <c r="J109" s="21">
        <f>PINNAE_Prod!$AO$13</f>
        <v>-21</v>
      </c>
      <c r="K109" s="59">
        <f>PINNAE_Prod!$AN$14</f>
        <v>5.3605555861977985</v>
      </c>
      <c r="L109" s="21">
        <f>PINNAE_Prod!$AO$14</f>
        <v>53.35</v>
      </c>
      <c r="M109" s="59">
        <f>PINNAE_Prod!$AN$15</f>
        <v>10</v>
      </c>
      <c r="N109" s="21">
        <f>PINNAE_Prod!$AO$15</f>
        <v>49.199999999999996</v>
      </c>
      <c r="O109" s="59">
        <f>PINNAE_Prod!$AN$16</f>
        <v>20</v>
      </c>
      <c r="P109" s="21">
        <f>PINNAE_Prod!$AO$16</f>
        <v>66.95</v>
      </c>
      <c r="Q109" s="59">
        <f>PINNAE_Prod!$AN$17</f>
        <v>26.922669813782981</v>
      </c>
      <c r="R109" s="21">
        <f>PINNAE_Prod!$AO$17</f>
        <v>48.85</v>
      </c>
      <c r="S109" s="59">
        <f>PINNAE_Prod!$AN$18</f>
        <v>28.402760758696882</v>
      </c>
      <c r="T109" s="21">
        <f>PINNAE_Prod!$AO$18</f>
        <v>55.12</v>
      </c>
      <c r="U109" s="59">
        <f>PINNAE_Prod!$AN$19</f>
        <v>30</v>
      </c>
      <c r="V109" s="21">
        <f>PINNAE_Prod!$AO$19</f>
        <v>64.5</v>
      </c>
      <c r="W109" s="59">
        <f>PINNAE_Prod!$AN$20</f>
        <v>40</v>
      </c>
      <c r="X109" s="21">
        <f>PINNAE_Prod!$AO$20</f>
        <v>52.1</v>
      </c>
      <c r="Y109" s="59">
        <f>PINNAE_Prod!$AN$21</f>
        <v>50</v>
      </c>
      <c r="Z109" s="21">
        <f>PINNAE_Prod!$AO$21</f>
        <v>61.2</v>
      </c>
      <c r="AA109" s="59">
        <f>PINNAE_Prod!$AN$22</f>
        <v>60</v>
      </c>
      <c r="AB109" s="21">
        <f>PINNAE_Prod!$AO$22</f>
        <v>68.2</v>
      </c>
      <c r="AC109" s="59">
        <f>PINNAE_Prod!$AN$23</f>
        <v>70</v>
      </c>
      <c r="AD109" s="21">
        <f>PINNAE_Prod!$AO$23</f>
        <v>70.55</v>
      </c>
      <c r="AE109" s="59">
        <f>PINNAE_Prod!$AN$24</f>
        <v>80</v>
      </c>
      <c r="AF109" s="21">
        <f>PINNAE_Prod!$AO$24</f>
        <v>21.924999999999997</v>
      </c>
      <c r="AG109" s="59">
        <f>PINNAE_Prod!$AN$25</f>
        <v>90</v>
      </c>
      <c r="AH109" s="21">
        <f>PINNAE_Prod!$AO$25</f>
        <v>7</v>
      </c>
      <c r="AI109" s="59">
        <f>PINNAE_Prod!$AN$26</f>
        <v>97.736572490101764</v>
      </c>
      <c r="AJ109" s="21">
        <f>PINNAE_Prod!$AO$26</f>
        <v>39.700000000000003</v>
      </c>
      <c r="AK109" s="59">
        <f>PINNAE_Prod!$AN$27</f>
        <v>98.474693898206965</v>
      </c>
      <c r="AL109" s="21">
        <f>PINNAE_Prod!$AO$27</f>
        <v>22.150000000000002</v>
      </c>
      <c r="AM109" s="59">
        <f>PINNAE_Prod!$AN$28</f>
        <v>99.115172061249353</v>
      </c>
      <c r="AN109" s="21">
        <f>PINNAE_Prod!$AO$28</f>
        <v>-16.349999999999994</v>
      </c>
      <c r="AO109" s="59">
        <f>PINNAE_Prod!$AN$29</f>
        <v>99.665653482478291</v>
      </c>
      <c r="AP109" s="21">
        <f>PINNAE_Prod!$AO$29</f>
        <v>-50.400000000000006</v>
      </c>
      <c r="AQ109" s="59">
        <f>PINNAE_Prod!$AN$30</f>
        <v>0</v>
      </c>
      <c r="AR109" s="21">
        <f>PINNAE_Prod!$AO$30</f>
        <v>0</v>
      </c>
      <c r="AS109" s="59">
        <f>PINNAE_Prod!$AN$31</f>
        <v>0</v>
      </c>
      <c r="AT109" s="21">
        <f>PINNAE_Prod!$AO$31</f>
        <v>0</v>
      </c>
      <c r="AU109" s="59">
        <f>PINNAE_Prod!$AN$32</f>
        <v>0</v>
      </c>
      <c r="AV109" s="21">
        <f>PINNAE_Prod!$AO$32</f>
        <v>0</v>
      </c>
      <c r="AW109" s="59">
        <f>PINNAE_Prod!$AN$33</f>
        <v>0</v>
      </c>
      <c r="AX109" s="21">
        <f>PINNAE_Prod!$AO$33</f>
        <v>0</v>
      </c>
      <c r="AY109" s="59">
        <f>PINNAE_Prod!$AN$34</f>
        <v>0</v>
      </c>
      <c r="AZ109" s="21">
        <f>PINNAE_Prod!$AO$34</f>
        <v>0</v>
      </c>
      <c r="BA109" s="59">
        <f>PINNAE_Prod!$AN$35</f>
        <v>0</v>
      </c>
      <c r="BB109" s="21">
        <f>PINNAE_Prod!$AO$35</f>
        <v>0</v>
      </c>
      <c r="BC109" s="59">
        <f>PINNAE_Prod!$AN$36</f>
        <v>0</v>
      </c>
      <c r="BD109" s="21">
        <f>PINNAE_Prod!$AO$36</f>
        <v>0</v>
      </c>
      <c r="BE109" s="59">
        <f>PINNAE_Prod!$AN$37</f>
        <v>0</v>
      </c>
      <c r="BF109" s="21">
        <f>PINNAE_Prod!$AO$37</f>
        <v>0</v>
      </c>
      <c r="BG109" s="52" t="s">
        <v>69</v>
      </c>
      <c r="BH109" s="16"/>
    </row>
    <row r="110" spans="1:60">
      <c r="A110" s="20"/>
      <c r="B110" s="12" t="s">
        <v>185</v>
      </c>
      <c r="C110" s="12" t="s">
        <v>487</v>
      </c>
      <c r="D110" s="15" t="s">
        <v>12</v>
      </c>
      <c r="E110" s="9" t="s">
        <v>3</v>
      </c>
      <c r="F110" s="40" t="s">
        <v>10</v>
      </c>
      <c r="G110" s="46">
        <f>PINNAE_Prod!$AP$9</f>
        <v>1</v>
      </c>
      <c r="H110" s="72">
        <f>PINNAE_Prod!$AP$10</f>
        <v>17</v>
      </c>
      <c r="I110" s="59">
        <f>PINNAE_Prod!$AN$13</f>
        <v>0</v>
      </c>
      <c r="J110" s="21">
        <f>PINNAE_Prod!$AP$13</f>
        <v>0</v>
      </c>
      <c r="K110" s="59">
        <f>PINNAE_Prod!$AN$14</f>
        <v>5.3605555861977985</v>
      </c>
      <c r="L110" s="21">
        <f>PINNAE_Prod!$AP$14</f>
        <v>8.980256121069127</v>
      </c>
      <c r="M110" s="59">
        <f>PINNAE_Prod!$AN$15</f>
        <v>10</v>
      </c>
      <c r="N110" s="21">
        <f>PINNAE_Prod!$AP$15</f>
        <v>28.1428498912246</v>
      </c>
      <c r="O110" s="59">
        <f>PINNAE_Prod!$AN$16</f>
        <v>20</v>
      </c>
      <c r="P110" s="21">
        <f>PINNAE_Prod!$AP$16</f>
        <v>5.5235857918565907</v>
      </c>
      <c r="Q110" s="59">
        <f>PINNAE_Prod!$AN$17</f>
        <v>26.922669813782981</v>
      </c>
      <c r="R110" s="21">
        <f>PINNAE_Prod!$AP$17</f>
        <v>1.131370849898482</v>
      </c>
      <c r="S110" s="59">
        <f>PINNAE_Prod!$AN$18</f>
        <v>28.402760758696882</v>
      </c>
      <c r="T110" s="21">
        <f>PINNAE_Prod!$AP$18</f>
        <v>3.6062445840513986</v>
      </c>
      <c r="U110" s="59">
        <f>PINNAE_Prod!$AN$19</f>
        <v>30</v>
      </c>
      <c r="V110" s="21">
        <f>PINNAE_Prod!$AP$19</f>
        <v>6.103004724450626</v>
      </c>
      <c r="W110" s="59">
        <f>PINNAE_Prod!$AN$20</f>
        <v>40</v>
      </c>
      <c r="X110" s="21">
        <f>PINNAE_Prod!$AP$20</f>
        <v>9.6831468714119087</v>
      </c>
      <c r="Y110" s="59">
        <f>PINNAE_Prod!$AN$21</f>
        <v>50</v>
      </c>
      <c r="Z110" s="21">
        <f>PINNAE_Prod!$AP$21</f>
        <v>7.1856338157001085</v>
      </c>
      <c r="AA110" s="59">
        <f>PINNAE_Prod!$AN$22</f>
        <v>60</v>
      </c>
      <c r="AB110" s="21">
        <f>PINNAE_Prod!$AP$22</f>
        <v>15.847081750278187</v>
      </c>
      <c r="AC110" s="59">
        <f>PINNAE_Prod!$AN$23</f>
        <v>70</v>
      </c>
      <c r="AD110" s="21">
        <f>PINNAE_Prod!$AP$23</f>
        <v>5.8111243891923898</v>
      </c>
      <c r="AE110" s="59">
        <f>PINNAE_Prod!$AN$24</f>
        <v>80</v>
      </c>
      <c r="AF110" s="21">
        <f>PINNAE_Prod!$AP$24</f>
        <v>16.686196890444116</v>
      </c>
      <c r="AG110" s="59">
        <f>PINNAE_Prod!$AN$25</f>
        <v>90</v>
      </c>
      <c r="AH110" s="21">
        <f>PINNAE_Prod!$AP$25</f>
        <v>6.0811183182043056</v>
      </c>
      <c r="AI110" s="59">
        <f>PINNAE_Prod!$AN$26</f>
        <v>97.736572490101764</v>
      </c>
      <c r="AJ110" s="21">
        <f>PINNAE_Prod!$AP$26</f>
        <v>0</v>
      </c>
      <c r="AK110" s="59">
        <f>PINNAE_Prod!$AN$27</f>
        <v>98.474693898206965</v>
      </c>
      <c r="AL110" s="21">
        <f>PINNAE_Prod!$AP$27</f>
        <v>12.657211383239193</v>
      </c>
      <c r="AM110" s="59">
        <f>PINNAE_Prod!$AN$28</f>
        <v>99.115172061249353</v>
      </c>
      <c r="AN110" s="21">
        <f>PINNAE_Prod!$AP$28</f>
        <v>-16.349999999999994</v>
      </c>
      <c r="AO110" s="59">
        <f>PINNAE_Prod!$AN$29</f>
        <v>99.665653482478291</v>
      </c>
      <c r="AP110" s="21">
        <f>PINNAE_Prod!$AP$29</f>
        <v>-50.400000000000006</v>
      </c>
      <c r="AQ110" s="59">
        <f>PINNAE_Prod!$AN$30</f>
        <v>0</v>
      </c>
      <c r="AR110" s="21">
        <f>PINNAE_Prod!$AP$30</f>
        <v>0</v>
      </c>
      <c r="AS110" s="59">
        <f>PINNAE_Prod!$AN$31</f>
        <v>0</v>
      </c>
      <c r="AT110" s="21">
        <f>PINNAE_Prod!$AP$31</f>
        <v>0</v>
      </c>
      <c r="AU110" s="59">
        <f>PINNAE_Prod!$AN$32</f>
        <v>0</v>
      </c>
      <c r="AV110" s="21">
        <f>PINNAE_Prod!$AP$32</f>
        <v>0</v>
      </c>
      <c r="AW110" s="59">
        <f>PINNAE_Prod!$AN$33</f>
        <v>0</v>
      </c>
      <c r="AX110" s="21">
        <f>PINNAE_Prod!$AP$33</f>
        <v>0</v>
      </c>
      <c r="AY110" s="59">
        <f>PINNAE_Prod!$AN$34</f>
        <v>0</v>
      </c>
      <c r="AZ110" s="21">
        <f>PINNAE_Prod!$AP$34</f>
        <v>0</v>
      </c>
      <c r="BA110" s="59">
        <f>PINNAE_Prod!$AN$35</f>
        <v>0</v>
      </c>
      <c r="BB110" s="21">
        <f>PINNAE_Prod!$AP$35</f>
        <v>0</v>
      </c>
      <c r="BC110" s="59">
        <f>PINNAE_Prod!$AN$36</f>
        <v>0</v>
      </c>
      <c r="BD110" s="21">
        <f>PINNAE_Prod!$AP$36</f>
        <v>0</v>
      </c>
      <c r="BE110" s="59">
        <f>PINNAE_Prod!$AN$37</f>
        <v>0</v>
      </c>
      <c r="BF110" s="21">
        <f>PINNAE_Prod!$AP$37</f>
        <v>0</v>
      </c>
      <c r="BG110" s="52" t="s">
        <v>69</v>
      </c>
      <c r="BH110" s="16"/>
    </row>
    <row r="111" spans="1:60">
      <c r="A111" s="20"/>
      <c r="B111" s="12" t="s">
        <v>188</v>
      </c>
      <c r="C111" s="12" t="s">
        <v>488</v>
      </c>
      <c r="D111" s="15" t="s">
        <v>12</v>
      </c>
      <c r="E111" s="9" t="s">
        <v>3</v>
      </c>
      <c r="F111" s="40" t="s">
        <v>10</v>
      </c>
      <c r="G111" s="46">
        <f>PINNAE_Prod!$AR$9</f>
        <v>1</v>
      </c>
      <c r="H111" s="72">
        <f>PINNAE_Prod!$AR$10</f>
        <v>12</v>
      </c>
      <c r="I111" s="59">
        <f>PINNAE_Prod!$AQ$13</f>
        <v>0</v>
      </c>
      <c r="J111" s="21">
        <f>PINNAE_Prod!$AR$13</f>
        <v>45</v>
      </c>
      <c r="K111" s="59">
        <f>PINNAE_Prod!$AQ$14</f>
        <v>10</v>
      </c>
      <c r="L111" s="21">
        <f>PINNAE_Prod!$AR$14</f>
        <v>1.4000000000000057</v>
      </c>
      <c r="M111" s="59">
        <f>PINNAE_Prod!$AQ$15</f>
        <v>40</v>
      </c>
      <c r="N111" s="21">
        <f>PINNAE_Prod!$AR$15</f>
        <v>22.299999999999997</v>
      </c>
      <c r="O111" s="59">
        <f>PINNAE_Prod!$AQ$16</f>
        <v>50</v>
      </c>
      <c r="P111" s="21">
        <f>PINNAE_Prod!$AR$16</f>
        <v>-18.5</v>
      </c>
      <c r="Q111" s="59">
        <f>PINNAE_Prod!$AQ$17</f>
        <v>60</v>
      </c>
      <c r="R111" s="21">
        <f>PINNAE_Prod!$AR$17</f>
        <v>-1.6000000000000014</v>
      </c>
      <c r="S111" s="59">
        <f>PINNAE_Prod!$AQ$18</f>
        <v>70</v>
      </c>
      <c r="T111" s="21">
        <f>PINNAE_Prod!$AR$18</f>
        <v>8.5</v>
      </c>
      <c r="U111" s="59">
        <f>PINNAE_Prod!$AQ$19</f>
        <v>80</v>
      </c>
      <c r="V111" s="21">
        <f>PINNAE_Prod!$AR$19</f>
        <v>-12.9</v>
      </c>
      <c r="W111" s="59">
        <f>PINNAE_Prod!$AQ$20</f>
        <v>90</v>
      </c>
      <c r="X111" s="21">
        <f>PINNAE_Prod!$AR$20</f>
        <v>8.8999999999999986</v>
      </c>
      <c r="Y111" s="59">
        <f>PINNAE_Prod!$AQ$21</f>
        <v>98.474693898206965</v>
      </c>
      <c r="Z111" s="21">
        <f>PINNAE_Prod!$AR$21</f>
        <v>-2.2000000000000028</v>
      </c>
      <c r="AA111" s="59">
        <f>PINNAE_Prod!$AQ$22</f>
        <v>99.665653482478291</v>
      </c>
      <c r="AB111" s="21">
        <f>PINNAE_Prod!$AR$22</f>
        <v>-32.6</v>
      </c>
      <c r="AC111" s="59">
        <f>PINNAE_Prod!$AQ$23</f>
        <v>99.951573567634654</v>
      </c>
      <c r="AD111" s="21">
        <f>PINNAE_Prod!$AR$23</f>
        <v>-58.800000000000011</v>
      </c>
      <c r="AE111" s="59">
        <f>PINNAE_Prod!$AQ$24</f>
        <v>100</v>
      </c>
      <c r="AF111" s="21">
        <f>PINNAE_Prod!$AR$24</f>
        <v>-19</v>
      </c>
      <c r="AG111" s="59">
        <f>PINNAE_Prod!$AQ$25</f>
        <v>0</v>
      </c>
      <c r="AH111" s="21">
        <f>PINNAE_Prod!$AR$25</f>
        <v>0</v>
      </c>
      <c r="AI111" s="59">
        <f>PINNAE_Prod!$AQ$26</f>
        <v>0</v>
      </c>
      <c r="AJ111" s="21">
        <f>PINNAE_Prod!$AR$26</f>
        <v>0</v>
      </c>
      <c r="AK111" s="59">
        <f>PINNAE_Prod!$AQ$27</f>
        <v>0</v>
      </c>
      <c r="AL111" s="21">
        <f>PINNAE_Prod!$AR$27</f>
        <v>0</v>
      </c>
      <c r="AM111" s="59">
        <f>PINNAE_Prod!$AQ$28</f>
        <v>0</v>
      </c>
      <c r="AN111" s="21">
        <f>PINNAE_Prod!$AR$28</f>
        <v>0</v>
      </c>
      <c r="AO111" s="59">
        <f>PINNAE_Prod!$AQ$29</f>
        <v>0</v>
      </c>
      <c r="AP111" s="21">
        <f>PINNAE_Prod!$AR$29</f>
        <v>0</v>
      </c>
      <c r="AQ111" s="59">
        <f>PINNAE_Prod!$AQ$30</f>
        <v>0</v>
      </c>
      <c r="AR111" s="21">
        <f>PINNAE_Prod!$AR$30</f>
        <v>0</v>
      </c>
      <c r="AS111" s="59">
        <f>PINNAE_Prod!$AQ$31</f>
        <v>0</v>
      </c>
      <c r="AT111" s="21">
        <f>PINNAE_Prod!$AR$31</f>
        <v>0</v>
      </c>
      <c r="AU111" s="59">
        <f>PINNAE_Prod!$AQ$32</f>
        <v>0</v>
      </c>
      <c r="AV111" s="21">
        <f>PINNAE_Prod!$AR$32</f>
        <v>0</v>
      </c>
      <c r="AW111" s="59">
        <f>PINNAE_Prod!$AQ$33</f>
        <v>0</v>
      </c>
      <c r="AX111" s="21">
        <f>PINNAE_Prod!$AR$33</f>
        <v>0</v>
      </c>
      <c r="AY111" s="59">
        <f>PINNAE_Prod!$AQ$34</f>
        <v>0</v>
      </c>
      <c r="AZ111" s="21">
        <f>PINNAE_Prod!$AR$34</f>
        <v>0</v>
      </c>
      <c r="BA111" s="59">
        <f>PINNAE_Prod!$AQ$35</f>
        <v>0</v>
      </c>
      <c r="BB111" s="21">
        <f>PINNAE_Prod!$AR$35</f>
        <v>0</v>
      </c>
      <c r="BC111" s="59">
        <f>PINNAE_Prod!$AQ$36</f>
        <v>0</v>
      </c>
      <c r="BD111" s="21">
        <f>PINNAE_Prod!$AR$36</f>
        <v>0</v>
      </c>
      <c r="BE111" s="59">
        <f>PINNAE_Prod!$AQ$37</f>
        <v>0</v>
      </c>
      <c r="BF111" s="21">
        <f>PINNAE_Prod!$AR$37</f>
        <v>0</v>
      </c>
      <c r="BG111" s="52" t="s">
        <v>69</v>
      </c>
      <c r="BH111" s="16"/>
    </row>
    <row r="112" spans="1:60">
      <c r="A112" s="20"/>
      <c r="B112" s="12" t="s">
        <v>189</v>
      </c>
      <c r="C112" s="12" t="s">
        <v>489</v>
      </c>
      <c r="D112" s="15" t="s">
        <v>12</v>
      </c>
      <c r="E112" s="9" t="s">
        <v>3</v>
      </c>
      <c r="F112" s="40" t="s">
        <v>10</v>
      </c>
      <c r="G112" s="46">
        <f>PINNAE_Prod!$AS$9</f>
        <v>1</v>
      </c>
      <c r="H112" s="72">
        <f>PINNAE_Prod!$AS$10</f>
        <v>12</v>
      </c>
      <c r="I112" s="59">
        <f>PINNAE_Prod!$AQ$13</f>
        <v>0</v>
      </c>
      <c r="J112" s="21">
        <f>PINNAE_Prod!$AS$13</f>
        <v>0</v>
      </c>
      <c r="K112" s="59">
        <f>PINNAE_Prod!$AQ$14</f>
        <v>10</v>
      </c>
      <c r="L112" s="21">
        <f>PINNAE_Prod!$AS$14</f>
        <v>84.287128317436455</v>
      </c>
      <c r="M112" s="59">
        <f>PINNAE_Prod!$AQ$15</f>
        <v>40</v>
      </c>
      <c r="N112" s="21">
        <f>PINNAE_Prod!$AS$15</f>
        <v>0</v>
      </c>
      <c r="O112" s="59">
        <f>PINNAE_Prod!$AQ$16</f>
        <v>50</v>
      </c>
      <c r="P112" s="21">
        <f>PINNAE_Prod!$AS$16</f>
        <v>0</v>
      </c>
      <c r="Q112" s="59">
        <f>PINNAE_Prod!$AQ$17</f>
        <v>60</v>
      </c>
      <c r="R112" s="21">
        <f>PINNAE_Prod!$AS$17</f>
        <v>6.2225396744416157</v>
      </c>
      <c r="S112" s="59">
        <f>PINNAE_Prod!$AQ$18</f>
        <v>70</v>
      </c>
      <c r="T112" s="21">
        <f>PINNAE_Prod!$AS$18</f>
        <v>0</v>
      </c>
      <c r="U112" s="59">
        <f>PINNAE_Prod!$AQ$19</f>
        <v>80</v>
      </c>
      <c r="V112" s="21">
        <f>PINNAE_Prod!$AS$19</f>
        <v>13.327040181525678</v>
      </c>
      <c r="W112" s="59">
        <f>PINNAE_Prod!$AQ$20</f>
        <v>90</v>
      </c>
      <c r="X112" s="21">
        <f>PINNAE_Prod!$AS$20</f>
        <v>4.8083261120685208</v>
      </c>
      <c r="Y112" s="59">
        <f>PINNAE_Prod!$AQ$21</f>
        <v>98.474693898206965</v>
      </c>
      <c r="Z112" s="21">
        <f>PINNAE_Prod!$AS$21</f>
        <v>0</v>
      </c>
      <c r="AA112" s="59">
        <f>PINNAE_Prod!$AQ$22</f>
        <v>99.665653482478291</v>
      </c>
      <c r="AB112" s="21">
        <f>PINNAE_Prod!$AS$22</f>
        <v>10.465180361560902</v>
      </c>
      <c r="AC112" s="59">
        <f>PINNAE_Prod!$AQ$23</f>
        <v>99.951573567634654</v>
      </c>
      <c r="AD112" s="21">
        <f>PINNAE_Prod!$AS$23</f>
        <v>0</v>
      </c>
      <c r="AE112" s="59">
        <f>PINNAE_Prod!$AQ$24</f>
        <v>100</v>
      </c>
      <c r="AF112" s="21">
        <f>PINNAE_Prod!$AS$24</f>
        <v>19.798989873223331</v>
      </c>
      <c r="AG112" s="59">
        <f>PINNAE_Prod!$AQ$25</f>
        <v>0</v>
      </c>
      <c r="AH112" s="21">
        <f>PINNAE_Prod!$AS$25</f>
        <v>0</v>
      </c>
      <c r="AI112" s="59">
        <f>PINNAE_Prod!$AQ$26</f>
        <v>0</v>
      </c>
      <c r="AJ112" s="21">
        <f>PINNAE_Prod!$AS$26</f>
        <v>0</v>
      </c>
      <c r="AK112" s="59">
        <f>PINNAE_Prod!$AQ$27</f>
        <v>0</v>
      </c>
      <c r="AL112" s="21">
        <f>PINNAE_Prod!$AS$27</f>
        <v>0</v>
      </c>
      <c r="AM112" s="59">
        <f>PINNAE_Prod!$AQ$28</f>
        <v>0</v>
      </c>
      <c r="AN112" s="21">
        <f>PINNAE_Prod!$AS$28</f>
        <v>0</v>
      </c>
      <c r="AO112" s="59">
        <f>PINNAE_Prod!$AQ$29</f>
        <v>0</v>
      </c>
      <c r="AP112" s="21">
        <f>PINNAE_Prod!$AS$29</f>
        <v>0</v>
      </c>
      <c r="AQ112" s="59">
        <f>PINNAE_Prod!$AQ$30</f>
        <v>0</v>
      </c>
      <c r="AR112" s="21">
        <f>PINNAE_Prod!$AS$30</f>
        <v>0</v>
      </c>
      <c r="AS112" s="59">
        <f>PINNAE_Prod!$AQ$31</f>
        <v>0</v>
      </c>
      <c r="AT112" s="21">
        <f>PINNAE_Prod!$AS$31</f>
        <v>0</v>
      </c>
      <c r="AU112" s="59">
        <f>PINNAE_Prod!$AQ$32</f>
        <v>0</v>
      </c>
      <c r="AV112" s="21">
        <f>PINNAE_Prod!$AS$32</f>
        <v>0</v>
      </c>
      <c r="AW112" s="59">
        <f>PINNAE_Prod!$AQ$33</f>
        <v>0</v>
      </c>
      <c r="AX112" s="21">
        <f>PINNAE_Prod!$AS$33</f>
        <v>0</v>
      </c>
      <c r="AY112" s="59">
        <f>PINNAE_Prod!$AQ$34</f>
        <v>0</v>
      </c>
      <c r="AZ112" s="21">
        <f>PINNAE_Prod!$AS$34</f>
        <v>0</v>
      </c>
      <c r="BA112" s="59">
        <f>PINNAE_Prod!$AQ$35</f>
        <v>0</v>
      </c>
      <c r="BB112" s="21">
        <f>PINNAE_Prod!$AS$35</f>
        <v>0</v>
      </c>
      <c r="BC112" s="59">
        <f>PINNAE_Prod!$AQ$36</f>
        <v>0</v>
      </c>
      <c r="BD112" s="21">
        <f>PINNAE_Prod!$AS$36</f>
        <v>0</v>
      </c>
      <c r="BE112" s="59">
        <f>PINNAE_Prod!$AQ$37</f>
        <v>0</v>
      </c>
      <c r="BF112" s="21">
        <f>PINNAE_Prod!$AS$37</f>
        <v>0</v>
      </c>
      <c r="BG112" s="52" t="s">
        <v>69</v>
      </c>
      <c r="BH112" s="16"/>
    </row>
    <row r="113" spans="1:60">
      <c r="A113" s="20"/>
      <c r="B113" s="12" t="s">
        <v>192</v>
      </c>
      <c r="C113" s="12" t="s">
        <v>490</v>
      </c>
      <c r="D113" s="15" t="s">
        <v>12</v>
      </c>
      <c r="E113" s="9" t="s">
        <v>3</v>
      </c>
      <c r="F113" s="40" t="s">
        <v>10</v>
      </c>
      <c r="G113" s="46">
        <f>PINNAE_Prod!$AU$9</f>
        <v>1</v>
      </c>
      <c r="H113" s="72">
        <f>PINNAE_Prod!$AU$10</f>
        <v>18</v>
      </c>
      <c r="I113" s="59">
        <f>PINNAE_Prod!$AT$13</f>
        <v>0</v>
      </c>
      <c r="J113" s="21">
        <f>PINNAE_Prod!$AU$13</f>
        <v>-21</v>
      </c>
      <c r="K113" s="59">
        <f>PINNAE_Prod!$AT$14</f>
        <v>5.3605555861977985</v>
      </c>
      <c r="L113" s="21">
        <f>PINNAE_Prod!$AU$14</f>
        <v>12</v>
      </c>
      <c r="M113" s="59">
        <f>PINNAE_Prod!$AT$15</f>
        <v>10</v>
      </c>
      <c r="N113" s="21">
        <f>PINNAE_Prod!$AU$15</f>
        <v>-35.299999999999997</v>
      </c>
      <c r="O113" s="59">
        <f>PINNAE_Prod!$AT$16</f>
        <v>20</v>
      </c>
      <c r="P113" s="21">
        <f>PINNAE_Prod!$AU$16</f>
        <v>-60</v>
      </c>
      <c r="Q113" s="59">
        <f>PINNAE_Prod!$AT$17</f>
        <v>26.922669813782981</v>
      </c>
      <c r="R113" s="21">
        <f>PINNAE_Prod!$AU$17</f>
        <v>-56.400000000000006</v>
      </c>
      <c r="S113" s="59">
        <f>PINNAE_Prod!$AT$18</f>
        <v>28.402760758696882</v>
      </c>
      <c r="T113" s="21">
        <f>PINNAE_Prod!$AU$18</f>
        <v>-62.100000000000009</v>
      </c>
      <c r="U113" s="59">
        <f>PINNAE_Prod!$AT$19</f>
        <v>30</v>
      </c>
      <c r="V113" s="21">
        <f>PINNAE_Prod!$AU$19</f>
        <v>-47.7</v>
      </c>
      <c r="W113" s="59">
        <f>PINNAE_Prod!$AT$20</f>
        <v>40</v>
      </c>
      <c r="X113" s="21">
        <f>PINNAE_Prod!$AU$20</f>
        <v>-46.7</v>
      </c>
      <c r="Y113" s="59">
        <f>PINNAE_Prod!$AT$21</f>
        <v>50</v>
      </c>
      <c r="Z113" s="21">
        <f>PINNAE_Prod!$AU$21</f>
        <v>-56.266666666666659</v>
      </c>
      <c r="AA113" s="59">
        <f>PINNAE_Prod!$AT$22</f>
        <v>60</v>
      </c>
      <c r="AB113" s="21">
        <f>PINNAE_Prod!$AU$22</f>
        <v>-39.074999999999996</v>
      </c>
      <c r="AC113" s="59">
        <f>PINNAE_Prod!$AT$23</f>
        <v>70</v>
      </c>
      <c r="AD113" s="21">
        <f>PINNAE_Prod!$AU$23</f>
        <v>-38.274999999999999</v>
      </c>
      <c r="AE113" s="59">
        <f>PINNAE_Prod!$AT$24</f>
        <v>80</v>
      </c>
      <c r="AF113" s="21">
        <f>PINNAE_Prod!$AU$24</f>
        <v>-49.774999999999999</v>
      </c>
      <c r="AG113" s="59">
        <f>PINNAE_Prod!$AT$25</f>
        <v>90</v>
      </c>
      <c r="AH113" s="21">
        <f>PINNAE_Prod!$AU$25</f>
        <v>-52.800000000000011</v>
      </c>
      <c r="AI113" s="59">
        <f>PINNAE_Prod!$AT$26</f>
        <v>97.736572490101764</v>
      </c>
      <c r="AJ113" s="21">
        <f>PINNAE_Prod!$AU$26</f>
        <v>-52.9</v>
      </c>
      <c r="AK113" s="59">
        <f>PINNAE_Prod!$AT$27</f>
        <v>98.474693898206965</v>
      </c>
      <c r="AL113" s="21">
        <f>PINNAE_Prod!$AU$27</f>
        <v>-45.699999999999989</v>
      </c>
      <c r="AM113" s="59">
        <f>PINNAE_Prod!$AT$28</f>
        <v>99.115172061249353</v>
      </c>
      <c r="AN113" s="21">
        <f>PINNAE_Prod!$AU$28</f>
        <v>-50.35</v>
      </c>
      <c r="AO113" s="59">
        <f>PINNAE_Prod!$AT$29</f>
        <v>99.665653482478291</v>
      </c>
      <c r="AP113" s="21">
        <f>PINNAE_Prod!$AU$29</f>
        <v>-27.5</v>
      </c>
      <c r="AQ113" s="59">
        <f>PINNAE_Prod!$AT$30</f>
        <v>99.951573567634654</v>
      </c>
      <c r="AR113" s="21">
        <f>PINNAE_Prod!$AU$30</f>
        <v>-56.849999999999994</v>
      </c>
      <c r="AS113" s="59">
        <f>PINNAE_Prod!$AT$31</f>
        <v>0</v>
      </c>
      <c r="AT113" s="21">
        <f>PINNAE_Prod!$AU$31</f>
        <v>0</v>
      </c>
      <c r="AU113" s="59">
        <f>PINNAE_Prod!$AT$32</f>
        <v>0</v>
      </c>
      <c r="AV113" s="21">
        <f>PINNAE_Prod!$AU$32</f>
        <v>0</v>
      </c>
      <c r="AW113" s="59">
        <f>PINNAE_Prod!$AT$33</f>
        <v>0</v>
      </c>
      <c r="AX113" s="21">
        <f>PINNAE_Prod!$AU$33</f>
        <v>0</v>
      </c>
      <c r="AY113" s="59">
        <f>PINNAE_Prod!$AT$34</f>
        <v>0</v>
      </c>
      <c r="AZ113" s="21">
        <f>PINNAE_Prod!$AU$34</f>
        <v>0</v>
      </c>
      <c r="BA113" s="59">
        <f>PINNAE_Prod!$AT$35</f>
        <v>0</v>
      </c>
      <c r="BB113" s="21">
        <f>PINNAE_Prod!$AU$35</f>
        <v>0</v>
      </c>
      <c r="BC113" s="59">
        <f>PINNAE_Prod!$AT$36</f>
        <v>0</v>
      </c>
      <c r="BD113" s="21">
        <f>PINNAE_Prod!$AU$36</f>
        <v>0</v>
      </c>
      <c r="BE113" s="59">
        <f>PINNAE_Prod!$AT$37</f>
        <v>0</v>
      </c>
      <c r="BF113" s="21">
        <f>PINNAE_Prod!$AU$37</f>
        <v>0</v>
      </c>
      <c r="BG113" s="52" t="s">
        <v>69</v>
      </c>
      <c r="BH113" s="16"/>
    </row>
    <row r="114" spans="1:60">
      <c r="A114" s="20"/>
      <c r="B114" s="196" t="s">
        <v>193</v>
      </c>
      <c r="C114" s="12" t="s">
        <v>491</v>
      </c>
      <c r="D114" s="15" t="s">
        <v>12</v>
      </c>
      <c r="E114" s="9" t="s">
        <v>3</v>
      </c>
      <c r="F114" s="40" t="s">
        <v>10</v>
      </c>
      <c r="G114" s="46">
        <f>PINNAE_Prod!$AV$9</f>
        <v>1</v>
      </c>
      <c r="H114" s="72">
        <f>PINNAE_Prod!$AV$10</f>
        <v>18</v>
      </c>
      <c r="I114" s="59">
        <f>PINNAE_Prod!$AT$13</f>
        <v>0</v>
      </c>
      <c r="J114" s="21">
        <f>PINNAE_Prod!$AV$13</f>
        <v>0</v>
      </c>
      <c r="K114" s="59">
        <f>PINNAE_Prod!$AT$14</f>
        <v>5.3605555861977985</v>
      </c>
      <c r="L114" s="21">
        <f>PINNAE_Prod!$AV$14</f>
        <v>46.669047558312137</v>
      </c>
      <c r="M114" s="59">
        <f>PINNAE_Prod!$AT$15</f>
        <v>10</v>
      </c>
      <c r="N114" s="21">
        <f>PINNAE_Prod!$AV$15</f>
        <v>0</v>
      </c>
      <c r="O114" s="59">
        <f>PINNAE_Prod!$AT$16</f>
        <v>20</v>
      </c>
      <c r="P114" s="21">
        <f>PINNAE_Prod!$AV$16</f>
        <v>12.727922061357855</v>
      </c>
      <c r="Q114" s="59">
        <f>PINNAE_Prod!$AT$17</f>
        <v>26.922669813782981</v>
      </c>
      <c r="R114" s="21">
        <f>PINNAE_Prod!$AV$17</f>
        <v>13.435028842544403</v>
      </c>
      <c r="S114" s="59">
        <f>PINNAE_Prod!$AT$18</f>
        <v>28.402760758696882</v>
      </c>
      <c r="T114" s="21">
        <f>PINNAE_Prod!$AV$18</f>
        <v>9.4752308678997235</v>
      </c>
      <c r="U114" s="59">
        <f>PINNAE_Prod!$AT$19</f>
        <v>30</v>
      </c>
      <c r="V114" s="21">
        <f>PINNAE_Prod!$AV$19</f>
        <v>19.925695303635791</v>
      </c>
      <c r="W114" s="59">
        <f>PINNAE_Prod!$AT$20</f>
        <v>40</v>
      </c>
      <c r="X114" s="21">
        <f>PINNAE_Prod!$AV$20</f>
        <v>11.637009925234208</v>
      </c>
      <c r="Y114" s="59">
        <f>PINNAE_Prod!$AT$21</f>
        <v>50</v>
      </c>
      <c r="Z114" s="21">
        <f>PINNAE_Prod!$AV$21</f>
        <v>11.353119982336725</v>
      </c>
      <c r="AA114" s="59">
        <f>PINNAE_Prod!$AT$22</f>
        <v>60</v>
      </c>
      <c r="AB114" s="21">
        <f>PINNAE_Prod!$AV$22</f>
        <v>13.436610435671634</v>
      </c>
      <c r="AC114" s="59">
        <f>PINNAE_Prod!$AT$23</f>
        <v>70</v>
      </c>
      <c r="AD114" s="21">
        <f>PINNAE_Prod!$AV$23</f>
        <v>21.442694948785391</v>
      </c>
      <c r="AE114" s="59">
        <f>PINNAE_Prod!$AT$24</f>
        <v>80</v>
      </c>
      <c r="AF114" s="21">
        <f>PINNAE_Prod!$AV$24</f>
        <v>8.039226745568687</v>
      </c>
      <c r="AG114" s="59">
        <f>PINNAE_Prod!$AT$25</f>
        <v>90</v>
      </c>
      <c r="AH114" s="21">
        <f>PINNAE_Prod!$AV$25</f>
        <v>0</v>
      </c>
      <c r="AI114" s="59">
        <f>PINNAE_Prod!$AT$26</f>
        <v>97.736572490101764</v>
      </c>
      <c r="AJ114" s="21">
        <f>PINNAE_Prod!$AV$26</f>
        <v>6.2265560304232359</v>
      </c>
      <c r="AK114" s="59">
        <f>PINNAE_Prod!$AT$27</f>
        <v>98.474693898206965</v>
      </c>
      <c r="AL114" s="21">
        <f>PINNAE_Prod!$AV$27</f>
        <v>0</v>
      </c>
      <c r="AM114" s="59">
        <f>PINNAE_Prod!$AT$28</f>
        <v>99.115172061249353</v>
      </c>
      <c r="AN114" s="21">
        <f>PINNAE_Prod!$AV$28</f>
        <v>17.748380207782347</v>
      </c>
      <c r="AO114" s="59">
        <f>PINNAE_Prod!$AT$29</f>
        <v>99.665653482478291</v>
      </c>
      <c r="AP114" s="21">
        <f>PINNAE_Prod!$AV$29</f>
        <v>0</v>
      </c>
      <c r="AQ114" s="59">
        <f>PINNAE_Prod!$AT$30</f>
        <v>99.951573567634654</v>
      </c>
      <c r="AR114" s="21">
        <f>PINNAE_Prod!$AV$30</f>
        <v>5.3033008588991066</v>
      </c>
      <c r="AS114" s="59">
        <f>PINNAE_Prod!$AT$31</f>
        <v>0</v>
      </c>
      <c r="AT114" s="21">
        <f>PINNAE_Prod!$AV$31</f>
        <v>0</v>
      </c>
      <c r="AU114" s="59">
        <f>PINNAE_Prod!$AT$32</f>
        <v>0</v>
      </c>
      <c r="AV114" s="21">
        <f>PINNAE_Prod!$AV$32</f>
        <v>0</v>
      </c>
      <c r="AW114" s="59">
        <f>PINNAE_Prod!$AT$33</f>
        <v>0</v>
      </c>
      <c r="AX114" s="21">
        <f>PINNAE_Prod!$AV$33</f>
        <v>0</v>
      </c>
      <c r="AY114" s="59">
        <f>PINNAE_Prod!$AT$34</f>
        <v>0</v>
      </c>
      <c r="AZ114" s="21">
        <f>PINNAE_Prod!$AV$34</f>
        <v>0</v>
      </c>
      <c r="BA114" s="59">
        <f>PINNAE_Prod!$AT$35</f>
        <v>0</v>
      </c>
      <c r="BB114" s="21">
        <f>PINNAE_Prod!$AV$35</f>
        <v>0</v>
      </c>
      <c r="BC114" s="59">
        <f>PINNAE_Prod!$AT$36</f>
        <v>0</v>
      </c>
      <c r="BD114" s="21">
        <f>PINNAE_Prod!$AV$36</f>
        <v>0</v>
      </c>
      <c r="BE114" s="59">
        <f>PINNAE_Prod!$AT$37</f>
        <v>0</v>
      </c>
      <c r="BF114" s="21">
        <f>PINNAE_Prod!$AV$37</f>
        <v>0</v>
      </c>
      <c r="BG114" s="52" t="s">
        <v>69</v>
      </c>
      <c r="BH114" s="16"/>
    </row>
    <row r="115" spans="1:60">
      <c r="A115" s="20"/>
      <c r="B115" s="12" t="s">
        <v>660</v>
      </c>
      <c r="C115" s="12" t="s">
        <v>666</v>
      </c>
      <c r="D115" s="15" t="s">
        <v>12</v>
      </c>
      <c r="E115" s="9" t="s">
        <v>3</v>
      </c>
      <c r="F115" s="40" t="s">
        <v>10</v>
      </c>
      <c r="G115" s="46">
        <f>PINNAE_Prod!$AY$9</f>
        <v>1</v>
      </c>
      <c r="H115" s="72">
        <f>PINNAE_Prod!$AY$10</f>
        <v>17</v>
      </c>
      <c r="I115" s="59">
        <f>PINNAE_Prod!$AX$13</f>
        <v>0</v>
      </c>
      <c r="J115" s="21">
        <f>PINNAE_Prod!$AY$13</f>
        <v>14.294185173796306</v>
      </c>
      <c r="K115" s="59">
        <f>PINNAE_Prod!$AX$14</f>
        <v>5.3605555861977985</v>
      </c>
      <c r="L115" s="21">
        <f>PINNAE_Prod!$AY$14</f>
        <v>36.547671312472303</v>
      </c>
      <c r="M115" s="59">
        <f>PINNAE_Prod!$AX$15</f>
        <v>10</v>
      </c>
      <c r="N115" s="21">
        <f>PINNAE_Prod!$AY$15</f>
        <v>35.305546665861606</v>
      </c>
      <c r="O115" s="59">
        <f>PINNAE_Prod!$AX$16</f>
        <v>20</v>
      </c>
      <c r="P115" s="21">
        <f>PINNAE_Prod!$AY$16</f>
        <v>40.618248467630252</v>
      </c>
      <c r="Q115" s="59">
        <f>PINNAE_Prod!$AX$17</f>
        <v>26.922669813782981</v>
      </c>
      <c r="R115" s="21">
        <f>PINNAE_Prod!$AY$17</f>
        <v>35.200789165545046</v>
      </c>
      <c r="S115" s="59">
        <f>PINNAE_Prod!$AX$18</f>
        <v>28.402760758696882</v>
      </c>
      <c r="T115" s="21">
        <f>PINNAE_Prod!$AY$18</f>
        <v>37.077444956930364</v>
      </c>
      <c r="U115" s="59">
        <f>PINNAE_Prod!$AX$19</f>
        <v>30</v>
      </c>
      <c r="V115" s="21">
        <f>PINNAE_Prod!$AY$19</f>
        <v>39.884945965414303</v>
      </c>
      <c r="W115" s="59">
        <f>PINNAE_Prod!$AX$20</f>
        <v>40</v>
      </c>
      <c r="X115" s="21">
        <f>PINNAE_Prod!$AY$20</f>
        <v>36.173537382770292</v>
      </c>
      <c r="Y115" s="59">
        <f>PINNAE_Prod!$AX$21</f>
        <v>50</v>
      </c>
      <c r="Z115" s="21">
        <f>PINNAE_Prod!$AY$21</f>
        <v>38.897232391000976</v>
      </c>
      <c r="AA115" s="59">
        <f>PINNAE_Prod!$AX$22</f>
        <v>60</v>
      </c>
      <c r="AB115" s="21">
        <f>PINNAE_Prod!$AY$22</f>
        <v>40.992382397332278</v>
      </c>
      <c r="AC115" s="59">
        <f>PINNAE_Prod!$AX$23</f>
        <v>70</v>
      </c>
      <c r="AD115" s="21">
        <f>PINNAE_Prod!$AY$23</f>
        <v>41.695754185172063</v>
      </c>
      <c r="AE115" s="59">
        <f>PINNAE_Prod!$AX$24</f>
        <v>80</v>
      </c>
      <c r="AF115" s="21">
        <f>PINNAE_Prod!$AY$24</f>
        <v>27.141944319763585</v>
      </c>
      <c r="AG115" s="59">
        <f>PINNAE_Prod!$AX$25</f>
        <v>90</v>
      </c>
      <c r="AH115" s="21">
        <f>PINNAE_Prod!$AY$25</f>
        <v>22.674785199121498</v>
      </c>
      <c r="AI115" s="59">
        <f>PINNAE_Prod!$AX$26</f>
        <v>97.736572490101764</v>
      </c>
      <c r="AJ115" s="21">
        <f>PINNAE_Prod!$AY$26</f>
        <v>32.46212880012628</v>
      </c>
      <c r="AK115" s="59">
        <f>PINNAE_Prod!$AX$27</f>
        <v>98.474693898206965</v>
      </c>
      <c r="AL115" s="21">
        <f>PINNAE_Prod!$AY$27</f>
        <v>27.20928842710995</v>
      </c>
      <c r="AM115" s="59">
        <f>PINNAE_Prod!$AX$28</f>
        <v>99.115172061249353</v>
      </c>
      <c r="AN115" s="21">
        <f>PINNAE_Prod!$AY$28</f>
        <v>15.685963392287812</v>
      </c>
      <c r="AO115" s="59">
        <f>PINNAE_Prod!$AX$29</f>
        <v>99.665653482478291</v>
      </c>
      <c r="AP115" s="21">
        <f>PINNAE_Prod!$AY$29</f>
        <v>5.4945551472048528</v>
      </c>
      <c r="AQ115" s="59">
        <f>PINNAE_Prod!$AX$30</f>
        <v>0</v>
      </c>
      <c r="AR115" s="21">
        <f>PINNAE_Prod!$AY$30</f>
        <v>0</v>
      </c>
      <c r="AS115" s="59">
        <f>PINNAE_Prod!$AX$31</f>
        <v>0</v>
      </c>
      <c r="AT115" s="21">
        <f>PINNAE_Prod!$AY$31</f>
        <v>0</v>
      </c>
      <c r="AU115" s="59">
        <f>PINNAE_Prod!$AX$32</f>
        <v>0</v>
      </c>
      <c r="AV115" s="21">
        <f>PINNAE_Prod!$AY$32</f>
        <v>0</v>
      </c>
      <c r="AW115" s="59">
        <f>PINNAE_Prod!$AX$33</f>
        <v>0</v>
      </c>
      <c r="AX115" s="21">
        <f>PINNAE_Prod!$AY$33</f>
        <v>0</v>
      </c>
      <c r="AY115" s="59">
        <f>PINNAE_Prod!$AX$34</f>
        <v>0</v>
      </c>
      <c r="AZ115" s="21">
        <f>PINNAE_Prod!$AY$34</f>
        <v>0</v>
      </c>
      <c r="BA115" s="59">
        <f>PINNAE_Prod!$AX$35</f>
        <v>0</v>
      </c>
      <c r="BB115" s="21">
        <f>PINNAE_Prod!$AY$35</f>
        <v>0</v>
      </c>
      <c r="BC115" s="59">
        <f>PINNAE_Prod!$AX$36</f>
        <v>0</v>
      </c>
      <c r="BD115" s="21">
        <f>PINNAE_Prod!$AY$36</f>
        <v>0</v>
      </c>
      <c r="BE115" s="59">
        <f>PINNAE_Prod!$AX$37</f>
        <v>0</v>
      </c>
      <c r="BF115" s="21">
        <f>PINNAE_Prod!$AY$37</f>
        <v>0</v>
      </c>
      <c r="BG115" s="52" t="s">
        <v>69</v>
      </c>
      <c r="BH115" s="16"/>
    </row>
    <row r="116" spans="1:60">
      <c r="A116" s="20"/>
      <c r="B116" s="12" t="s">
        <v>661</v>
      </c>
      <c r="C116" s="12" t="s">
        <v>667</v>
      </c>
      <c r="D116" s="15" t="s">
        <v>12</v>
      </c>
      <c r="E116" s="9" t="s">
        <v>3</v>
      </c>
      <c r="F116" s="40" t="s">
        <v>10</v>
      </c>
      <c r="G116" s="46">
        <f>PINNAE_Prod!$AZ$9</f>
        <v>1</v>
      </c>
      <c r="H116" s="72">
        <f>PINNAE_Prod!$AZ$10</f>
        <v>17</v>
      </c>
      <c r="I116" s="59">
        <f>PINNAE_Prod!$AX$13</f>
        <v>0</v>
      </c>
      <c r="J116" s="21">
        <f>PINNAE_Prod!$AZ$13</f>
        <v>0</v>
      </c>
      <c r="K116" s="59">
        <f>PINNAE_Prod!$AX$14</f>
        <v>5.3605555861977985</v>
      </c>
      <c r="L116" s="21">
        <f>PINNAE_Prod!$AZ$14</f>
        <v>8.980256121069127</v>
      </c>
      <c r="M116" s="59">
        <f>PINNAE_Prod!$AX$15</f>
        <v>10</v>
      </c>
      <c r="N116" s="21">
        <f>PINNAE_Prod!$AZ$15</f>
        <v>28.1428498912246</v>
      </c>
      <c r="O116" s="59">
        <f>PINNAE_Prod!$AX$16</f>
        <v>20</v>
      </c>
      <c r="P116" s="21">
        <f>PINNAE_Prod!$AZ$16</f>
        <v>5.5235857918565907</v>
      </c>
      <c r="Q116" s="59">
        <f>PINNAE_Prod!$AX$17</f>
        <v>26.922669813782981</v>
      </c>
      <c r="R116" s="21">
        <f>PINNAE_Prod!$AZ$17</f>
        <v>1.131370849898482</v>
      </c>
      <c r="S116" s="59">
        <f>PINNAE_Prod!$AX$18</f>
        <v>28.402760758696882</v>
      </c>
      <c r="T116" s="21">
        <f>PINNAE_Prod!$AZ$18</f>
        <v>3.6062445840513986</v>
      </c>
      <c r="U116" s="59">
        <f>PINNAE_Prod!$AX$19</f>
        <v>30</v>
      </c>
      <c r="V116" s="21">
        <f>PINNAE_Prod!$AZ$19</f>
        <v>6.103004724450626</v>
      </c>
      <c r="W116" s="59">
        <f>PINNAE_Prod!$AX$20</f>
        <v>40</v>
      </c>
      <c r="X116" s="21">
        <f>PINNAE_Prod!$AZ$20</f>
        <v>9.6831468714119087</v>
      </c>
      <c r="Y116" s="59">
        <f>PINNAE_Prod!$AX$21</f>
        <v>50</v>
      </c>
      <c r="Z116" s="21">
        <f>PINNAE_Prod!$AZ$21</f>
        <v>7.1856338157001085</v>
      </c>
      <c r="AA116" s="59">
        <f>PINNAE_Prod!$AX$22</f>
        <v>60</v>
      </c>
      <c r="AB116" s="21">
        <f>PINNAE_Prod!$AZ$22</f>
        <v>15.847081750278187</v>
      </c>
      <c r="AC116" s="59">
        <f>PINNAE_Prod!$AX$23</f>
        <v>70</v>
      </c>
      <c r="AD116" s="21">
        <f>PINNAE_Prod!$AZ$23</f>
        <v>5.8111243891923898</v>
      </c>
      <c r="AE116" s="59">
        <f>PINNAE_Prod!$AX$24</f>
        <v>80</v>
      </c>
      <c r="AF116" s="21">
        <f>PINNAE_Prod!$AZ$24</f>
        <v>16.686196890444116</v>
      </c>
      <c r="AG116" s="59">
        <f>PINNAE_Prod!$AX$25</f>
        <v>90</v>
      </c>
      <c r="AH116" s="21">
        <f>PINNAE_Prod!$AZ$25</f>
        <v>6.0811183182043056</v>
      </c>
      <c r="AI116" s="59">
        <f>PINNAE_Prod!$AX$26</f>
        <v>97.736572490101764</v>
      </c>
      <c r="AJ116" s="21">
        <f>PINNAE_Prod!$AZ$26</f>
        <v>0</v>
      </c>
      <c r="AK116" s="59">
        <f>PINNAE_Prod!$AX$27</f>
        <v>98.474693898206965</v>
      </c>
      <c r="AL116" s="21">
        <f>PINNAE_Prod!$AZ$27</f>
        <v>12.657211383239193</v>
      </c>
      <c r="AM116" s="59">
        <f>PINNAE_Prod!$AX$28</f>
        <v>99.115172061249353</v>
      </c>
      <c r="AN116" s="21">
        <f>PINNAE_Prod!$AZ$28</f>
        <v>-16.349999999999994</v>
      </c>
      <c r="AO116" s="59">
        <f>PINNAE_Prod!$AX$29</f>
        <v>99.665653482478291</v>
      </c>
      <c r="AP116" s="21">
        <f>PINNAE_Prod!$AZ$29</f>
        <v>-50.400000000000006</v>
      </c>
      <c r="AQ116" s="59">
        <f>PINNAE_Prod!$AX$30</f>
        <v>0</v>
      </c>
      <c r="AR116" s="21">
        <f>PINNAE_Prod!$AZ$30</f>
        <v>0</v>
      </c>
      <c r="AS116" s="59">
        <f>PINNAE_Prod!$AX$31</f>
        <v>0</v>
      </c>
      <c r="AT116" s="21">
        <f>PINNAE_Prod!$AZ$31</f>
        <v>0</v>
      </c>
      <c r="AU116" s="59">
        <f>PINNAE_Prod!$AX$32</f>
        <v>0</v>
      </c>
      <c r="AV116" s="21">
        <f>PINNAE_Prod!$AZ$32</f>
        <v>0</v>
      </c>
      <c r="AW116" s="59">
        <f>PINNAE_Prod!$AX$33</f>
        <v>0</v>
      </c>
      <c r="AX116" s="21">
        <f>PINNAE_Prod!$AZ$33</f>
        <v>0</v>
      </c>
      <c r="AY116" s="59">
        <f>PINNAE_Prod!$AX$34</f>
        <v>0</v>
      </c>
      <c r="AZ116" s="21">
        <f>PINNAE_Prod!$AZ$34</f>
        <v>0</v>
      </c>
      <c r="BA116" s="59">
        <f>PINNAE_Prod!$AX$35</f>
        <v>0</v>
      </c>
      <c r="BB116" s="21">
        <f>PINNAE_Prod!$AZ$35</f>
        <v>0</v>
      </c>
      <c r="BC116" s="59">
        <f>PINNAE_Prod!$AX$36</f>
        <v>0</v>
      </c>
      <c r="BD116" s="21">
        <f>PINNAE_Prod!$AZ$36</f>
        <v>0</v>
      </c>
      <c r="BE116" s="59">
        <f>PINNAE_Prod!$AX$37</f>
        <v>0</v>
      </c>
      <c r="BF116" s="21">
        <f>PINNAE_Prod!$AZ$37</f>
        <v>0</v>
      </c>
      <c r="BG116" s="52" t="s">
        <v>69</v>
      </c>
      <c r="BH116" s="16"/>
    </row>
    <row r="117" spans="1:60">
      <c r="A117" s="20"/>
      <c r="B117" s="12" t="s">
        <v>662</v>
      </c>
      <c r="C117" s="12" t="s">
        <v>668</v>
      </c>
      <c r="D117" s="15" t="s">
        <v>12</v>
      </c>
      <c r="E117" s="9" t="s">
        <v>3</v>
      </c>
      <c r="F117" s="40" t="s">
        <v>10</v>
      </c>
      <c r="G117" s="46">
        <f>PINNAE_Prod!$BB$9</f>
        <v>1</v>
      </c>
      <c r="H117" s="72">
        <f>PINNAE_Prod!$BB$10</f>
        <v>12</v>
      </c>
      <c r="I117" s="59">
        <f>PINNAE_Prod!$BA$13</f>
        <v>0</v>
      </c>
      <c r="J117" s="21">
        <f>PINNAE_Prod!$BB$13</f>
        <v>34.048456662062833</v>
      </c>
      <c r="K117" s="59">
        <f>PINNAE_Prod!$BA$14</f>
        <v>10</v>
      </c>
      <c r="L117" s="21">
        <f>PINNAE_Prod!$BB$14</f>
        <v>20.998665194056461</v>
      </c>
      <c r="M117" s="59">
        <f>PINNAE_Prod!$BA$15</f>
        <v>40</v>
      </c>
      <c r="N117" s="21">
        <f>PINNAE_Prod!$BB$15</f>
        <v>27.254184498674192</v>
      </c>
      <c r="O117" s="59">
        <f>PINNAE_Prod!$BA$16</f>
        <v>50</v>
      </c>
      <c r="P117" s="21">
        <f>PINNAE_Prod!$BB$16</f>
        <v>15.04245303320034</v>
      </c>
      <c r="Q117" s="59">
        <f>PINNAE_Prod!$BA$17</f>
        <v>60</v>
      </c>
      <c r="R117" s="21">
        <f>PINNAE_Prod!$BB$17</f>
        <v>20.100743762771618</v>
      </c>
      <c r="S117" s="59">
        <f>PINNAE_Prod!$BA$18</f>
        <v>70</v>
      </c>
      <c r="T117" s="21">
        <f>PINNAE_Prod!$BB$18</f>
        <v>23.123745914763919</v>
      </c>
      <c r="U117" s="59">
        <f>PINNAE_Prod!$BA$19</f>
        <v>80</v>
      </c>
      <c r="V117" s="21">
        <f>PINNAE_Prod!$BB$19</f>
        <v>16.718573038265379</v>
      </c>
      <c r="W117" s="59">
        <f>PINNAE_Prod!$BA$20</f>
        <v>90</v>
      </c>
      <c r="X117" s="21">
        <f>PINNAE_Prod!$BB$20</f>
        <v>23.243468772268564</v>
      </c>
      <c r="Y117" s="59">
        <f>PINNAE_Prod!$BA$21</f>
        <v>98.474693898206965</v>
      </c>
      <c r="Z117" s="21">
        <f>PINNAE_Prod!$BB$21</f>
        <v>19.921159476514649</v>
      </c>
      <c r="AA117" s="59">
        <f>PINNAE_Prod!$BA$22</f>
        <v>99.665653482478291</v>
      </c>
      <c r="AB117" s="21">
        <f>PINNAE_Prod!$BB$22</f>
        <v>10.822222306161583</v>
      </c>
      <c r="AC117" s="59">
        <f>PINNAE_Prod!$BA$23</f>
        <v>99.951573567634654</v>
      </c>
      <c r="AD117" s="21">
        <f>PINNAE_Prod!$BB$23</f>
        <v>2.9803751396072933</v>
      </c>
      <c r="AE117" s="59">
        <f>PINNAE_Prod!$BA$24</f>
        <v>100</v>
      </c>
      <c r="AF117" s="21">
        <f>PINNAE_Prod!$BB$24</f>
        <v>14.892799461319534</v>
      </c>
      <c r="AG117" s="59">
        <f>PINNAE_Prod!$BA$25</f>
        <v>0</v>
      </c>
      <c r="AH117" s="21">
        <f>PINNAE_Prod!$BB$25</f>
        <v>0</v>
      </c>
      <c r="AI117" s="59">
        <f>PINNAE_Prod!$BA$26</f>
        <v>0</v>
      </c>
      <c r="AJ117" s="21">
        <f>PINNAE_Prod!$BB$26</f>
        <v>0</v>
      </c>
      <c r="AK117" s="59">
        <f>PINNAE_Prod!$BA$27</f>
        <v>0</v>
      </c>
      <c r="AL117" s="21">
        <f>PINNAE_Prod!$BB$27</f>
        <v>0</v>
      </c>
      <c r="AM117" s="59">
        <f>PINNAE_Prod!$BA$28</f>
        <v>0</v>
      </c>
      <c r="AN117" s="21">
        <f>PINNAE_Prod!$BB$28</f>
        <v>0</v>
      </c>
      <c r="AO117" s="59">
        <f>PINNAE_Prod!$BA$29</f>
        <v>0</v>
      </c>
      <c r="AP117" s="21">
        <f>PINNAE_Prod!$BB$29</f>
        <v>0</v>
      </c>
      <c r="AQ117" s="59">
        <f>PINNAE_Prod!$BA$30</f>
        <v>0</v>
      </c>
      <c r="AR117" s="21">
        <f>PINNAE_Prod!$BB$30</f>
        <v>0</v>
      </c>
      <c r="AS117" s="59">
        <f>PINNAE_Prod!$BA$31</f>
        <v>0</v>
      </c>
      <c r="AT117" s="21">
        <f>PINNAE_Prod!$BB$31</f>
        <v>0</v>
      </c>
      <c r="AU117" s="59">
        <f>PINNAE_Prod!$BA$32</f>
        <v>0</v>
      </c>
      <c r="AV117" s="21">
        <f>PINNAE_Prod!$BB$32</f>
        <v>0</v>
      </c>
      <c r="AW117" s="59">
        <f>PINNAE_Prod!$BA$33</f>
        <v>0</v>
      </c>
      <c r="AX117" s="21">
        <f>PINNAE_Prod!$BB$33</f>
        <v>0</v>
      </c>
      <c r="AY117" s="59">
        <f>PINNAE_Prod!$BA$34</f>
        <v>0</v>
      </c>
      <c r="AZ117" s="21">
        <f>PINNAE_Prod!$BB$34</f>
        <v>0</v>
      </c>
      <c r="BA117" s="59">
        <f>PINNAE_Prod!$BA$35</f>
        <v>0</v>
      </c>
      <c r="BB117" s="21">
        <f>PINNAE_Prod!$BB$35</f>
        <v>0</v>
      </c>
      <c r="BC117" s="59">
        <f>PINNAE_Prod!$BA$36</f>
        <v>0</v>
      </c>
      <c r="BD117" s="21">
        <f>PINNAE_Prod!$BB$36</f>
        <v>0</v>
      </c>
      <c r="BE117" s="59">
        <f>PINNAE_Prod!$BA$37</f>
        <v>0</v>
      </c>
      <c r="BF117" s="21">
        <f>PINNAE_Prod!$BB$37</f>
        <v>0</v>
      </c>
      <c r="BG117" s="52" t="s">
        <v>69</v>
      </c>
      <c r="BH117" s="16"/>
    </row>
    <row r="118" spans="1:60">
      <c r="A118" s="20"/>
      <c r="B118" s="12" t="s">
        <v>663</v>
      </c>
      <c r="C118" s="12" t="s">
        <v>669</v>
      </c>
      <c r="D118" s="15" t="s">
        <v>12</v>
      </c>
      <c r="E118" s="9" t="s">
        <v>3</v>
      </c>
      <c r="F118" s="40" t="s">
        <v>10</v>
      </c>
      <c r="G118" s="46">
        <f>PINNAE_Prod!$BC$9</f>
        <v>1</v>
      </c>
      <c r="H118" s="72">
        <f>PINNAE_Prod!$BC$10</f>
        <v>12</v>
      </c>
      <c r="I118" s="59">
        <f>PINNAE_Prod!$BA$13</f>
        <v>0</v>
      </c>
      <c r="J118" s="21">
        <f>PINNAE_Prod!$BC$13</f>
        <v>0</v>
      </c>
      <c r="K118" s="59">
        <f>PINNAE_Prod!$BA$14</f>
        <v>10</v>
      </c>
      <c r="L118" s="21">
        <f>PINNAE_Prod!$BC$14</f>
        <v>84.287128317436455</v>
      </c>
      <c r="M118" s="59">
        <f>PINNAE_Prod!$BA$15</f>
        <v>40</v>
      </c>
      <c r="N118" s="21">
        <f>PINNAE_Prod!$BC$15</f>
        <v>0</v>
      </c>
      <c r="O118" s="59">
        <f>PINNAE_Prod!$BA$16</f>
        <v>50</v>
      </c>
      <c r="P118" s="21">
        <f>PINNAE_Prod!$BC$16</f>
        <v>0</v>
      </c>
      <c r="Q118" s="59">
        <f>PINNAE_Prod!$BA$17</f>
        <v>60</v>
      </c>
      <c r="R118" s="21">
        <f>PINNAE_Prod!$BC$17</f>
        <v>6.2225396744416157</v>
      </c>
      <c r="S118" s="59">
        <f>PINNAE_Prod!$BA$18</f>
        <v>70</v>
      </c>
      <c r="T118" s="21">
        <f>PINNAE_Prod!$BC$18</f>
        <v>0</v>
      </c>
      <c r="U118" s="59">
        <f>PINNAE_Prod!$BA$19</f>
        <v>80</v>
      </c>
      <c r="V118" s="21">
        <f>PINNAE_Prod!$BC$19</f>
        <v>13.327040181525678</v>
      </c>
      <c r="W118" s="59">
        <f>PINNAE_Prod!$BA$20</f>
        <v>90</v>
      </c>
      <c r="X118" s="21">
        <f>PINNAE_Prod!$BC$20</f>
        <v>4.8083261120685208</v>
      </c>
      <c r="Y118" s="59">
        <f>PINNAE_Prod!$BA$21</f>
        <v>98.474693898206965</v>
      </c>
      <c r="Z118" s="21">
        <f>PINNAE_Prod!$BC$21</f>
        <v>0</v>
      </c>
      <c r="AA118" s="59">
        <f>PINNAE_Prod!$BA$22</f>
        <v>99.665653482478291</v>
      </c>
      <c r="AB118" s="21">
        <f>PINNAE_Prod!$BC$22</f>
        <v>10.465180361560902</v>
      </c>
      <c r="AC118" s="59">
        <f>PINNAE_Prod!$BA$23</f>
        <v>99.951573567634654</v>
      </c>
      <c r="AD118" s="21">
        <f>PINNAE_Prod!$BC$23</f>
        <v>0</v>
      </c>
      <c r="AE118" s="59">
        <f>PINNAE_Prod!$BA$24</f>
        <v>100</v>
      </c>
      <c r="AF118" s="21">
        <f>PINNAE_Prod!$BC$24</f>
        <v>19.798989873223331</v>
      </c>
      <c r="AG118" s="59">
        <f>PINNAE_Prod!$BA$25</f>
        <v>0</v>
      </c>
      <c r="AH118" s="21">
        <f>PINNAE_Prod!$BC$25</f>
        <v>0</v>
      </c>
      <c r="AI118" s="59">
        <f>PINNAE_Prod!$BA$26</f>
        <v>0</v>
      </c>
      <c r="AJ118" s="21">
        <f>PINNAE_Prod!$BC$26</f>
        <v>0</v>
      </c>
      <c r="AK118" s="59">
        <f>PINNAE_Prod!$BA$27</f>
        <v>0</v>
      </c>
      <c r="AL118" s="21">
        <f>PINNAE_Prod!$BC$27</f>
        <v>0</v>
      </c>
      <c r="AM118" s="59">
        <f>PINNAE_Prod!$BA$28</f>
        <v>0</v>
      </c>
      <c r="AN118" s="21">
        <f>PINNAE_Prod!$BC$28</f>
        <v>0</v>
      </c>
      <c r="AO118" s="59">
        <f>PINNAE_Prod!$BA$29</f>
        <v>0</v>
      </c>
      <c r="AP118" s="21">
        <f>PINNAE_Prod!$BC$29</f>
        <v>0</v>
      </c>
      <c r="AQ118" s="59">
        <f>PINNAE_Prod!$BA$30</f>
        <v>0</v>
      </c>
      <c r="AR118" s="21">
        <f>PINNAE_Prod!$BC$30</f>
        <v>0</v>
      </c>
      <c r="AS118" s="59">
        <f>PINNAE_Prod!$BA$31</f>
        <v>0</v>
      </c>
      <c r="AT118" s="21">
        <f>PINNAE_Prod!$BC$31</f>
        <v>0</v>
      </c>
      <c r="AU118" s="59">
        <f>PINNAE_Prod!$BA$32</f>
        <v>0</v>
      </c>
      <c r="AV118" s="21">
        <f>PINNAE_Prod!$BC$32</f>
        <v>0</v>
      </c>
      <c r="AW118" s="59">
        <f>PINNAE_Prod!$BA$33</f>
        <v>0</v>
      </c>
      <c r="AX118" s="21">
        <f>PINNAE_Prod!$BC$33</f>
        <v>0</v>
      </c>
      <c r="AY118" s="59">
        <f>PINNAE_Prod!$BA$34</f>
        <v>0</v>
      </c>
      <c r="AZ118" s="21">
        <f>PINNAE_Prod!$BC$34</f>
        <v>0</v>
      </c>
      <c r="BA118" s="59">
        <f>PINNAE_Prod!$BA$35</f>
        <v>0</v>
      </c>
      <c r="BB118" s="21">
        <f>PINNAE_Prod!$BC$35</f>
        <v>0</v>
      </c>
      <c r="BC118" s="59">
        <f>PINNAE_Prod!$BA$36</f>
        <v>0</v>
      </c>
      <c r="BD118" s="21">
        <f>PINNAE_Prod!$BC$36</f>
        <v>0</v>
      </c>
      <c r="BE118" s="59">
        <f>PINNAE_Prod!$BA$37</f>
        <v>0</v>
      </c>
      <c r="BF118" s="21">
        <f>PINNAE_Prod!$BC$37</f>
        <v>0</v>
      </c>
      <c r="BG118" s="52" t="s">
        <v>69</v>
      </c>
      <c r="BH118" s="16"/>
    </row>
    <row r="119" spans="1:60">
      <c r="A119" s="20"/>
      <c r="B119" s="12" t="s">
        <v>664</v>
      </c>
      <c r="C119" s="12" t="s">
        <v>670</v>
      </c>
      <c r="D119" s="15" t="s">
        <v>12</v>
      </c>
      <c r="E119" s="9" t="s">
        <v>3</v>
      </c>
      <c r="F119" s="40" t="s">
        <v>10</v>
      </c>
      <c r="G119" s="46">
        <f>PINNAE_Prod!$BE$9</f>
        <v>1</v>
      </c>
      <c r="H119" s="72">
        <f>PINNAE_Prod!$BE$10</f>
        <v>18</v>
      </c>
      <c r="I119" s="59">
        <f>PINNAE_Prod!$BD$13</f>
        <v>0</v>
      </c>
      <c r="J119" s="21">
        <f>PINNAE_Prod!$BE$13</f>
        <v>14.294185173796306</v>
      </c>
      <c r="K119" s="59">
        <f>PINNAE_Prod!$BD$14</f>
        <v>5.3605555861977985</v>
      </c>
      <c r="L119" s="21">
        <f>PINNAE_Prod!$BE$14</f>
        <v>24.171320917929567</v>
      </c>
      <c r="M119" s="59">
        <f>PINNAE_Prod!$BD$15</f>
        <v>10</v>
      </c>
      <c r="N119" s="21">
        <f>PINNAE_Prod!$BE$15</f>
        <v>10.014093018005227</v>
      </c>
      <c r="O119" s="59">
        <f>PINNAE_Prod!$BD$16</f>
        <v>20</v>
      </c>
      <c r="P119" s="21">
        <f>PINNAE_Prod!$BE$16</f>
        <v>2.6212065670933598</v>
      </c>
      <c r="Q119" s="59">
        <f>PINNAE_Prod!$BD$17</f>
        <v>26.922669813782981</v>
      </c>
      <c r="R119" s="21">
        <f>PINNAE_Prod!$BE$17</f>
        <v>3.6987122846351674</v>
      </c>
      <c r="S119" s="59">
        <f>PINNAE_Prod!$BD$18</f>
        <v>28.402760758696882</v>
      </c>
      <c r="T119" s="21">
        <f>PINNAE_Prod!$BE$18</f>
        <v>1.9926615651939663</v>
      </c>
      <c r="U119" s="59">
        <f>PINNAE_Prod!$BD$19</f>
        <v>30</v>
      </c>
      <c r="V119" s="21">
        <f>PINNAE_Prod!$BE$19</f>
        <v>6.3026844353612113</v>
      </c>
      <c r="W119" s="59">
        <f>PINNAE_Prod!$BD$20</f>
        <v>40</v>
      </c>
      <c r="X119" s="21">
        <f>PINNAE_Prod!$BE$20</f>
        <v>6.6019915791228261</v>
      </c>
      <c r="Y119" s="59">
        <f>PINNAE_Prod!$BD$21</f>
        <v>50</v>
      </c>
      <c r="Z119" s="21">
        <f>PINNAE_Prod!$BE$21</f>
        <v>3.7386199038033894</v>
      </c>
      <c r="AA119" s="59">
        <f>PINNAE_Prod!$BD$22</f>
        <v>60</v>
      </c>
      <c r="AB119" s="21">
        <f>PINNAE_Prod!$BE$22</f>
        <v>8.884208550305134</v>
      </c>
      <c r="AC119" s="59">
        <f>PINNAE_Prod!$BD$23</f>
        <v>70</v>
      </c>
      <c r="AD119" s="21">
        <f>PINNAE_Prod!$BE$23</f>
        <v>9.1236542653144248</v>
      </c>
      <c r="AE119" s="59">
        <f>PINNAE_Prod!$BD$24</f>
        <v>80</v>
      </c>
      <c r="AF119" s="21">
        <f>PINNAE_Prod!$BE$24</f>
        <v>5.6816221120558641</v>
      </c>
      <c r="AG119" s="59">
        <f>PINNAE_Prod!$BD$25</f>
        <v>90</v>
      </c>
      <c r="AH119" s="21">
        <f>PINNAE_Prod!$BE$25</f>
        <v>4.7762180021769769</v>
      </c>
      <c r="AI119" s="59">
        <f>PINNAE_Prod!$BD$26</f>
        <v>97.736572490101764</v>
      </c>
      <c r="AJ119" s="21">
        <f>PINNAE_Prod!$BE$26</f>
        <v>4.7462872878008202</v>
      </c>
      <c r="AK119" s="59">
        <f>PINNAE_Prod!$BD$27</f>
        <v>98.474693898206965</v>
      </c>
      <c r="AL119" s="21">
        <f>PINNAE_Prod!$BE$27</f>
        <v>6.9012987228844427</v>
      </c>
      <c r="AM119" s="59">
        <f>PINNAE_Prod!$BD$28</f>
        <v>99.115172061249353</v>
      </c>
      <c r="AN119" s="21">
        <f>PINNAE_Prod!$BE$28</f>
        <v>5.5095205043929347</v>
      </c>
      <c r="AO119" s="59">
        <f>PINNAE_Prod!$BD$29</f>
        <v>99.665653482478291</v>
      </c>
      <c r="AP119" s="21">
        <f>PINNAE_Prod!$BE$29</f>
        <v>12.348688739345814</v>
      </c>
      <c r="AQ119" s="59">
        <f>PINNAE_Prod!$BD$30</f>
        <v>99.951573567634654</v>
      </c>
      <c r="AR119" s="21">
        <f>PINNAE_Prod!$BE$30</f>
        <v>3.5640240699424446</v>
      </c>
      <c r="AS119" s="59">
        <f>PINNAE_Prod!$BD$31</f>
        <v>0</v>
      </c>
      <c r="AT119" s="21">
        <f>PINNAE_Prod!$BE$31</f>
        <v>0</v>
      </c>
      <c r="AU119" s="59">
        <f>PINNAE_Prod!$BD$32</f>
        <v>0</v>
      </c>
      <c r="AV119" s="21">
        <f>PINNAE_Prod!$BE$32</f>
        <v>0</v>
      </c>
      <c r="AW119" s="59">
        <f>PINNAE_Prod!$BD$33</f>
        <v>0</v>
      </c>
      <c r="AX119" s="21">
        <f>PINNAE_Prod!$BE$33</f>
        <v>0</v>
      </c>
      <c r="AY119" s="59">
        <f>PINNAE_Prod!$BD$34</f>
        <v>0</v>
      </c>
      <c r="AZ119" s="21">
        <f>PINNAE_Prod!$BE$34</f>
        <v>0</v>
      </c>
      <c r="BA119" s="59">
        <f>PINNAE_Prod!$BD$35</f>
        <v>0</v>
      </c>
      <c r="BB119" s="21">
        <f>PINNAE_Prod!$BE$35</f>
        <v>0</v>
      </c>
      <c r="BC119" s="59">
        <f>PINNAE_Prod!$BD$36</f>
        <v>0</v>
      </c>
      <c r="BD119" s="21">
        <f>PINNAE_Prod!$BE$36</f>
        <v>0</v>
      </c>
      <c r="BE119" s="59">
        <f>PINNAE_Prod!$BD$37</f>
        <v>0</v>
      </c>
      <c r="BF119" s="21">
        <f>PINNAE_Prod!$BE$37</f>
        <v>0</v>
      </c>
      <c r="BG119" s="52" t="s">
        <v>69</v>
      </c>
      <c r="BH119" s="16"/>
    </row>
    <row r="120" spans="1:60">
      <c r="A120" s="20"/>
      <c r="B120" s="12" t="s">
        <v>665</v>
      </c>
      <c r="C120" s="12" t="s">
        <v>671</v>
      </c>
      <c r="D120" s="15" t="s">
        <v>12</v>
      </c>
      <c r="E120" s="9" t="s">
        <v>3</v>
      </c>
      <c r="F120" s="40" t="s">
        <v>10</v>
      </c>
      <c r="G120" s="46">
        <f>PINNAE_Prod!$BF$9</f>
        <v>1</v>
      </c>
      <c r="H120" s="72">
        <f>PINNAE_Prod!$BF$10</f>
        <v>18</v>
      </c>
      <c r="I120" s="59">
        <f>PINNAE_Prod!$BD$13</f>
        <v>0</v>
      </c>
      <c r="J120" s="21">
        <f>PINNAE_Prod!$BF$13</f>
        <v>0</v>
      </c>
      <c r="K120" s="59">
        <f>PINNAE_Prod!$BD$14</f>
        <v>5.3605555861977985</v>
      </c>
      <c r="L120" s="21">
        <f>PINNAE_Prod!$BF$14</f>
        <v>46.669047558312137</v>
      </c>
      <c r="M120" s="59">
        <f>PINNAE_Prod!$BD$15</f>
        <v>10</v>
      </c>
      <c r="N120" s="21">
        <f>PINNAE_Prod!$BF$15</f>
        <v>0</v>
      </c>
      <c r="O120" s="59">
        <f>PINNAE_Prod!$BD$16</f>
        <v>20</v>
      </c>
      <c r="P120" s="21">
        <f>PINNAE_Prod!$BF$16</f>
        <v>12.727922061357855</v>
      </c>
      <c r="Q120" s="59">
        <f>PINNAE_Prod!$BD$17</f>
        <v>26.922669813782981</v>
      </c>
      <c r="R120" s="21">
        <f>PINNAE_Prod!$BF$17</f>
        <v>13.435028842544403</v>
      </c>
      <c r="S120" s="59">
        <f>PINNAE_Prod!$BD$18</f>
        <v>28.402760758696882</v>
      </c>
      <c r="T120" s="21">
        <f>PINNAE_Prod!$BF$18</f>
        <v>9.4752308678997235</v>
      </c>
      <c r="U120" s="59">
        <f>PINNAE_Prod!$BD$19</f>
        <v>30</v>
      </c>
      <c r="V120" s="21">
        <f>PINNAE_Prod!$BF$19</f>
        <v>19.925695303635791</v>
      </c>
      <c r="W120" s="59">
        <f>PINNAE_Prod!$BD$20</f>
        <v>40</v>
      </c>
      <c r="X120" s="21">
        <f>PINNAE_Prod!$BF$20</f>
        <v>11.637009925234208</v>
      </c>
      <c r="Y120" s="59">
        <f>PINNAE_Prod!$BD$21</f>
        <v>50</v>
      </c>
      <c r="Z120" s="21">
        <f>PINNAE_Prod!$BF$21</f>
        <v>11.353119982336725</v>
      </c>
      <c r="AA120" s="59">
        <f>PINNAE_Prod!$BD$22</f>
        <v>60</v>
      </c>
      <c r="AB120" s="21">
        <f>PINNAE_Prod!$BF$22</f>
        <v>13.436610435671634</v>
      </c>
      <c r="AC120" s="59">
        <f>PINNAE_Prod!$BD$23</f>
        <v>70</v>
      </c>
      <c r="AD120" s="21">
        <f>PINNAE_Prod!$BF$23</f>
        <v>21.442694948785391</v>
      </c>
      <c r="AE120" s="59">
        <f>PINNAE_Prod!$BD$24</f>
        <v>80</v>
      </c>
      <c r="AF120" s="21">
        <f>PINNAE_Prod!$BF$24</f>
        <v>8.039226745568687</v>
      </c>
      <c r="AG120" s="59">
        <f>PINNAE_Prod!$BD$25</f>
        <v>90</v>
      </c>
      <c r="AH120" s="21">
        <f>PINNAE_Prod!$BF$25</f>
        <v>0</v>
      </c>
      <c r="AI120" s="59">
        <f>PINNAE_Prod!$BD$26</f>
        <v>97.736572490101764</v>
      </c>
      <c r="AJ120" s="21">
        <f>PINNAE_Prod!$BF$26</f>
        <v>6.2265560304232359</v>
      </c>
      <c r="AK120" s="59">
        <f>PINNAE_Prod!$BD$27</f>
        <v>98.474693898206965</v>
      </c>
      <c r="AL120" s="21">
        <f>PINNAE_Prod!$BF$27</f>
        <v>0</v>
      </c>
      <c r="AM120" s="59">
        <f>PINNAE_Prod!$BD$28</f>
        <v>99.115172061249353</v>
      </c>
      <c r="AN120" s="21">
        <f>PINNAE_Prod!$BF$28</f>
        <v>17.748380207782347</v>
      </c>
      <c r="AO120" s="59">
        <f>PINNAE_Prod!$BD$29</f>
        <v>99.665653482478291</v>
      </c>
      <c r="AP120" s="21">
        <f>PINNAE_Prod!$BF$29</f>
        <v>0</v>
      </c>
      <c r="AQ120" s="59">
        <f>PINNAE_Prod!$BD$30</f>
        <v>99.951573567634654</v>
      </c>
      <c r="AR120" s="21">
        <f>PINNAE_Prod!$BF$30</f>
        <v>5.3033008588991066</v>
      </c>
      <c r="AS120" s="59">
        <f>PINNAE_Prod!$BD$31</f>
        <v>0</v>
      </c>
      <c r="AT120" s="21">
        <f>PINNAE_Prod!$BF$31</f>
        <v>0</v>
      </c>
      <c r="AU120" s="59">
        <f>PINNAE_Prod!$BD$32</f>
        <v>0</v>
      </c>
      <c r="AV120" s="21">
        <f>PINNAE_Prod!$BF$32</f>
        <v>0</v>
      </c>
      <c r="AW120" s="59">
        <f>PINNAE_Prod!$BD$33</f>
        <v>0</v>
      </c>
      <c r="AX120" s="21">
        <f>PINNAE_Prod!$BF$33</f>
        <v>0</v>
      </c>
      <c r="AY120" s="59">
        <f>PINNAE_Prod!$BD$34</f>
        <v>0</v>
      </c>
      <c r="AZ120" s="21">
        <f>PINNAE_Prod!$BF$34</f>
        <v>0</v>
      </c>
      <c r="BA120" s="59">
        <f>PINNAE_Prod!$BD$35</f>
        <v>0</v>
      </c>
      <c r="BB120" s="21">
        <f>PINNAE_Prod!$BF$35</f>
        <v>0</v>
      </c>
      <c r="BC120" s="59">
        <f>PINNAE_Prod!$BD$36</f>
        <v>0</v>
      </c>
      <c r="BD120" s="21">
        <f>PINNAE_Prod!$BF$36</f>
        <v>0</v>
      </c>
      <c r="BE120" s="59">
        <f>PINNAE_Prod!$BD$37</f>
        <v>0</v>
      </c>
      <c r="BF120" s="21">
        <f>PINNAE_Prod!$BF$37</f>
        <v>0</v>
      </c>
      <c r="BG120" s="52" t="s">
        <v>69</v>
      </c>
      <c r="BH120" s="16"/>
    </row>
    <row r="121" spans="1:60">
      <c r="A121" s="20"/>
      <c r="B121" s="12" t="s">
        <v>182</v>
      </c>
      <c r="C121" s="214" t="s">
        <v>987</v>
      </c>
      <c r="D121" s="18" t="s">
        <v>12</v>
      </c>
      <c r="E121" s="9" t="s">
        <v>3</v>
      </c>
      <c r="F121" s="40" t="s">
        <v>6</v>
      </c>
      <c r="G121" s="46">
        <f>PINNAE_Prod!$BI$9</f>
        <v>1</v>
      </c>
      <c r="H121" s="72">
        <f>PINNAE_Prod!$BI$10</f>
        <v>17</v>
      </c>
      <c r="I121" s="59">
        <f>PINNAE_Prod!$BH$13</f>
        <v>0</v>
      </c>
      <c r="J121" s="21">
        <f>PINNAE_Prod!$BI$13</f>
        <v>20.5</v>
      </c>
      <c r="K121" s="59">
        <f>PINNAE_Prod!$BH$14</f>
        <v>5.3605555861977985</v>
      </c>
      <c r="L121" s="21">
        <f>PINNAE_Prod!$BI$14</f>
        <v>46.8</v>
      </c>
      <c r="M121" s="59">
        <f>PINNAE_Prod!$BH$15</f>
        <v>10</v>
      </c>
      <c r="N121" s="21">
        <f>PINNAE_Prod!$BI$15</f>
        <v>24.25</v>
      </c>
      <c r="O121" s="59">
        <f>PINNAE_Prod!$BH$16</f>
        <v>20</v>
      </c>
      <c r="P121" s="21">
        <f>PINNAE_Prod!$BI$16</f>
        <v>14.774999999999999</v>
      </c>
      <c r="Q121" s="59">
        <f>PINNAE_Prod!$BH$17</f>
        <v>26.922669813782981</v>
      </c>
      <c r="R121" s="21">
        <f>PINNAE_Prod!$BI$17</f>
        <v>12</v>
      </c>
      <c r="S121" s="59">
        <f>PINNAE_Prod!$BH$18</f>
        <v>28.402760758696882</v>
      </c>
      <c r="T121" s="21">
        <f>PINNAE_Prod!$BI$18</f>
        <v>13.399999999999999</v>
      </c>
      <c r="U121" s="59">
        <f>PINNAE_Prod!$BH$19</f>
        <v>30</v>
      </c>
      <c r="V121" s="21">
        <f>PINNAE_Prod!$BI$19</f>
        <v>12.65</v>
      </c>
      <c r="W121" s="59">
        <f>PINNAE_Prod!$BH$20</f>
        <v>40</v>
      </c>
      <c r="X121" s="21">
        <f>PINNAE_Prod!$BI$20</f>
        <v>10.55</v>
      </c>
      <c r="Y121" s="59">
        <f>PINNAE_Prod!$BH$21</f>
        <v>50</v>
      </c>
      <c r="Z121" s="21">
        <f>PINNAE_Prod!$BI$21</f>
        <v>20.2</v>
      </c>
      <c r="AA121" s="59">
        <f>PINNAE_Prod!$BH$22</f>
        <v>60</v>
      </c>
      <c r="AB121" s="21">
        <f>PINNAE_Prod!$BI$22</f>
        <v>18.974999999999998</v>
      </c>
      <c r="AC121" s="59">
        <f>PINNAE_Prod!$BH$23</f>
        <v>70</v>
      </c>
      <c r="AD121" s="21">
        <f>PINNAE_Prod!$BI$23</f>
        <v>14.825000000000001</v>
      </c>
      <c r="AE121" s="59">
        <f>PINNAE_Prod!$BH$24</f>
        <v>80</v>
      </c>
      <c r="AF121" s="21">
        <f>PINNAE_Prod!$BI$24</f>
        <v>14.025</v>
      </c>
      <c r="AG121" s="59">
        <f>PINNAE_Prod!$BH$25</f>
        <v>90</v>
      </c>
      <c r="AH121" s="21">
        <f>PINNAE_Prod!$BI$25</f>
        <v>12.6</v>
      </c>
      <c r="AI121" s="59">
        <f>PINNAE_Prod!$BH$26</f>
        <v>97.736572490101764</v>
      </c>
      <c r="AJ121" s="21">
        <f>PINNAE_Prod!$BI$26</f>
        <v>19.8</v>
      </c>
      <c r="AK121" s="59">
        <f>PINNAE_Prod!$BH$27</f>
        <v>98.474693898206965</v>
      </c>
      <c r="AL121" s="21">
        <f>PINNAE_Prod!$BI$27</f>
        <v>14.149999999999999</v>
      </c>
      <c r="AM121" s="59">
        <f>PINNAE_Prod!$BH$28</f>
        <v>99.115172061249353</v>
      </c>
      <c r="AN121" s="21">
        <f>PINNAE_Prod!$BI$28</f>
        <v>13.100000000000001</v>
      </c>
      <c r="AO121" s="59">
        <f>PINNAE_Prod!$BH$29</f>
        <v>99.665653482478291</v>
      </c>
      <c r="AP121" s="21">
        <f>PINNAE_Prod!$BI$29</f>
        <v>10.8</v>
      </c>
      <c r="AQ121" s="59">
        <f>PINNAE_Prod!$BH$30</f>
        <v>0</v>
      </c>
      <c r="AR121" s="21">
        <f>PINNAE_Prod!$BI$30</f>
        <v>0</v>
      </c>
      <c r="AS121" s="59">
        <f>PINNAE_Prod!$BH$31</f>
        <v>0</v>
      </c>
      <c r="AT121" s="21">
        <f>PINNAE_Prod!$BI$31</f>
        <v>0</v>
      </c>
      <c r="AU121" s="59">
        <f>PINNAE_Prod!$BH$32</f>
        <v>0</v>
      </c>
      <c r="AV121" s="21">
        <f>PINNAE_Prod!$BI$32</f>
        <v>0</v>
      </c>
      <c r="AW121" s="59">
        <f>PINNAE_Prod!$BH$33</f>
        <v>0</v>
      </c>
      <c r="AX121" s="21">
        <f>PINNAE_Prod!$BI$33</f>
        <v>0</v>
      </c>
      <c r="AY121" s="59">
        <f>PINNAE_Prod!$BH$34</f>
        <v>0</v>
      </c>
      <c r="AZ121" s="21">
        <f>PINNAE_Prod!$BI$34</f>
        <v>0</v>
      </c>
      <c r="BA121" s="59">
        <f>PINNAE_Prod!$BH$35</f>
        <v>0</v>
      </c>
      <c r="BB121" s="21">
        <f>PINNAE_Prod!$BI$35</f>
        <v>0</v>
      </c>
      <c r="BC121" s="59">
        <f>PINNAE_Prod!$BH$36</f>
        <v>0</v>
      </c>
      <c r="BD121" s="21">
        <f>PINNAE_Prod!$BI$36</f>
        <v>0</v>
      </c>
      <c r="BE121" s="59">
        <f>PINNAE_Prod!$BH$37</f>
        <v>0</v>
      </c>
      <c r="BF121" s="21">
        <f>PINNAE_Prod!$BI$37</f>
        <v>0</v>
      </c>
      <c r="BG121" s="52" t="s">
        <v>69</v>
      </c>
      <c r="BH121" s="16"/>
    </row>
    <row r="122" spans="1:60">
      <c r="A122" s="20"/>
      <c r="B122" s="12" t="s">
        <v>183</v>
      </c>
      <c r="C122" s="214" t="s">
        <v>988</v>
      </c>
      <c r="D122" s="15" t="s">
        <v>12</v>
      </c>
      <c r="E122" s="9" t="s">
        <v>3</v>
      </c>
      <c r="F122" s="40" t="s">
        <v>6</v>
      </c>
      <c r="G122" s="46">
        <f>PINNAE_Prod!$BJ$9</f>
        <v>1</v>
      </c>
      <c r="H122" s="72">
        <f>PINNAE_Prod!$BJ$10</f>
        <v>17</v>
      </c>
      <c r="I122" s="59">
        <f>PINNAE_Prod!$BH$13</f>
        <v>0</v>
      </c>
      <c r="J122" s="21">
        <f>PINNAE_Prod!$BJ$13</f>
        <v>0</v>
      </c>
      <c r="K122" s="59">
        <f>PINNAE_Prod!$BH$14</f>
        <v>5.3605555861977985</v>
      </c>
      <c r="L122" s="21">
        <f>PINNAE_Prod!$BJ$14</f>
        <v>5.3740115370177621</v>
      </c>
      <c r="M122" s="59">
        <f>PINNAE_Prod!$BH$15</f>
        <v>10</v>
      </c>
      <c r="N122" s="21">
        <f>PINNAE_Prod!$BJ$15</f>
        <v>4.7376154339498857</v>
      </c>
      <c r="O122" s="59">
        <f>PINNAE_Prod!$BH$16</f>
        <v>20</v>
      </c>
      <c r="P122" s="21">
        <f>PINNAE_Prod!$BJ$16</f>
        <v>11.699394571230314</v>
      </c>
      <c r="Q122" s="59">
        <f>PINNAE_Prod!$BH$17</f>
        <v>26.922669813782981</v>
      </c>
      <c r="R122" s="21">
        <f>PINNAE_Prod!$BJ$17</f>
        <v>6.08111831820431</v>
      </c>
      <c r="S122" s="59">
        <f>PINNAE_Prod!$BH$18</f>
        <v>28.402760758696882</v>
      </c>
      <c r="T122" s="21">
        <f>PINNAE_Prod!$BJ$18</f>
        <v>9.6166522241370469</v>
      </c>
      <c r="U122" s="59">
        <f>PINNAE_Prod!$BH$19</f>
        <v>30</v>
      </c>
      <c r="V122" s="21">
        <f>PINNAE_Prod!$BJ$19</f>
        <v>4.8031239834091322</v>
      </c>
      <c r="W122" s="59">
        <f>PINNAE_Prod!$BH$20</f>
        <v>40</v>
      </c>
      <c r="X122" s="21">
        <f>PINNAE_Prod!$BJ$20</f>
        <v>5.5943423801789809</v>
      </c>
      <c r="Y122" s="59">
        <f>PINNAE_Prod!$BH$21</f>
        <v>50</v>
      </c>
      <c r="Z122" s="21">
        <f>PINNAE_Prod!$BJ$21</f>
        <v>13.59705850542683</v>
      </c>
      <c r="AA122" s="59">
        <f>PINNAE_Prod!$BH$22</f>
        <v>60</v>
      </c>
      <c r="AB122" s="21">
        <f>PINNAE_Prod!$BJ$22</f>
        <v>8.1393591066291453</v>
      </c>
      <c r="AC122" s="59">
        <f>PINNAE_Prod!$BH$23</f>
        <v>70</v>
      </c>
      <c r="AD122" s="21">
        <f>PINNAE_Prod!$BJ$23</f>
        <v>3.3974254958718286</v>
      </c>
      <c r="AE122" s="59">
        <f>PINNAE_Prod!$BH$24</f>
        <v>80</v>
      </c>
      <c r="AF122" s="21">
        <f>PINNAE_Prod!$BJ$24</f>
        <v>1.3696106502701171</v>
      </c>
      <c r="AG122" s="59">
        <f>PINNAE_Prod!$BH$25</f>
        <v>90</v>
      </c>
      <c r="AH122" s="21">
        <f>PINNAE_Prod!$BJ$25</f>
        <v>0</v>
      </c>
      <c r="AI122" s="59">
        <f>PINNAE_Prod!$BH$26</f>
        <v>97.736572490101764</v>
      </c>
      <c r="AJ122" s="21">
        <f>PINNAE_Prod!$BJ$26</f>
        <v>0</v>
      </c>
      <c r="AK122" s="59">
        <f>PINNAE_Prod!$BH$27</f>
        <v>98.474693898206965</v>
      </c>
      <c r="AL122" s="21">
        <f>PINNAE_Prod!$BJ$27</f>
        <v>6.7175144212722016</v>
      </c>
      <c r="AM122" s="59">
        <f>PINNAE_Prod!$BH$28</f>
        <v>99.115172061249353</v>
      </c>
      <c r="AN122" s="21">
        <f>PINNAE_Prod!$BJ$28</f>
        <v>0.42426406871192823</v>
      </c>
      <c r="AO122" s="59">
        <f>PINNAE_Prod!$BH$29</f>
        <v>99.665653482478291</v>
      </c>
      <c r="AP122" s="21">
        <f>PINNAE_Prod!$BJ$29</f>
        <v>0</v>
      </c>
      <c r="AQ122" s="59">
        <f>PINNAE_Prod!$BH$30</f>
        <v>0</v>
      </c>
      <c r="AR122" s="21">
        <f>PINNAE_Prod!$BJ$30</f>
        <v>0</v>
      </c>
      <c r="AS122" s="59">
        <f>PINNAE_Prod!$BH$31</f>
        <v>0</v>
      </c>
      <c r="AT122" s="21">
        <f>PINNAE_Prod!$BJ$31</f>
        <v>0</v>
      </c>
      <c r="AU122" s="59">
        <f>PINNAE_Prod!$BH$32</f>
        <v>0</v>
      </c>
      <c r="AV122" s="21">
        <f>PINNAE_Prod!$BJ$32</f>
        <v>0</v>
      </c>
      <c r="AW122" s="59">
        <f>PINNAE_Prod!$BH$33</f>
        <v>0</v>
      </c>
      <c r="AX122" s="21">
        <f>PINNAE_Prod!$BJ$33</f>
        <v>0</v>
      </c>
      <c r="AY122" s="59">
        <f>PINNAE_Prod!$BH$34</f>
        <v>0</v>
      </c>
      <c r="AZ122" s="21">
        <f>PINNAE_Prod!$BJ$34</f>
        <v>0</v>
      </c>
      <c r="BA122" s="59">
        <f>PINNAE_Prod!$BH$35</f>
        <v>0</v>
      </c>
      <c r="BB122" s="21">
        <f>PINNAE_Prod!$BJ$35</f>
        <v>0</v>
      </c>
      <c r="BC122" s="59">
        <f>PINNAE_Prod!$BH$36</f>
        <v>0</v>
      </c>
      <c r="BD122" s="21">
        <f>PINNAE_Prod!$BJ$36</f>
        <v>0</v>
      </c>
      <c r="BE122" s="59">
        <f>PINNAE_Prod!$BH$37</f>
        <v>0</v>
      </c>
      <c r="BF122" s="21">
        <f>PINNAE_Prod!$BJ$37</f>
        <v>0</v>
      </c>
      <c r="BG122" s="52" t="s">
        <v>69</v>
      </c>
      <c r="BH122" s="16"/>
    </row>
    <row r="123" spans="1:60">
      <c r="A123" s="20"/>
      <c r="B123" s="12" t="s">
        <v>186</v>
      </c>
      <c r="C123" s="214" t="s">
        <v>989</v>
      </c>
      <c r="D123" s="15" t="s">
        <v>12</v>
      </c>
      <c r="E123" s="9" t="s">
        <v>3</v>
      </c>
      <c r="F123" s="40" t="s">
        <v>6</v>
      </c>
      <c r="G123" s="46">
        <f>PINNAE_Prod!$BL$9</f>
        <v>1</v>
      </c>
      <c r="H123" s="72">
        <f>PINNAE_Prod!$BL$10</f>
        <v>12</v>
      </c>
      <c r="I123" s="59">
        <f>PINNAE_Prod!$BK$13</f>
        <v>0</v>
      </c>
      <c r="J123" s="21">
        <f>PINNAE_Prod!$BL$13</f>
        <v>20.5</v>
      </c>
      <c r="K123" s="59">
        <f>PINNAE_Prod!$BK$14</f>
        <v>10</v>
      </c>
      <c r="L123" s="21">
        <f>PINNAE_Prod!$BL$14</f>
        <v>32.549999999999997</v>
      </c>
      <c r="M123" s="59">
        <f>PINNAE_Prod!$BK$15</f>
        <v>40</v>
      </c>
      <c r="N123" s="21">
        <f>PINNAE_Prod!$BL$15</f>
        <v>13.6</v>
      </c>
      <c r="O123" s="59">
        <f>PINNAE_Prod!$BK$16</f>
        <v>50</v>
      </c>
      <c r="P123" s="21">
        <f>PINNAE_Prod!$BL$16</f>
        <v>9.8000000000000007</v>
      </c>
      <c r="Q123" s="59">
        <f>PINNAE_Prod!$BK$17</f>
        <v>60</v>
      </c>
      <c r="R123" s="21">
        <f>PINNAE_Prod!$BL$17</f>
        <v>20.45</v>
      </c>
      <c r="S123" s="59">
        <f>PINNAE_Prod!$BK$18</f>
        <v>70</v>
      </c>
      <c r="T123" s="21">
        <f>PINNAE_Prod!$BL$18</f>
        <v>14.2</v>
      </c>
      <c r="U123" s="59">
        <f>PINNAE_Prod!$BK$19</f>
        <v>80</v>
      </c>
      <c r="V123" s="21">
        <f>PINNAE_Prod!$BL$19</f>
        <v>17.933333333333334</v>
      </c>
      <c r="W123" s="59">
        <f>PINNAE_Prod!$BK$20</f>
        <v>90</v>
      </c>
      <c r="X123" s="21">
        <f>PINNAE_Prod!$BL$20</f>
        <v>19.799999999999997</v>
      </c>
      <c r="Y123" s="59">
        <f>PINNAE_Prod!$BK$21</f>
        <v>98.474693898206965</v>
      </c>
      <c r="Z123" s="21">
        <f>PINNAE_Prod!$BL$21</f>
        <v>8.6999999999999993</v>
      </c>
      <c r="AA123" s="59">
        <f>PINNAE_Prod!$BK$22</f>
        <v>99.665653482478291</v>
      </c>
      <c r="AB123" s="21">
        <f>PINNAE_Prod!$BL$22</f>
        <v>10.199999999999999</v>
      </c>
      <c r="AC123" s="59">
        <f>PINNAE_Prod!$BK$23</f>
        <v>99.951573567634654</v>
      </c>
      <c r="AD123" s="21">
        <f>PINNAE_Prod!$BL$23</f>
        <v>4.1500000000000004</v>
      </c>
      <c r="AE123" s="59">
        <f>PINNAE_Prod!$BK$24</f>
        <v>100</v>
      </c>
      <c r="AF123" s="21">
        <f>PINNAE_Prod!$BL$24</f>
        <v>1.05</v>
      </c>
      <c r="AG123" s="59">
        <f>PINNAE_Prod!$BK$25</f>
        <v>0</v>
      </c>
      <c r="AH123" s="21">
        <f>PINNAE_Prod!$BL$25</f>
        <v>0</v>
      </c>
      <c r="AI123" s="59">
        <f>PINNAE_Prod!$BK$26</f>
        <v>0</v>
      </c>
      <c r="AJ123" s="21">
        <f>PINNAE_Prod!$BL$26</f>
        <v>0</v>
      </c>
      <c r="AK123" s="59">
        <f>PINNAE_Prod!$BK$27</f>
        <v>0</v>
      </c>
      <c r="AL123" s="21">
        <f>PINNAE_Prod!$BL$27</f>
        <v>0</v>
      </c>
      <c r="AM123" s="59">
        <f>PINNAE_Prod!$BK$28</f>
        <v>0</v>
      </c>
      <c r="AN123" s="21">
        <f>PINNAE_Prod!$BL$28</f>
        <v>0</v>
      </c>
      <c r="AO123" s="59">
        <f>PINNAE_Prod!$BK$29</f>
        <v>0</v>
      </c>
      <c r="AP123" s="21">
        <f>PINNAE_Prod!$BL$29</f>
        <v>0</v>
      </c>
      <c r="AQ123" s="59">
        <f>PINNAE_Prod!$BK$30</f>
        <v>0</v>
      </c>
      <c r="AR123" s="21">
        <f>PINNAE_Prod!$BL$30</f>
        <v>0</v>
      </c>
      <c r="AS123" s="59">
        <f>PINNAE_Prod!$BK$31</f>
        <v>0</v>
      </c>
      <c r="AT123" s="21">
        <f>PINNAE_Prod!$BL$31</f>
        <v>0</v>
      </c>
      <c r="AU123" s="59">
        <f>PINNAE_Prod!$BK$32</f>
        <v>0</v>
      </c>
      <c r="AV123" s="21">
        <f>PINNAE_Prod!$BL$32</f>
        <v>0</v>
      </c>
      <c r="AW123" s="59">
        <f>PINNAE_Prod!$BK$33</f>
        <v>0</v>
      </c>
      <c r="AX123" s="21">
        <f>PINNAE_Prod!$BL$33</f>
        <v>0</v>
      </c>
      <c r="AY123" s="59">
        <f>PINNAE_Prod!$BK$34</f>
        <v>0</v>
      </c>
      <c r="AZ123" s="21">
        <f>PINNAE_Prod!$BL$34</f>
        <v>0</v>
      </c>
      <c r="BA123" s="59">
        <f>PINNAE_Prod!$BK$35</f>
        <v>0</v>
      </c>
      <c r="BB123" s="21">
        <f>PINNAE_Prod!$BL$35</f>
        <v>0</v>
      </c>
      <c r="BC123" s="59">
        <f>PINNAE_Prod!$BK$36</f>
        <v>0</v>
      </c>
      <c r="BD123" s="21">
        <f>PINNAE_Prod!$BL$36</f>
        <v>0</v>
      </c>
      <c r="BE123" s="59">
        <f>PINNAE_Prod!$BK$37</f>
        <v>0</v>
      </c>
      <c r="BF123" s="21">
        <f>PINNAE_Prod!$BL$37</f>
        <v>0</v>
      </c>
      <c r="BG123" s="52" t="s">
        <v>69</v>
      </c>
      <c r="BH123" s="16"/>
    </row>
    <row r="124" spans="1:60">
      <c r="A124" s="20"/>
      <c r="B124" s="12" t="s">
        <v>187</v>
      </c>
      <c r="C124" s="214" t="s">
        <v>990</v>
      </c>
      <c r="D124" s="15" t="s">
        <v>12</v>
      </c>
      <c r="E124" s="9" t="s">
        <v>3</v>
      </c>
      <c r="F124" s="40" t="s">
        <v>6</v>
      </c>
      <c r="G124" s="46">
        <f>PINNAE_Prod!$BM$9</f>
        <v>1</v>
      </c>
      <c r="H124" s="72">
        <f>PINNAE_Prod!$BM$10</f>
        <v>12</v>
      </c>
      <c r="I124" s="59">
        <f>PINNAE_Prod!$BK$13</f>
        <v>0</v>
      </c>
      <c r="J124" s="21">
        <f>PINNAE_Prod!$BM$13</f>
        <v>0</v>
      </c>
      <c r="K124" s="59">
        <f>PINNAE_Prod!$BK$14</f>
        <v>10</v>
      </c>
      <c r="L124" s="21">
        <f>PINNAE_Prod!$BM$14</f>
        <v>6.1518289963229842</v>
      </c>
      <c r="M124" s="59">
        <f>PINNAE_Prod!$BK$15</f>
        <v>40</v>
      </c>
      <c r="N124" s="21">
        <f>PINNAE_Prod!$BM$15</f>
        <v>0</v>
      </c>
      <c r="O124" s="59">
        <f>PINNAE_Prod!$BK$16</f>
        <v>50</v>
      </c>
      <c r="P124" s="21">
        <f>PINNAE_Prod!$BM$16</f>
        <v>0</v>
      </c>
      <c r="Q124" s="59">
        <f>PINNAE_Prod!$BK$17</f>
        <v>60</v>
      </c>
      <c r="R124" s="21">
        <f>PINNAE_Prod!$BM$17</f>
        <v>10.253048327204938</v>
      </c>
      <c r="S124" s="59">
        <f>PINNAE_Prod!$BK$18</f>
        <v>70</v>
      </c>
      <c r="T124" s="21">
        <f>PINNAE_Prod!$BM$18</f>
        <v>0</v>
      </c>
      <c r="U124" s="59">
        <f>PINNAE_Prod!$BK$19</f>
        <v>80</v>
      </c>
      <c r="V124" s="21">
        <f>PINNAE_Prod!$BM$19</f>
        <v>3.9004273270160312</v>
      </c>
      <c r="W124" s="59">
        <f>PINNAE_Prod!$BK$20</f>
        <v>90</v>
      </c>
      <c r="X124" s="21">
        <f>PINNAE_Prod!$BM$20</f>
        <v>1.5556349186104039</v>
      </c>
      <c r="Y124" s="59">
        <f>PINNAE_Prod!$BK$21</f>
        <v>98.474693898206965</v>
      </c>
      <c r="Z124" s="21">
        <f>PINNAE_Prod!$BM$21</f>
        <v>0</v>
      </c>
      <c r="AA124" s="59">
        <f>PINNAE_Prod!$BK$22</f>
        <v>99.665653482478291</v>
      </c>
      <c r="AB124" s="21">
        <f>PINNAE_Prod!$BM$22</f>
        <v>5.9396969619670017</v>
      </c>
      <c r="AC124" s="59">
        <f>PINNAE_Prod!$BK$23</f>
        <v>99.951573567634654</v>
      </c>
      <c r="AD124" s="21">
        <f>PINNAE_Prod!$BM$23</f>
        <v>0.21213203435596412</v>
      </c>
      <c r="AE124" s="59">
        <f>PINNAE_Prod!$BK$24</f>
        <v>100</v>
      </c>
      <c r="AF124" s="21">
        <f>PINNAE_Prod!$BM$24</f>
        <v>1.2020815280171306</v>
      </c>
      <c r="AG124" s="59">
        <f>PINNAE_Prod!$BK$25</f>
        <v>0</v>
      </c>
      <c r="AH124" s="21">
        <f>PINNAE_Prod!$BM$25</f>
        <v>0</v>
      </c>
      <c r="AI124" s="59">
        <f>PINNAE_Prod!$BK$26</f>
        <v>0</v>
      </c>
      <c r="AJ124" s="21">
        <f>PINNAE_Prod!$BM$26</f>
        <v>0</v>
      </c>
      <c r="AK124" s="59">
        <f>PINNAE_Prod!$BK$27</f>
        <v>0</v>
      </c>
      <c r="AL124" s="21">
        <f>PINNAE_Prod!$BM$27</f>
        <v>0</v>
      </c>
      <c r="AM124" s="59">
        <f>PINNAE_Prod!$BK$28</f>
        <v>0</v>
      </c>
      <c r="AN124" s="21">
        <f>PINNAE_Prod!$BM$28</f>
        <v>0</v>
      </c>
      <c r="AO124" s="59">
        <f>PINNAE_Prod!$BK$29</f>
        <v>0</v>
      </c>
      <c r="AP124" s="21">
        <f>PINNAE_Prod!$BM$29</f>
        <v>0</v>
      </c>
      <c r="AQ124" s="59">
        <f>PINNAE_Prod!$BK$30</f>
        <v>0</v>
      </c>
      <c r="AR124" s="21">
        <f>PINNAE_Prod!$BM$30</f>
        <v>0</v>
      </c>
      <c r="AS124" s="59">
        <f>PINNAE_Prod!$BK$31</f>
        <v>0</v>
      </c>
      <c r="AT124" s="21">
        <f>PINNAE_Prod!$BM$31</f>
        <v>0</v>
      </c>
      <c r="AU124" s="59">
        <f>PINNAE_Prod!$BK$32</f>
        <v>0</v>
      </c>
      <c r="AV124" s="21">
        <f>PINNAE_Prod!$BM$32</f>
        <v>0</v>
      </c>
      <c r="AW124" s="59">
        <f>PINNAE_Prod!$BK$33</f>
        <v>0</v>
      </c>
      <c r="AX124" s="21">
        <f>PINNAE_Prod!$BM$33</f>
        <v>0</v>
      </c>
      <c r="AY124" s="59">
        <f>PINNAE_Prod!$BK$34</f>
        <v>0</v>
      </c>
      <c r="AZ124" s="21">
        <f>PINNAE_Prod!$BM$34</f>
        <v>0</v>
      </c>
      <c r="BA124" s="59">
        <f>PINNAE_Prod!$BK$35</f>
        <v>0</v>
      </c>
      <c r="BB124" s="21">
        <f>PINNAE_Prod!$BM$35</f>
        <v>0</v>
      </c>
      <c r="BC124" s="59">
        <f>PINNAE_Prod!$BK$36</f>
        <v>0</v>
      </c>
      <c r="BD124" s="21">
        <f>PINNAE_Prod!$BM$36</f>
        <v>0</v>
      </c>
      <c r="BE124" s="59">
        <f>PINNAE_Prod!$BK$37</f>
        <v>0</v>
      </c>
      <c r="BF124" s="21">
        <f>PINNAE_Prod!$BM$37</f>
        <v>0</v>
      </c>
      <c r="BG124" s="52" t="s">
        <v>69</v>
      </c>
      <c r="BH124" s="16"/>
    </row>
    <row r="125" spans="1:60">
      <c r="A125" s="20"/>
      <c r="B125" s="12" t="s">
        <v>190</v>
      </c>
      <c r="C125" s="214" t="s">
        <v>991</v>
      </c>
      <c r="D125" s="15" t="s">
        <v>12</v>
      </c>
      <c r="E125" s="9" t="s">
        <v>3</v>
      </c>
      <c r="F125" s="40" t="s">
        <v>6</v>
      </c>
      <c r="G125" s="46">
        <f>PINNAE_Prod!$BO$9</f>
        <v>1</v>
      </c>
      <c r="H125" s="72">
        <f>PINNAE_Prod!$BO$10</f>
        <v>18</v>
      </c>
      <c r="I125" s="59">
        <f>PINNAE_Prod!$BN$13</f>
        <v>0</v>
      </c>
      <c r="J125" s="21">
        <f>PINNAE_Prod!$BO$13</f>
        <v>20.5</v>
      </c>
      <c r="K125" s="59">
        <f>PINNAE_Prod!$BN$14</f>
        <v>5.3605555861977985</v>
      </c>
      <c r="L125" s="21">
        <f>PINNAE_Prod!$BO$14</f>
        <v>36</v>
      </c>
      <c r="M125" s="59">
        <f>PINNAE_Prod!$BN$15</f>
        <v>10</v>
      </c>
      <c r="N125" s="21">
        <f>PINNAE_Prod!$BO$15</f>
        <v>17.899999999999999</v>
      </c>
      <c r="O125" s="59">
        <f>PINNAE_Prod!$BN$16</f>
        <v>20</v>
      </c>
      <c r="P125" s="21">
        <f>PINNAE_Prod!$BO$16</f>
        <v>13.8</v>
      </c>
      <c r="Q125" s="59">
        <f>PINNAE_Prod!$BN$17</f>
        <v>26.922669813782981</v>
      </c>
      <c r="R125" s="21">
        <f>PINNAE_Prod!$BO$17</f>
        <v>17.149999999999999</v>
      </c>
      <c r="S125" s="59">
        <f>PINNAE_Prod!$BN$18</f>
        <v>28.402760758696882</v>
      </c>
      <c r="T125" s="21">
        <f>PINNAE_Prod!$BO$18</f>
        <v>12.2</v>
      </c>
      <c r="U125" s="59">
        <f>PINNAE_Prod!$BN$19</f>
        <v>30</v>
      </c>
      <c r="V125" s="21">
        <f>PINNAE_Prod!$BO$19</f>
        <v>16.274999999999999</v>
      </c>
      <c r="W125" s="59">
        <f>PINNAE_Prod!$BN$20</f>
        <v>40</v>
      </c>
      <c r="X125" s="21">
        <f>PINNAE_Prod!$BO$20</f>
        <v>12.250000000000002</v>
      </c>
      <c r="Y125" s="59">
        <f>PINNAE_Prod!$BN$21</f>
        <v>50</v>
      </c>
      <c r="Z125" s="21">
        <f>PINNAE_Prod!$BO$21</f>
        <v>25.299999999999997</v>
      </c>
      <c r="AA125" s="59">
        <f>PINNAE_Prod!$BN$22</f>
        <v>60</v>
      </c>
      <c r="AB125" s="21">
        <f>PINNAE_Prod!$BO$22</f>
        <v>21.5</v>
      </c>
      <c r="AC125" s="59">
        <f>PINNAE_Prod!$BN$23</f>
        <v>70</v>
      </c>
      <c r="AD125" s="21">
        <f>PINNAE_Prod!$BO$23</f>
        <v>16.899999999999999</v>
      </c>
      <c r="AE125" s="59">
        <f>PINNAE_Prod!$BN$24</f>
        <v>80</v>
      </c>
      <c r="AF125" s="21">
        <f>PINNAE_Prod!$BO$24</f>
        <v>16.175000000000001</v>
      </c>
      <c r="AG125" s="59">
        <f>PINNAE_Prod!$BN$25</f>
        <v>90</v>
      </c>
      <c r="AH125" s="21">
        <f>PINNAE_Prod!$BO$25</f>
        <v>14.8</v>
      </c>
      <c r="AI125" s="59">
        <f>PINNAE_Prod!$BN$26</f>
        <v>97.736572490101764</v>
      </c>
      <c r="AJ125" s="21">
        <f>PINNAE_Prod!$BO$26</f>
        <v>15.333333333333336</v>
      </c>
      <c r="AK125" s="59">
        <f>PINNAE_Prod!$BN$27</f>
        <v>98.474693898206965</v>
      </c>
      <c r="AL125" s="21">
        <f>PINNAE_Prod!$BO$27</f>
        <v>13</v>
      </c>
      <c r="AM125" s="59">
        <f>PINNAE_Prod!$BN$28</f>
        <v>99.115172061249353</v>
      </c>
      <c r="AN125" s="21">
        <f>PINNAE_Prod!$BO$28</f>
        <v>9.4499999999999993</v>
      </c>
      <c r="AO125" s="59">
        <f>PINNAE_Prod!$BN$29</f>
        <v>99.665653482478291</v>
      </c>
      <c r="AP125" s="21">
        <f>PINNAE_Prod!$BO$29</f>
        <v>11.1</v>
      </c>
      <c r="AQ125" s="59">
        <f>PINNAE_Prod!$BN$30</f>
        <v>99.951573567634654</v>
      </c>
      <c r="AR125" s="21">
        <f>PINNAE_Prod!$BO$30</f>
        <v>4.3499999999999996</v>
      </c>
      <c r="AS125" s="59">
        <f>PINNAE_Prod!$BN$31</f>
        <v>0</v>
      </c>
      <c r="AT125" s="21">
        <f>PINNAE_Prod!$BO$31</f>
        <v>0</v>
      </c>
      <c r="AU125" s="59">
        <f>PINNAE_Prod!$BN$32</f>
        <v>0</v>
      </c>
      <c r="AV125" s="21">
        <f>PINNAE_Prod!$BO$32</f>
        <v>0</v>
      </c>
      <c r="AW125" s="59">
        <f>PINNAE_Prod!$BN$33</f>
        <v>0</v>
      </c>
      <c r="AX125" s="21">
        <f>PINNAE_Prod!$BO$33</f>
        <v>0</v>
      </c>
      <c r="AY125" s="59">
        <f>PINNAE_Prod!$BN$34</f>
        <v>0</v>
      </c>
      <c r="AZ125" s="21">
        <f>PINNAE_Prod!$BO$34</f>
        <v>0</v>
      </c>
      <c r="BA125" s="59">
        <f>PINNAE_Prod!$BN$35</f>
        <v>0</v>
      </c>
      <c r="BB125" s="21">
        <f>PINNAE_Prod!$BO$35</f>
        <v>0</v>
      </c>
      <c r="BC125" s="59">
        <f>PINNAE_Prod!$BN$36</f>
        <v>0</v>
      </c>
      <c r="BD125" s="21">
        <f>PINNAE_Prod!$BO$36</f>
        <v>0</v>
      </c>
      <c r="BE125" s="59">
        <f>PINNAE_Prod!$BN$37</f>
        <v>0</v>
      </c>
      <c r="BF125" s="21">
        <f>PINNAE_Prod!$BO$37</f>
        <v>0</v>
      </c>
      <c r="BG125" s="52" t="s">
        <v>69</v>
      </c>
      <c r="BH125" s="16"/>
    </row>
    <row r="126" spans="1:60">
      <c r="A126" s="20"/>
      <c r="B126" s="12" t="s">
        <v>191</v>
      </c>
      <c r="C126" s="214" t="s">
        <v>992</v>
      </c>
      <c r="D126" s="15" t="s">
        <v>12</v>
      </c>
      <c r="E126" s="9" t="s">
        <v>3</v>
      </c>
      <c r="F126" s="40" t="s">
        <v>6</v>
      </c>
      <c r="G126" s="46">
        <f>PINNAE_Prod!$BP$9</f>
        <v>1</v>
      </c>
      <c r="H126" s="72">
        <f>PINNAE_Prod!$BP$10</f>
        <v>18</v>
      </c>
      <c r="I126" s="59">
        <f>PINNAE_Prod!$BN$13</f>
        <v>0</v>
      </c>
      <c r="J126" s="21">
        <f>PINNAE_Prod!$BP$13</f>
        <v>0</v>
      </c>
      <c r="K126" s="59">
        <f>PINNAE_Prod!$BN$14</f>
        <v>5.3605555861977985</v>
      </c>
      <c r="L126" s="21">
        <f>PINNAE_Prod!$BP$14</f>
        <v>21.920310216782973</v>
      </c>
      <c r="M126" s="59">
        <f>PINNAE_Prod!$BN$15</f>
        <v>10</v>
      </c>
      <c r="N126" s="21">
        <f>PINNAE_Prod!$BP$15</f>
        <v>0</v>
      </c>
      <c r="O126" s="59">
        <f>PINNAE_Prod!$BN$16</f>
        <v>20</v>
      </c>
      <c r="P126" s="21">
        <f>PINNAE_Prod!$BP$16</f>
        <v>0.42426406871192823</v>
      </c>
      <c r="Q126" s="59">
        <f>PINNAE_Prod!$BN$17</f>
        <v>26.922669813782981</v>
      </c>
      <c r="R126" s="21">
        <f>PINNAE_Prod!$BP$17</f>
        <v>2.0506096654409891</v>
      </c>
      <c r="S126" s="59">
        <f>PINNAE_Prod!$BN$18</f>
        <v>28.402760758696882</v>
      </c>
      <c r="T126" s="21">
        <f>PINNAE_Prod!$BP$18</f>
        <v>8.4852813742385695</v>
      </c>
      <c r="U126" s="59">
        <f>PINNAE_Prod!$BN$19</f>
        <v>30</v>
      </c>
      <c r="V126" s="21">
        <f>PINNAE_Prod!$BP$19</f>
        <v>6.4639384279245808</v>
      </c>
      <c r="W126" s="59">
        <f>PINNAE_Prod!$BN$20</f>
        <v>40</v>
      </c>
      <c r="X126" s="21">
        <f>PINNAE_Prod!$BP$20</f>
        <v>5.1778373863998421</v>
      </c>
      <c r="Y126" s="59">
        <f>PINNAE_Prod!$BN$21</f>
        <v>50</v>
      </c>
      <c r="Z126" s="21">
        <f>PINNAE_Prod!$BP$21</f>
        <v>17.386489007272289</v>
      </c>
      <c r="AA126" s="59">
        <f>PINNAE_Prod!$BN$22</f>
        <v>60</v>
      </c>
      <c r="AB126" s="21">
        <f>PINNAE_Prod!$BP$22</f>
        <v>4.3984845875217813</v>
      </c>
      <c r="AC126" s="59">
        <f>PINNAE_Prod!$BN$23</f>
        <v>70</v>
      </c>
      <c r="AD126" s="21">
        <f>PINNAE_Prod!$BP$23</f>
        <v>4.695387807909662</v>
      </c>
      <c r="AE126" s="59">
        <f>PINNAE_Prod!$BN$24</f>
        <v>80</v>
      </c>
      <c r="AF126" s="21">
        <f>PINNAE_Prod!$BP$24</f>
        <v>1.2996794476587941</v>
      </c>
      <c r="AG126" s="59">
        <f>PINNAE_Prod!$BN$25</f>
        <v>90</v>
      </c>
      <c r="AH126" s="21">
        <f>PINNAE_Prod!$BP$25</f>
        <v>0</v>
      </c>
      <c r="AI126" s="59">
        <f>PINNAE_Prod!$BN$26</f>
        <v>97.736572490101764</v>
      </c>
      <c r="AJ126" s="21">
        <f>PINNAE_Prod!$BP$26</f>
        <v>4.9963319879020505</v>
      </c>
      <c r="AK126" s="59">
        <f>PINNAE_Prod!$BN$27</f>
        <v>98.474693898206965</v>
      </c>
      <c r="AL126" s="21">
        <f>PINNAE_Prod!$BP$27</f>
        <v>0</v>
      </c>
      <c r="AM126" s="59">
        <f>PINNAE_Prod!$BN$28</f>
        <v>99.115172061249353</v>
      </c>
      <c r="AN126" s="21">
        <f>PINNAE_Prod!$BP$28</f>
        <v>5.4447222151364194</v>
      </c>
      <c r="AO126" s="59">
        <f>PINNAE_Prod!$BN$29</f>
        <v>99.665653482478291</v>
      </c>
      <c r="AP126" s="21">
        <f>PINNAE_Prod!$BP$29</f>
        <v>0</v>
      </c>
      <c r="AQ126" s="59">
        <f>PINNAE_Prod!$BN$30</f>
        <v>99.951573567634654</v>
      </c>
      <c r="AR126" s="21">
        <f>PINNAE_Prod!$BP$30</f>
        <v>0.91923881554251508</v>
      </c>
      <c r="AS126" s="59">
        <f>PINNAE_Prod!$BN$31</f>
        <v>0</v>
      </c>
      <c r="AT126" s="21">
        <f>PINNAE_Prod!$BP$31</f>
        <v>0</v>
      </c>
      <c r="AU126" s="59">
        <f>PINNAE_Prod!$BN$32</f>
        <v>0</v>
      </c>
      <c r="AV126" s="21">
        <f>PINNAE_Prod!$BP$32</f>
        <v>0</v>
      </c>
      <c r="AW126" s="59">
        <f>PINNAE_Prod!$BN$33</f>
        <v>0</v>
      </c>
      <c r="AX126" s="21">
        <f>PINNAE_Prod!$BP$33</f>
        <v>0</v>
      </c>
      <c r="AY126" s="59">
        <f>PINNAE_Prod!$BN$34</f>
        <v>0</v>
      </c>
      <c r="AZ126" s="21">
        <f>PINNAE_Prod!$BP$34</f>
        <v>0</v>
      </c>
      <c r="BA126" s="59">
        <f>PINNAE_Prod!$BN$35</f>
        <v>0</v>
      </c>
      <c r="BB126" s="21">
        <f>PINNAE_Prod!$BP$35</f>
        <v>0</v>
      </c>
      <c r="BC126" s="59">
        <f>PINNAE_Prod!$BN$36</f>
        <v>0</v>
      </c>
      <c r="BD126" s="21">
        <f>PINNAE_Prod!$BP$36</f>
        <v>0</v>
      </c>
      <c r="BE126" s="59">
        <f>PINNAE_Prod!$BN$37</f>
        <v>0</v>
      </c>
      <c r="BF126" s="21">
        <f>PINNAE_Prod!$BP$37</f>
        <v>0</v>
      </c>
      <c r="BG126" s="52" t="s">
        <v>69</v>
      </c>
      <c r="BH126" s="16"/>
    </row>
    <row r="127" spans="1:60">
      <c r="A127" s="20"/>
      <c r="B127" s="12" t="s">
        <v>672</v>
      </c>
      <c r="C127" s="214" t="s">
        <v>993</v>
      </c>
      <c r="D127" s="69" t="s">
        <v>12</v>
      </c>
      <c r="E127" s="2" t="s">
        <v>9</v>
      </c>
      <c r="F127" s="40" t="s">
        <v>304</v>
      </c>
      <c r="G127" s="46">
        <f>PINNAE_Prod!$BR$9</f>
        <v>1</v>
      </c>
      <c r="H127" s="72">
        <f>PINNAE_Prod!$BR$10</f>
        <v>3</v>
      </c>
      <c r="I127" s="76">
        <f>PINNAE_Prod!$BQ$13</f>
        <v>1</v>
      </c>
      <c r="J127" s="264">
        <f>PINNAE_Prod!$BR$13</f>
        <v>0.2</v>
      </c>
      <c r="K127" s="76">
        <f>PINNAE_Prod!$BQ$14</f>
        <v>5</v>
      </c>
      <c r="L127" s="264">
        <f>PINNAE_Prod!$BR$14</f>
        <v>0.8</v>
      </c>
      <c r="M127" s="76">
        <f>PINNAE_Prod!$BQ$15</f>
        <v>10</v>
      </c>
      <c r="N127" s="264">
        <f>PINNAE_Prod!$BR$15</f>
        <v>1</v>
      </c>
      <c r="O127" s="76">
        <f>PINNAE_Prod!$BQ$16</f>
        <v>0</v>
      </c>
      <c r="P127" s="264">
        <f>PINNAE_Prod!$BR$16</f>
        <v>0</v>
      </c>
      <c r="Q127" s="76">
        <f>PINNAE_Prod!$BQ$17</f>
        <v>0</v>
      </c>
      <c r="R127" s="264">
        <f>PINNAE_Prod!$BR$17</f>
        <v>0</v>
      </c>
      <c r="S127" s="76">
        <f>PINNAE_Prod!$BQ$18</f>
        <v>0</v>
      </c>
      <c r="T127" s="264">
        <f>PINNAE_Prod!$BR$18</f>
        <v>0</v>
      </c>
      <c r="U127" s="76">
        <f>PINNAE_Prod!$BQ$19</f>
        <v>0</v>
      </c>
      <c r="V127" s="264">
        <f>PINNAE_Prod!$BR$19</f>
        <v>0</v>
      </c>
      <c r="W127" s="76">
        <f>PINNAE_Prod!$BQ$20</f>
        <v>0</v>
      </c>
      <c r="X127" s="264">
        <f>PINNAE_Prod!$BR$20</f>
        <v>0</v>
      </c>
      <c r="Y127" s="76">
        <f>PINNAE_Prod!$BQ$21</f>
        <v>0</v>
      </c>
      <c r="Z127" s="264">
        <f>PINNAE_Prod!$BR$21</f>
        <v>0</v>
      </c>
      <c r="AA127" s="76">
        <f>PINNAE_Prod!$BQ$22</f>
        <v>0</v>
      </c>
      <c r="AB127" s="264">
        <f>PINNAE_Prod!$BR$22</f>
        <v>0</v>
      </c>
      <c r="AC127" s="76">
        <f>PINNAE_Prod!$BQ$23</f>
        <v>0</v>
      </c>
      <c r="AD127" s="264">
        <f>PINNAE_Prod!$BR$23</f>
        <v>0</v>
      </c>
      <c r="AE127" s="76">
        <f>PINNAE_Prod!$BQ$24</f>
        <v>0</v>
      </c>
      <c r="AF127" s="264">
        <f>PINNAE_Prod!$BR$24</f>
        <v>0</v>
      </c>
      <c r="AG127" s="76">
        <f>PINNAE_Prod!$BQ$25</f>
        <v>0</v>
      </c>
      <c r="AH127" s="264">
        <f>PINNAE_Prod!$BR$25</f>
        <v>0</v>
      </c>
      <c r="AI127" s="76">
        <f>PINNAE_Prod!$BQ$26</f>
        <v>0</v>
      </c>
      <c r="AJ127" s="264">
        <f>PINNAE_Prod!$BR$26</f>
        <v>0</v>
      </c>
      <c r="AK127" s="76">
        <f>PINNAE_Prod!$BQ$27</f>
        <v>0</v>
      </c>
      <c r="AL127" s="264">
        <f>PINNAE_Prod!$BR$27</f>
        <v>0</v>
      </c>
      <c r="AM127" s="76">
        <f>PINNAE_Prod!$BQ$28</f>
        <v>0</v>
      </c>
      <c r="AN127" s="264">
        <f>PINNAE_Prod!$BR$28</f>
        <v>0</v>
      </c>
      <c r="AO127" s="76">
        <f>PINNAE_Prod!$BQ$29</f>
        <v>0</v>
      </c>
      <c r="AP127" s="264">
        <f>PINNAE_Prod!$BR$29</f>
        <v>0</v>
      </c>
      <c r="AQ127" s="76">
        <f>PINNAE_Prod!$BQ$30</f>
        <v>0</v>
      </c>
      <c r="AR127" s="264">
        <f>PINNAE_Prod!$BR$30</f>
        <v>0</v>
      </c>
      <c r="AS127" s="76">
        <f>PINNAE_Prod!$BQ$31</f>
        <v>0</v>
      </c>
      <c r="AT127" s="264">
        <f>PINNAE_Prod!$BR$31</f>
        <v>0</v>
      </c>
      <c r="AU127" s="76">
        <f>PINNAE_Prod!$BQ$32</f>
        <v>0</v>
      </c>
      <c r="AV127" s="264">
        <f>PINNAE_Prod!$BR$32</f>
        <v>0</v>
      </c>
      <c r="AW127" s="76">
        <f>PINNAE_Prod!$BQ$33</f>
        <v>0</v>
      </c>
      <c r="AX127" s="264">
        <f>PINNAE_Prod!$BR$33</f>
        <v>0</v>
      </c>
      <c r="AY127" s="76">
        <f>PINNAE_Prod!$BQ$34</f>
        <v>0</v>
      </c>
      <c r="AZ127" s="264">
        <f>PINNAE_Prod!$BR$34</f>
        <v>0</v>
      </c>
      <c r="BA127" s="76">
        <f>PINNAE_Prod!$BQ$35</f>
        <v>0</v>
      </c>
      <c r="BB127" s="264">
        <f>PINNAE_Prod!$BR$35</f>
        <v>0</v>
      </c>
      <c r="BC127" s="76">
        <f>PINNAE_Prod!$BQ$36</f>
        <v>0</v>
      </c>
      <c r="BD127" s="264">
        <f>PINNAE_Prod!$BR$36</f>
        <v>0</v>
      </c>
      <c r="BE127" s="76">
        <f>PINNAE_Prod!$BQ$37</f>
        <v>0</v>
      </c>
      <c r="BF127" s="264">
        <f>PINNAE_Prod!$BR$37</f>
        <v>0</v>
      </c>
      <c r="BG127" s="52" t="s">
        <v>69</v>
      </c>
    </row>
    <row r="128" spans="1:60" s="65" customFormat="1" ht="18.75">
      <c r="A128" s="21" t="s">
        <v>69</v>
      </c>
      <c r="B128" s="61"/>
      <c r="C128" s="62" t="s">
        <v>575</v>
      </c>
      <c r="D128" s="62"/>
      <c r="E128" s="62"/>
      <c r="F128" s="62"/>
      <c r="G128" s="61"/>
      <c r="H128" s="67"/>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52" t="s">
        <v>69</v>
      </c>
      <c r="BH128" s="64"/>
    </row>
    <row r="129" spans="1:60">
      <c r="A129" s="20"/>
      <c r="B129" s="12" t="s">
        <v>194</v>
      </c>
      <c r="C129" s="213" t="s">
        <v>755</v>
      </c>
      <c r="D129" s="7" t="s">
        <v>12</v>
      </c>
      <c r="E129" s="9" t="s">
        <v>0</v>
      </c>
      <c r="F129" s="40" t="s">
        <v>7</v>
      </c>
      <c r="G129" s="46">
        <f>PINNAE_Geom!$D$9</f>
        <v>1</v>
      </c>
      <c r="H129" s="72">
        <f>PINNAE_Geom!$D$10</f>
        <v>4</v>
      </c>
      <c r="I129" s="56">
        <f>PINNAE_Geom!$C$13</f>
        <v>1</v>
      </c>
      <c r="J129" s="21">
        <f>PINNAE_Geom!$D$13</f>
        <v>5.7</v>
      </c>
      <c r="K129" s="56">
        <f>PINNAE_Geom!$C$14</f>
        <v>28</v>
      </c>
      <c r="L129" s="21">
        <f>PINNAE_Geom!$D$14</f>
        <v>28.5</v>
      </c>
      <c r="M129" s="56">
        <f>PINNAE_Geom!$C$15</f>
        <v>114</v>
      </c>
      <c r="N129" s="21">
        <f>PINNAE_Geom!$D$15</f>
        <v>54</v>
      </c>
      <c r="O129" s="56">
        <f>PINNAE_Geom!$C$16</f>
        <v>124</v>
      </c>
      <c r="P129" s="21">
        <f>PINNAE_Geom!$D$16</f>
        <v>50</v>
      </c>
      <c r="Q129" s="56">
        <f>PINNAE_Geom!$C$17</f>
        <v>0</v>
      </c>
      <c r="R129" s="21">
        <f>PINNAE_Geom!$D$17</f>
        <v>0</v>
      </c>
      <c r="S129" s="56">
        <f>PINNAE_Geom!$C$18</f>
        <v>0</v>
      </c>
      <c r="T129" s="21">
        <f>PINNAE_Geom!$D$18</f>
        <v>0</v>
      </c>
      <c r="U129" s="56">
        <f>PINNAE_Geom!$C$19</f>
        <v>0</v>
      </c>
      <c r="V129" s="21">
        <f>PINNAE_Geom!$D$19</f>
        <v>0</v>
      </c>
      <c r="W129" s="56">
        <f>PINNAE_Geom!$C$20</f>
        <v>0</v>
      </c>
      <c r="X129" s="21">
        <f>PINNAE_Geom!$D$20</f>
        <v>0</v>
      </c>
      <c r="Y129" s="56">
        <f>PINNAE_Geom!$C$21</f>
        <v>0</v>
      </c>
      <c r="Z129" s="21">
        <f>PINNAE_Geom!$D$21</f>
        <v>0</v>
      </c>
      <c r="AA129" s="56">
        <f>PINNAE_Geom!$C$22</f>
        <v>0</v>
      </c>
      <c r="AB129" s="21">
        <f>PINNAE_Geom!$D$22</f>
        <v>0</v>
      </c>
      <c r="AC129" s="56">
        <f>PINNAE_Geom!$C$23</f>
        <v>0</v>
      </c>
      <c r="AD129" s="21">
        <f>PINNAE_Geom!$D$23</f>
        <v>0</v>
      </c>
      <c r="AE129" s="56">
        <f>PINNAE_Geom!$C$24</f>
        <v>0</v>
      </c>
      <c r="AF129" s="21">
        <f>PINNAE_Geom!$D$24</f>
        <v>0</v>
      </c>
      <c r="AG129" s="56">
        <f>PINNAE_Geom!$C$25</f>
        <v>0</v>
      </c>
      <c r="AH129" s="21">
        <f>PINNAE_Geom!$D$25</f>
        <v>0</v>
      </c>
      <c r="AI129" s="56">
        <f>PINNAE_Geom!$C$26</f>
        <v>0</v>
      </c>
      <c r="AJ129" s="21">
        <f>PINNAE_Geom!$D$26</f>
        <v>0</v>
      </c>
      <c r="AK129" s="56">
        <f>PINNAE_Geom!$C$27</f>
        <v>0</v>
      </c>
      <c r="AL129" s="21">
        <f>PINNAE_Geom!$D$27</f>
        <v>0</v>
      </c>
      <c r="AM129" s="56">
        <f>PINNAE_Geom!$C$28</f>
        <v>0</v>
      </c>
      <c r="AN129" s="21">
        <f>PINNAE_Geom!$D$28</f>
        <v>0</v>
      </c>
      <c r="AO129" s="56">
        <f>PINNAE_Geom!$C$29</f>
        <v>0</v>
      </c>
      <c r="AP129" s="21">
        <f>PINNAE_Geom!$D$29</f>
        <v>0</v>
      </c>
      <c r="AQ129" s="56">
        <f>PINNAE_Geom!$C$30</f>
        <v>0</v>
      </c>
      <c r="AR129" s="21">
        <f>PINNAE_Geom!$D$30</f>
        <v>0</v>
      </c>
      <c r="AS129" s="56">
        <f>PINNAE_Geom!$C$31</f>
        <v>0</v>
      </c>
      <c r="AT129" s="21">
        <f>PINNAE_Geom!$D$31</f>
        <v>0</v>
      </c>
      <c r="AU129" s="56">
        <f>PINNAE_Geom!$C$32</f>
        <v>0</v>
      </c>
      <c r="AV129" s="21">
        <f>PINNAE_Geom!$D$32</f>
        <v>0</v>
      </c>
      <c r="AW129" s="56">
        <f>PINNAE_Geom!$C$33</f>
        <v>0</v>
      </c>
      <c r="AX129" s="21">
        <f>PINNAE_Geom!$D$33</f>
        <v>0</v>
      </c>
      <c r="AY129" s="56">
        <f>PINNAE_Geom!$C$34</f>
        <v>0</v>
      </c>
      <c r="AZ129" s="21">
        <f>PINNAE_Geom!$D$34</f>
        <v>0</v>
      </c>
      <c r="BA129" s="56">
        <f>PINNAE_Geom!$C$35</f>
        <v>0</v>
      </c>
      <c r="BB129" s="21">
        <f>PINNAE_Geom!$D$35</f>
        <v>0</v>
      </c>
      <c r="BC129" s="56">
        <f>PINNAE_Geom!$C$36</f>
        <v>0</v>
      </c>
      <c r="BD129" s="21">
        <f>PINNAE_Geom!$D$36</f>
        <v>0</v>
      </c>
      <c r="BE129" s="56">
        <f>PINNAE_Geom!$C$37</f>
        <v>0</v>
      </c>
      <c r="BF129" s="21">
        <f>PINNAE_Geom!$D$37</f>
        <v>0</v>
      </c>
      <c r="BG129" s="52" t="s">
        <v>69</v>
      </c>
      <c r="BH129" s="16"/>
    </row>
    <row r="130" spans="1:60">
      <c r="A130" s="20"/>
      <c r="B130" s="12" t="s">
        <v>195</v>
      </c>
      <c r="C130" s="213" t="s">
        <v>984</v>
      </c>
      <c r="D130" s="15" t="s">
        <v>12</v>
      </c>
      <c r="E130" s="9" t="s">
        <v>9</v>
      </c>
      <c r="F130" s="40" t="s">
        <v>8</v>
      </c>
      <c r="G130" s="46">
        <f>PINNAE_Geom!$F$9</f>
        <v>1</v>
      </c>
      <c r="H130" s="72">
        <f>PINNAE_Geom!$F$10</f>
        <v>19</v>
      </c>
      <c r="I130" s="59">
        <f>PINNAE_Geom!$E$13</f>
        <v>0</v>
      </c>
      <c r="J130" s="21">
        <f>PINNAE_Geom!$F$13</f>
        <v>2.2690343569754325E-2</v>
      </c>
      <c r="K130" s="59">
        <f>PINNAE_Geom!$E$14</f>
        <v>5.3605555861977985</v>
      </c>
      <c r="L130" s="21">
        <f>PINNAE_Geom!$F$14</f>
        <v>2.2690343569754325E-2</v>
      </c>
      <c r="M130" s="59">
        <f>PINNAE_Geom!$E$15</f>
        <v>10</v>
      </c>
      <c r="N130" s="21">
        <f>PINNAE_Geom!$F$15</f>
        <v>8.6307524460910418E-2</v>
      </c>
      <c r="O130" s="59">
        <f>PINNAE_Geom!$E$16</f>
        <v>20</v>
      </c>
      <c r="P130" s="21">
        <f>PINNAE_Geom!$F$16</f>
        <v>0.13795941653936974</v>
      </c>
      <c r="Q130" s="59">
        <f>PINNAE_Geom!$E$17</f>
        <v>26.922669813782981</v>
      </c>
      <c r="R130" s="21">
        <f>PINNAE_Geom!$F$17</f>
        <v>0.26135782924466189</v>
      </c>
      <c r="S130" s="59">
        <f>PINNAE_Geom!$E$18</f>
        <v>28.402760758696882</v>
      </c>
      <c r="T130" s="21">
        <f>PINNAE_Geom!$F$18</f>
        <v>0.56028171860920428</v>
      </c>
      <c r="U130" s="59">
        <f>PINNAE_Geom!$E$19</f>
        <v>30</v>
      </c>
      <c r="V130" s="21">
        <f>PINNAE_Geom!$F$19</f>
        <v>0.9546344821119066</v>
      </c>
      <c r="W130" s="59">
        <f>PINNAE_Geom!$E$20</f>
        <v>40</v>
      </c>
      <c r="X130" s="21">
        <f>PINNAE_Geom!$F$20</f>
        <v>1</v>
      </c>
      <c r="Y130" s="59">
        <f>PINNAE_Geom!$E$21</f>
        <v>50</v>
      </c>
      <c r="Z130" s="21">
        <f>PINNAE_Geom!$F$21</f>
        <v>0.79796738926150967</v>
      </c>
      <c r="AA130" s="59">
        <f>PINNAE_Geom!$E$22</f>
        <v>60</v>
      </c>
      <c r="AB130" s="21">
        <f>PINNAE_Geom!$F$22</f>
        <v>0.85925259325248071</v>
      </c>
      <c r="AC130" s="59">
        <f>PINNAE_Geom!$E$23</f>
        <v>70</v>
      </c>
      <c r="AD130" s="21">
        <f>PINNAE_Geom!$F$23</f>
        <v>0.8226876052243689</v>
      </c>
      <c r="AE130" s="59">
        <f>PINNAE_Geom!$E$24</f>
        <v>80</v>
      </c>
      <c r="AF130" s="21">
        <f>PINNAE_Geom!$F$24</f>
        <v>0.69915706601103023</v>
      </c>
      <c r="AG130" s="59">
        <f>PINNAE_Geom!$E$25</f>
        <v>90</v>
      </c>
      <c r="AH130" s="21">
        <f>PINNAE_Geom!$F$25</f>
        <v>0.56572403231011159</v>
      </c>
      <c r="AI130" s="59">
        <f>PINNAE_Geom!$E$26</f>
        <v>97.737572490101769</v>
      </c>
      <c r="AJ130" s="21">
        <f>PINNAE_Geom!$F$26</f>
        <v>0.50475930338069419</v>
      </c>
      <c r="AK130" s="59">
        <f>PINNAE_Geom!$E$27</f>
        <v>98.475693898206984</v>
      </c>
      <c r="AL130" s="21">
        <f>PINNAE_Geom!$F$27</f>
        <v>0.49349613420492838</v>
      </c>
      <c r="AM130" s="59">
        <f>PINNAE_Geom!$E$28</f>
        <v>99.116172061249358</v>
      </c>
      <c r="AN130" s="21">
        <f>PINNAE_Geom!$F$28</f>
        <v>0.48232604907193727</v>
      </c>
      <c r="AO130" s="59">
        <f>PINNAE_Geom!$E$29</f>
        <v>99.666653482478281</v>
      </c>
      <c r="AP130" s="21">
        <f>PINNAE_Geom!$F$29</f>
        <v>0.48964422786343265</v>
      </c>
      <c r="AQ130" s="59">
        <f>PINNAE_Geom!$E$30</f>
        <v>99.952573567634673</v>
      </c>
      <c r="AR130" s="21">
        <f>PINNAE_Geom!$F$30</f>
        <v>0.5058763118939934</v>
      </c>
      <c r="AS130" s="59">
        <f>PINNAE_Geom!$E$31</f>
        <v>100</v>
      </c>
      <c r="AT130" s="21">
        <f>PINNAE_Geom!$F$31</f>
        <v>0.53675805122794107</v>
      </c>
      <c r="AU130" s="59">
        <f>PINNAE_Geom!$E$32</f>
        <v>0</v>
      </c>
      <c r="AV130" s="21">
        <f>PINNAE_Geom!$F$32</f>
        <v>0</v>
      </c>
      <c r="AW130" s="59">
        <f>PINNAE_Geom!$E$33</f>
        <v>0</v>
      </c>
      <c r="AX130" s="21">
        <f>PINNAE_Geom!$F$33</f>
        <v>0</v>
      </c>
      <c r="AY130" s="59">
        <f>PINNAE_Geom!$E$34</f>
        <v>0</v>
      </c>
      <c r="AZ130" s="21">
        <f>PINNAE_Geom!$F$34</f>
        <v>0</v>
      </c>
      <c r="BA130" s="59">
        <f>PINNAE_Geom!$E$35</f>
        <v>0</v>
      </c>
      <c r="BB130" s="21">
        <f>PINNAE_Geom!$F$35</f>
        <v>0</v>
      </c>
      <c r="BC130" s="59">
        <f>PINNAE_Geom!$E$36</f>
        <v>0</v>
      </c>
      <c r="BD130" s="21">
        <f>PINNAE_Geom!$F$36</f>
        <v>0</v>
      </c>
      <c r="BE130" s="59">
        <f>PINNAE_Geom!$E$37</f>
        <v>0</v>
      </c>
      <c r="BF130" s="21">
        <f>PINNAE_Geom!$F$37</f>
        <v>0</v>
      </c>
      <c r="BG130" s="52" t="s">
        <v>69</v>
      </c>
      <c r="BH130" s="16"/>
    </row>
    <row r="131" spans="1:60">
      <c r="A131" s="20"/>
      <c r="B131" s="12" t="s">
        <v>196</v>
      </c>
      <c r="C131" s="213" t="s">
        <v>985</v>
      </c>
      <c r="D131" s="15" t="s">
        <v>12</v>
      </c>
      <c r="E131" s="9" t="s">
        <v>0</v>
      </c>
      <c r="F131" s="40" t="s">
        <v>7</v>
      </c>
      <c r="G131" s="46">
        <f>PINNAE_Geom!$G$9</f>
        <v>1</v>
      </c>
      <c r="H131" s="72">
        <f>PINNAE_Geom!$G$10</f>
        <v>19</v>
      </c>
      <c r="I131" s="59">
        <f>PINNAE_Geom!$E$13</f>
        <v>0</v>
      </c>
      <c r="J131" s="21">
        <f>PINNAE_Geom!$G$13</f>
        <v>0.37336214359762632</v>
      </c>
      <c r="K131" s="59">
        <f>PINNAE_Geom!$E$14</f>
        <v>5.3605555861977985</v>
      </c>
      <c r="L131" s="21">
        <f>PINNAE_Geom!$G$14</f>
        <v>0.37336214359762632</v>
      </c>
      <c r="M131" s="59">
        <f>PINNAE_Geom!$E$15</f>
        <v>10</v>
      </c>
      <c r="N131" s="21">
        <f>PINNAE_Geom!$G$15</f>
        <v>1.268054006805275</v>
      </c>
      <c r="O131" s="59">
        <f>PINNAE_Geom!$E$16</f>
        <v>20</v>
      </c>
      <c r="P131" s="21">
        <f>PINNAE_Geom!$G$16</f>
        <v>2.013313570371039</v>
      </c>
      <c r="Q131" s="59">
        <f>PINNAE_Geom!$E$17</f>
        <v>26.922669813782981</v>
      </c>
      <c r="R131" s="21">
        <f>PINNAE_Geom!$G$17</f>
        <v>5.8761763788347325</v>
      </c>
      <c r="S131" s="59">
        <f>PINNAE_Geom!$E$18</f>
        <v>28.402760758696882</v>
      </c>
      <c r="T131" s="21">
        <f>PINNAE_Geom!$G$18</f>
        <v>15.862844813517444</v>
      </c>
      <c r="U131" s="59">
        <f>PINNAE_Geom!$E$19</f>
        <v>30</v>
      </c>
      <c r="V131" s="21">
        <f>PINNAE_Geom!$G$19</f>
        <v>8.9900625713150752</v>
      </c>
      <c r="W131" s="59">
        <f>PINNAE_Geom!$E$20</f>
        <v>40</v>
      </c>
      <c r="X131" s="21">
        <f>PINNAE_Geom!$G$20</f>
        <v>4.1697928098745045</v>
      </c>
      <c r="Y131" s="59">
        <f>PINNAE_Geom!$E$21</f>
        <v>50</v>
      </c>
      <c r="Z131" s="21">
        <f>PINNAE_Geom!$G$21</f>
        <v>23.240578528944813</v>
      </c>
      <c r="AA131" s="59">
        <f>PINNAE_Geom!$E$22</f>
        <v>60</v>
      </c>
      <c r="AB131" s="21">
        <f>PINNAE_Geom!$G$22</f>
        <v>3.0400927773186841</v>
      </c>
      <c r="AC131" s="59">
        <f>PINNAE_Geom!$E$23</f>
        <v>70</v>
      </c>
      <c r="AD131" s="21">
        <f>PINNAE_Geom!$G$23</f>
        <v>2.4173526562442658</v>
      </c>
      <c r="AE131" s="59">
        <f>PINNAE_Geom!$E$24</f>
        <v>80</v>
      </c>
      <c r="AF131" s="21">
        <f>PINNAE_Geom!$G$24</f>
        <v>2.8905373897002713</v>
      </c>
      <c r="AG131" s="59">
        <f>PINNAE_Geom!$E$25</f>
        <v>90</v>
      </c>
      <c r="AH131" s="21">
        <f>PINNAE_Geom!$G$25</f>
        <v>4.8815718009116198</v>
      </c>
      <c r="AI131" s="59">
        <f>PINNAE_Geom!$E$26</f>
        <v>97.737572490101769</v>
      </c>
      <c r="AJ131" s="21">
        <f>PINNAE_Geom!$G$26</f>
        <v>4.536132719804093</v>
      </c>
      <c r="AK131" s="59">
        <f>PINNAE_Geom!$E$27</f>
        <v>98.475693898206984</v>
      </c>
      <c r="AL131" s="21">
        <f>PINNAE_Geom!$G$27</f>
        <v>5.5390323109869284</v>
      </c>
      <c r="AM131" s="59">
        <f>PINNAE_Geom!$E$28</f>
        <v>99.116172061249358</v>
      </c>
      <c r="AN131" s="21">
        <f>PINNAE_Geom!$G$28</f>
        <v>5.5161285851208941</v>
      </c>
      <c r="AO131" s="59">
        <f>PINNAE_Geom!$E$29</f>
        <v>99.666653482478281</v>
      </c>
      <c r="AP131" s="21">
        <f>PINNAE_Geom!$G$29</f>
        <v>6.6686016248566853</v>
      </c>
      <c r="AQ131" s="59">
        <f>PINNAE_Geom!$E$30</f>
        <v>99.952573567634673</v>
      </c>
      <c r="AR131" s="21">
        <f>PINNAE_Geom!$G$30</f>
        <v>7.9523954672008328</v>
      </c>
      <c r="AS131" s="59">
        <f>PINNAE_Geom!$E$31</f>
        <v>100</v>
      </c>
      <c r="AT131" s="21">
        <f>PINNAE_Geom!$G$31</f>
        <v>9.8576178657507203</v>
      </c>
      <c r="AU131" s="59">
        <f>PINNAE_Geom!$E$32</f>
        <v>0</v>
      </c>
      <c r="AV131" s="21">
        <f>PINNAE_Geom!$G$32</f>
        <v>0</v>
      </c>
      <c r="AW131" s="59">
        <f>PINNAE_Geom!$E$33</f>
        <v>0</v>
      </c>
      <c r="AX131" s="21">
        <f>PINNAE_Geom!$G$33</f>
        <v>0</v>
      </c>
      <c r="AY131" s="59">
        <f>PINNAE_Geom!$E$34</f>
        <v>0</v>
      </c>
      <c r="AZ131" s="21">
        <f>PINNAE_Geom!$G$34</f>
        <v>0</v>
      </c>
      <c r="BA131" s="59">
        <f>PINNAE_Geom!$E$35</f>
        <v>0</v>
      </c>
      <c r="BB131" s="21">
        <f>PINNAE_Geom!$G$35</f>
        <v>0</v>
      </c>
      <c r="BC131" s="59">
        <f>PINNAE_Geom!$E$36</f>
        <v>0</v>
      </c>
      <c r="BD131" s="21">
        <f>PINNAE_Geom!$G$36</f>
        <v>0</v>
      </c>
      <c r="BE131" s="59">
        <f>PINNAE_Geom!$E$37</f>
        <v>0</v>
      </c>
      <c r="BF131" s="21">
        <f>PINNAE_Geom!$G$37</f>
        <v>0</v>
      </c>
      <c r="BG131" s="52" t="s">
        <v>69</v>
      </c>
      <c r="BH131" s="16"/>
    </row>
    <row r="132" spans="1:60">
      <c r="A132" s="20"/>
      <c r="B132" s="12" t="s">
        <v>673</v>
      </c>
      <c r="C132" s="213" t="s">
        <v>986</v>
      </c>
      <c r="D132" s="69" t="s">
        <v>12</v>
      </c>
      <c r="E132" s="2" t="s">
        <v>9</v>
      </c>
      <c r="F132" s="40" t="s">
        <v>304</v>
      </c>
      <c r="G132" s="46">
        <f>PINNAE_Geom!$I$9</f>
        <v>1</v>
      </c>
      <c r="H132" s="72">
        <f>PINNAE_Geom!$I$10</f>
        <v>3</v>
      </c>
      <c r="I132" s="76">
        <f>PINNAE_Geom!$H$13</f>
        <v>1</v>
      </c>
      <c r="J132" s="264">
        <f>PINNAE_Geom!$I$13</f>
        <v>0.9</v>
      </c>
      <c r="K132" s="76">
        <f>PINNAE_Geom!$H$14</f>
        <v>10</v>
      </c>
      <c r="L132" s="264">
        <f>PINNAE_Geom!$I$14</f>
        <v>0.95</v>
      </c>
      <c r="M132" s="76">
        <f>PINNAE_Geom!$H$15</f>
        <v>30</v>
      </c>
      <c r="N132" s="264">
        <f>PINNAE_Geom!$I$15</f>
        <v>1</v>
      </c>
      <c r="O132" s="76">
        <f>PINNAE_Geom!$H$16</f>
        <v>0</v>
      </c>
      <c r="P132" s="264">
        <f>PINNAE_Geom!$I$16</f>
        <v>0</v>
      </c>
      <c r="Q132" s="76">
        <f>PINNAE_Geom!$H$17</f>
        <v>0</v>
      </c>
      <c r="R132" s="264">
        <f>PINNAE_Geom!$I$17</f>
        <v>0</v>
      </c>
      <c r="S132" s="76">
        <f>PINNAE_Geom!$H$18</f>
        <v>0</v>
      </c>
      <c r="T132" s="264">
        <f>PINNAE_Geom!$I$18</f>
        <v>0</v>
      </c>
      <c r="U132" s="76">
        <f>PINNAE_Geom!$H$19</f>
        <v>0</v>
      </c>
      <c r="V132" s="264">
        <f>PINNAE_Geom!$I$19</f>
        <v>0</v>
      </c>
      <c r="W132" s="76">
        <f>PINNAE_Geom!$H$20</f>
        <v>0</v>
      </c>
      <c r="X132" s="264">
        <f>PINNAE_Geom!$I$20</f>
        <v>0</v>
      </c>
      <c r="Y132" s="76">
        <f>PINNAE_Geom!$H$21</f>
        <v>0</v>
      </c>
      <c r="Z132" s="264">
        <f>PINNAE_Geom!$I$21</f>
        <v>0</v>
      </c>
      <c r="AA132" s="76">
        <f>PINNAE_Geom!$H$22</f>
        <v>0</v>
      </c>
      <c r="AB132" s="264">
        <f>PINNAE_Geom!$I$22</f>
        <v>0</v>
      </c>
      <c r="AC132" s="76">
        <f>PINNAE_Geom!$H$23</f>
        <v>0</v>
      </c>
      <c r="AD132" s="264">
        <f>PINNAE_Geom!$I$23</f>
        <v>0</v>
      </c>
      <c r="AE132" s="76">
        <f>PINNAE_Geom!$H$24</f>
        <v>0</v>
      </c>
      <c r="AF132" s="264">
        <f>PINNAE_Geom!$I$24</f>
        <v>0</v>
      </c>
      <c r="AG132" s="76">
        <f>PINNAE_Geom!$H$25</f>
        <v>0</v>
      </c>
      <c r="AH132" s="264">
        <f>PINNAE_Geom!$I$25</f>
        <v>0</v>
      </c>
      <c r="AI132" s="76">
        <f>PINNAE_Geom!$H$26</f>
        <v>0</v>
      </c>
      <c r="AJ132" s="264">
        <f>PINNAE_Geom!$I$26</f>
        <v>0</v>
      </c>
      <c r="AK132" s="76">
        <f>PINNAE_Geom!$H$27</f>
        <v>0</v>
      </c>
      <c r="AL132" s="264">
        <f>PINNAE_Geom!$I$27</f>
        <v>0</v>
      </c>
      <c r="AM132" s="76">
        <f>PINNAE_Geom!$H$28</f>
        <v>0</v>
      </c>
      <c r="AN132" s="264">
        <f>PINNAE_Geom!$I$28</f>
        <v>0</v>
      </c>
      <c r="AO132" s="76">
        <f>PINNAE_Geom!$H$29</f>
        <v>0</v>
      </c>
      <c r="AP132" s="264">
        <f>PINNAE_Geom!$I$29</f>
        <v>0</v>
      </c>
      <c r="AQ132" s="76">
        <f>PINNAE_Geom!$H$30</f>
        <v>0</v>
      </c>
      <c r="AR132" s="264">
        <f>PINNAE_Geom!$I$30</f>
        <v>0</v>
      </c>
      <c r="AS132" s="76">
        <f>PINNAE_Geom!$H$31</f>
        <v>0</v>
      </c>
      <c r="AT132" s="264">
        <f>PINNAE_Geom!$I$31</f>
        <v>0</v>
      </c>
      <c r="AU132" s="76">
        <f>PINNAE_Geom!$H$32</f>
        <v>0</v>
      </c>
      <c r="AV132" s="264">
        <f>PINNAE_Geom!$I$32</f>
        <v>0</v>
      </c>
      <c r="AW132" s="76">
        <f>PINNAE_Geom!$H$33</f>
        <v>0</v>
      </c>
      <c r="AX132" s="264">
        <f>PINNAE_Geom!$I$33</f>
        <v>0</v>
      </c>
      <c r="AY132" s="76">
        <f>PINNAE_Geom!$H$34</f>
        <v>0</v>
      </c>
      <c r="AZ132" s="264">
        <f>PINNAE_Geom!$I$34</f>
        <v>0</v>
      </c>
      <c r="BA132" s="76">
        <f>PINNAE_Geom!$H$35</f>
        <v>0</v>
      </c>
      <c r="BB132" s="264">
        <f>PINNAE_Geom!$I$35</f>
        <v>0</v>
      </c>
      <c r="BC132" s="76">
        <f>PINNAE_Geom!$H$36</f>
        <v>0</v>
      </c>
      <c r="BD132" s="264">
        <f>PINNAE_Geom!$I$36</f>
        <v>0</v>
      </c>
      <c r="BE132" s="76">
        <f>PINNAE_Geom!$H$37</f>
        <v>0</v>
      </c>
      <c r="BF132" s="264">
        <f>PINNAE_Geom!$I$37</f>
        <v>0</v>
      </c>
      <c r="BG132" s="52" t="s">
        <v>69</v>
      </c>
      <c r="BH132" s="16"/>
    </row>
    <row r="133" spans="1:60">
      <c r="A133" s="20"/>
      <c r="B133" s="12" t="s">
        <v>197</v>
      </c>
      <c r="C133" s="2" t="s">
        <v>338</v>
      </c>
      <c r="D133" s="7" t="s">
        <v>12</v>
      </c>
      <c r="E133" s="9" t="s">
        <v>0</v>
      </c>
      <c r="F133" s="40" t="s">
        <v>7</v>
      </c>
      <c r="G133" s="46">
        <f>PINNAE_Geom!$L$9</f>
        <v>1</v>
      </c>
      <c r="H133" s="72">
        <f>PINNAE_Geom!$L$10</f>
        <v>4</v>
      </c>
      <c r="I133" s="56">
        <f>PINNAE_Geom!$K$13</f>
        <v>1</v>
      </c>
      <c r="J133" s="21">
        <f>PINNAE_Geom!$L$13</f>
        <v>1.4727153607943391</v>
      </c>
      <c r="K133" s="56">
        <f>PINNAE_Geom!$K$14</f>
        <v>28</v>
      </c>
      <c r="L133" s="21">
        <f>PINNAE_Geom!$L$14</f>
        <v>1.6199868968737732</v>
      </c>
      <c r="M133" s="56">
        <f>PINNAE_Geom!$K$15</f>
        <v>114</v>
      </c>
      <c r="N133" s="21">
        <f>PINNAE_Geom!$L$15</f>
        <v>2.0056980627961001</v>
      </c>
      <c r="O133" s="56">
        <f>PINNAE_Geom!$K$16</f>
        <v>124</v>
      </c>
      <c r="P133" s="21">
        <f>PINNAE_Geom!$L$16</f>
        <v>2.6550767173058456</v>
      </c>
      <c r="Q133" s="56">
        <f>PINNAE_Geom!$K$17</f>
        <v>0</v>
      </c>
      <c r="R133" s="21">
        <f>PINNAE_Geom!$L$17</f>
        <v>0</v>
      </c>
      <c r="S133" s="56">
        <f>PINNAE_Geom!$K$18</f>
        <v>0</v>
      </c>
      <c r="T133" s="21">
        <f>PINNAE_Geom!$L$18</f>
        <v>0</v>
      </c>
      <c r="U133" s="56">
        <f>PINNAE_Geom!$K$19</f>
        <v>0</v>
      </c>
      <c r="V133" s="21">
        <f>PINNAE_Geom!$L$19</f>
        <v>0</v>
      </c>
      <c r="W133" s="56">
        <f>PINNAE_Geom!$K$20</f>
        <v>0</v>
      </c>
      <c r="X133" s="21">
        <f>PINNAE_Geom!$L$20</f>
        <v>0</v>
      </c>
      <c r="Y133" s="56">
        <f>PINNAE_Geom!$K$21</f>
        <v>0</v>
      </c>
      <c r="Z133" s="21">
        <f>PINNAE_Geom!$L$21</f>
        <v>0</v>
      </c>
      <c r="AA133" s="56">
        <f>PINNAE_Geom!$K$22</f>
        <v>0</v>
      </c>
      <c r="AB133" s="21">
        <f>PINNAE_Geom!$L$22</f>
        <v>0</v>
      </c>
      <c r="AC133" s="56">
        <f>PINNAE_Geom!$K$23</f>
        <v>0</v>
      </c>
      <c r="AD133" s="21">
        <f>PINNAE_Geom!$L$23</f>
        <v>0</v>
      </c>
      <c r="AE133" s="56">
        <f>PINNAE_Geom!$K$24</f>
        <v>0</v>
      </c>
      <c r="AF133" s="21">
        <f>PINNAE_Geom!$L$24</f>
        <v>0</v>
      </c>
      <c r="AG133" s="56">
        <f>PINNAE_Geom!$K$25</f>
        <v>0</v>
      </c>
      <c r="AH133" s="21">
        <f>PINNAE_Geom!$L$25</f>
        <v>0</v>
      </c>
      <c r="AI133" s="56">
        <f>PINNAE_Geom!$K$26</f>
        <v>0</v>
      </c>
      <c r="AJ133" s="21">
        <f>PINNAE_Geom!$L$26</f>
        <v>0</v>
      </c>
      <c r="AK133" s="56">
        <f>PINNAE_Geom!$K$27</f>
        <v>0</v>
      </c>
      <c r="AL133" s="21">
        <f>PINNAE_Geom!$L$27</f>
        <v>0</v>
      </c>
      <c r="AM133" s="56">
        <f>PINNAE_Geom!$K$28</f>
        <v>0</v>
      </c>
      <c r="AN133" s="21">
        <f>PINNAE_Geom!$L$28</f>
        <v>0</v>
      </c>
      <c r="AO133" s="56">
        <f>PINNAE_Geom!$K$29</f>
        <v>0</v>
      </c>
      <c r="AP133" s="21">
        <f>PINNAE_Geom!$L$29</f>
        <v>0</v>
      </c>
      <c r="AQ133" s="56">
        <f>PINNAE_Geom!$K$30</f>
        <v>0</v>
      </c>
      <c r="AR133" s="21">
        <f>PINNAE_Geom!$L$30</f>
        <v>0</v>
      </c>
      <c r="AS133" s="56">
        <f>PINNAE_Geom!$K$31</f>
        <v>0</v>
      </c>
      <c r="AT133" s="21">
        <f>PINNAE_Geom!$L$31</f>
        <v>0</v>
      </c>
      <c r="AU133" s="56">
        <f>PINNAE_Geom!$K$32</f>
        <v>0</v>
      </c>
      <c r="AV133" s="21">
        <f>PINNAE_Geom!$L$32</f>
        <v>0</v>
      </c>
      <c r="AW133" s="56">
        <f>PINNAE_Geom!$K$33</f>
        <v>0</v>
      </c>
      <c r="AX133" s="21">
        <f>PINNAE_Geom!$L$33</f>
        <v>0</v>
      </c>
      <c r="AY133" s="56">
        <f>PINNAE_Geom!$K$34</f>
        <v>0</v>
      </c>
      <c r="AZ133" s="21">
        <f>PINNAE_Geom!$L$34</f>
        <v>0</v>
      </c>
      <c r="BA133" s="56">
        <f>PINNAE_Geom!$K$35</f>
        <v>0</v>
      </c>
      <c r="BB133" s="21">
        <f>PINNAE_Geom!$L$35</f>
        <v>0</v>
      </c>
      <c r="BC133" s="56">
        <f>PINNAE_Geom!$K$36</f>
        <v>0</v>
      </c>
      <c r="BD133" s="21">
        <f>PINNAE_Geom!$L$36</f>
        <v>0</v>
      </c>
      <c r="BE133" s="56">
        <f>PINNAE_Geom!$K$37</f>
        <v>0</v>
      </c>
      <c r="BF133" s="21">
        <f>PINNAE_Geom!$L$37</f>
        <v>0</v>
      </c>
      <c r="BG133" s="52" t="s">
        <v>69</v>
      </c>
      <c r="BH133" s="16"/>
    </row>
    <row r="134" spans="1:60">
      <c r="A134" s="20"/>
      <c r="B134" s="12" t="s">
        <v>198</v>
      </c>
      <c r="C134" s="2" t="s">
        <v>339</v>
      </c>
      <c r="D134" s="15" t="s">
        <v>12</v>
      </c>
      <c r="E134" s="9" t="s">
        <v>9</v>
      </c>
      <c r="F134" s="40" t="s">
        <v>8</v>
      </c>
      <c r="G134" s="46">
        <f>PINNAE_Geom!$N$9</f>
        <v>1</v>
      </c>
      <c r="H134" s="72">
        <f>PINNAE_Geom!$N$10</f>
        <v>19</v>
      </c>
      <c r="I134" s="59">
        <f>PINNAE_Geom!$M$13</f>
        <v>0</v>
      </c>
      <c r="J134" s="21">
        <f>PINNAE_Geom!$N$13</f>
        <v>6.0451119928720716E-2</v>
      </c>
      <c r="K134" s="59">
        <f>PINNAE_Geom!$M$14</f>
        <v>5.3605555861977985</v>
      </c>
      <c r="L134" s="21">
        <f>PINNAE_Geom!$N$14</f>
        <v>6.0451119928720716E-2</v>
      </c>
      <c r="M134" s="59">
        <f>PINNAE_Geom!$M$15</f>
        <v>10</v>
      </c>
      <c r="N134" s="21">
        <f>PINNAE_Geom!$N$15</f>
        <v>0.41905708736350705</v>
      </c>
      <c r="O134" s="59">
        <f>PINNAE_Geom!$M$16</f>
        <v>20</v>
      </c>
      <c r="P134" s="21">
        <f>PINNAE_Geom!$N$16</f>
        <v>0.59286648916954554</v>
      </c>
      <c r="Q134" s="59">
        <f>PINNAE_Geom!$M$17</f>
        <v>26.922669813782981</v>
      </c>
      <c r="R134" s="21">
        <f>PINNAE_Geom!$N$17</f>
        <v>0.13790369716305859</v>
      </c>
      <c r="S134" s="59">
        <f>PINNAE_Geom!$M$18</f>
        <v>28.402760758696882</v>
      </c>
      <c r="T134" s="21">
        <f>PINNAE_Geom!$N$18</f>
        <v>0.16121014738668019</v>
      </c>
      <c r="U134" s="59">
        <f>PINNAE_Geom!$M$19</f>
        <v>30</v>
      </c>
      <c r="V134" s="21">
        <f>PINNAE_Geom!$N$19</f>
        <v>0.53083380142421566</v>
      </c>
      <c r="W134" s="59">
        <f>PINNAE_Geom!$M$20</f>
        <v>40</v>
      </c>
      <c r="X134" s="21">
        <f>PINNAE_Geom!$N$20</f>
        <v>0.66968744168999161</v>
      </c>
      <c r="Y134" s="59">
        <f>PINNAE_Geom!$M$21</f>
        <v>50</v>
      </c>
      <c r="Z134" s="21">
        <f>PINNAE_Geom!$N$21</f>
        <v>0.84223940798541075</v>
      </c>
      <c r="AA134" s="59">
        <f>PINNAE_Geom!$M$22</f>
        <v>60</v>
      </c>
      <c r="AB134" s="21">
        <f>PINNAE_Geom!$N$22</f>
        <v>0.93840996563652601</v>
      </c>
      <c r="AC134" s="59">
        <f>PINNAE_Geom!$M$23</f>
        <v>70</v>
      </c>
      <c r="AD134" s="21">
        <f>PINNAE_Geom!$N$23</f>
        <v>1</v>
      </c>
      <c r="AE134" s="59">
        <f>PINNAE_Geom!$M$24</f>
        <v>80</v>
      </c>
      <c r="AF134" s="21">
        <f>PINNAE_Geom!$N$24</f>
        <v>0.97588525516237101</v>
      </c>
      <c r="AG134" s="59">
        <f>PINNAE_Geom!$M$25</f>
        <v>90</v>
      </c>
      <c r="AH134" s="21">
        <f>PINNAE_Geom!$N$25</f>
        <v>0.79330050133994234</v>
      </c>
      <c r="AI134" s="59">
        <f>PINNAE_Geom!$M$26</f>
        <v>97.736572490101764</v>
      </c>
      <c r="AJ134" s="21">
        <f>PINNAE_Geom!$N$26</f>
        <v>0.69450689756235984</v>
      </c>
      <c r="AK134" s="59">
        <f>PINNAE_Geom!$M$27</f>
        <v>98.474693898206965</v>
      </c>
      <c r="AL134" s="21">
        <f>PINNAE_Geom!$N$27</f>
        <v>0.57818266096255277</v>
      </c>
      <c r="AM134" s="59">
        <f>PINNAE_Geom!$M$28</f>
        <v>99.115172061249353</v>
      </c>
      <c r="AN134" s="21">
        <f>PINNAE_Geom!$N$28</f>
        <v>0.56871820938166773</v>
      </c>
      <c r="AO134" s="59">
        <f>PINNAE_Geom!$M$29</f>
        <v>99.665653482478291</v>
      </c>
      <c r="AP134" s="21">
        <f>PINNAE_Geom!$N$29</f>
        <v>0.50177934390817547</v>
      </c>
      <c r="AQ134" s="59">
        <f>PINNAE_Geom!$M$30</f>
        <v>99.951573567634654</v>
      </c>
      <c r="AR134" s="21">
        <f>PINNAE_Geom!$N$30</f>
        <v>0.42468832244650184</v>
      </c>
      <c r="AS134" s="59">
        <f>PINNAE_Geom!$M$31</f>
        <v>100</v>
      </c>
      <c r="AT134" s="21">
        <f>PINNAE_Geom!$N$31</f>
        <v>0.29012288709222106</v>
      </c>
      <c r="AU134" s="59">
        <f>PINNAE_Geom!$M$32</f>
        <v>0</v>
      </c>
      <c r="AV134" s="21">
        <f>PINNAE_Geom!$N$32</f>
        <v>0</v>
      </c>
      <c r="AW134" s="59">
        <f>PINNAE_Geom!$M$33</f>
        <v>0</v>
      </c>
      <c r="AX134" s="21">
        <f>PINNAE_Geom!$N$33</f>
        <v>0</v>
      </c>
      <c r="AY134" s="59">
        <f>PINNAE_Geom!$M$34</f>
        <v>0</v>
      </c>
      <c r="AZ134" s="21">
        <f>PINNAE_Geom!$N$34</f>
        <v>0</v>
      </c>
      <c r="BA134" s="59">
        <f>PINNAE_Geom!$M$35</f>
        <v>0</v>
      </c>
      <c r="BB134" s="21">
        <f>PINNAE_Geom!$N$35</f>
        <v>0</v>
      </c>
      <c r="BC134" s="59">
        <f>PINNAE_Geom!$M$36</f>
        <v>0</v>
      </c>
      <c r="BD134" s="21">
        <f>PINNAE_Geom!$N$36</f>
        <v>0</v>
      </c>
      <c r="BE134" s="59">
        <f>PINNAE_Geom!$M$37</f>
        <v>0</v>
      </c>
      <c r="BF134" s="21">
        <f>PINNAE_Geom!$N$37</f>
        <v>0</v>
      </c>
      <c r="BG134" s="52" t="s">
        <v>69</v>
      </c>
      <c r="BH134" s="16"/>
    </row>
    <row r="135" spans="1:60">
      <c r="A135" s="20"/>
      <c r="B135" s="12" t="s">
        <v>199</v>
      </c>
      <c r="C135" s="2" t="s">
        <v>340</v>
      </c>
      <c r="D135" s="15" t="s">
        <v>12</v>
      </c>
      <c r="E135" s="9" t="s">
        <v>0</v>
      </c>
      <c r="F135" s="40" t="s">
        <v>7</v>
      </c>
      <c r="G135" s="46">
        <f>PINNAE_Geom!$O$9</f>
        <v>1</v>
      </c>
      <c r="H135" s="72">
        <f>PINNAE_Geom!$O$10</f>
        <v>19</v>
      </c>
      <c r="I135" s="59">
        <f>PINNAE_Geom!$M$13</f>
        <v>0</v>
      </c>
      <c r="J135" s="21">
        <f>PINNAE_Geom!$O$13</f>
        <v>1.1670693683609165E-2</v>
      </c>
      <c r="K135" s="59">
        <f>PINNAE_Geom!$M$14</f>
        <v>5.3605555861977985</v>
      </c>
      <c r="L135" s="21">
        <f>PINNAE_Geom!$O$14</f>
        <v>1.1670693683609165E-2</v>
      </c>
      <c r="M135" s="59">
        <f>PINNAE_Geom!$M$15</f>
        <v>10</v>
      </c>
      <c r="N135" s="21">
        <f>PINNAE_Geom!$O$15</f>
        <v>1.9470225331650933E-2</v>
      </c>
      <c r="O135" s="59">
        <f>PINNAE_Geom!$M$16</f>
        <v>20</v>
      </c>
      <c r="P135" s="21">
        <f>PINNAE_Geom!$O$16</f>
        <v>2.4631983613370621E-2</v>
      </c>
      <c r="Q135" s="59">
        <f>PINNAE_Geom!$M$17</f>
        <v>26.922669813782981</v>
      </c>
      <c r="R135" s="21">
        <f>PINNAE_Geom!$O$17</f>
        <v>4.3672098064023814E-2</v>
      </c>
      <c r="S135" s="59">
        <f>PINNAE_Geom!$M$18</f>
        <v>28.402760758696882</v>
      </c>
      <c r="T135" s="21">
        <f>PINNAE_Geom!$O$18</f>
        <v>8.0546596402234619E-2</v>
      </c>
      <c r="U135" s="59">
        <f>PINNAE_Geom!$M$19</f>
        <v>30</v>
      </c>
      <c r="V135" s="21">
        <f>PINNAE_Geom!$O$19</f>
        <v>6.9682933154996074E-2</v>
      </c>
      <c r="W135" s="59">
        <f>PINNAE_Geom!$M$20</f>
        <v>40</v>
      </c>
      <c r="X135" s="21">
        <f>PINNAE_Geom!$O$20</f>
        <v>4.1983408349476926E-2</v>
      </c>
      <c r="Y135" s="59">
        <f>PINNAE_Geom!$M$21</f>
        <v>50</v>
      </c>
      <c r="Z135" s="21">
        <f>PINNAE_Geom!$O$21</f>
        <v>0.16208806589243011</v>
      </c>
      <c r="AA135" s="59">
        <f>PINNAE_Geom!$M$22</f>
        <v>60</v>
      </c>
      <c r="AB135" s="21">
        <f>PINNAE_Geom!$O$22</f>
        <v>2.0083373422509182E-2</v>
      </c>
      <c r="AC135" s="59">
        <f>PINNAE_Geom!$M$23</f>
        <v>70</v>
      </c>
      <c r="AD135" s="21">
        <f>PINNAE_Geom!$O$23</f>
        <v>1.3916111807544007E-2</v>
      </c>
      <c r="AE135" s="59">
        <f>PINNAE_Geom!$M$24</f>
        <v>80</v>
      </c>
      <c r="AF135" s="21">
        <f>PINNAE_Geom!$O$24</f>
        <v>1.5558477511444953E-2</v>
      </c>
      <c r="AG135" s="59">
        <f>PINNAE_Geom!$M$25</f>
        <v>90</v>
      </c>
      <c r="AH135" s="21">
        <f>PINNAE_Geom!$O$25</f>
        <v>9.3752323298752042E-3</v>
      </c>
      <c r="AI135" s="59">
        <f>PINNAE_Geom!$M$26</f>
        <v>97.736572490101764</v>
      </c>
      <c r="AJ135" s="21">
        <f>PINNAE_Geom!$O$26</f>
        <v>0.22653266687873469</v>
      </c>
      <c r="AK135" s="59">
        <f>PINNAE_Geom!$M$27</f>
        <v>98.474693898206965</v>
      </c>
      <c r="AL135" s="21">
        <f>PINNAE_Geom!$O$27</f>
        <v>3.1625653570130634E-2</v>
      </c>
      <c r="AM135" s="59">
        <f>PINNAE_Geom!$M$28</f>
        <v>99.115172061249353</v>
      </c>
      <c r="AN135" s="21">
        <f>PINNAE_Geom!$O$28</f>
        <v>7.3221142451954963E-2</v>
      </c>
      <c r="AO135" s="59">
        <f>PINNAE_Geom!$M$29</f>
        <v>99.665653482478291</v>
      </c>
      <c r="AP135" s="21">
        <f>PINNAE_Geom!$O$29</f>
        <v>0.14558244022609065</v>
      </c>
      <c r="AQ135" s="59">
        <f>PINNAE_Geom!$M$30</f>
        <v>99.951573567634654</v>
      </c>
      <c r="AR135" s="21">
        <f>PINNAE_Geom!$O$30</f>
        <v>0.14136568641673875</v>
      </c>
      <c r="AS135" s="59">
        <f>PINNAE_Geom!$M$31</f>
        <v>100</v>
      </c>
      <c r="AT135" s="21">
        <f>PINNAE_Geom!$O$31</f>
        <v>0.2364653349358255</v>
      </c>
      <c r="AU135" s="59">
        <f>PINNAE_Geom!$M$32</f>
        <v>0</v>
      </c>
      <c r="AV135" s="21">
        <f>PINNAE_Geom!$O$32</f>
        <v>0</v>
      </c>
      <c r="AW135" s="59">
        <f>PINNAE_Geom!$M$33</f>
        <v>0</v>
      </c>
      <c r="AX135" s="21">
        <f>PINNAE_Geom!$O$33</f>
        <v>0</v>
      </c>
      <c r="AY135" s="59">
        <f>PINNAE_Geom!$M$34</f>
        <v>0</v>
      </c>
      <c r="AZ135" s="21">
        <f>PINNAE_Geom!$O$34</f>
        <v>0</v>
      </c>
      <c r="BA135" s="59">
        <f>PINNAE_Geom!$M$35</f>
        <v>0</v>
      </c>
      <c r="BB135" s="21">
        <f>PINNAE_Geom!$O$35</f>
        <v>0</v>
      </c>
      <c r="BC135" s="59">
        <f>PINNAE_Geom!$M$36</f>
        <v>0</v>
      </c>
      <c r="BD135" s="21">
        <f>PINNAE_Geom!$O$36</f>
        <v>0</v>
      </c>
      <c r="BE135" s="59">
        <f>PINNAE_Geom!$M$37</f>
        <v>0</v>
      </c>
      <c r="BF135" s="21">
        <f>PINNAE_Geom!$O$37</f>
        <v>0</v>
      </c>
      <c r="BG135" s="52" t="s">
        <v>69</v>
      </c>
      <c r="BH135" s="16"/>
    </row>
    <row r="136" spans="1:60">
      <c r="A136" s="20"/>
      <c r="B136" s="11" t="s">
        <v>200</v>
      </c>
      <c r="C136" s="2" t="s">
        <v>341</v>
      </c>
      <c r="D136" s="33" t="s">
        <v>12</v>
      </c>
      <c r="E136" s="9" t="s">
        <v>9</v>
      </c>
      <c r="F136" s="40" t="s">
        <v>8</v>
      </c>
      <c r="G136" s="46">
        <f>PINNAE_Geom!$Q$9</f>
        <v>1</v>
      </c>
      <c r="H136" s="72">
        <f>PINNAE_Geom!$Q$10</f>
        <v>4</v>
      </c>
      <c r="I136" s="57">
        <f>PINNAE_Geom!$P$13</f>
        <v>0</v>
      </c>
      <c r="J136" s="21">
        <f>PINNAE_Geom!$Q$13</f>
        <v>0.1</v>
      </c>
      <c r="K136" s="57">
        <f>PINNAE_Geom!$P$14</f>
        <v>33.33</v>
      </c>
      <c r="L136" s="21">
        <f>PINNAE_Geom!$Q$14</f>
        <v>1</v>
      </c>
      <c r="M136" s="57">
        <f>PINNAE_Geom!$P$15</f>
        <v>66.67</v>
      </c>
      <c r="N136" s="21">
        <f>PINNAE_Geom!$Q$15</f>
        <v>0.83014354066985641</v>
      </c>
      <c r="O136" s="57">
        <f>PINNAE_Geom!$P$16</f>
        <v>100</v>
      </c>
      <c r="P136" s="21">
        <f>PINNAE_Geom!$Q$16</f>
        <v>0.01</v>
      </c>
      <c r="Q136" s="57">
        <f>PINNAE_Geom!$P$17</f>
        <v>0</v>
      </c>
      <c r="R136" s="21">
        <f>PINNAE_Geom!$Q$17</f>
        <v>0</v>
      </c>
      <c r="S136" s="57">
        <f>PINNAE_Geom!$P$18</f>
        <v>0</v>
      </c>
      <c r="T136" s="21">
        <f>PINNAE_Geom!$Q$18</f>
        <v>0</v>
      </c>
      <c r="U136" s="57">
        <f>PINNAE_Geom!$P$19</f>
        <v>0</v>
      </c>
      <c r="V136" s="21">
        <f>PINNAE_Geom!$Q$19</f>
        <v>0</v>
      </c>
      <c r="W136" s="57">
        <f>PINNAE_Geom!$P$20</f>
        <v>0</v>
      </c>
      <c r="X136" s="21">
        <f>PINNAE_Geom!$Q$20</f>
        <v>0</v>
      </c>
      <c r="Y136" s="57">
        <f>PINNAE_Geom!$P$21</f>
        <v>0</v>
      </c>
      <c r="Z136" s="21">
        <f>PINNAE_Geom!$Q$21</f>
        <v>0</v>
      </c>
      <c r="AA136" s="57">
        <f>PINNAE_Geom!$P$22</f>
        <v>0</v>
      </c>
      <c r="AB136" s="21">
        <f>PINNAE_Geom!$Q$22</f>
        <v>0</v>
      </c>
      <c r="AC136" s="57">
        <f>PINNAE_Geom!$P$23</f>
        <v>0</v>
      </c>
      <c r="AD136" s="21">
        <f>PINNAE_Geom!$Q$23</f>
        <v>0</v>
      </c>
      <c r="AE136" s="57">
        <f>PINNAE_Geom!$P$24</f>
        <v>0</v>
      </c>
      <c r="AF136" s="21">
        <f>PINNAE_Geom!$Q$24</f>
        <v>0</v>
      </c>
      <c r="AG136" s="57">
        <f>PINNAE_Geom!$P$25</f>
        <v>0</v>
      </c>
      <c r="AH136" s="21">
        <f>PINNAE_Geom!$Q$25</f>
        <v>0</v>
      </c>
      <c r="AI136" s="57">
        <f>PINNAE_Geom!$P$26</f>
        <v>0</v>
      </c>
      <c r="AJ136" s="21">
        <f>PINNAE_Geom!$Q$26</f>
        <v>0</v>
      </c>
      <c r="AK136" s="57">
        <f>PINNAE_Geom!$P$27</f>
        <v>0</v>
      </c>
      <c r="AL136" s="21">
        <f>PINNAE_Geom!$Q$27</f>
        <v>0</v>
      </c>
      <c r="AM136" s="57">
        <f>PINNAE_Geom!$P$28</f>
        <v>0</v>
      </c>
      <c r="AN136" s="21">
        <f>PINNAE_Geom!$Q$28</f>
        <v>0</v>
      </c>
      <c r="AO136" s="57">
        <f>PINNAE_Geom!$P$29</f>
        <v>0</v>
      </c>
      <c r="AP136" s="21">
        <f>PINNAE_Geom!$Q$29</f>
        <v>0</v>
      </c>
      <c r="AQ136" s="57">
        <f>PINNAE_Geom!$P$30</f>
        <v>0</v>
      </c>
      <c r="AR136" s="21">
        <f>PINNAE_Geom!$Q$30</f>
        <v>0</v>
      </c>
      <c r="AS136" s="57">
        <f>PINNAE_Geom!$P$31</f>
        <v>0</v>
      </c>
      <c r="AT136" s="21">
        <f>PINNAE_Geom!$Q$31</f>
        <v>0</v>
      </c>
      <c r="AU136" s="57">
        <f>PINNAE_Geom!$P$32</f>
        <v>0</v>
      </c>
      <c r="AV136" s="21">
        <f>PINNAE_Geom!$Q$32</f>
        <v>0</v>
      </c>
      <c r="AW136" s="57">
        <f>PINNAE_Geom!$P$33</f>
        <v>0</v>
      </c>
      <c r="AX136" s="21">
        <f>PINNAE_Geom!$Q$33</f>
        <v>0</v>
      </c>
      <c r="AY136" s="57">
        <f>PINNAE_Geom!$P$34</f>
        <v>0</v>
      </c>
      <c r="AZ136" s="21">
        <f>PINNAE_Geom!$Q$34</f>
        <v>0</v>
      </c>
      <c r="BA136" s="57">
        <f>PINNAE_Geom!$P$35</f>
        <v>0</v>
      </c>
      <c r="BB136" s="21">
        <f>PINNAE_Geom!$Q$35</f>
        <v>0</v>
      </c>
      <c r="BC136" s="57">
        <f>PINNAE_Geom!$P$36</f>
        <v>0</v>
      </c>
      <c r="BD136" s="21">
        <f>PINNAE_Geom!$Q$36</f>
        <v>0</v>
      </c>
      <c r="BE136" s="57">
        <f>PINNAE_Geom!$P$37</f>
        <v>0</v>
      </c>
      <c r="BF136" s="21">
        <f>PINNAE_Geom!$Q$37</f>
        <v>0</v>
      </c>
      <c r="BG136" s="52" t="s">
        <v>69</v>
      </c>
      <c r="BH136" s="16"/>
    </row>
    <row r="137" spans="1:60">
      <c r="A137" s="20"/>
      <c r="B137" s="11" t="s">
        <v>208</v>
      </c>
      <c r="C137" s="2" t="s">
        <v>342</v>
      </c>
      <c r="D137" s="33" t="s">
        <v>12</v>
      </c>
      <c r="E137" s="9" t="s">
        <v>9</v>
      </c>
      <c r="F137" s="40" t="s">
        <v>8</v>
      </c>
      <c r="G137" s="46">
        <f>PINNAE_Geom!$S$9</f>
        <v>1</v>
      </c>
      <c r="H137" s="72">
        <f>PINNAE_Geom!$S$10</f>
        <v>4</v>
      </c>
      <c r="I137" s="57">
        <f>PINNAE_Geom!$R$13</f>
        <v>0</v>
      </c>
      <c r="J137" s="21">
        <f>PINNAE_Geom!$S$13</f>
        <v>0.05</v>
      </c>
      <c r="K137" s="57">
        <f>PINNAE_Geom!$R$14</f>
        <v>33.33</v>
      </c>
      <c r="L137" s="21">
        <f>PINNAE_Geom!$S$14</f>
        <v>1</v>
      </c>
      <c r="M137" s="57">
        <f>PINNAE_Geom!$R$15</f>
        <v>66.67</v>
      </c>
      <c r="N137" s="21">
        <f>PINNAE_Geom!$S$15</f>
        <v>0.56999999999999995</v>
      </c>
      <c r="O137" s="57">
        <f>PINNAE_Geom!$R$16</f>
        <v>100</v>
      </c>
      <c r="P137" s="21">
        <f>PINNAE_Geom!$S$16</f>
        <v>0.01</v>
      </c>
      <c r="Q137" s="57">
        <f>PINNAE_Geom!$R$17</f>
        <v>0</v>
      </c>
      <c r="R137" s="21">
        <f>PINNAE_Geom!$S$17</f>
        <v>0</v>
      </c>
      <c r="S137" s="57">
        <f>PINNAE_Geom!$R$18</f>
        <v>0</v>
      </c>
      <c r="T137" s="21">
        <f>PINNAE_Geom!$S$18</f>
        <v>0</v>
      </c>
      <c r="U137" s="57">
        <f>PINNAE_Geom!$R$19</f>
        <v>0</v>
      </c>
      <c r="V137" s="21">
        <f>PINNAE_Geom!$S$19</f>
        <v>0</v>
      </c>
      <c r="W137" s="57">
        <f>PINNAE_Geom!$R$20</f>
        <v>0</v>
      </c>
      <c r="X137" s="21">
        <f>PINNAE_Geom!$S$20</f>
        <v>0</v>
      </c>
      <c r="Y137" s="57">
        <f>PINNAE_Geom!$R$21</f>
        <v>0</v>
      </c>
      <c r="Z137" s="21">
        <f>PINNAE_Geom!$S$21</f>
        <v>0</v>
      </c>
      <c r="AA137" s="57">
        <f>PINNAE_Geom!$R$22</f>
        <v>0</v>
      </c>
      <c r="AB137" s="21">
        <f>PINNAE_Geom!$S$22</f>
        <v>0</v>
      </c>
      <c r="AC137" s="57">
        <f>PINNAE_Geom!$R$23</f>
        <v>0</v>
      </c>
      <c r="AD137" s="21">
        <f>PINNAE_Geom!$S$23</f>
        <v>0</v>
      </c>
      <c r="AE137" s="57">
        <f>PINNAE_Geom!$R$24</f>
        <v>0</v>
      </c>
      <c r="AF137" s="21">
        <f>PINNAE_Geom!$S$24</f>
        <v>0</v>
      </c>
      <c r="AG137" s="57">
        <f>PINNAE_Geom!$R$25</f>
        <v>0</v>
      </c>
      <c r="AH137" s="21">
        <f>PINNAE_Geom!$S$25</f>
        <v>0</v>
      </c>
      <c r="AI137" s="57">
        <f>PINNAE_Geom!$R$26</f>
        <v>0</v>
      </c>
      <c r="AJ137" s="21">
        <f>PINNAE_Geom!$S$26</f>
        <v>0</v>
      </c>
      <c r="AK137" s="57">
        <f>PINNAE_Geom!$R$27</f>
        <v>0</v>
      </c>
      <c r="AL137" s="21">
        <f>PINNAE_Geom!$S$27</f>
        <v>0</v>
      </c>
      <c r="AM137" s="57">
        <f>PINNAE_Geom!$R$28</f>
        <v>0</v>
      </c>
      <c r="AN137" s="21">
        <f>PINNAE_Geom!$S$28</f>
        <v>0</v>
      </c>
      <c r="AO137" s="57">
        <f>PINNAE_Geom!$R$29</f>
        <v>0</v>
      </c>
      <c r="AP137" s="21">
        <f>PINNAE_Geom!$S$29</f>
        <v>0</v>
      </c>
      <c r="AQ137" s="57">
        <f>PINNAE_Geom!$R$30</f>
        <v>0</v>
      </c>
      <c r="AR137" s="21">
        <f>PINNAE_Geom!$S$30</f>
        <v>0</v>
      </c>
      <c r="AS137" s="57">
        <f>PINNAE_Geom!$R$31</f>
        <v>0</v>
      </c>
      <c r="AT137" s="21">
        <f>PINNAE_Geom!$S$31</f>
        <v>0</v>
      </c>
      <c r="AU137" s="57">
        <f>PINNAE_Geom!$R$32</f>
        <v>0</v>
      </c>
      <c r="AV137" s="21">
        <f>PINNAE_Geom!$S$32</f>
        <v>0</v>
      </c>
      <c r="AW137" s="57">
        <f>PINNAE_Geom!$R$33</f>
        <v>0</v>
      </c>
      <c r="AX137" s="21">
        <f>PINNAE_Geom!$S$33</f>
        <v>0</v>
      </c>
      <c r="AY137" s="57">
        <f>PINNAE_Geom!$R$34</f>
        <v>0</v>
      </c>
      <c r="AZ137" s="21">
        <f>PINNAE_Geom!$S$34</f>
        <v>0</v>
      </c>
      <c r="BA137" s="57">
        <f>PINNAE_Geom!$R$35</f>
        <v>0</v>
      </c>
      <c r="BB137" s="21">
        <f>PINNAE_Geom!$S$35</f>
        <v>0</v>
      </c>
      <c r="BC137" s="57">
        <f>PINNAE_Geom!$R$36</f>
        <v>0</v>
      </c>
      <c r="BD137" s="21">
        <f>PINNAE_Geom!$S$36</f>
        <v>0</v>
      </c>
      <c r="BE137" s="57">
        <f>PINNAE_Geom!$R$37</f>
        <v>0</v>
      </c>
      <c r="BF137" s="21">
        <f>PINNAE_Geom!$S$37</f>
        <v>0</v>
      </c>
      <c r="BG137" s="52" t="s">
        <v>69</v>
      </c>
      <c r="BH137" s="16"/>
    </row>
    <row r="138" spans="1:60">
      <c r="A138" s="20"/>
      <c r="B138" s="11" t="s">
        <v>209</v>
      </c>
      <c r="C138" s="2" t="s">
        <v>343</v>
      </c>
      <c r="D138" s="33" t="s">
        <v>12</v>
      </c>
      <c r="E138" s="9" t="s">
        <v>9</v>
      </c>
      <c r="F138" s="40" t="s">
        <v>8</v>
      </c>
      <c r="G138" s="46">
        <f>PINNAE_Geom!$U$9</f>
        <v>1</v>
      </c>
      <c r="H138" s="72">
        <f>PINNAE_Geom!$U$10</f>
        <v>4</v>
      </c>
      <c r="I138" s="57">
        <f>PINNAE_Geom!$T$13</f>
        <v>0</v>
      </c>
      <c r="J138" s="21">
        <f>PINNAE_Geom!$U$13</f>
        <v>1</v>
      </c>
      <c r="K138" s="57">
        <f>PINNAE_Geom!$T$14</f>
        <v>33.33</v>
      </c>
      <c r="L138" s="21">
        <f>PINNAE_Geom!$U$14</f>
        <v>1</v>
      </c>
      <c r="M138" s="57">
        <f>PINNAE_Geom!$T$15</f>
        <v>66.67</v>
      </c>
      <c r="N138" s="21">
        <f>PINNAE_Geom!$U$15</f>
        <v>1</v>
      </c>
      <c r="O138" s="57">
        <f>PINNAE_Geom!$T$16</f>
        <v>100</v>
      </c>
      <c r="P138" s="21">
        <f>PINNAE_Geom!$U$16</f>
        <v>1</v>
      </c>
      <c r="Q138" s="57">
        <f>PINNAE_Geom!$T$17</f>
        <v>0</v>
      </c>
      <c r="R138" s="21">
        <f>PINNAE_Geom!$U$17</f>
        <v>0</v>
      </c>
      <c r="S138" s="57">
        <f>PINNAE_Geom!$T$18</f>
        <v>0</v>
      </c>
      <c r="T138" s="21">
        <f>PINNAE_Geom!$U$18</f>
        <v>0</v>
      </c>
      <c r="U138" s="57">
        <f>PINNAE_Geom!$T$19</f>
        <v>0</v>
      </c>
      <c r="V138" s="21">
        <f>PINNAE_Geom!$U$19</f>
        <v>0</v>
      </c>
      <c r="W138" s="57">
        <f>PINNAE_Geom!$T$20</f>
        <v>0</v>
      </c>
      <c r="X138" s="21">
        <f>PINNAE_Geom!$U$20</f>
        <v>0</v>
      </c>
      <c r="Y138" s="57">
        <f>PINNAE_Geom!$T$21</f>
        <v>0</v>
      </c>
      <c r="Z138" s="21">
        <f>PINNAE_Geom!$U$21</f>
        <v>0</v>
      </c>
      <c r="AA138" s="57">
        <f>PINNAE_Geom!$T$22</f>
        <v>0</v>
      </c>
      <c r="AB138" s="21">
        <f>PINNAE_Geom!$U$22</f>
        <v>0</v>
      </c>
      <c r="AC138" s="57">
        <f>PINNAE_Geom!$T$23</f>
        <v>0</v>
      </c>
      <c r="AD138" s="21">
        <f>PINNAE_Geom!$U$23</f>
        <v>0</v>
      </c>
      <c r="AE138" s="57">
        <f>PINNAE_Geom!$T$24</f>
        <v>0</v>
      </c>
      <c r="AF138" s="21">
        <f>PINNAE_Geom!$U$24</f>
        <v>0</v>
      </c>
      <c r="AG138" s="57">
        <f>PINNAE_Geom!$T$25</f>
        <v>0</v>
      </c>
      <c r="AH138" s="21">
        <f>PINNAE_Geom!$U$25</f>
        <v>0</v>
      </c>
      <c r="AI138" s="57">
        <f>PINNAE_Geom!$T$26</f>
        <v>0</v>
      </c>
      <c r="AJ138" s="21">
        <f>PINNAE_Geom!$U$26</f>
        <v>0</v>
      </c>
      <c r="AK138" s="57">
        <f>PINNAE_Geom!$T$27</f>
        <v>0</v>
      </c>
      <c r="AL138" s="21">
        <f>PINNAE_Geom!$U$27</f>
        <v>0</v>
      </c>
      <c r="AM138" s="57">
        <f>PINNAE_Geom!$T$28</f>
        <v>0</v>
      </c>
      <c r="AN138" s="21">
        <f>PINNAE_Geom!$U$28</f>
        <v>0</v>
      </c>
      <c r="AO138" s="57">
        <f>PINNAE_Geom!$T$29</f>
        <v>0</v>
      </c>
      <c r="AP138" s="21">
        <f>PINNAE_Geom!$U$29</f>
        <v>0</v>
      </c>
      <c r="AQ138" s="57">
        <f>PINNAE_Geom!$T$30</f>
        <v>0</v>
      </c>
      <c r="AR138" s="21">
        <f>PINNAE_Geom!$U$30</f>
        <v>0</v>
      </c>
      <c r="AS138" s="57">
        <f>PINNAE_Geom!$T$31</f>
        <v>0</v>
      </c>
      <c r="AT138" s="21">
        <f>PINNAE_Geom!$U$31</f>
        <v>0</v>
      </c>
      <c r="AU138" s="57">
        <f>PINNAE_Geom!$T$32</f>
        <v>0</v>
      </c>
      <c r="AV138" s="21">
        <f>PINNAE_Geom!$U$32</f>
        <v>0</v>
      </c>
      <c r="AW138" s="57">
        <f>PINNAE_Geom!$T$33</f>
        <v>0</v>
      </c>
      <c r="AX138" s="21">
        <f>PINNAE_Geom!$U$33</f>
        <v>0</v>
      </c>
      <c r="AY138" s="57">
        <f>PINNAE_Geom!$T$34</f>
        <v>0</v>
      </c>
      <c r="AZ138" s="21">
        <f>PINNAE_Geom!$U$34</f>
        <v>0</v>
      </c>
      <c r="BA138" s="57">
        <f>PINNAE_Geom!$T$35</f>
        <v>0</v>
      </c>
      <c r="BB138" s="21">
        <f>PINNAE_Geom!$U$35</f>
        <v>0</v>
      </c>
      <c r="BC138" s="57">
        <f>PINNAE_Geom!$T$36</f>
        <v>0</v>
      </c>
      <c r="BD138" s="21">
        <f>PINNAE_Geom!$U$36</f>
        <v>0</v>
      </c>
      <c r="BE138" s="57">
        <f>PINNAE_Geom!$T$37</f>
        <v>0</v>
      </c>
      <c r="BF138" s="21">
        <f>PINNAE_Geom!$U$37</f>
        <v>0</v>
      </c>
      <c r="BG138" s="52" t="s">
        <v>69</v>
      </c>
      <c r="BH138" s="16"/>
    </row>
    <row r="139" spans="1:60">
      <c r="A139" s="20"/>
      <c r="B139" s="11" t="s">
        <v>201</v>
      </c>
      <c r="C139" s="2" t="s">
        <v>202</v>
      </c>
      <c r="D139" s="7" t="s">
        <v>12</v>
      </c>
      <c r="E139" s="9" t="s">
        <v>0</v>
      </c>
      <c r="F139" s="40" t="s">
        <v>7</v>
      </c>
      <c r="G139" s="46">
        <f>PINNAE_Geom!$X$9</f>
        <v>1</v>
      </c>
      <c r="H139" s="72">
        <f>PINNAE_Geom!$X$10</f>
        <v>4</v>
      </c>
      <c r="I139" s="56">
        <f>PINNAE_Geom!$W$13</f>
        <v>1</v>
      </c>
      <c r="J139" s="21">
        <f>PINNAE_Geom!$X$13</f>
        <v>0.74364940415661251</v>
      </c>
      <c r="K139" s="56">
        <f>PINNAE_Geom!$W$14</f>
        <v>28</v>
      </c>
      <c r="L139" s="21">
        <f>PINNAE_Geom!$X$14</f>
        <v>0.81801434457227384</v>
      </c>
      <c r="M139" s="56">
        <f>PINNAE_Geom!$W$15</f>
        <v>114</v>
      </c>
      <c r="N139" s="21">
        <f>PINNAE_Geom!$X$15</f>
        <v>1.0127796647085294</v>
      </c>
      <c r="O139" s="56">
        <f>PINNAE_Geom!$W$16</f>
        <v>124</v>
      </c>
      <c r="P139" s="21">
        <f>PINNAE_Geom!$X$16</f>
        <v>1.3406842023767778</v>
      </c>
      <c r="Q139" s="56">
        <f>PINNAE_Geom!$W$17</f>
        <v>0</v>
      </c>
      <c r="R139" s="21">
        <f>PINNAE_Geom!$X$17</f>
        <v>0</v>
      </c>
      <c r="S139" s="56">
        <f>PINNAE_Geom!$W$18</f>
        <v>0</v>
      </c>
      <c r="T139" s="21">
        <f>PINNAE_Geom!$X$18</f>
        <v>0</v>
      </c>
      <c r="U139" s="56">
        <f>PINNAE_Geom!$W$19</f>
        <v>0</v>
      </c>
      <c r="V139" s="21">
        <f>PINNAE_Geom!$X$19</f>
        <v>0</v>
      </c>
      <c r="W139" s="56">
        <f>PINNAE_Geom!$W$20</f>
        <v>0</v>
      </c>
      <c r="X139" s="21">
        <f>PINNAE_Geom!$X$20</f>
        <v>0</v>
      </c>
      <c r="Y139" s="56">
        <f>PINNAE_Geom!$W$21</f>
        <v>0</v>
      </c>
      <c r="Z139" s="21">
        <f>PINNAE_Geom!$X$21</f>
        <v>0</v>
      </c>
      <c r="AA139" s="56">
        <f>PINNAE_Geom!$W$22</f>
        <v>0</v>
      </c>
      <c r="AB139" s="21">
        <f>PINNAE_Geom!$X$22</f>
        <v>0</v>
      </c>
      <c r="AC139" s="56">
        <f>PINNAE_Geom!$W$23</f>
        <v>0</v>
      </c>
      <c r="AD139" s="21">
        <f>PINNAE_Geom!$X$23</f>
        <v>0</v>
      </c>
      <c r="AE139" s="56">
        <f>PINNAE_Geom!$W$24</f>
        <v>0</v>
      </c>
      <c r="AF139" s="21">
        <f>PINNAE_Geom!$X$24</f>
        <v>0</v>
      </c>
      <c r="AG139" s="56">
        <f>PINNAE_Geom!$W$25</f>
        <v>0</v>
      </c>
      <c r="AH139" s="21">
        <f>PINNAE_Geom!$X$25</f>
        <v>0</v>
      </c>
      <c r="AI139" s="56">
        <f>PINNAE_Geom!$W$26</f>
        <v>0</v>
      </c>
      <c r="AJ139" s="21">
        <f>PINNAE_Geom!$X$26</f>
        <v>0</v>
      </c>
      <c r="AK139" s="56">
        <f>PINNAE_Geom!$W$27</f>
        <v>0</v>
      </c>
      <c r="AL139" s="21">
        <f>PINNAE_Geom!$X$27</f>
        <v>0</v>
      </c>
      <c r="AM139" s="56">
        <f>PINNAE_Geom!$W$28</f>
        <v>0</v>
      </c>
      <c r="AN139" s="21">
        <f>PINNAE_Geom!$X$28</f>
        <v>0</v>
      </c>
      <c r="AO139" s="56">
        <f>PINNAE_Geom!$W$29</f>
        <v>0</v>
      </c>
      <c r="AP139" s="21">
        <f>PINNAE_Geom!$X$29</f>
        <v>0</v>
      </c>
      <c r="AQ139" s="56">
        <f>PINNAE_Geom!$W$30</f>
        <v>0</v>
      </c>
      <c r="AR139" s="21">
        <f>PINNAE_Geom!$X$30</f>
        <v>0</v>
      </c>
      <c r="AS139" s="56">
        <f>PINNAE_Geom!$W$31</f>
        <v>0</v>
      </c>
      <c r="AT139" s="21">
        <f>PINNAE_Geom!$X$31</f>
        <v>0</v>
      </c>
      <c r="AU139" s="56">
        <f>PINNAE_Geom!$W$32</f>
        <v>0</v>
      </c>
      <c r="AV139" s="21">
        <f>PINNAE_Geom!$X$32</f>
        <v>0</v>
      </c>
      <c r="AW139" s="56">
        <f>PINNAE_Geom!$W$33</f>
        <v>0</v>
      </c>
      <c r="AX139" s="21">
        <f>PINNAE_Geom!$X$33</f>
        <v>0</v>
      </c>
      <c r="AY139" s="56">
        <f>PINNAE_Geom!$W$34</f>
        <v>0</v>
      </c>
      <c r="AZ139" s="21">
        <f>PINNAE_Geom!$X$34</f>
        <v>0</v>
      </c>
      <c r="BA139" s="56">
        <f>PINNAE_Geom!$W$35</f>
        <v>0</v>
      </c>
      <c r="BB139" s="21">
        <f>PINNAE_Geom!$X$35</f>
        <v>0</v>
      </c>
      <c r="BC139" s="56">
        <f>PINNAE_Geom!$W$36</f>
        <v>0</v>
      </c>
      <c r="BD139" s="21">
        <f>PINNAE_Geom!$X$36</f>
        <v>0</v>
      </c>
      <c r="BE139" s="56">
        <f>PINNAE_Geom!$W$37</f>
        <v>0</v>
      </c>
      <c r="BF139" s="21">
        <f>PINNAE_Geom!$X$37</f>
        <v>0</v>
      </c>
      <c r="BG139" s="52" t="s">
        <v>69</v>
      </c>
      <c r="BH139" s="16"/>
    </row>
    <row r="140" spans="1:60">
      <c r="A140" s="20"/>
      <c r="B140" s="11" t="s">
        <v>203</v>
      </c>
      <c r="C140" s="2" t="s">
        <v>204</v>
      </c>
      <c r="D140" s="15" t="s">
        <v>12</v>
      </c>
      <c r="E140" s="9" t="s">
        <v>9</v>
      </c>
      <c r="F140" s="40" t="s">
        <v>8</v>
      </c>
      <c r="G140" s="46">
        <f>PINNAE_Geom!$Z$9</f>
        <v>1</v>
      </c>
      <c r="H140" s="72">
        <f>PINNAE_Geom!$Z$10</f>
        <v>19</v>
      </c>
      <c r="I140" s="59">
        <f>PINNAE_Geom!$Y$13</f>
        <v>0</v>
      </c>
      <c r="J140" s="21">
        <f>PINNAE_Geom!$Z$13</f>
        <v>0.54806961086342354</v>
      </c>
      <c r="K140" s="59">
        <f>PINNAE_Geom!$Y$14</f>
        <v>5.3605555861977985</v>
      </c>
      <c r="L140" s="21">
        <f>PINNAE_Geom!$Z$14</f>
        <v>0.2024729273868385</v>
      </c>
      <c r="M140" s="59">
        <f>PINNAE_Geom!$Y$15</f>
        <v>10</v>
      </c>
      <c r="N140" s="21">
        <f>PINNAE_Geom!$Z$15</f>
        <v>0.52744327374227051</v>
      </c>
      <c r="O140" s="59">
        <f>PINNAE_Geom!$Y$16</f>
        <v>20</v>
      </c>
      <c r="P140" s="21">
        <f>PINNAE_Geom!$Z$16</f>
        <v>0.64474114696268459</v>
      </c>
      <c r="Q140" s="59">
        <f>PINNAE_Geom!$Y$17</f>
        <v>26.922669813782981</v>
      </c>
      <c r="R140" s="21">
        <f>PINNAE_Geom!$Z$17</f>
        <v>0.34078263144217608</v>
      </c>
      <c r="S140" s="59">
        <f>PINNAE_Geom!$Y$18</f>
        <v>28.402760758696882</v>
      </c>
      <c r="T140" s="21">
        <f>PINNAE_Geom!$Z$18</f>
        <v>0.3734054239992538</v>
      </c>
      <c r="U140" s="59">
        <f>PINNAE_Geom!$Y$19</f>
        <v>30</v>
      </c>
      <c r="V140" s="21">
        <f>PINNAE_Geom!$Z$19</f>
        <v>0.68187915575935398</v>
      </c>
      <c r="W140" s="59">
        <f>PINNAE_Geom!$Y$20</f>
        <v>40</v>
      </c>
      <c r="X140" s="21">
        <f>PINNAE_Geom!$Z$20</f>
        <v>0.78162731566514243</v>
      </c>
      <c r="Y140" s="59">
        <f>PINNAE_Geom!$Y$21</f>
        <v>50</v>
      </c>
      <c r="Z140" s="21">
        <f>PINNAE_Geom!$Z$21</f>
        <v>0.89155594950570005</v>
      </c>
      <c r="AA140" s="59">
        <f>PINNAE_Geom!$Y$22</f>
        <v>60</v>
      </c>
      <c r="AB140" s="21">
        <f>PINNAE_Geom!$Z$22</f>
        <v>0.96677694123264091</v>
      </c>
      <c r="AC140" s="59">
        <f>PINNAE_Geom!$Y$23</f>
        <v>70</v>
      </c>
      <c r="AD140" s="21">
        <f>PINNAE_Geom!$Z$23</f>
        <v>1</v>
      </c>
      <c r="AE140" s="59">
        <f>PINNAE_Geom!$Y$24</f>
        <v>80</v>
      </c>
      <c r="AF140" s="21">
        <f>PINNAE_Geom!$Z$24</f>
        <v>0.94699217718002382</v>
      </c>
      <c r="AG140" s="59">
        <f>PINNAE_Geom!$Y$25</f>
        <v>90</v>
      </c>
      <c r="AH140" s="21">
        <f>PINNAE_Geom!$Z$25</f>
        <v>0.75175762452766159</v>
      </c>
      <c r="AI140" s="59">
        <f>PINNAE_Geom!$Y$26</f>
        <v>97.736572490101764</v>
      </c>
      <c r="AJ140" s="21">
        <f>PINNAE_Geom!$Z$26</f>
        <v>0.53643812476286767</v>
      </c>
      <c r="AK140" s="59">
        <f>PINNAE_Geom!$Y$27</f>
        <v>98.474693898206965</v>
      </c>
      <c r="AL140" s="21">
        <f>PINNAE_Geom!$Z$27</f>
        <v>0.50651509038857168</v>
      </c>
      <c r="AM140" s="59">
        <f>PINNAE_Geom!$Y$28</f>
        <v>99.115172061249353</v>
      </c>
      <c r="AN140" s="21">
        <f>PINNAE_Geom!$Z$28</f>
        <v>0.4944241374353272</v>
      </c>
      <c r="AO140" s="59">
        <f>PINNAE_Geom!$Y$29</f>
        <v>99.665653482478291</v>
      </c>
      <c r="AP140" s="21">
        <f>PINNAE_Geom!$Z$29</f>
        <v>0.44535553384278098</v>
      </c>
      <c r="AQ140" s="59">
        <f>PINNAE_Geom!$Y$30</f>
        <v>99.951573567634654</v>
      </c>
      <c r="AR140" s="21">
        <f>PINNAE_Geom!$Z$30</f>
        <v>0.43826088293752108</v>
      </c>
      <c r="AS140" s="59">
        <f>PINNAE_Geom!$Y$31</f>
        <v>100</v>
      </c>
      <c r="AT140" s="21">
        <f>PINNAE_Geom!$Z$31</f>
        <v>0.47499058617664147</v>
      </c>
      <c r="AU140" s="59">
        <f>PINNAE_Geom!$Y$32</f>
        <v>0</v>
      </c>
      <c r="AV140" s="21">
        <f>PINNAE_Geom!$Z$32</f>
        <v>0</v>
      </c>
      <c r="AW140" s="59">
        <f>PINNAE_Geom!$Y$33</f>
        <v>0</v>
      </c>
      <c r="AX140" s="21">
        <f>PINNAE_Geom!$Z$33</f>
        <v>0</v>
      </c>
      <c r="AY140" s="59">
        <f>PINNAE_Geom!$Y$34</f>
        <v>0</v>
      </c>
      <c r="AZ140" s="21">
        <f>PINNAE_Geom!$Z$34</f>
        <v>0</v>
      </c>
      <c r="BA140" s="59">
        <f>PINNAE_Geom!$Y$35</f>
        <v>0</v>
      </c>
      <c r="BB140" s="21">
        <f>PINNAE_Geom!$Z$35</f>
        <v>0</v>
      </c>
      <c r="BC140" s="59">
        <f>PINNAE_Geom!$Y$36</f>
        <v>0</v>
      </c>
      <c r="BD140" s="21">
        <f>PINNAE_Geom!$Z$36</f>
        <v>0</v>
      </c>
      <c r="BE140" s="59">
        <f>PINNAE_Geom!$Y$37</f>
        <v>0</v>
      </c>
      <c r="BF140" s="21">
        <f>PINNAE_Geom!$Z$37</f>
        <v>0</v>
      </c>
      <c r="BG140" s="52" t="s">
        <v>69</v>
      </c>
      <c r="BH140" s="16"/>
    </row>
    <row r="141" spans="1:60">
      <c r="A141" s="20"/>
      <c r="B141" s="11" t="s">
        <v>205</v>
      </c>
      <c r="C141" s="2" t="s">
        <v>206</v>
      </c>
      <c r="D141" s="15" t="s">
        <v>12</v>
      </c>
      <c r="E141" s="9" t="s">
        <v>0</v>
      </c>
      <c r="F141" s="40" t="s">
        <v>7</v>
      </c>
      <c r="G141" s="46">
        <f>PINNAE_Geom!$AA$9</f>
        <v>1</v>
      </c>
      <c r="H141" s="72">
        <f>PINNAE_Geom!$AA$10</f>
        <v>19</v>
      </c>
      <c r="I141" s="59">
        <f>PINNAE_Geom!$Y$13</f>
        <v>0</v>
      </c>
      <c r="J141" s="21">
        <f>PINNAE_Geom!$AA$13</f>
        <v>7.129538929643072</v>
      </c>
      <c r="K141" s="59">
        <f>PINNAE_Geom!$Y$14</f>
        <v>5.3605555861977985</v>
      </c>
      <c r="L141" s="21">
        <f>PINNAE_Geom!$AA$14</f>
        <v>7.2549239117210645E-2</v>
      </c>
      <c r="M141" s="59">
        <f>PINNAE_Geom!$Y$15</f>
        <v>10</v>
      </c>
      <c r="N141" s="21">
        <f>PINNAE_Geom!$AA$15</f>
        <v>3.1989666682541982E-3</v>
      </c>
      <c r="O141" s="59">
        <f>PINNAE_Geom!$Y$16</f>
        <v>20</v>
      </c>
      <c r="P141" s="21">
        <f>PINNAE_Geom!$AA$16</f>
        <v>3.891689485432474E-3</v>
      </c>
      <c r="Q141" s="59">
        <f>PINNAE_Geom!$Y$17</f>
        <v>26.922669813782981</v>
      </c>
      <c r="R141" s="21">
        <f>PINNAE_Geom!$AA$17</f>
        <v>5.2226089101028425E-2</v>
      </c>
      <c r="S141" s="59">
        <f>PINNAE_Geom!$Y$18</f>
        <v>28.402760758696882</v>
      </c>
      <c r="T141" s="21">
        <f>PINNAE_Geom!$AA$18</f>
        <v>5.9408704755158054E-2</v>
      </c>
      <c r="U141" s="59">
        <f>PINNAE_Geom!$Y$19</f>
        <v>30</v>
      </c>
      <c r="V141" s="21">
        <f>PINNAE_Geom!$AA$19</f>
        <v>1.1206142135119905E-2</v>
      </c>
      <c r="W141" s="59">
        <f>PINNAE_Geom!$Y$20</f>
        <v>40</v>
      </c>
      <c r="X141" s="21">
        <f>PINNAE_Geom!$AA$20</f>
        <v>6.222160457392851E-3</v>
      </c>
      <c r="Y141" s="59">
        <f>PINNAE_Geom!$Y$21</f>
        <v>50</v>
      </c>
      <c r="Z141" s="21">
        <f>PINNAE_Geom!$AA$21</f>
        <v>2.5255442647204616E-2</v>
      </c>
      <c r="AA141" s="59">
        <f>PINNAE_Geom!$Y$22</f>
        <v>60</v>
      </c>
      <c r="AB141" s="21">
        <f>PINNAE_Geom!$AA$22</f>
        <v>3.0941502589007419E-3</v>
      </c>
      <c r="AC141" s="59">
        <f>PINNAE_Geom!$Y$23</f>
        <v>70</v>
      </c>
      <c r="AD141" s="21">
        <f>PINNAE_Geom!$AA$23</f>
        <v>2.1783667519555431E-3</v>
      </c>
      <c r="AE141" s="59">
        <f>PINNAE_Geom!$Y$24</f>
        <v>80</v>
      </c>
      <c r="AF141" s="21">
        <f>PINNAE_Geom!$AA$24</f>
        <v>2.3909160456668842E-3</v>
      </c>
      <c r="AG141" s="59">
        <f>PINNAE_Geom!$Y$25</f>
        <v>90</v>
      </c>
      <c r="AH141" s="21">
        <f>PINNAE_Geom!$AA$25</f>
        <v>1.5113392708180624E-3</v>
      </c>
      <c r="AI141" s="59">
        <f>PINNAE_Geom!$Y$26</f>
        <v>97.736572490101764</v>
      </c>
      <c r="AJ141" s="21">
        <f>PINNAE_Geom!$AA$26</f>
        <v>0.11770374257491059</v>
      </c>
      <c r="AK141" s="59">
        <f>PINNAE_Geom!$Y$27</f>
        <v>98.474693898206965</v>
      </c>
      <c r="AL141" s="21">
        <f>PINNAE_Geom!$AA$27</f>
        <v>0.13655802680325807</v>
      </c>
      <c r="AM141" s="59">
        <f>PINNAE_Geom!$Y$28</f>
        <v>99.115172061249353</v>
      </c>
      <c r="AN141" s="21">
        <f>PINNAE_Geom!$AA$28</f>
        <v>0.1385605264689827</v>
      </c>
      <c r="AO141" s="59">
        <f>PINNAE_Geom!$Y$29</f>
        <v>99.665653482478291</v>
      </c>
      <c r="AP141" s="21">
        <f>PINNAE_Geom!$AA$29</f>
        <v>0.1089817045791867</v>
      </c>
      <c r="AQ141" s="59">
        <f>PINNAE_Geom!$Y$30</f>
        <v>99.951573567634654</v>
      </c>
      <c r="AR141" s="21">
        <f>PINNAE_Geom!$AA$30</f>
        <v>8.0342942459178585E-2</v>
      </c>
      <c r="AS141" s="59">
        <f>PINNAE_Geom!$Y$31</f>
        <v>100</v>
      </c>
      <c r="AT141" s="21">
        <f>PINNAE_Geom!$AA$31</f>
        <v>0.20507549404361355</v>
      </c>
      <c r="AU141" s="59">
        <f>PINNAE_Geom!$Y$32</f>
        <v>0</v>
      </c>
      <c r="AV141" s="21">
        <f>PINNAE_Geom!$AA$32</f>
        <v>0</v>
      </c>
      <c r="AW141" s="59">
        <f>PINNAE_Geom!$Y$33</f>
        <v>0</v>
      </c>
      <c r="AX141" s="21">
        <f>PINNAE_Geom!$AA$33</f>
        <v>0</v>
      </c>
      <c r="AY141" s="59">
        <f>PINNAE_Geom!$Y$34</f>
        <v>0</v>
      </c>
      <c r="AZ141" s="21">
        <f>PINNAE_Geom!$AA$34</f>
        <v>0</v>
      </c>
      <c r="BA141" s="59">
        <f>PINNAE_Geom!$Y$35</f>
        <v>0</v>
      </c>
      <c r="BB141" s="21">
        <f>PINNAE_Geom!$AA$35</f>
        <v>0</v>
      </c>
      <c r="BC141" s="59">
        <f>PINNAE_Geom!$Y$36</f>
        <v>0</v>
      </c>
      <c r="BD141" s="21">
        <f>PINNAE_Geom!$AA$36</f>
        <v>0</v>
      </c>
      <c r="BE141" s="59">
        <f>PINNAE_Geom!$Y$37</f>
        <v>0</v>
      </c>
      <c r="BF141" s="21">
        <f>PINNAE_Geom!$AA$37</f>
        <v>0</v>
      </c>
      <c r="BG141" s="52" t="s">
        <v>69</v>
      </c>
      <c r="BH141" s="16"/>
    </row>
    <row r="142" spans="1:60">
      <c r="A142" s="20"/>
      <c r="B142" s="11" t="s">
        <v>207</v>
      </c>
      <c r="C142" s="2" t="s">
        <v>214</v>
      </c>
      <c r="D142" s="33" t="s">
        <v>12</v>
      </c>
      <c r="E142" s="9" t="s">
        <v>9</v>
      </c>
      <c r="F142" s="40" t="s">
        <v>8</v>
      </c>
      <c r="G142" s="46">
        <f>PINNAE_Geom!$AC$9</f>
        <v>1</v>
      </c>
      <c r="H142" s="72">
        <f>PINNAE_Geom!$AC$10</f>
        <v>4</v>
      </c>
      <c r="I142" s="57">
        <f>PINNAE_Geom!$AB$13</f>
        <v>0</v>
      </c>
      <c r="J142" s="21">
        <f>PINNAE_Geom!$AC$13</f>
        <v>1</v>
      </c>
      <c r="K142" s="57">
        <f>PINNAE_Geom!$AB$14</f>
        <v>33.33</v>
      </c>
      <c r="L142" s="21">
        <f>PINNAE_Geom!$AC$14</f>
        <v>0.78772824304771161</v>
      </c>
      <c r="M142" s="57">
        <f>PINNAE_Geom!$AB$15</f>
        <v>66.67</v>
      </c>
      <c r="N142" s="21">
        <f>PINNAE_Geom!$AC$15</f>
        <v>0.48236304082814963</v>
      </c>
      <c r="O142" s="57">
        <f>PINNAE_Geom!$AB$16</f>
        <v>100</v>
      </c>
      <c r="P142" s="21">
        <f>PINNAE_Geom!$AC$16</f>
        <v>4.0000000000000001E-3</v>
      </c>
      <c r="Q142" s="57">
        <f>PINNAE_Geom!$AB$17</f>
        <v>0</v>
      </c>
      <c r="R142" s="21">
        <f>PINNAE_Geom!$AC$17</f>
        <v>0</v>
      </c>
      <c r="S142" s="57">
        <f>PINNAE_Geom!$AB$18</f>
        <v>0</v>
      </c>
      <c r="T142" s="21">
        <f>PINNAE_Geom!$AC$18</f>
        <v>0</v>
      </c>
      <c r="U142" s="57">
        <f>PINNAE_Geom!$AB$19</f>
        <v>0</v>
      </c>
      <c r="V142" s="21">
        <f>PINNAE_Geom!$AC$19</f>
        <v>0</v>
      </c>
      <c r="W142" s="57">
        <f>PINNAE_Geom!$AB$20</f>
        <v>0</v>
      </c>
      <c r="X142" s="21">
        <f>PINNAE_Geom!$AC$20</f>
        <v>0</v>
      </c>
      <c r="Y142" s="57">
        <f>PINNAE_Geom!$AB$21</f>
        <v>0</v>
      </c>
      <c r="Z142" s="21">
        <f>PINNAE_Geom!$AC$21</f>
        <v>0</v>
      </c>
      <c r="AA142" s="57">
        <f>PINNAE_Geom!$AB$22</f>
        <v>0</v>
      </c>
      <c r="AB142" s="21">
        <f>PINNAE_Geom!$AC$22</f>
        <v>0</v>
      </c>
      <c r="AC142" s="57">
        <f>PINNAE_Geom!$AB$23</f>
        <v>0</v>
      </c>
      <c r="AD142" s="21">
        <f>PINNAE_Geom!$AC$23</f>
        <v>0</v>
      </c>
      <c r="AE142" s="57">
        <f>PINNAE_Geom!$AB$24</f>
        <v>0</v>
      </c>
      <c r="AF142" s="21">
        <f>PINNAE_Geom!$AC$24</f>
        <v>0</v>
      </c>
      <c r="AG142" s="57">
        <f>PINNAE_Geom!$AB$25</f>
        <v>0</v>
      </c>
      <c r="AH142" s="21">
        <f>PINNAE_Geom!$AC$25</f>
        <v>0</v>
      </c>
      <c r="AI142" s="57">
        <f>PINNAE_Geom!$AB$26</f>
        <v>0</v>
      </c>
      <c r="AJ142" s="21">
        <f>PINNAE_Geom!$AC$26</f>
        <v>0</v>
      </c>
      <c r="AK142" s="57">
        <f>PINNAE_Geom!$AB$27</f>
        <v>0</v>
      </c>
      <c r="AL142" s="21">
        <f>PINNAE_Geom!$AC$27</f>
        <v>0</v>
      </c>
      <c r="AM142" s="57">
        <f>PINNAE_Geom!$AB$28</f>
        <v>0</v>
      </c>
      <c r="AN142" s="21">
        <f>PINNAE_Geom!$AC$28</f>
        <v>0</v>
      </c>
      <c r="AO142" s="57">
        <f>PINNAE_Geom!$AB$29</f>
        <v>0</v>
      </c>
      <c r="AP142" s="21">
        <f>PINNAE_Geom!$AC$29</f>
        <v>0</v>
      </c>
      <c r="AQ142" s="57">
        <f>PINNAE_Geom!$AB$30</f>
        <v>0</v>
      </c>
      <c r="AR142" s="21">
        <f>PINNAE_Geom!$AC$30</f>
        <v>0</v>
      </c>
      <c r="AS142" s="57">
        <f>PINNAE_Geom!$AB$31</f>
        <v>0</v>
      </c>
      <c r="AT142" s="21">
        <f>PINNAE_Geom!$AC$31</f>
        <v>0</v>
      </c>
      <c r="AU142" s="57">
        <f>PINNAE_Geom!$AB$32</f>
        <v>0</v>
      </c>
      <c r="AV142" s="21">
        <f>PINNAE_Geom!$AC$32</f>
        <v>0</v>
      </c>
      <c r="AW142" s="57">
        <f>PINNAE_Geom!$AB$33</f>
        <v>0</v>
      </c>
      <c r="AX142" s="21">
        <f>PINNAE_Geom!$AC$33</f>
        <v>0</v>
      </c>
      <c r="AY142" s="57">
        <f>PINNAE_Geom!$AB$34</f>
        <v>0</v>
      </c>
      <c r="AZ142" s="21">
        <f>PINNAE_Geom!$AC$34</f>
        <v>0</v>
      </c>
      <c r="BA142" s="57">
        <f>PINNAE_Geom!$AB$35</f>
        <v>0</v>
      </c>
      <c r="BB142" s="21">
        <f>PINNAE_Geom!$AC$35</f>
        <v>0</v>
      </c>
      <c r="BC142" s="57">
        <f>PINNAE_Geom!$AB$36</f>
        <v>0</v>
      </c>
      <c r="BD142" s="21">
        <f>PINNAE_Geom!$AC$36</f>
        <v>0</v>
      </c>
      <c r="BE142" s="57">
        <f>PINNAE_Geom!$AB$37</f>
        <v>0</v>
      </c>
      <c r="BF142" s="21">
        <f>PINNAE_Geom!$AC$37</f>
        <v>0</v>
      </c>
      <c r="BG142" s="52" t="s">
        <v>69</v>
      </c>
      <c r="BH142" s="16"/>
    </row>
    <row r="143" spans="1:60">
      <c r="A143" s="20"/>
      <c r="B143" s="11" t="s">
        <v>210</v>
      </c>
      <c r="C143" s="2" t="s">
        <v>215</v>
      </c>
      <c r="D143" s="33" t="s">
        <v>12</v>
      </c>
      <c r="E143" s="9" t="s">
        <v>9</v>
      </c>
      <c r="F143" s="40" t="s">
        <v>8</v>
      </c>
      <c r="G143" s="46">
        <f>PINNAE_Geom!$AE$9</f>
        <v>1</v>
      </c>
      <c r="H143" s="72">
        <f>PINNAE_Geom!$AE$10</f>
        <v>4</v>
      </c>
      <c r="I143" s="57">
        <f>PINNAE_Geom!$AD$13</f>
        <v>0</v>
      </c>
      <c r="J143" s="21">
        <f>PINNAE_Geom!$AE$13</f>
        <v>1</v>
      </c>
      <c r="K143" s="57">
        <f>PINNAE_Geom!$AD$14</f>
        <v>33.33</v>
      </c>
      <c r="L143" s="21">
        <f>PINNAE_Geom!$AE$14</f>
        <v>0.6</v>
      </c>
      <c r="M143" s="57">
        <f>PINNAE_Geom!$AD$15</f>
        <v>66.67</v>
      </c>
      <c r="N143" s="21">
        <f>PINNAE_Geom!$AE$15</f>
        <v>0.32</v>
      </c>
      <c r="O143" s="57">
        <f>PINNAE_Geom!$AD$16</f>
        <v>100</v>
      </c>
      <c r="P143" s="21">
        <f>PINNAE_Geom!$AE$16</f>
        <v>4.0000000000000001E-3</v>
      </c>
      <c r="Q143" s="57">
        <f>PINNAE_Geom!$AD$17</f>
        <v>0</v>
      </c>
      <c r="R143" s="21">
        <f>PINNAE_Geom!$AE$17</f>
        <v>0</v>
      </c>
      <c r="S143" s="57">
        <f>PINNAE_Geom!$AD$18</f>
        <v>0</v>
      </c>
      <c r="T143" s="21">
        <f>PINNAE_Geom!$AE$18</f>
        <v>0</v>
      </c>
      <c r="U143" s="57">
        <f>PINNAE_Geom!$AD$19</f>
        <v>0</v>
      </c>
      <c r="V143" s="21">
        <f>PINNAE_Geom!$AE$19</f>
        <v>0</v>
      </c>
      <c r="W143" s="57">
        <f>PINNAE_Geom!$AD$20</f>
        <v>0</v>
      </c>
      <c r="X143" s="21">
        <f>PINNAE_Geom!$AE$20</f>
        <v>0</v>
      </c>
      <c r="Y143" s="57">
        <f>PINNAE_Geom!$AD$21</f>
        <v>0</v>
      </c>
      <c r="Z143" s="21">
        <f>PINNAE_Geom!$AE$21</f>
        <v>0</v>
      </c>
      <c r="AA143" s="57">
        <f>PINNAE_Geom!$AD$22</f>
        <v>0</v>
      </c>
      <c r="AB143" s="21">
        <f>PINNAE_Geom!$AE$22</f>
        <v>0</v>
      </c>
      <c r="AC143" s="57">
        <f>PINNAE_Geom!$AD$23</f>
        <v>0</v>
      </c>
      <c r="AD143" s="21">
        <f>PINNAE_Geom!$AE$23</f>
        <v>0</v>
      </c>
      <c r="AE143" s="57">
        <f>PINNAE_Geom!$AD$24</f>
        <v>0</v>
      </c>
      <c r="AF143" s="21">
        <f>PINNAE_Geom!$AE$24</f>
        <v>0</v>
      </c>
      <c r="AG143" s="57">
        <f>PINNAE_Geom!$AD$25</f>
        <v>0</v>
      </c>
      <c r="AH143" s="21">
        <f>PINNAE_Geom!$AE$25</f>
        <v>0</v>
      </c>
      <c r="AI143" s="57">
        <f>PINNAE_Geom!$AD$26</f>
        <v>0</v>
      </c>
      <c r="AJ143" s="21">
        <f>PINNAE_Geom!$AE$26</f>
        <v>0</v>
      </c>
      <c r="AK143" s="57">
        <f>PINNAE_Geom!$AD$27</f>
        <v>0</v>
      </c>
      <c r="AL143" s="21">
        <f>PINNAE_Geom!$AE$27</f>
        <v>0</v>
      </c>
      <c r="AM143" s="57">
        <f>PINNAE_Geom!$AD$28</f>
        <v>0</v>
      </c>
      <c r="AN143" s="21">
        <f>PINNAE_Geom!$AE$28</f>
        <v>0</v>
      </c>
      <c r="AO143" s="57">
        <f>PINNAE_Geom!$AD$29</f>
        <v>0</v>
      </c>
      <c r="AP143" s="21">
        <f>PINNAE_Geom!$AE$29</f>
        <v>0</v>
      </c>
      <c r="AQ143" s="57">
        <f>PINNAE_Geom!$AD$30</f>
        <v>0</v>
      </c>
      <c r="AR143" s="21">
        <f>PINNAE_Geom!$AE$30</f>
        <v>0</v>
      </c>
      <c r="AS143" s="57">
        <f>PINNAE_Geom!$AD$31</f>
        <v>0</v>
      </c>
      <c r="AT143" s="21">
        <f>PINNAE_Geom!$AE$31</f>
        <v>0</v>
      </c>
      <c r="AU143" s="57">
        <f>PINNAE_Geom!$AD$32</f>
        <v>0</v>
      </c>
      <c r="AV143" s="21">
        <f>PINNAE_Geom!$AE$32</f>
        <v>0</v>
      </c>
      <c r="AW143" s="57">
        <f>PINNAE_Geom!$AD$33</f>
        <v>0</v>
      </c>
      <c r="AX143" s="21">
        <f>PINNAE_Geom!$AE$33</f>
        <v>0</v>
      </c>
      <c r="AY143" s="57">
        <f>PINNAE_Geom!$AD$34</f>
        <v>0</v>
      </c>
      <c r="AZ143" s="21">
        <f>PINNAE_Geom!$AE$34</f>
        <v>0</v>
      </c>
      <c r="BA143" s="57">
        <f>PINNAE_Geom!$AD$35</f>
        <v>0</v>
      </c>
      <c r="BB143" s="21">
        <f>PINNAE_Geom!$AE$35</f>
        <v>0</v>
      </c>
      <c r="BC143" s="57">
        <f>PINNAE_Geom!$AD$36</f>
        <v>0</v>
      </c>
      <c r="BD143" s="21">
        <f>PINNAE_Geom!$AE$36</f>
        <v>0</v>
      </c>
      <c r="BE143" s="57">
        <f>PINNAE_Geom!$AD$37</f>
        <v>0</v>
      </c>
      <c r="BF143" s="21">
        <f>PINNAE_Geom!$AE$37</f>
        <v>0</v>
      </c>
      <c r="BG143" s="52" t="s">
        <v>69</v>
      </c>
      <c r="BH143" s="16"/>
    </row>
    <row r="144" spans="1:60">
      <c r="A144" s="20"/>
      <c r="B144" s="11" t="s">
        <v>211</v>
      </c>
      <c r="C144" s="2" t="s">
        <v>216</v>
      </c>
      <c r="D144" s="33" t="s">
        <v>12</v>
      </c>
      <c r="E144" s="9" t="s">
        <v>9</v>
      </c>
      <c r="F144" s="40" t="s">
        <v>8</v>
      </c>
      <c r="G144" s="46">
        <f>PINNAE_Geom!$AG$9</f>
        <v>1</v>
      </c>
      <c r="H144" s="72">
        <f>PINNAE_Geom!$AG$10</f>
        <v>4</v>
      </c>
      <c r="I144" s="57">
        <f>PINNAE_Geom!$AF$13</f>
        <v>0</v>
      </c>
      <c r="J144" s="21">
        <f>PINNAE_Geom!$AG$13</f>
        <v>1</v>
      </c>
      <c r="K144" s="57">
        <f>PINNAE_Geom!$AF$14</f>
        <v>33.33</v>
      </c>
      <c r="L144" s="21">
        <f>PINNAE_Geom!$AG$14</f>
        <v>1</v>
      </c>
      <c r="M144" s="57">
        <f>PINNAE_Geom!$AF$15</f>
        <v>66.67</v>
      </c>
      <c r="N144" s="21">
        <f>PINNAE_Geom!$AG$15</f>
        <v>1</v>
      </c>
      <c r="O144" s="57">
        <f>PINNAE_Geom!$AF$16</f>
        <v>100</v>
      </c>
      <c r="P144" s="21">
        <f>PINNAE_Geom!$AG$16</f>
        <v>1</v>
      </c>
      <c r="Q144" s="57">
        <f>PINNAE_Geom!$AF$17</f>
        <v>0</v>
      </c>
      <c r="R144" s="21">
        <f>PINNAE_Geom!$AG$17</f>
        <v>0</v>
      </c>
      <c r="S144" s="57">
        <f>PINNAE_Geom!$AF$18</f>
        <v>0</v>
      </c>
      <c r="T144" s="21">
        <f>PINNAE_Geom!$AG$18</f>
        <v>0</v>
      </c>
      <c r="U144" s="57">
        <f>PINNAE_Geom!$AF$19</f>
        <v>0</v>
      </c>
      <c r="V144" s="21">
        <f>PINNAE_Geom!$AG$19</f>
        <v>0</v>
      </c>
      <c r="W144" s="57">
        <f>PINNAE_Geom!$AF$20</f>
        <v>0</v>
      </c>
      <c r="X144" s="21">
        <f>PINNAE_Geom!$AG$20</f>
        <v>0</v>
      </c>
      <c r="Y144" s="57">
        <f>PINNAE_Geom!$AF$21</f>
        <v>0</v>
      </c>
      <c r="Z144" s="21">
        <f>PINNAE_Geom!$AG$21</f>
        <v>0</v>
      </c>
      <c r="AA144" s="57">
        <f>PINNAE_Geom!$AF$22</f>
        <v>0</v>
      </c>
      <c r="AB144" s="21">
        <f>PINNAE_Geom!$AG$22</f>
        <v>0</v>
      </c>
      <c r="AC144" s="57">
        <f>PINNAE_Geom!$AF$23</f>
        <v>0</v>
      </c>
      <c r="AD144" s="21">
        <f>PINNAE_Geom!$AG$23</f>
        <v>0</v>
      </c>
      <c r="AE144" s="57">
        <f>PINNAE_Geom!$AF$24</f>
        <v>0</v>
      </c>
      <c r="AF144" s="21">
        <f>PINNAE_Geom!$AG$24</f>
        <v>0</v>
      </c>
      <c r="AG144" s="57">
        <f>PINNAE_Geom!$AF$25</f>
        <v>0</v>
      </c>
      <c r="AH144" s="21">
        <f>PINNAE_Geom!$AG$25</f>
        <v>0</v>
      </c>
      <c r="AI144" s="57">
        <f>PINNAE_Geom!$AF$26</f>
        <v>0</v>
      </c>
      <c r="AJ144" s="21">
        <f>PINNAE_Geom!$AG$26</f>
        <v>0</v>
      </c>
      <c r="AK144" s="57">
        <f>PINNAE_Geom!$AF$27</f>
        <v>0</v>
      </c>
      <c r="AL144" s="21">
        <f>PINNAE_Geom!$AG$27</f>
        <v>0</v>
      </c>
      <c r="AM144" s="57">
        <f>PINNAE_Geom!$AF$28</f>
        <v>0</v>
      </c>
      <c r="AN144" s="21">
        <f>PINNAE_Geom!$AG$28</f>
        <v>0</v>
      </c>
      <c r="AO144" s="57">
        <f>PINNAE_Geom!$AF$29</f>
        <v>0</v>
      </c>
      <c r="AP144" s="21">
        <f>PINNAE_Geom!$AG$29</f>
        <v>0</v>
      </c>
      <c r="AQ144" s="57">
        <f>PINNAE_Geom!$AF$30</f>
        <v>0</v>
      </c>
      <c r="AR144" s="21">
        <f>PINNAE_Geom!$AG$30</f>
        <v>0</v>
      </c>
      <c r="AS144" s="57">
        <f>PINNAE_Geom!$AF$31</f>
        <v>0</v>
      </c>
      <c r="AT144" s="21">
        <f>PINNAE_Geom!$AG$31</f>
        <v>0</v>
      </c>
      <c r="AU144" s="57">
        <f>PINNAE_Geom!$AF$32</f>
        <v>0</v>
      </c>
      <c r="AV144" s="21">
        <f>PINNAE_Geom!$AG$32</f>
        <v>0</v>
      </c>
      <c r="AW144" s="57">
        <f>PINNAE_Geom!$AF$33</f>
        <v>0</v>
      </c>
      <c r="AX144" s="21">
        <f>PINNAE_Geom!$AG$33</f>
        <v>0</v>
      </c>
      <c r="AY144" s="57">
        <f>PINNAE_Geom!$AF$34</f>
        <v>0</v>
      </c>
      <c r="AZ144" s="21">
        <f>PINNAE_Geom!$AG$34</f>
        <v>0</v>
      </c>
      <c r="BA144" s="57">
        <f>PINNAE_Geom!$AF$35</f>
        <v>0</v>
      </c>
      <c r="BB144" s="21">
        <f>PINNAE_Geom!$AG$35</f>
        <v>0</v>
      </c>
      <c r="BC144" s="57">
        <f>PINNAE_Geom!$AF$36</f>
        <v>0</v>
      </c>
      <c r="BD144" s="21">
        <f>PINNAE_Geom!$AG$36</f>
        <v>0</v>
      </c>
      <c r="BE144" s="57">
        <f>PINNAE_Geom!$AF$37</f>
        <v>0</v>
      </c>
      <c r="BF144" s="21">
        <f>PINNAE_Geom!$AG$37</f>
        <v>0</v>
      </c>
      <c r="BG144" s="52" t="s">
        <v>69</v>
      </c>
      <c r="BH144" s="16"/>
    </row>
    <row r="145" spans="1:60">
      <c r="A145" s="20"/>
      <c r="B145" s="11" t="s">
        <v>212</v>
      </c>
      <c r="C145" s="213" t="s">
        <v>733</v>
      </c>
      <c r="D145" s="15" t="s">
        <v>12</v>
      </c>
      <c r="E145" s="9" t="s">
        <v>443</v>
      </c>
      <c r="F145" s="40" t="s">
        <v>6</v>
      </c>
      <c r="G145" s="46">
        <f>PINNAE_Geom!$AJ$9</f>
        <v>1</v>
      </c>
      <c r="H145" s="72">
        <f>PINNAE_Geom!$AJ$10</f>
        <v>3</v>
      </c>
      <c r="I145" s="59">
        <f>PINNAE_Geom!$AI$13</f>
        <v>0</v>
      </c>
      <c r="J145" s="21">
        <f>PINNAE_Geom!$AJ$13</f>
        <v>310000</v>
      </c>
      <c r="K145" s="59">
        <f>PINNAE_Geom!$AI$14</f>
        <v>50</v>
      </c>
      <c r="L145" s="21">
        <f>PINNAE_Geom!$AJ$14</f>
        <v>283000</v>
      </c>
      <c r="M145" s="59">
        <f>PINNAE_Geom!$AI$15</f>
        <v>100</v>
      </c>
      <c r="N145" s="21">
        <f>PINNAE_Geom!$AJ$15</f>
        <v>260000</v>
      </c>
      <c r="O145" s="59">
        <f>PINNAE_Geom!$AI$16</f>
        <v>0</v>
      </c>
      <c r="P145" s="21">
        <f>PINNAE_Geom!$AJ$16</f>
        <v>0</v>
      </c>
      <c r="Q145" s="59">
        <f>PINNAE_Geom!$AI$17</f>
        <v>0</v>
      </c>
      <c r="R145" s="21">
        <f>PINNAE_Geom!$AJ$17</f>
        <v>0</v>
      </c>
      <c r="S145" s="59">
        <f>PINNAE_Geom!$AI$18</f>
        <v>0</v>
      </c>
      <c r="T145" s="21">
        <f>PINNAE_Geom!$AJ$18</f>
        <v>0</v>
      </c>
      <c r="U145" s="59">
        <f>PINNAE_Geom!$AI$19</f>
        <v>0</v>
      </c>
      <c r="V145" s="21">
        <f>PINNAE_Geom!$AJ$19</f>
        <v>0</v>
      </c>
      <c r="W145" s="59">
        <f>PINNAE_Geom!$AI$20</f>
        <v>0</v>
      </c>
      <c r="X145" s="21">
        <f>PINNAE_Geom!$AJ$20</f>
        <v>0</v>
      </c>
      <c r="Y145" s="59">
        <f>PINNAE_Geom!$AI$21</f>
        <v>0</v>
      </c>
      <c r="Z145" s="21">
        <f>PINNAE_Geom!$AJ$21</f>
        <v>0</v>
      </c>
      <c r="AA145" s="59">
        <f>PINNAE_Geom!$AI$22</f>
        <v>0</v>
      </c>
      <c r="AB145" s="21">
        <f>PINNAE_Geom!$AJ$22</f>
        <v>0</v>
      </c>
      <c r="AC145" s="59">
        <f>PINNAE_Geom!$AI$23</f>
        <v>0</v>
      </c>
      <c r="AD145" s="21">
        <f>PINNAE_Geom!$AJ$23</f>
        <v>0</v>
      </c>
      <c r="AE145" s="59">
        <f>PINNAE_Geom!$AI$24</f>
        <v>0</v>
      </c>
      <c r="AF145" s="21">
        <f>PINNAE_Geom!$AJ$24</f>
        <v>0</v>
      </c>
      <c r="AG145" s="59">
        <f>PINNAE_Geom!$AI$25</f>
        <v>0</v>
      </c>
      <c r="AH145" s="21">
        <f>PINNAE_Geom!$AJ$25</f>
        <v>0</v>
      </c>
      <c r="AI145" s="59">
        <f>PINNAE_Geom!$AI$26</f>
        <v>0</v>
      </c>
      <c r="AJ145" s="21">
        <f>PINNAE_Geom!$AJ$26</f>
        <v>0</v>
      </c>
      <c r="AK145" s="59">
        <f>PINNAE_Geom!$AI$27</f>
        <v>0</v>
      </c>
      <c r="AL145" s="21">
        <f>PINNAE_Geom!$AJ$27</f>
        <v>0</v>
      </c>
      <c r="AM145" s="59">
        <f>PINNAE_Geom!$AI$28</f>
        <v>0</v>
      </c>
      <c r="AN145" s="21">
        <f>PINNAE_Geom!$AJ$28</f>
        <v>0</v>
      </c>
      <c r="AO145" s="59">
        <f>PINNAE_Geom!$AI$29</f>
        <v>0</v>
      </c>
      <c r="AP145" s="21">
        <f>PINNAE_Geom!$AJ$29</f>
        <v>0</v>
      </c>
      <c r="AQ145" s="59">
        <f>PINNAE_Geom!$AI$30</f>
        <v>0</v>
      </c>
      <c r="AR145" s="21">
        <f>PINNAE_Geom!$AJ$30</f>
        <v>0</v>
      </c>
      <c r="AS145" s="59">
        <f>PINNAE_Geom!$AI$31</f>
        <v>0</v>
      </c>
      <c r="AT145" s="21">
        <f>PINNAE_Geom!$AJ$31</f>
        <v>0</v>
      </c>
      <c r="AU145" s="59">
        <f>PINNAE_Geom!$AI$32</f>
        <v>0</v>
      </c>
      <c r="AV145" s="21">
        <f>PINNAE_Geom!$AJ$32</f>
        <v>0</v>
      </c>
      <c r="AW145" s="59">
        <f>PINNAE_Geom!$AI$33</f>
        <v>0</v>
      </c>
      <c r="AX145" s="21">
        <f>PINNAE_Geom!$AJ$33</f>
        <v>0</v>
      </c>
      <c r="AY145" s="59">
        <f>PINNAE_Geom!$AI$34</f>
        <v>0</v>
      </c>
      <c r="AZ145" s="21">
        <f>PINNAE_Geom!$AJ$34</f>
        <v>0</v>
      </c>
      <c r="BA145" s="59">
        <f>PINNAE_Geom!$AI$35</f>
        <v>0</v>
      </c>
      <c r="BB145" s="21">
        <f>PINNAE_Geom!$AJ$35</f>
        <v>0</v>
      </c>
      <c r="BC145" s="59">
        <f>PINNAE_Geom!$AI$36</f>
        <v>0</v>
      </c>
      <c r="BD145" s="21">
        <f>PINNAE_Geom!$AJ$36</f>
        <v>0</v>
      </c>
      <c r="BE145" s="59">
        <f>PINNAE_Geom!$AI$37</f>
        <v>0</v>
      </c>
      <c r="BF145" s="21">
        <f>PINNAE_Geom!$AJ$37</f>
        <v>0</v>
      </c>
      <c r="BG145" s="52" t="s">
        <v>69</v>
      </c>
      <c r="BH145" s="16"/>
    </row>
    <row r="146" spans="1:60">
      <c r="A146" s="20"/>
      <c r="B146" s="11" t="s">
        <v>213</v>
      </c>
      <c r="C146" s="213" t="s">
        <v>734</v>
      </c>
      <c r="D146" s="15" t="s">
        <v>12</v>
      </c>
      <c r="E146" s="9" t="s">
        <v>443</v>
      </c>
      <c r="F146" s="40" t="s">
        <v>6</v>
      </c>
      <c r="G146" s="46">
        <f>PINNAE_Geom!AK9</f>
        <v>1</v>
      </c>
      <c r="H146" s="72">
        <f>PINNAE_Geom!AK10</f>
        <v>3</v>
      </c>
      <c r="I146" s="59">
        <f>PINNAE_Geom!$AI$13</f>
        <v>0</v>
      </c>
      <c r="J146" s="21">
        <f>PINNAE_Geom!$AK$13</f>
        <v>40</v>
      </c>
      <c r="K146" s="59">
        <f>PINNAE_Geom!$AI$14</f>
        <v>50</v>
      </c>
      <c r="L146" s="21">
        <f>PINNAE_Geom!$AK$14</f>
        <v>30</v>
      </c>
      <c r="M146" s="59">
        <f>PINNAE_Geom!$AI$15</f>
        <v>100</v>
      </c>
      <c r="N146" s="21">
        <f>PINNAE_Geom!$AK$15</f>
        <v>20</v>
      </c>
      <c r="O146" s="59">
        <f>PINNAE_Geom!$AI$16</f>
        <v>0</v>
      </c>
      <c r="P146" s="21">
        <f>PINNAE_Geom!$AK$16</f>
        <v>0</v>
      </c>
      <c r="Q146" s="59">
        <f>PINNAE_Geom!$AI$17</f>
        <v>0</v>
      </c>
      <c r="R146" s="21">
        <f>PINNAE_Geom!$AK$17</f>
        <v>0</v>
      </c>
      <c r="S146" s="59">
        <f>PINNAE_Geom!$AI$18</f>
        <v>0</v>
      </c>
      <c r="T146" s="21">
        <f>PINNAE_Geom!$AK$18</f>
        <v>0</v>
      </c>
      <c r="U146" s="59">
        <f>PINNAE_Geom!$AI$19</f>
        <v>0</v>
      </c>
      <c r="V146" s="21">
        <f>PINNAE_Geom!$AK$19</f>
        <v>0</v>
      </c>
      <c r="W146" s="59">
        <f>PINNAE_Geom!$AI$20</f>
        <v>0</v>
      </c>
      <c r="X146" s="21">
        <f>PINNAE_Geom!$AK$20</f>
        <v>0</v>
      </c>
      <c r="Y146" s="59">
        <f>PINNAE_Geom!$AI$21</f>
        <v>0</v>
      </c>
      <c r="Z146" s="21">
        <f>PINNAE_Geom!$AK$21</f>
        <v>0</v>
      </c>
      <c r="AA146" s="59">
        <f>PINNAE_Geom!$AI$22</f>
        <v>0</v>
      </c>
      <c r="AB146" s="21">
        <f>PINNAE_Geom!$AK$22</f>
        <v>0</v>
      </c>
      <c r="AC146" s="59">
        <f>PINNAE_Geom!$AI$23</f>
        <v>0</v>
      </c>
      <c r="AD146" s="21">
        <f>PINNAE_Geom!$AK$23</f>
        <v>0</v>
      </c>
      <c r="AE146" s="59">
        <f>PINNAE_Geom!$AI$24</f>
        <v>0</v>
      </c>
      <c r="AF146" s="21">
        <f>PINNAE_Geom!$AK$24</f>
        <v>0</v>
      </c>
      <c r="AG146" s="59">
        <f>PINNAE_Geom!$AI$25</f>
        <v>0</v>
      </c>
      <c r="AH146" s="21">
        <f>PINNAE_Geom!$AK$25</f>
        <v>0</v>
      </c>
      <c r="AI146" s="59">
        <f>PINNAE_Geom!$AI$26</f>
        <v>0</v>
      </c>
      <c r="AJ146" s="21">
        <f>PINNAE_Geom!$AK$26</f>
        <v>0</v>
      </c>
      <c r="AK146" s="59">
        <f>PINNAE_Geom!$AI$27</f>
        <v>0</v>
      </c>
      <c r="AL146" s="21">
        <f>PINNAE_Geom!$AK$27</f>
        <v>0</v>
      </c>
      <c r="AM146" s="59">
        <f>PINNAE_Geom!$AI$28</f>
        <v>0</v>
      </c>
      <c r="AN146" s="21">
        <f>PINNAE_Geom!$AK$28</f>
        <v>0</v>
      </c>
      <c r="AO146" s="59">
        <f>PINNAE_Geom!$AI$29</f>
        <v>0</v>
      </c>
      <c r="AP146" s="21">
        <f>PINNAE_Geom!$AK$29</f>
        <v>0</v>
      </c>
      <c r="AQ146" s="59">
        <f>PINNAE_Geom!$AI$30</f>
        <v>0</v>
      </c>
      <c r="AR146" s="21">
        <f>PINNAE_Geom!$AK$30</f>
        <v>0</v>
      </c>
      <c r="AS146" s="59">
        <f>PINNAE_Geom!$AI$31</f>
        <v>0</v>
      </c>
      <c r="AT146" s="21">
        <f>PINNAE_Geom!$AK$31</f>
        <v>0</v>
      </c>
      <c r="AU146" s="59">
        <f>PINNAE_Geom!$AI$32</f>
        <v>0</v>
      </c>
      <c r="AV146" s="21">
        <f>PINNAE_Geom!$AK$32</f>
        <v>0</v>
      </c>
      <c r="AW146" s="59">
        <f>PINNAE_Geom!$AI$33</f>
        <v>0</v>
      </c>
      <c r="AX146" s="21">
        <f>PINNAE_Geom!$AK$33</f>
        <v>0</v>
      </c>
      <c r="AY146" s="59">
        <f>PINNAE_Geom!$AI$34</f>
        <v>0</v>
      </c>
      <c r="AZ146" s="21">
        <f>PINNAE_Geom!$AK$34</f>
        <v>0</v>
      </c>
      <c r="BA146" s="59">
        <f>PINNAE_Geom!$AI$35</f>
        <v>0</v>
      </c>
      <c r="BB146" s="21">
        <f>PINNAE_Geom!$AK$35</f>
        <v>0</v>
      </c>
      <c r="BC146" s="59">
        <f>PINNAE_Geom!$AI$36</f>
        <v>0</v>
      </c>
      <c r="BD146" s="21">
        <f>PINNAE_Geom!$AK$36</f>
        <v>0</v>
      </c>
      <c r="BE146" s="59">
        <f>PINNAE_Geom!$AI$37</f>
        <v>0</v>
      </c>
      <c r="BF146" s="21">
        <f>PINNAE_Geom!$AK$37</f>
        <v>0</v>
      </c>
      <c r="BG146" s="52" t="s">
        <v>69</v>
      </c>
      <c r="BH146" s="16"/>
    </row>
    <row r="147" spans="1:60">
      <c r="A147" s="20"/>
      <c r="B147" s="11" t="s">
        <v>735</v>
      </c>
      <c r="C147" s="213" t="s">
        <v>983</v>
      </c>
      <c r="D147" s="69" t="s">
        <v>12</v>
      </c>
      <c r="E147" s="2" t="s">
        <v>5</v>
      </c>
      <c r="F147" s="40" t="s">
        <v>7</v>
      </c>
      <c r="G147" s="46">
        <f>PINNAE_Geom!$AL$9</f>
        <v>1</v>
      </c>
      <c r="H147" s="72">
        <f>PINNAE_Geom!$AL$10</f>
        <v>2</v>
      </c>
      <c r="I147" s="76">
        <f>PINNAE_Geom!$AL$13</f>
        <v>1</v>
      </c>
      <c r="J147" s="264">
        <f>PINNAE_Geom!$AM$13</f>
        <v>1</v>
      </c>
      <c r="K147" s="76">
        <f>PINNAE_Geom!$AL$14</f>
        <v>45</v>
      </c>
      <c r="L147" s="264">
        <f>PINNAE_Geom!$AM$14</f>
        <v>0.9</v>
      </c>
      <c r="M147" s="76">
        <f>PINNAE_Geom!$AL$15</f>
        <v>0</v>
      </c>
      <c r="N147" s="264">
        <f>PINNAE_Geom!$AM$15</f>
        <v>0</v>
      </c>
      <c r="O147" s="76">
        <f>PINNAE_Geom!$AL$16</f>
        <v>0</v>
      </c>
      <c r="P147" s="264">
        <f>PINNAE_Geom!$AM$16</f>
        <v>0</v>
      </c>
      <c r="Q147" s="76">
        <f>PINNAE_Geom!$AL$17</f>
        <v>0</v>
      </c>
      <c r="R147" s="264">
        <f>PINNAE_Geom!$AM$17</f>
        <v>0</v>
      </c>
      <c r="S147" s="76">
        <f>PINNAE_Geom!$AL$18</f>
        <v>0</v>
      </c>
      <c r="T147" s="264">
        <f>PINNAE_Geom!$AM$18</f>
        <v>0</v>
      </c>
      <c r="U147" s="76">
        <f>PINNAE_Geom!$AL$19</f>
        <v>0</v>
      </c>
      <c r="V147" s="264">
        <f>PINNAE_Geom!$AM$19</f>
        <v>0</v>
      </c>
      <c r="W147" s="76">
        <f>PINNAE_Geom!$AL$20</f>
        <v>0</v>
      </c>
      <c r="X147" s="264">
        <f>PINNAE_Geom!$AM$20</f>
        <v>0</v>
      </c>
      <c r="Y147" s="76">
        <f>PINNAE_Geom!$AL$21</f>
        <v>0</v>
      </c>
      <c r="Z147" s="264">
        <f>PINNAE_Geom!$AM$21</f>
        <v>0</v>
      </c>
      <c r="AA147" s="76">
        <f>PINNAE_Geom!$AL$22</f>
        <v>0</v>
      </c>
      <c r="AB147" s="264">
        <f>PINNAE_Geom!$AM$22</f>
        <v>0</v>
      </c>
      <c r="AC147" s="76">
        <f>PINNAE_Geom!$AL$23</f>
        <v>0</v>
      </c>
      <c r="AD147" s="264">
        <f>PINNAE_Geom!$AM$23</f>
        <v>0</v>
      </c>
      <c r="AE147" s="76">
        <f>PINNAE_Geom!$AL$24</f>
        <v>0</v>
      </c>
      <c r="AF147" s="264">
        <f>PINNAE_Geom!$AM$24</f>
        <v>0</v>
      </c>
      <c r="AG147" s="76">
        <f>PINNAE_Geom!$AL$25</f>
        <v>0</v>
      </c>
      <c r="AH147" s="264">
        <f>PINNAE_Geom!$AM$25</f>
        <v>0</v>
      </c>
      <c r="AI147" s="76">
        <f>PINNAE_Geom!$AL$26</f>
        <v>0</v>
      </c>
      <c r="AJ147" s="264">
        <f>PINNAE_Geom!$AM$26</f>
        <v>0</v>
      </c>
      <c r="AK147" s="76">
        <f>PINNAE_Geom!$AL$27</f>
        <v>0</v>
      </c>
      <c r="AL147" s="264">
        <f>PINNAE_Geom!$AM$27</f>
        <v>0</v>
      </c>
      <c r="AM147" s="76">
        <f>PINNAE_Geom!$AL$28</f>
        <v>0</v>
      </c>
      <c r="AN147" s="264">
        <f>PINNAE_Geom!$AM$28</f>
        <v>0</v>
      </c>
      <c r="AO147" s="76">
        <f>PINNAE_Geom!$AL$29</f>
        <v>0</v>
      </c>
      <c r="AP147" s="264">
        <f>PINNAE_Geom!$AM$29</f>
        <v>0</v>
      </c>
      <c r="AQ147" s="76">
        <f>PINNAE_Geom!$AL$30</f>
        <v>0</v>
      </c>
      <c r="AR147" s="264">
        <f>PINNAE_Geom!$AM$30</f>
        <v>0</v>
      </c>
      <c r="AS147" s="76">
        <f>PINNAE_Geom!$AL$31</f>
        <v>0</v>
      </c>
      <c r="AT147" s="264">
        <f>PINNAE_Geom!$AM$31</f>
        <v>0</v>
      </c>
      <c r="AU147" s="76">
        <f>PINNAE_Geom!$AL$32</f>
        <v>0</v>
      </c>
      <c r="AV147" s="264">
        <f>PINNAE_Geom!$AM$32</f>
        <v>0</v>
      </c>
      <c r="AW147" s="76">
        <f>PINNAE_Geom!$AL$33</f>
        <v>0</v>
      </c>
      <c r="AX147" s="264">
        <f>PINNAE_Geom!$AM$33</f>
        <v>0</v>
      </c>
      <c r="AY147" s="76">
        <f>PINNAE_Geom!$AL$34</f>
        <v>0</v>
      </c>
      <c r="AZ147" s="264">
        <f>PINNAE_Geom!$AM$34</f>
        <v>0</v>
      </c>
      <c r="BA147" s="76">
        <f>PINNAE_Geom!$AL$35</f>
        <v>0</v>
      </c>
      <c r="BB147" s="264">
        <f>PINNAE_Geom!$AM$35</f>
        <v>0</v>
      </c>
      <c r="BC147" s="76">
        <f>PINNAE_Geom!$AL$36</f>
        <v>0</v>
      </c>
      <c r="BD147" s="264">
        <f>PINNAE_Geom!$AM$36</f>
        <v>0</v>
      </c>
      <c r="BE147" s="76">
        <f>PINNAE_Geom!$AL$37</f>
        <v>0</v>
      </c>
      <c r="BF147" s="264">
        <f>PINNAE_Geom!$AM$37</f>
        <v>0</v>
      </c>
      <c r="BG147" s="52" t="s">
        <v>69</v>
      </c>
      <c r="BH147" s="16"/>
    </row>
    <row r="148" spans="1:60">
      <c r="A148" s="20"/>
      <c r="B148" s="11" t="s">
        <v>674</v>
      </c>
      <c r="C148" s="2" t="s">
        <v>675</v>
      </c>
      <c r="D148" s="15" t="s">
        <v>12</v>
      </c>
      <c r="E148" s="9" t="s">
        <v>4</v>
      </c>
      <c r="F148" s="40" t="s">
        <v>11</v>
      </c>
      <c r="G148" s="46">
        <f>PINNAE_Geom!$AP$9</f>
        <v>1</v>
      </c>
      <c r="H148" s="72">
        <f>PINNAE_Geom!$AP$10</f>
        <v>5</v>
      </c>
      <c r="I148" s="59">
        <f>PINNAE_Geom!$AO$13</f>
        <v>0</v>
      </c>
      <c r="J148" s="21">
        <f>PINNAE_Geom!$AP$13</f>
        <v>90</v>
      </c>
      <c r="K148" s="59">
        <f>PINNAE_Geom!$AO$14</f>
        <v>25</v>
      </c>
      <c r="L148" s="21">
        <f>PINNAE_Geom!$AP$14</f>
        <v>70</v>
      </c>
      <c r="M148" s="59">
        <f>PINNAE_Geom!$AO$15</f>
        <v>50</v>
      </c>
      <c r="N148" s="21">
        <f>PINNAE_Geom!$AP$15</f>
        <v>50</v>
      </c>
      <c r="O148" s="59">
        <f>PINNAE_Geom!$AO$16</f>
        <v>75</v>
      </c>
      <c r="P148" s="21">
        <f>PINNAE_Geom!$AP$16</f>
        <v>60</v>
      </c>
      <c r="Q148" s="59">
        <f>PINNAE_Geom!$AO$17</f>
        <v>100</v>
      </c>
      <c r="R148" s="21">
        <f>PINNAE_Geom!$AP$17</f>
        <v>80</v>
      </c>
      <c r="S148" s="59">
        <f>PINNAE_Geom!$AO$18</f>
        <v>0</v>
      </c>
      <c r="T148" s="21">
        <f>PINNAE_Geom!$AP$18</f>
        <v>0</v>
      </c>
      <c r="U148" s="59">
        <f>PINNAE_Geom!$AO$19</f>
        <v>0</v>
      </c>
      <c r="V148" s="21">
        <f>PINNAE_Geom!$AP$19</f>
        <v>0</v>
      </c>
      <c r="W148" s="59">
        <f>PINNAE_Geom!$AO$20</f>
        <v>0</v>
      </c>
      <c r="X148" s="21">
        <f>PINNAE_Geom!$AP$20</f>
        <v>0</v>
      </c>
      <c r="Y148" s="59">
        <f>PINNAE_Geom!$AO$21</f>
        <v>0</v>
      </c>
      <c r="Z148" s="21">
        <f>PINNAE_Geom!$AP$21</f>
        <v>0</v>
      </c>
      <c r="AA148" s="59">
        <f>PINNAE_Geom!$AO$22</f>
        <v>0</v>
      </c>
      <c r="AB148" s="21">
        <f>PINNAE_Geom!$AP$22</f>
        <v>0</v>
      </c>
      <c r="AC148" s="59">
        <f>PINNAE_Geom!$AO$23</f>
        <v>0</v>
      </c>
      <c r="AD148" s="21">
        <f>PINNAE_Geom!$AP$23</f>
        <v>0</v>
      </c>
      <c r="AE148" s="59">
        <f>PINNAE_Geom!$AO$24</f>
        <v>0</v>
      </c>
      <c r="AF148" s="21">
        <f>PINNAE_Geom!$AP$24</f>
        <v>0</v>
      </c>
      <c r="AG148" s="59">
        <f>PINNAE_Geom!$AO$25</f>
        <v>0</v>
      </c>
      <c r="AH148" s="21">
        <f>PINNAE_Geom!$AP$25</f>
        <v>0</v>
      </c>
      <c r="AI148" s="59">
        <f>PINNAE_Geom!$AO$26</f>
        <v>0</v>
      </c>
      <c r="AJ148" s="21">
        <f>PINNAE_Geom!$AP$26</f>
        <v>0</v>
      </c>
      <c r="AK148" s="59">
        <f>PINNAE_Geom!$AO$27</f>
        <v>0</v>
      </c>
      <c r="AL148" s="21">
        <f>PINNAE_Geom!$AP$27</f>
        <v>0</v>
      </c>
      <c r="AM148" s="59">
        <f>PINNAE_Geom!$AO$28</f>
        <v>0</v>
      </c>
      <c r="AN148" s="21">
        <f>PINNAE_Geom!$AP$28</f>
        <v>0</v>
      </c>
      <c r="AO148" s="59">
        <f>PINNAE_Geom!$AO$29</f>
        <v>0</v>
      </c>
      <c r="AP148" s="21">
        <f>PINNAE_Geom!$AP$29</f>
        <v>0</v>
      </c>
      <c r="AQ148" s="59">
        <f>PINNAE_Geom!$AO$30</f>
        <v>0</v>
      </c>
      <c r="AR148" s="21">
        <f>PINNAE_Geom!$AP$30</f>
        <v>0</v>
      </c>
      <c r="AS148" s="59">
        <f>PINNAE_Geom!$AO$31</f>
        <v>0</v>
      </c>
      <c r="AT148" s="21">
        <f>PINNAE_Geom!$AP$31</f>
        <v>0</v>
      </c>
      <c r="AU148" s="59">
        <f>PINNAE_Geom!$AO$32</f>
        <v>0</v>
      </c>
      <c r="AV148" s="21">
        <f>PINNAE_Geom!$AP$32</f>
        <v>0</v>
      </c>
      <c r="AW148" s="59">
        <f>PINNAE_Geom!$AO$33</f>
        <v>0</v>
      </c>
      <c r="AX148" s="21">
        <f>PINNAE_Geom!$AP$33</f>
        <v>0</v>
      </c>
      <c r="AY148" s="59">
        <f>PINNAE_Geom!$AO$34</f>
        <v>0</v>
      </c>
      <c r="AZ148" s="21">
        <f>PINNAE_Geom!$AP$34</f>
        <v>0</v>
      </c>
      <c r="BA148" s="59">
        <f>PINNAE_Geom!$AO$35</f>
        <v>0</v>
      </c>
      <c r="BB148" s="21">
        <f>PINNAE_Geom!$AP$35</f>
        <v>0</v>
      </c>
      <c r="BC148" s="59">
        <f>PINNAE_Geom!$AO$36</f>
        <v>0</v>
      </c>
      <c r="BD148" s="21">
        <f>PINNAE_Geom!$AP$36</f>
        <v>0</v>
      </c>
      <c r="BE148" s="59">
        <f>PINNAE_Geom!$AO$37</f>
        <v>0</v>
      </c>
      <c r="BF148" s="21">
        <f>PINNAE_Geom!$AP$37</f>
        <v>0</v>
      </c>
      <c r="BG148" s="52" t="s">
        <v>69</v>
      </c>
      <c r="BH148" s="16"/>
    </row>
    <row r="149" spans="1:60">
      <c r="A149" s="20"/>
      <c r="B149" s="11" t="s">
        <v>699</v>
      </c>
      <c r="C149" s="2" t="s">
        <v>676</v>
      </c>
      <c r="D149" s="15" t="s">
        <v>12</v>
      </c>
      <c r="E149" s="9" t="s">
        <v>4</v>
      </c>
      <c r="F149" s="40" t="s">
        <v>11</v>
      </c>
      <c r="G149" s="46">
        <f>PINNAE_Geom!$AQ$9</f>
        <v>1</v>
      </c>
      <c r="H149" s="72">
        <f>PINNAE_Geom!$AQ$10</f>
        <v>5</v>
      </c>
      <c r="I149" s="59">
        <f>PINNAE_Geom!$AO$13</f>
        <v>0</v>
      </c>
      <c r="J149" s="21">
        <f>PINNAE_Geom!$AQ$13</f>
        <v>0</v>
      </c>
      <c r="K149" s="59">
        <f>PINNAE_Geom!$AO$14</f>
        <v>25</v>
      </c>
      <c r="L149" s="21">
        <f>PINNAE_Geom!$AQ$14</f>
        <v>0</v>
      </c>
      <c r="M149" s="59">
        <f>PINNAE_Geom!$AO$15</f>
        <v>50</v>
      </c>
      <c r="N149" s="21">
        <f>PINNAE_Geom!$AQ$15</f>
        <v>0</v>
      </c>
      <c r="O149" s="59">
        <f>PINNAE_Geom!$AO$16</f>
        <v>75</v>
      </c>
      <c r="P149" s="21">
        <f>PINNAE_Geom!$AQ$16</f>
        <v>0</v>
      </c>
      <c r="Q149" s="59">
        <f>PINNAE_Geom!$AO$17</f>
        <v>100</v>
      </c>
      <c r="R149" s="21">
        <f>PINNAE_Geom!$AQ$17</f>
        <v>0</v>
      </c>
      <c r="S149" s="59">
        <f>PINNAE_Geom!$AO$18</f>
        <v>0</v>
      </c>
      <c r="T149" s="21">
        <f>PINNAE_Geom!$AQ$18</f>
        <v>0</v>
      </c>
      <c r="U149" s="59">
        <f>PINNAE_Geom!$AO$19</f>
        <v>0</v>
      </c>
      <c r="V149" s="21">
        <f>PINNAE_Geom!$AQ$19</f>
        <v>0</v>
      </c>
      <c r="W149" s="59">
        <f>PINNAE_Geom!$AO$20</f>
        <v>0</v>
      </c>
      <c r="X149" s="21">
        <f>PINNAE_Geom!$AQ$20</f>
        <v>0</v>
      </c>
      <c r="Y149" s="59">
        <f>PINNAE_Geom!$AO$21</f>
        <v>0</v>
      </c>
      <c r="Z149" s="21">
        <f>PINNAE_Geom!$AQ$21</f>
        <v>0</v>
      </c>
      <c r="AA149" s="59">
        <f>PINNAE_Geom!$AO$22</f>
        <v>0</v>
      </c>
      <c r="AB149" s="21">
        <f>PINNAE_Geom!$AQ$22</f>
        <v>0</v>
      </c>
      <c r="AC149" s="59">
        <f>PINNAE_Geom!$AO$23</f>
        <v>0</v>
      </c>
      <c r="AD149" s="21">
        <f>PINNAE_Geom!$AQ$23</f>
        <v>0</v>
      </c>
      <c r="AE149" s="59">
        <f>PINNAE_Geom!$AO$24</f>
        <v>0</v>
      </c>
      <c r="AF149" s="21">
        <f>PINNAE_Geom!$AQ$24</f>
        <v>0</v>
      </c>
      <c r="AG149" s="59">
        <f>PINNAE_Geom!$AO$25</f>
        <v>0</v>
      </c>
      <c r="AH149" s="21">
        <f>PINNAE_Geom!$AQ$25</f>
        <v>0</v>
      </c>
      <c r="AI149" s="59">
        <f>PINNAE_Geom!$AO$26</f>
        <v>0</v>
      </c>
      <c r="AJ149" s="21">
        <f>PINNAE_Geom!$AQ$26</f>
        <v>0</v>
      </c>
      <c r="AK149" s="59">
        <f>PINNAE_Geom!$AO$27</f>
        <v>0</v>
      </c>
      <c r="AL149" s="21">
        <f>PINNAE_Geom!$AQ$27</f>
        <v>0</v>
      </c>
      <c r="AM149" s="59">
        <f>PINNAE_Geom!$AO$28</f>
        <v>0</v>
      </c>
      <c r="AN149" s="21">
        <f>PINNAE_Geom!$AQ$28</f>
        <v>0</v>
      </c>
      <c r="AO149" s="59">
        <f>PINNAE_Geom!$AO$29</f>
        <v>0</v>
      </c>
      <c r="AP149" s="21">
        <f>PINNAE_Geom!$AQ$29</f>
        <v>0</v>
      </c>
      <c r="AQ149" s="59">
        <f>PINNAE_Geom!$AO$30</f>
        <v>0</v>
      </c>
      <c r="AR149" s="21">
        <f>PINNAE_Geom!$AQ$30</f>
        <v>0</v>
      </c>
      <c r="AS149" s="59">
        <f>PINNAE_Geom!$AO$31</f>
        <v>0</v>
      </c>
      <c r="AT149" s="21">
        <f>PINNAE_Geom!$AQ$31</f>
        <v>0</v>
      </c>
      <c r="AU149" s="59">
        <f>PINNAE_Geom!$AO$32</f>
        <v>0</v>
      </c>
      <c r="AV149" s="21">
        <f>PINNAE_Geom!$AQ$32</f>
        <v>0</v>
      </c>
      <c r="AW149" s="59">
        <f>PINNAE_Geom!$AO$33</f>
        <v>0</v>
      </c>
      <c r="AX149" s="21">
        <f>PINNAE_Geom!$AQ$33</f>
        <v>0</v>
      </c>
      <c r="AY149" s="59">
        <f>PINNAE_Geom!$AO$34</f>
        <v>0</v>
      </c>
      <c r="AZ149" s="21">
        <f>PINNAE_Geom!$AQ$34</f>
        <v>0</v>
      </c>
      <c r="BA149" s="59">
        <f>PINNAE_Geom!$AO$35</f>
        <v>0</v>
      </c>
      <c r="BB149" s="21">
        <f>PINNAE_Geom!$AQ$35</f>
        <v>0</v>
      </c>
      <c r="BC149" s="59">
        <f>PINNAE_Geom!$AO$36</f>
        <v>0</v>
      </c>
      <c r="BD149" s="21">
        <f>PINNAE_Geom!$AQ$36</f>
        <v>0</v>
      </c>
      <c r="BE149" s="59">
        <f>PINNAE_Geom!$AO$37</f>
        <v>0</v>
      </c>
      <c r="BF149" s="21">
        <f>PINNAE_Geom!$AQ$37</f>
        <v>0</v>
      </c>
      <c r="BG149" s="52" t="s">
        <v>69</v>
      </c>
      <c r="BH149" s="16"/>
    </row>
    <row r="150" spans="1:60">
      <c r="A150" s="20"/>
      <c r="B150" s="11" t="s">
        <v>702</v>
      </c>
      <c r="C150" s="2" t="s">
        <v>703</v>
      </c>
      <c r="D150" s="15" t="s">
        <v>12</v>
      </c>
      <c r="E150" s="9" t="s">
        <v>4</v>
      </c>
      <c r="F150" s="40" t="s">
        <v>11</v>
      </c>
      <c r="G150" s="46">
        <f>PINNAE_Geom!$AR$9</f>
        <v>1</v>
      </c>
      <c r="H150" s="72">
        <f>PINNAE_Geom!$AR$10</f>
        <v>5</v>
      </c>
      <c r="I150" s="59">
        <f>PINNAE_Geom!$AO$13</f>
        <v>0</v>
      </c>
      <c r="J150" s="21">
        <f>PINNAE_Geom!$AR$13</f>
        <v>0</v>
      </c>
      <c r="K150" s="59">
        <f>PINNAE_Geom!$AO$14</f>
        <v>25</v>
      </c>
      <c r="L150" s="21">
        <f>PINNAE_Geom!$AR$14</f>
        <v>0</v>
      </c>
      <c r="M150" s="59">
        <f>PINNAE_Geom!$AO$15</f>
        <v>50</v>
      </c>
      <c r="N150" s="21">
        <f>PINNAE_Geom!$AR$15</f>
        <v>0</v>
      </c>
      <c r="O150" s="59">
        <f>PINNAE_Geom!$AO$16</f>
        <v>75</v>
      </c>
      <c r="P150" s="21">
        <f>PINNAE_Geom!$AR$16</f>
        <v>0</v>
      </c>
      <c r="Q150" s="59">
        <f>PINNAE_Geom!$AO$17</f>
        <v>100</v>
      </c>
      <c r="R150" s="21">
        <f>PINNAE_Geom!$AR$17</f>
        <v>0</v>
      </c>
      <c r="S150" s="59">
        <f>PINNAE_Geom!$AO$18</f>
        <v>0</v>
      </c>
      <c r="T150" s="21">
        <f>PINNAE_Geom!$AR$18</f>
        <v>0</v>
      </c>
      <c r="U150" s="59">
        <f>PINNAE_Geom!$AO$19</f>
        <v>0</v>
      </c>
      <c r="V150" s="21">
        <f>PINNAE_Geom!$AR$19</f>
        <v>0</v>
      </c>
      <c r="W150" s="59">
        <f>PINNAE_Geom!$AO$20</f>
        <v>0</v>
      </c>
      <c r="X150" s="21">
        <f>PINNAE_Geom!$AR$20</f>
        <v>0</v>
      </c>
      <c r="Y150" s="59">
        <f>PINNAE_Geom!$AO$21</f>
        <v>0</v>
      </c>
      <c r="Z150" s="21">
        <f>PINNAE_Geom!$AR$21</f>
        <v>0</v>
      </c>
      <c r="AA150" s="59">
        <f>PINNAE_Geom!$AO$22</f>
        <v>0</v>
      </c>
      <c r="AB150" s="21">
        <f>PINNAE_Geom!$AR$22</f>
        <v>0</v>
      </c>
      <c r="AC150" s="59">
        <f>PINNAE_Geom!$AO$23</f>
        <v>0</v>
      </c>
      <c r="AD150" s="21">
        <f>PINNAE_Geom!$AR$23</f>
        <v>0</v>
      </c>
      <c r="AE150" s="59">
        <f>PINNAE_Geom!$AO$24</f>
        <v>0</v>
      </c>
      <c r="AF150" s="21">
        <f>PINNAE_Geom!$AR$24</f>
        <v>0</v>
      </c>
      <c r="AG150" s="59">
        <f>PINNAE_Geom!$AO$25</f>
        <v>0</v>
      </c>
      <c r="AH150" s="21">
        <f>PINNAE_Geom!$AR$25</f>
        <v>0</v>
      </c>
      <c r="AI150" s="59">
        <f>PINNAE_Geom!$AO$26</f>
        <v>0</v>
      </c>
      <c r="AJ150" s="21">
        <f>PINNAE_Geom!$AR$26</f>
        <v>0</v>
      </c>
      <c r="AK150" s="59">
        <f>PINNAE_Geom!$AO$27</f>
        <v>0</v>
      </c>
      <c r="AL150" s="21">
        <f>PINNAE_Geom!$AR$27</f>
        <v>0</v>
      </c>
      <c r="AM150" s="59">
        <f>PINNAE_Geom!$AO$28</f>
        <v>0</v>
      </c>
      <c r="AN150" s="21">
        <f>PINNAE_Geom!$AR$28</f>
        <v>0</v>
      </c>
      <c r="AO150" s="59">
        <f>PINNAE_Geom!$AO$29</f>
        <v>0</v>
      </c>
      <c r="AP150" s="21">
        <f>PINNAE_Geom!$AR$29</f>
        <v>0</v>
      </c>
      <c r="AQ150" s="59">
        <f>PINNAE_Geom!$AO$30</f>
        <v>0</v>
      </c>
      <c r="AR150" s="21">
        <f>PINNAE_Geom!$AR$30</f>
        <v>0</v>
      </c>
      <c r="AS150" s="59">
        <f>PINNAE_Geom!$AO$31</f>
        <v>0</v>
      </c>
      <c r="AT150" s="21">
        <f>PINNAE_Geom!$AR$31</f>
        <v>0</v>
      </c>
      <c r="AU150" s="59">
        <f>PINNAE_Geom!$AO$32</f>
        <v>0</v>
      </c>
      <c r="AV150" s="21">
        <f>PINNAE_Geom!$AR$32</f>
        <v>0</v>
      </c>
      <c r="AW150" s="59">
        <f>PINNAE_Geom!$AO$33</f>
        <v>0</v>
      </c>
      <c r="AX150" s="21">
        <f>PINNAE_Geom!$AR$33</f>
        <v>0</v>
      </c>
      <c r="AY150" s="59">
        <f>PINNAE_Geom!$AO$34</f>
        <v>0</v>
      </c>
      <c r="AZ150" s="21">
        <f>PINNAE_Geom!$AR$34</f>
        <v>0</v>
      </c>
      <c r="BA150" s="59">
        <f>PINNAE_Geom!$AO$35</f>
        <v>0</v>
      </c>
      <c r="BB150" s="21">
        <f>PINNAE_Geom!$AR$35</f>
        <v>0</v>
      </c>
      <c r="BC150" s="59">
        <f>PINNAE_Geom!$AO$36</f>
        <v>0</v>
      </c>
      <c r="BD150" s="21">
        <f>PINNAE_Geom!$AR$36</f>
        <v>0</v>
      </c>
      <c r="BE150" s="59">
        <f>PINNAE_Geom!$AO$37</f>
        <v>0</v>
      </c>
      <c r="BF150" s="21">
        <f>PINNAE_Geom!$AR$37</f>
        <v>0</v>
      </c>
      <c r="BG150" s="52" t="s">
        <v>69</v>
      </c>
      <c r="BH150" s="16"/>
    </row>
    <row r="151" spans="1:60" s="65" customFormat="1" ht="18.75">
      <c r="A151" s="21" t="s">
        <v>69</v>
      </c>
      <c r="B151" s="61"/>
      <c r="C151" s="62" t="s">
        <v>577</v>
      </c>
      <c r="D151" s="62"/>
      <c r="E151" s="62"/>
      <c r="F151" s="62"/>
      <c r="G151" s="61"/>
      <c r="H151" s="67"/>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52" t="s">
        <v>69</v>
      </c>
      <c r="BH151" s="64"/>
    </row>
    <row r="152" spans="1:60">
      <c r="A152" s="20"/>
      <c r="B152" s="11" t="s">
        <v>314</v>
      </c>
      <c r="C152" s="2" t="s">
        <v>422</v>
      </c>
      <c r="D152" s="13" t="s">
        <v>12</v>
      </c>
      <c r="E152" s="2" t="s">
        <v>635</v>
      </c>
      <c r="F152" s="40" t="s">
        <v>7</v>
      </c>
      <c r="G152" s="46">
        <f>INFLO_Prod!$D$9</f>
        <v>0</v>
      </c>
      <c r="H152" s="72">
        <f>INFLO_Prod!$D$10</f>
        <v>1</v>
      </c>
      <c r="I152" s="56">
        <f>INFLO_Prod!$C$13</f>
        <v>1</v>
      </c>
      <c r="J152" s="88">
        <f>INFLO_Prod!$D$13</f>
        <v>32</v>
      </c>
      <c r="K152" s="56">
        <f>INFLO_Prod!$C$14</f>
        <v>0</v>
      </c>
      <c r="L152" s="88">
        <f>INFLO_Prod!$D$14</f>
        <v>0</v>
      </c>
      <c r="M152" s="56">
        <f>INFLO_Prod!$C$15</f>
        <v>0</v>
      </c>
      <c r="N152" s="88">
        <f>INFLO_Prod!$D$15</f>
        <v>0</v>
      </c>
      <c r="O152" s="56">
        <f>INFLO_Prod!$C$16</f>
        <v>0</v>
      </c>
      <c r="P152" s="88">
        <f>INFLO_Prod!$D$16</f>
        <v>0</v>
      </c>
      <c r="Q152" s="56">
        <f>INFLO_Prod!$C$17</f>
        <v>0</v>
      </c>
      <c r="R152" s="88">
        <f>INFLO_Prod!$D$17</f>
        <v>0</v>
      </c>
      <c r="S152" s="56">
        <f>INFLO_Prod!$C$18</f>
        <v>0</v>
      </c>
      <c r="T152" s="88">
        <f>INFLO_Prod!$D$18</f>
        <v>0</v>
      </c>
      <c r="U152" s="56">
        <f>INFLO_Prod!$C$19</f>
        <v>0</v>
      </c>
      <c r="V152" s="88">
        <f>INFLO_Prod!$D$19</f>
        <v>0</v>
      </c>
      <c r="W152" s="56">
        <f>INFLO_Prod!$C$20</f>
        <v>0</v>
      </c>
      <c r="X152" s="88">
        <f>INFLO_Prod!$D$20</f>
        <v>0</v>
      </c>
      <c r="Y152" s="56">
        <f>INFLO_Prod!$C$21</f>
        <v>0</v>
      </c>
      <c r="Z152" s="88">
        <f>INFLO_Prod!$D$21</f>
        <v>0</v>
      </c>
      <c r="AA152" s="56">
        <f>INFLO_Prod!$C$22</f>
        <v>0</v>
      </c>
      <c r="AB152" s="88">
        <f>INFLO_Prod!$D$22</f>
        <v>0</v>
      </c>
      <c r="AC152" s="56">
        <f>INFLO_Prod!$C$23</f>
        <v>0</v>
      </c>
      <c r="AD152" s="88">
        <f>INFLO_Prod!$D$23</f>
        <v>0</v>
      </c>
      <c r="AE152" s="56">
        <f>INFLO_Prod!$C$24</f>
        <v>0</v>
      </c>
      <c r="AF152" s="88">
        <f>INFLO_Prod!$D$24</f>
        <v>0</v>
      </c>
      <c r="AG152" s="56">
        <f>INFLO_Prod!$C$25</f>
        <v>0</v>
      </c>
      <c r="AH152" s="88">
        <f>INFLO_Prod!$D$25</f>
        <v>0</v>
      </c>
      <c r="AI152" s="56">
        <f>INFLO_Prod!$C$26</f>
        <v>0</v>
      </c>
      <c r="AJ152" s="88">
        <f>INFLO_Prod!$D$26</f>
        <v>0</v>
      </c>
      <c r="AK152" s="56">
        <f>INFLO_Prod!$C$27</f>
        <v>0</v>
      </c>
      <c r="AL152" s="88">
        <f>INFLO_Prod!$D$27</f>
        <v>0</v>
      </c>
      <c r="AM152" s="56">
        <f>INFLO_Prod!$C$28</f>
        <v>0</v>
      </c>
      <c r="AN152" s="88">
        <f>INFLO_Prod!$D$28</f>
        <v>0</v>
      </c>
      <c r="AO152" s="56">
        <f>INFLO_Prod!$C$29</f>
        <v>0</v>
      </c>
      <c r="AP152" s="88">
        <f>INFLO_Prod!$D$29</f>
        <v>0</v>
      </c>
      <c r="AQ152" s="56">
        <f>INFLO_Prod!$C$30</f>
        <v>0</v>
      </c>
      <c r="AR152" s="88">
        <f>INFLO_Prod!$D$30</f>
        <v>0</v>
      </c>
      <c r="AS152" s="56">
        <f>INFLO_Prod!$C$31</f>
        <v>0</v>
      </c>
      <c r="AT152" s="88">
        <f>INFLO_Prod!$D$31</f>
        <v>0</v>
      </c>
      <c r="AU152" s="56">
        <f>INFLO_Prod!$C$32</f>
        <v>0</v>
      </c>
      <c r="AV152" s="88">
        <f>INFLO_Prod!$D$32</f>
        <v>0</v>
      </c>
      <c r="AW152" s="56">
        <f>INFLO_Prod!$C$33</f>
        <v>0</v>
      </c>
      <c r="AX152" s="88">
        <f>INFLO_Prod!$D$33</f>
        <v>0</v>
      </c>
      <c r="AY152" s="56">
        <f>INFLO_Prod!$C$34</f>
        <v>0</v>
      </c>
      <c r="AZ152" s="88">
        <f>INFLO_Prod!$D$34</f>
        <v>0</v>
      </c>
      <c r="BA152" s="56">
        <f>INFLO_Prod!$C$35</f>
        <v>0</v>
      </c>
      <c r="BB152" s="88">
        <f>INFLO_Prod!$D$35</f>
        <v>0</v>
      </c>
      <c r="BC152" s="56">
        <f>INFLO_Prod!$C$36</f>
        <v>0</v>
      </c>
      <c r="BD152" s="88">
        <f>INFLO_Prod!$D$36</f>
        <v>0</v>
      </c>
      <c r="BE152" s="56">
        <f>INFLO_Prod!$C$37</f>
        <v>0</v>
      </c>
      <c r="BF152" s="88">
        <f>INFLO_Prod!$D$37</f>
        <v>0</v>
      </c>
      <c r="BG152" s="52" t="s">
        <v>69</v>
      </c>
      <c r="BH152" s="3"/>
    </row>
    <row r="153" spans="1:60">
      <c r="A153" s="20"/>
      <c r="B153" s="11" t="s">
        <v>336</v>
      </c>
      <c r="C153" s="2" t="s">
        <v>423</v>
      </c>
      <c r="D153" s="13" t="s">
        <v>12</v>
      </c>
      <c r="E153" s="2" t="s">
        <v>635</v>
      </c>
      <c r="F153" s="40" t="s">
        <v>7</v>
      </c>
      <c r="G153" s="46">
        <f>INFLO_Prod!$E$9</f>
        <v>0</v>
      </c>
      <c r="H153" s="72">
        <f>INFLO_Prod!$E$10</f>
        <v>1</v>
      </c>
      <c r="I153" s="56">
        <f>INFLO_Prod!$C$13</f>
        <v>1</v>
      </c>
      <c r="J153" s="88">
        <f>INFLO_Prod!$E$13</f>
        <v>12</v>
      </c>
      <c r="K153" s="56">
        <f>INFLO_Prod!$C$14</f>
        <v>0</v>
      </c>
      <c r="L153" s="88">
        <f>INFLO_Prod!$E$14</f>
        <v>0</v>
      </c>
      <c r="M153" s="56">
        <f>INFLO_Prod!$C$15</f>
        <v>0</v>
      </c>
      <c r="N153" s="88">
        <f>INFLO_Prod!$E$15</f>
        <v>0</v>
      </c>
      <c r="O153" s="56">
        <f>INFLO_Prod!$C$16</f>
        <v>0</v>
      </c>
      <c r="P153" s="88">
        <f>INFLO_Prod!$E$16</f>
        <v>0</v>
      </c>
      <c r="Q153" s="56">
        <f>INFLO_Prod!$C$17</f>
        <v>0</v>
      </c>
      <c r="R153" s="88">
        <f>INFLO_Prod!$E$17</f>
        <v>0</v>
      </c>
      <c r="S153" s="56">
        <f>INFLO_Prod!$C$18</f>
        <v>0</v>
      </c>
      <c r="T153" s="88">
        <f>INFLO_Prod!$E$18</f>
        <v>0</v>
      </c>
      <c r="U153" s="56">
        <f>INFLO_Prod!$C$19</f>
        <v>0</v>
      </c>
      <c r="V153" s="88">
        <f>INFLO_Prod!$E$19</f>
        <v>0</v>
      </c>
      <c r="W153" s="56">
        <f>INFLO_Prod!$C$20</f>
        <v>0</v>
      </c>
      <c r="X153" s="88">
        <f>INFLO_Prod!$E$20</f>
        <v>0</v>
      </c>
      <c r="Y153" s="56">
        <f>INFLO_Prod!$C$21</f>
        <v>0</v>
      </c>
      <c r="Z153" s="88">
        <f>INFLO_Prod!$E$21</f>
        <v>0</v>
      </c>
      <c r="AA153" s="56">
        <f>INFLO_Prod!$C$22</f>
        <v>0</v>
      </c>
      <c r="AB153" s="88">
        <f>INFLO_Prod!$E$22</f>
        <v>0</v>
      </c>
      <c r="AC153" s="56">
        <f>INFLO_Prod!$C$23</f>
        <v>0</v>
      </c>
      <c r="AD153" s="88">
        <f>INFLO_Prod!$E$23</f>
        <v>0</v>
      </c>
      <c r="AE153" s="56">
        <f>INFLO_Prod!$C$24</f>
        <v>0</v>
      </c>
      <c r="AF153" s="88">
        <f>INFLO_Prod!$E$24</f>
        <v>0</v>
      </c>
      <c r="AG153" s="56">
        <f>INFLO_Prod!$C$25</f>
        <v>0</v>
      </c>
      <c r="AH153" s="88">
        <f>INFLO_Prod!$E$25</f>
        <v>0</v>
      </c>
      <c r="AI153" s="56">
        <f>INFLO_Prod!$C$26</f>
        <v>0</v>
      </c>
      <c r="AJ153" s="88">
        <f>INFLO_Prod!$E$26</f>
        <v>0</v>
      </c>
      <c r="AK153" s="56">
        <f>INFLO_Prod!$C$27</f>
        <v>0</v>
      </c>
      <c r="AL153" s="88">
        <f>INFLO_Prod!$E$27</f>
        <v>0</v>
      </c>
      <c r="AM153" s="56">
        <f>INFLO_Prod!$C$28</f>
        <v>0</v>
      </c>
      <c r="AN153" s="88">
        <f>INFLO_Prod!$E$28</f>
        <v>0</v>
      </c>
      <c r="AO153" s="56">
        <f>INFLO_Prod!$C$29</f>
        <v>0</v>
      </c>
      <c r="AP153" s="88">
        <f>INFLO_Prod!$E$29</f>
        <v>0</v>
      </c>
      <c r="AQ153" s="56">
        <f>INFLO_Prod!$C$30</f>
        <v>0</v>
      </c>
      <c r="AR153" s="88">
        <f>INFLO_Prod!$E$30</f>
        <v>0</v>
      </c>
      <c r="AS153" s="56">
        <f>INFLO_Prod!$C$31</f>
        <v>0</v>
      </c>
      <c r="AT153" s="88">
        <f>INFLO_Prod!$E$31</f>
        <v>0</v>
      </c>
      <c r="AU153" s="56">
        <f>INFLO_Prod!$C$32</f>
        <v>0</v>
      </c>
      <c r="AV153" s="88">
        <f>INFLO_Prod!$E$32</f>
        <v>0</v>
      </c>
      <c r="AW153" s="56">
        <f>INFLO_Prod!$C$33</f>
        <v>0</v>
      </c>
      <c r="AX153" s="88">
        <f>INFLO_Prod!$E$33</f>
        <v>0</v>
      </c>
      <c r="AY153" s="56">
        <f>INFLO_Prod!$C$34</f>
        <v>0</v>
      </c>
      <c r="AZ153" s="88">
        <f>INFLO_Prod!$E$34</f>
        <v>0</v>
      </c>
      <c r="BA153" s="56">
        <f>INFLO_Prod!$C$35</f>
        <v>0</v>
      </c>
      <c r="BB153" s="88">
        <f>INFLO_Prod!$E$35</f>
        <v>0</v>
      </c>
      <c r="BC153" s="56">
        <f>INFLO_Prod!$C$36</f>
        <v>0</v>
      </c>
      <c r="BD153" s="88">
        <f>INFLO_Prod!$E$36</f>
        <v>0</v>
      </c>
      <c r="BE153" s="56">
        <f>INFLO_Prod!$C$37</f>
        <v>0</v>
      </c>
      <c r="BF153" s="88">
        <f>INFLO_Prod!$E$37</f>
        <v>0</v>
      </c>
      <c r="BG153" s="52" t="s">
        <v>69</v>
      </c>
      <c r="BH153" s="3"/>
    </row>
    <row r="154" spans="1:60">
      <c r="A154" s="20"/>
      <c r="B154" s="11" t="s">
        <v>378</v>
      </c>
      <c r="C154" s="2" t="s">
        <v>377</v>
      </c>
      <c r="D154" s="13" t="s">
        <v>12</v>
      </c>
      <c r="E154" s="2" t="s">
        <v>635</v>
      </c>
      <c r="F154" s="40" t="s">
        <v>7</v>
      </c>
      <c r="G154" s="46">
        <f>INFLO_Prod!$F$9</f>
        <v>0</v>
      </c>
      <c r="H154" s="72">
        <f>INFLO_Prod!$F$10</f>
        <v>1</v>
      </c>
      <c r="I154" s="56">
        <f>INFLO_Prod!$C$13</f>
        <v>1</v>
      </c>
      <c r="J154" s="88">
        <f>INFLO_Prod!$F$13</f>
        <v>16</v>
      </c>
      <c r="K154" s="56">
        <f>INFLO_Prod!$C$14</f>
        <v>0</v>
      </c>
      <c r="L154" s="88">
        <f>INFLO_Prod!$F$14</f>
        <v>0</v>
      </c>
      <c r="M154" s="56">
        <f>INFLO_Prod!$C$15</f>
        <v>0</v>
      </c>
      <c r="N154" s="88">
        <f>INFLO_Prod!$F$15</f>
        <v>0</v>
      </c>
      <c r="O154" s="56">
        <f>INFLO_Prod!$C$16</f>
        <v>0</v>
      </c>
      <c r="P154" s="88">
        <f>INFLO_Prod!$F$16</f>
        <v>0</v>
      </c>
      <c r="Q154" s="56">
        <f>INFLO_Prod!$C$17</f>
        <v>0</v>
      </c>
      <c r="R154" s="88">
        <f>INFLO_Prod!$F$17</f>
        <v>0</v>
      </c>
      <c r="S154" s="56">
        <f>INFLO_Prod!$C$18</f>
        <v>0</v>
      </c>
      <c r="T154" s="88">
        <f>INFLO_Prod!$F$18</f>
        <v>0</v>
      </c>
      <c r="U154" s="56">
        <f>INFLO_Prod!$C$19</f>
        <v>0</v>
      </c>
      <c r="V154" s="88">
        <f>INFLO_Prod!$F$19</f>
        <v>0</v>
      </c>
      <c r="W154" s="56">
        <f>INFLO_Prod!$C$20</f>
        <v>0</v>
      </c>
      <c r="X154" s="88">
        <f>INFLO_Prod!$F$20</f>
        <v>0</v>
      </c>
      <c r="Y154" s="56">
        <f>INFLO_Prod!$C$21</f>
        <v>0</v>
      </c>
      <c r="Z154" s="88">
        <f>INFLO_Prod!$F$21</f>
        <v>0</v>
      </c>
      <c r="AA154" s="56">
        <f>INFLO_Prod!$C$22</f>
        <v>0</v>
      </c>
      <c r="AB154" s="88">
        <f>INFLO_Prod!$F$22</f>
        <v>0</v>
      </c>
      <c r="AC154" s="56">
        <f>INFLO_Prod!$C$23</f>
        <v>0</v>
      </c>
      <c r="AD154" s="88">
        <f>INFLO_Prod!$F$23</f>
        <v>0</v>
      </c>
      <c r="AE154" s="56">
        <f>INFLO_Prod!$C$24</f>
        <v>0</v>
      </c>
      <c r="AF154" s="88">
        <f>INFLO_Prod!$F$24</f>
        <v>0</v>
      </c>
      <c r="AG154" s="56">
        <f>INFLO_Prod!$C$25</f>
        <v>0</v>
      </c>
      <c r="AH154" s="88">
        <f>INFLO_Prod!$F$25</f>
        <v>0</v>
      </c>
      <c r="AI154" s="56">
        <f>INFLO_Prod!$C$26</f>
        <v>0</v>
      </c>
      <c r="AJ154" s="88">
        <f>INFLO_Prod!$F$26</f>
        <v>0</v>
      </c>
      <c r="AK154" s="56">
        <f>INFLO_Prod!$C$27</f>
        <v>0</v>
      </c>
      <c r="AL154" s="88">
        <f>INFLO_Prod!$F$27</f>
        <v>0</v>
      </c>
      <c r="AM154" s="56">
        <f>INFLO_Prod!$C$28</f>
        <v>0</v>
      </c>
      <c r="AN154" s="88">
        <f>INFLO_Prod!$F$28</f>
        <v>0</v>
      </c>
      <c r="AO154" s="56">
        <f>INFLO_Prod!$C$29</f>
        <v>0</v>
      </c>
      <c r="AP154" s="88">
        <f>INFLO_Prod!$F$29</f>
        <v>0</v>
      </c>
      <c r="AQ154" s="56">
        <f>INFLO_Prod!$C$30</f>
        <v>0</v>
      </c>
      <c r="AR154" s="88">
        <f>INFLO_Prod!$F$30</f>
        <v>0</v>
      </c>
      <c r="AS154" s="56">
        <f>INFLO_Prod!$C$31</f>
        <v>0</v>
      </c>
      <c r="AT154" s="88">
        <f>INFLO_Prod!$F$31</f>
        <v>0</v>
      </c>
      <c r="AU154" s="56">
        <f>INFLO_Prod!$C$32</f>
        <v>0</v>
      </c>
      <c r="AV154" s="88">
        <f>INFLO_Prod!$F$32</f>
        <v>0</v>
      </c>
      <c r="AW154" s="56">
        <f>INFLO_Prod!$C$33</f>
        <v>0</v>
      </c>
      <c r="AX154" s="88">
        <f>INFLO_Prod!$F$33</f>
        <v>0</v>
      </c>
      <c r="AY154" s="56">
        <f>INFLO_Prod!$C$34</f>
        <v>0</v>
      </c>
      <c r="AZ154" s="88">
        <f>INFLO_Prod!$F$34</f>
        <v>0</v>
      </c>
      <c r="BA154" s="56">
        <f>INFLO_Prod!$C$35</f>
        <v>0</v>
      </c>
      <c r="BB154" s="88">
        <f>INFLO_Prod!$F$35</f>
        <v>0</v>
      </c>
      <c r="BC154" s="56">
        <f>INFLO_Prod!$C$36</f>
        <v>0</v>
      </c>
      <c r="BD154" s="88">
        <f>INFLO_Prod!$F$36</f>
        <v>0</v>
      </c>
      <c r="BE154" s="56">
        <f>INFLO_Prod!$C$37</f>
        <v>0</v>
      </c>
      <c r="BF154" s="88">
        <f>INFLO_Prod!$F$37</f>
        <v>0</v>
      </c>
      <c r="BG154" s="52" t="s">
        <v>69</v>
      </c>
      <c r="BH154" s="16"/>
    </row>
    <row r="155" spans="1:60">
      <c r="A155" s="20"/>
      <c r="B155" s="10" t="s">
        <v>217</v>
      </c>
      <c r="C155" s="2" t="s">
        <v>533</v>
      </c>
      <c r="D155" s="15" t="s">
        <v>12</v>
      </c>
      <c r="E155" s="9" t="s">
        <v>4</v>
      </c>
      <c r="F155" s="40" t="s">
        <v>11</v>
      </c>
      <c r="G155" s="46">
        <f>INFLO_Prod!$H$9</f>
        <v>1</v>
      </c>
      <c r="H155" s="72">
        <f>INFLO_Prod!$H$10</f>
        <v>4</v>
      </c>
      <c r="I155" s="58">
        <f>INFLO_Prod!$G$13</f>
        <v>0</v>
      </c>
      <c r="J155" s="21">
        <f>INFLO_Prod!$H$13</f>
        <v>0</v>
      </c>
      <c r="K155" s="58">
        <f>INFLO_Prod!$G$14</f>
        <v>20</v>
      </c>
      <c r="L155" s="21">
        <f>INFLO_Prod!$H$14</f>
        <v>70</v>
      </c>
      <c r="M155" s="58">
        <f>INFLO_Prod!$G$15</f>
        <v>70</v>
      </c>
      <c r="N155" s="21">
        <f>INFLO_Prod!$H$15</f>
        <v>70</v>
      </c>
      <c r="O155" s="58">
        <f>INFLO_Prod!$G$16</f>
        <v>100</v>
      </c>
      <c r="P155" s="21">
        <f>INFLO_Prod!$H$16</f>
        <v>90</v>
      </c>
      <c r="Q155" s="58">
        <f>INFLO_Prod!$G$17</f>
        <v>0</v>
      </c>
      <c r="R155" s="21">
        <f>INFLO_Prod!$H$17</f>
        <v>0</v>
      </c>
      <c r="S155" s="58">
        <f>INFLO_Prod!$G$18</f>
        <v>0</v>
      </c>
      <c r="T155" s="21">
        <f>INFLO_Prod!$H$18</f>
        <v>0</v>
      </c>
      <c r="U155" s="58">
        <f>INFLO_Prod!$G$19</f>
        <v>0</v>
      </c>
      <c r="V155" s="21">
        <f>INFLO_Prod!$H$19</f>
        <v>0</v>
      </c>
      <c r="W155" s="58">
        <f>INFLO_Prod!$G$20</f>
        <v>0</v>
      </c>
      <c r="X155" s="21">
        <f>INFLO_Prod!$H$20</f>
        <v>0</v>
      </c>
      <c r="Y155" s="58">
        <f>INFLO_Prod!$G$21</f>
        <v>0</v>
      </c>
      <c r="Z155" s="21">
        <f>INFLO_Prod!$H$21</f>
        <v>0</v>
      </c>
      <c r="AA155" s="58">
        <f>INFLO_Prod!$G$22</f>
        <v>0</v>
      </c>
      <c r="AB155" s="21">
        <f>INFLO_Prod!$H$22</f>
        <v>0</v>
      </c>
      <c r="AC155" s="58">
        <f>INFLO_Prod!$G$23</f>
        <v>0</v>
      </c>
      <c r="AD155" s="21">
        <f>INFLO_Prod!$H$23</f>
        <v>0</v>
      </c>
      <c r="AE155" s="58">
        <f>INFLO_Prod!$G$24</f>
        <v>0</v>
      </c>
      <c r="AF155" s="21">
        <f>INFLO_Prod!$H$24</f>
        <v>0</v>
      </c>
      <c r="AG155" s="58">
        <f>INFLO_Prod!$G$25</f>
        <v>0</v>
      </c>
      <c r="AH155" s="21">
        <f>INFLO_Prod!$H$25</f>
        <v>0</v>
      </c>
      <c r="AI155" s="58">
        <f>INFLO_Prod!$G$26</f>
        <v>0</v>
      </c>
      <c r="AJ155" s="21">
        <f>INFLO_Prod!$H$26</f>
        <v>0</v>
      </c>
      <c r="AK155" s="58">
        <f>INFLO_Prod!$G$27</f>
        <v>0</v>
      </c>
      <c r="AL155" s="21">
        <f>INFLO_Prod!$H$27</f>
        <v>0</v>
      </c>
      <c r="AM155" s="58">
        <f>INFLO_Prod!$G$28</f>
        <v>0</v>
      </c>
      <c r="AN155" s="21">
        <f>INFLO_Prod!$H$28</f>
        <v>0</v>
      </c>
      <c r="AO155" s="58">
        <f>INFLO_Prod!$G$29</f>
        <v>0</v>
      </c>
      <c r="AP155" s="21">
        <f>INFLO_Prod!$H$29</f>
        <v>0</v>
      </c>
      <c r="AQ155" s="58">
        <f>INFLO_Prod!$G$30</f>
        <v>0</v>
      </c>
      <c r="AR155" s="21">
        <f>INFLO_Prod!$H$30</f>
        <v>0</v>
      </c>
      <c r="AS155" s="58">
        <f>INFLO_Prod!$G$31</f>
        <v>0</v>
      </c>
      <c r="AT155" s="21">
        <f>INFLO_Prod!$H$31</f>
        <v>0</v>
      </c>
      <c r="AU155" s="58">
        <f>INFLO_Prod!$G$32</f>
        <v>0</v>
      </c>
      <c r="AV155" s="21">
        <f>INFLO_Prod!$H$32</f>
        <v>0</v>
      </c>
      <c r="AW155" s="58">
        <f>INFLO_Prod!$G$33</f>
        <v>0</v>
      </c>
      <c r="AX155" s="21">
        <f>INFLO_Prod!$H$33</f>
        <v>0</v>
      </c>
      <c r="AY155" s="58">
        <f>INFLO_Prod!$G$34</f>
        <v>0</v>
      </c>
      <c r="AZ155" s="21">
        <f>INFLO_Prod!$H$34</f>
        <v>0</v>
      </c>
      <c r="BA155" s="58">
        <f>INFLO_Prod!$G$35</f>
        <v>0</v>
      </c>
      <c r="BB155" s="21">
        <f>INFLO_Prod!$H$35</f>
        <v>0</v>
      </c>
      <c r="BC155" s="58">
        <f>INFLO_Prod!$G$36</f>
        <v>0</v>
      </c>
      <c r="BD155" s="21">
        <f>INFLO_Prod!$H$36</f>
        <v>0</v>
      </c>
      <c r="BE155" s="58">
        <f>INFLO_Prod!$G$37</f>
        <v>0</v>
      </c>
      <c r="BF155" s="21">
        <f>INFLO_Prod!$H$37</f>
        <v>0</v>
      </c>
      <c r="BG155" s="52" t="s">
        <v>69</v>
      </c>
      <c r="BH155" s="16"/>
    </row>
    <row r="156" spans="1:60">
      <c r="A156" s="20"/>
      <c r="B156" s="11" t="s">
        <v>461</v>
      </c>
      <c r="C156" s="2" t="s">
        <v>534</v>
      </c>
      <c r="D156" s="15" t="s">
        <v>12</v>
      </c>
      <c r="E156" s="9" t="s">
        <v>4</v>
      </c>
      <c r="F156" s="40" t="s">
        <v>11</v>
      </c>
      <c r="G156" s="46">
        <f>INFLO_Prod!$I$9</f>
        <v>1</v>
      </c>
      <c r="H156" s="72">
        <f>INFLO_Prod!$I$10</f>
        <v>4</v>
      </c>
      <c r="I156" s="58">
        <f>INFLO_Prod!$G$13</f>
        <v>0</v>
      </c>
      <c r="J156" s="21">
        <f>INFLO_Prod!$I$13</f>
        <v>0</v>
      </c>
      <c r="K156" s="58">
        <f>INFLO_Prod!$G$14</f>
        <v>20</v>
      </c>
      <c r="L156" s="21">
        <f>INFLO_Prod!$I$14</f>
        <v>0.7</v>
      </c>
      <c r="M156" s="58">
        <f>INFLO_Prod!$G$15</f>
        <v>70</v>
      </c>
      <c r="N156" s="21">
        <f>INFLO_Prod!$I$15</f>
        <v>0.7</v>
      </c>
      <c r="O156" s="58">
        <f>INFLO_Prod!$G$16</f>
        <v>100</v>
      </c>
      <c r="P156" s="21">
        <f>INFLO_Prod!$I$16</f>
        <v>0.9</v>
      </c>
      <c r="Q156" s="58">
        <f>INFLO_Prod!$G$17</f>
        <v>0</v>
      </c>
      <c r="R156" s="21">
        <f>INFLO_Prod!$I$17</f>
        <v>0</v>
      </c>
      <c r="S156" s="58">
        <f>INFLO_Prod!$G$18</f>
        <v>0</v>
      </c>
      <c r="T156" s="21">
        <f>INFLO_Prod!$I$18</f>
        <v>0</v>
      </c>
      <c r="U156" s="58">
        <f>INFLO_Prod!$G$19</f>
        <v>0</v>
      </c>
      <c r="V156" s="21">
        <f>INFLO_Prod!$I$19</f>
        <v>0</v>
      </c>
      <c r="W156" s="58">
        <f>INFLO_Prod!$G$20</f>
        <v>0</v>
      </c>
      <c r="X156" s="21">
        <f>INFLO_Prod!$I$20</f>
        <v>0</v>
      </c>
      <c r="Y156" s="58">
        <f>INFLO_Prod!$G$21</f>
        <v>0</v>
      </c>
      <c r="Z156" s="21">
        <f>INFLO_Prod!$I$21</f>
        <v>0</v>
      </c>
      <c r="AA156" s="58">
        <f>INFLO_Prod!$G$22</f>
        <v>0</v>
      </c>
      <c r="AB156" s="21">
        <f>INFLO_Prod!$I$22</f>
        <v>0</v>
      </c>
      <c r="AC156" s="58">
        <f>INFLO_Prod!$G$23</f>
        <v>0</v>
      </c>
      <c r="AD156" s="21">
        <f>INFLO_Prod!$I$23</f>
        <v>0</v>
      </c>
      <c r="AE156" s="58">
        <f>INFLO_Prod!$G$24</f>
        <v>0</v>
      </c>
      <c r="AF156" s="21">
        <f>INFLO_Prod!$I$24</f>
        <v>0</v>
      </c>
      <c r="AG156" s="58">
        <f>INFLO_Prod!$G$25</f>
        <v>0</v>
      </c>
      <c r="AH156" s="21">
        <f>INFLO_Prod!$I$25</f>
        <v>0</v>
      </c>
      <c r="AI156" s="58">
        <f>INFLO_Prod!$G$26</f>
        <v>0</v>
      </c>
      <c r="AJ156" s="21">
        <f>INFLO_Prod!$I$26</f>
        <v>0</v>
      </c>
      <c r="AK156" s="58">
        <f>INFLO_Prod!$G$27</f>
        <v>0</v>
      </c>
      <c r="AL156" s="21">
        <f>INFLO_Prod!$I$27</f>
        <v>0</v>
      </c>
      <c r="AM156" s="58">
        <f>INFLO_Prod!$G$28</f>
        <v>0</v>
      </c>
      <c r="AN156" s="21">
        <f>INFLO_Prod!$I$28</f>
        <v>0</v>
      </c>
      <c r="AO156" s="58">
        <f>INFLO_Prod!$G$29</f>
        <v>0</v>
      </c>
      <c r="AP156" s="21">
        <f>INFLO_Prod!$I$29</f>
        <v>0</v>
      </c>
      <c r="AQ156" s="58">
        <f>INFLO_Prod!$G$30</f>
        <v>0</v>
      </c>
      <c r="AR156" s="21">
        <f>INFLO_Prod!$I$30</f>
        <v>0</v>
      </c>
      <c r="AS156" s="58">
        <f>INFLO_Prod!$G$31</f>
        <v>0</v>
      </c>
      <c r="AT156" s="21">
        <f>INFLO_Prod!$I$31</f>
        <v>0</v>
      </c>
      <c r="AU156" s="58">
        <f>INFLO_Prod!$G$32</f>
        <v>0</v>
      </c>
      <c r="AV156" s="21">
        <f>INFLO_Prod!$I$32</f>
        <v>0</v>
      </c>
      <c r="AW156" s="58">
        <f>INFLO_Prod!$G$33</f>
        <v>0</v>
      </c>
      <c r="AX156" s="21">
        <f>INFLO_Prod!$I$33</f>
        <v>0</v>
      </c>
      <c r="AY156" s="58">
        <f>INFLO_Prod!$G$34</f>
        <v>0</v>
      </c>
      <c r="AZ156" s="21">
        <f>INFLO_Prod!$I$34</f>
        <v>0</v>
      </c>
      <c r="BA156" s="58">
        <f>INFLO_Prod!$G$35</f>
        <v>0</v>
      </c>
      <c r="BB156" s="21">
        <f>INFLO_Prod!$I$35</f>
        <v>0</v>
      </c>
      <c r="BC156" s="58">
        <f>INFLO_Prod!$G$36</f>
        <v>0</v>
      </c>
      <c r="BD156" s="21">
        <f>INFLO_Prod!$I$36</f>
        <v>0</v>
      </c>
      <c r="BE156" s="58">
        <f>INFLO_Prod!$G$37</f>
        <v>0</v>
      </c>
      <c r="BF156" s="21">
        <f>INFLO_Prod!$I$37</f>
        <v>0</v>
      </c>
      <c r="BG156" s="52" t="s">
        <v>69</v>
      </c>
      <c r="BH156" s="16"/>
    </row>
    <row r="157" spans="1:60">
      <c r="A157" s="20"/>
      <c r="B157" s="11" t="s">
        <v>303</v>
      </c>
      <c r="C157" s="2" t="s">
        <v>135</v>
      </c>
      <c r="D157" s="13" t="s">
        <v>12</v>
      </c>
      <c r="E157" s="2" t="s">
        <v>319</v>
      </c>
      <c r="F157" s="40" t="s">
        <v>7</v>
      </c>
      <c r="G157" s="46">
        <f>INFLO_Prod!$J$9</f>
        <v>0</v>
      </c>
      <c r="H157" s="72">
        <f>INFLO_Prod!$J$10</f>
        <v>1</v>
      </c>
      <c r="I157" s="56">
        <f>INFLO_Prod!$C$13</f>
        <v>1</v>
      </c>
      <c r="J157" s="88">
        <f>INFLO_Prod!$J$13</f>
        <v>0</v>
      </c>
      <c r="K157" s="56">
        <f>INFLO_Prod!$C$14</f>
        <v>0</v>
      </c>
      <c r="L157" s="88">
        <f>INFLO_Prod!$J$14</f>
        <v>0</v>
      </c>
      <c r="M157" s="56">
        <f>INFLO_Prod!$C$15</f>
        <v>0</v>
      </c>
      <c r="N157" s="88">
        <f>INFLO_Prod!$J$15</f>
        <v>0</v>
      </c>
      <c r="O157" s="56">
        <f>INFLO_Prod!$C$16</f>
        <v>0</v>
      </c>
      <c r="P157" s="88">
        <f>INFLO_Prod!$J$16</f>
        <v>0</v>
      </c>
      <c r="Q157" s="56">
        <f>INFLO_Prod!$C$17</f>
        <v>0</v>
      </c>
      <c r="R157" s="88">
        <f>INFLO_Prod!$J$17</f>
        <v>0</v>
      </c>
      <c r="S157" s="56">
        <f>INFLO_Prod!$C$18</f>
        <v>0</v>
      </c>
      <c r="T157" s="88">
        <f>INFLO_Prod!$J$18</f>
        <v>0</v>
      </c>
      <c r="U157" s="56">
        <f>INFLO_Prod!$C$19</f>
        <v>0</v>
      </c>
      <c r="V157" s="88">
        <f>INFLO_Prod!$J$19</f>
        <v>0</v>
      </c>
      <c r="W157" s="56">
        <f>INFLO_Prod!$C$20</f>
        <v>0</v>
      </c>
      <c r="X157" s="88">
        <f>INFLO_Prod!$J$20</f>
        <v>0</v>
      </c>
      <c r="Y157" s="56">
        <f>INFLO_Prod!$C$21</f>
        <v>0</v>
      </c>
      <c r="Z157" s="88">
        <f>INFLO_Prod!$J$21</f>
        <v>0</v>
      </c>
      <c r="AA157" s="56">
        <f>INFLO_Prod!$C$22</f>
        <v>0</v>
      </c>
      <c r="AB157" s="88">
        <f>INFLO_Prod!$J$22</f>
        <v>0</v>
      </c>
      <c r="AC157" s="56">
        <f>INFLO_Prod!$C$23</f>
        <v>0</v>
      </c>
      <c r="AD157" s="88">
        <f>INFLO_Prod!$J$23</f>
        <v>0</v>
      </c>
      <c r="AE157" s="56">
        <f>INFLO_Prod!$C$24</f>
        <v>0</v>
      </c>
      <c r="AF157" s="88">
        <f>INFLO_Prod!$J$24</f>
        <v>0</v>
      </c>
      <c r="AG157" s="56">
        <f>INFLO_Prod!$C$25</f>
        <v>0</v>
      </c>
      <c r="AH157" s="88">
        <f>INFLO_Prod!$J$25</f>
        <v>0</v>
      </c>
      <c r="AI157" s="56">
        <f>INFLO_Prod!$C$26</f>
        <v>0</v>
      </c>
      <c r="AJ157" s="88">
        <f>INFLO_Prod!$J$26</f>
        <v>0</v>
      </c>
      <c r="AK157" s="56">
        <f>INFLO_Prod!$C$27</f>
        <v>0</v>
      </c>
      <c r="AL157" s="88">
        <f>INFLO_Prod!$J$27</f>
        <v>0</v>
      </c>
      <c r="AM157" s="56">
        <f>INFLO_Prod!$C$28</f>
        <v>0</v>
      </c>
      <c r="AN157" s="88">
        <f>INFLO_Prod!$J$28</f>
        <v>0</v>
      </c>
      <c r="AO157" s="56">
        <f>INFLO_Prod!$C$29</f>
        <v>0</v>
      </c>
      <c r="AP157" s="88">
        <f>INFLO_Prod!$J$29</f>
        <v>0</v>
      </c>
      <c r="AQ157" s="56">
        <f>INFLO_Prod!$C$30</f>
        <v>0</v>
      </c>
      <c r="AR157" s="88">
        <f>INFLO_Prod!$J$30</f>
        <v>0</v>
      </c>
      <c r="AS157" s="56">
        <f>INFLO_Prod!$C$31</f>
        <v>0</v>
      </c>
      <c r="AT157" s="88">
        <f>INFLO_Prod!$J$31</f>
        <v>0</v>
      </c>
      <c r="AU157" s="56">
        <f>INFLO_Prod!$C$32</f>
        <v>0</v>
      </c>
      <c r="AV157" s="88">
        <f>INFLO_Prod!$J$32</f>
        <v>0</v>
      </c>
      <c r="AW157" s="56">
        <f>INFLO_Prod!$C$33</f>
        <v>0</v>
      </c>
      <c r="AX157" s="88">
        <f>INFLO_Prod!$J$33</f>
        <v>0</v>
      </c>
      <c r="AY157" s="56">
        <f>INFLO_Prod!$C$34</f>
        <v>0</v>
      </c>
      <c r="AZ157" s="88">
        <f>INFLO_Prod!$J$34</f>
        <v>0</v>
      </c>
      <c r="BA157" s="56">
        <f>INFLO_Prod!$C$35</f>
        <v>0</v>
      </c>
      <c r="BB157" s="88">
        <f>INFLO_Prod!$J$35</f>
        <v>0</v>
      </c>
      <c r="BC157" s="56">
        <f>INFLO_Prod!$C$36</f>
        <v>0</v>
      </c>
      <c r="BD157" s="88">
        <f>INFLO_Prod!$J$36</f>
        <v>0</v>
      </c>
      <c r="BE157" s="56">
        <f>INFLO_Prod!$C$37</f>
        <v>0</v>
      </c>
      <c r="BF157" s="88">
        <f>INFLO_Prod!$J$37</f>
        <v>0</v>
      </c>
      <c r="BG157" s="52" t="s">
        <v>69</v>
      </c>
      <c r="BH157" s="16"/>
    </row>
    <row r="158" spans="1:60">
      <c r="A158" s="20"/>
      <c r="B158" s="11" t="s">
        <v>307</v>
      </c>
      <c r="C158" s="2" t="s">
        <v>594</v>
      </c>
      <c r="D158" s="7" t="s">
        <v>12</v>
      </c>
      <c r="E158" s="9" t="s">
        <v>1</v>
      </c>
      <c r="F158" s="40" t="s">
        <v>304</v>
      </c>
      <c r="G158" s="46">
        <f>INFLO_Prod!$M$9</f>
        <v>0</v>
      </c>
      <c r="H158" s="72">
        <f>INFLO_Prod!$M$10</f>
        <v>2</v>
      </c>
      <c r="I158" s="56">
        <f>INFLO_Prod!$L$13</f>
        <v>1</v>
      </c>
      <c r="J158" s="26">
        <f>INFLO_Prod!$M$13</f>
        <v>1</v>
      </c>
      <c r="K158" s="56">
        <f>INFLO_Prod!$L$14</f>
        <v>60</v>
      </c>
      <c r="L158" s="26">
        <f>INFLO_Prod!$M$14</f>
        <v>1</v>
      </c>
      <c r="M158" s="56">
        <f>INFLO_Prod!$L$15</f>
        <v>0</v>
      </c>
      <c r="N158" s="26">
        <f>INFLO_Prod!$M$15</f>
        <v>0</v>
      </c>
      <c r="O158" s="56">
        <f>INFLO_Prod!$L$16</f>
        <v>0</v>
      </c>
      <c r="P158" s="26">
        <f>INFLO_Prod!$M$16</f>
        <v>0</v>
      </c>
      <c r="Q158" s="56">
        <f>INFLO_Prod!$L$17</f>
        <v>0</v>
      </c>
      <c r="R158" s="26">
        <f>INFLO_Prod!$M$17</f>
        <v>0</v>
      </c>
      <c r="S158" s="56">
        <f>INFLO_Prod!$L$18</f>
        <v>0</v>
      </c>
      <c r="T158" s="26">
        <f>INFLO_Prod!$M$18</f>
        <v>0</v>
      </c>
      <c r="U158" s="56">
        <f>INFLO_Prod!$L$19</f>
        <v>0</v>
      </c>
      <c r="V158" s="26">
        <f>INFLO_Prod!$M$19</f>
        <v>0</v>
      </c>
      <c r="W158" s="56">
        <f>INFLO_Prod!$L$20</f>
        <v>0</v>
      </c>
      <c r="X158" s="26">
        <f>INFLO_Prod!$M$20</f>
        <v>0</v>
      </c>
      <c r="Y158" s="56">
        <f>INFLO_Prod!$L$21</f>
        <v>0</v>
      </c>
      <c r="Z158" s="26">
        <f>INFLO_Prod!$M$21</f>
        <v>0</v>
      </c>
      <c r="AA158" s="56">
        <f>INFLO_Prod!$L$22</f>
        <v>0</v>
      </c>
      <c r="AB158" s="26">
        <f>INFLO_Prod!$M$22</f>
        <v>0</v>
      </c>
      <c r="AC158" s="56">
        <f>INFLO_Prod!$L$23</f>
        <v>0</v>
      </c>
      <c r="AD158" s="26">
        <f>INFLO_Prod!$M$23</f>
        <v>0</v>
      </c>
      <c r="AE158" s="56">
        <f>INFLO_Prod!$L$24</f>
        <v>0</v>
      </c>
      <c r="AF158" s="26">
        <f>INFLO_Prod!$M$24</f>
        <v>0</v>
      </c>
      <c r="AG158" s="56">
        <f>INFLO_Prod!$L$25</f>
        <v>0</v>
      </c>
      <c r="AH158" s="26">
        <f>INFLO_Prod!$M$25</f>
        <v>0</v>
      </c>
      <c r="AI158" s="56">
        <f>INFLO_Prod!$L$26</f>
        <v>0</v>
      </c>
      <c r="AJ158" s="26">
        <f>INFLO_Prod!$M$26</f>
        <v>0</v>
      </c>
      <c r="AK158" s="56">
        <f>INFLO_Prod!$L$27</f>
        <v>0</v>
      </c>
      <c r="AL158" s="26">
        <f>INFLO_Prod!$M$27</f>
        <v>0</v>
      </c>
      <c r="AM158" s="56">
        <f>INFLO_Prod!$L$28</f>
        <v>0</v>
      </c>
      <c r="AN158" s="26">
        <f>INFLO_Prod!$M$28</f>
        <v>0</v>
      </c>
      <c r="AO158" s="56">
        <f>INFLO_Prod!$L$29</f>
        <v>0</v>
      </c>
      <c r="AP158" s="26">
        <f>INFLO_Prod!$M$29</f>
        <v>0</v>
      </c>
      <c r="AQ158" s="56">
        <f>INFLO_Prod!$L$30</f>
        <v>0</v>
      </c>
      <c r="AR158" s="26">
        <f>INFLO_Prod!$M$30</f>
        <v>0</v>
      </c>
      <c r="AS158" s="56">
        <f>INFLO_Prod!$L$31</f>
        <v>0</v>
      </c>
      <c r="AT158" s="26">
        <f>INFLO_Prod!$M$31</f>
        <v>0</v>
      </c>
      <c r="AU158" s="56">
        <f>INFLO_Prod!$L$32</f>
        <v>0</v>
      </c>
      <c r="AV158" s="26">
        <f>INFLO_Prod!$M$32</f>
        <v>0</v>
      </c>
      <c r="AW158" s="56">
        <f>INFLO_Prod!$L$33</f>
        <v>0</v>
      </c>
      <c r="AX158" s="26">
        <f>INFLO_Prod!$M$33</f>
        <v>0</v>
      </c>
      <c r="AY158" s="56">
        <f>INFLO_Prod!$L$34</f>
        <v>0</v>
      </c>
      <c r="AZ158" s="26">
        <f>INFLO_Prod!$M$34</f>
        <v>0</v>
      </c>
      <c r="BA158" s="56">
        <f>INFLO_Prod!$L$35</f>
        <v>0</v>
      </c>
      <c r="BB158" s="26">
        <f>INFLO_Prod!$M$35</f>
        <v>0</v>
      </c>
      <c r="BC158" s="56">
        <f>INFLO_Prod!$L$36</f>
        <v>0</v>
      </c>
      <c r="BD158" s="26">
        <f>INFLO_Prod!$M$36</f>
        <v>0</v>
      </c>
      <c r="BE158" s="56">
        <f>INFLO_Prod!$L$37</f>
        <v>0</v>
      </c>
      <c r="BF158" s="26">
        <f>INFLO_Prod!$M$37</f>
        <v>0</v>
      </c>
      <c r="BG158" s="52" t="s">
        <v>69</v>
      </c>
      <c r="BH158" s="3"/>
    </row>
    <row r="159" spans="1:60">
      <c r="A159" s="20"/>
      <c r="B159" s="10" t="s">
        <v>271</v>
      </c>
      <c r="C159" s="213" t="s">
        <v>981</v>
      </c>
      <c r="D159" s="7" t="s">
        <v>12</v>
      </c>
      <c r="E159" s="80" t="s">
        <v>3</v>
      </c>
      <c r="F159" s="79" t="s">
        <v>6</v>
      </c>
      <c r="G159" s="46">
        <f>FROND_Prod!$W$9</f>
        <v>1</v>
      </c>
      <c r="H159" s="72">
        <f>FROND_Prod!$W$10</f>
        <v>4</v>
      </c>
      <c r="I159" s="56">
        <f>FROND_Prod!$V$13</f>
        <v>1</v>
      </c>
      <c r="J159" s="21">
        <f>FROND_Prod!$W$13</f>
        <v>50</v>
      </c>
      <c r="K159" s="56">
        <f>FROND_Prod!$V$14</f>
        <v>28</v>
      </c>
      <c r="L159" s="21">
        <f>FROND_Prod!$W$14</f>
        <v>8</v>
      </c>
      <c r="M159" s="56">
        <f>FROND_Prod!$V$15</f>
        <v>32</v>
      </c>
      <c r="N159" s="21">
        <f>FROND_Prod!$W$15</f>
        <v>7</v>
      </c>
      <c r="O159" s="56">
        <f>FROND_Prod!$V$16</f>
        <v>124</v>
      </c>
      <c r="P159" s="21">
        <f>FROND_Prod!$W$16</f>
        <v>6</v>
      </c>
      <c r="Q159" s="56">
        <f>FROND_Prod!$V$17</f>
        <v>0</v>
      </c>
      <c r="R159" s="21">
        <f>FROND_Prod!$W$17</f>
        <v>0</v>
      </c>
      <c r="S159" s="56">
        <f>FROND_Prod!$V$18</f>
        <v>0</v>
      </c>
      <c r="T159" s="21">
        <f>FROND_Prod!$W$18</f>
        <v>0</v>
      </c>
      <c r="U159" s="56">
        <f>FROND_Prod!$V$19</f>
        <v>0</v>
      </c>
      <c r="V159" s="21">
        <f>FROND_Prod!$W$19</f>
        <v>0</v>
      </c>
      <c r="W159" s="56">
        <f>FROND_Prod!$V$20</f>
        <v>0</v>
      </c>
      <c r="X159" s="21">
        <f>FROND_Prod!$W$20</f>
        <v>0</v>
      </c>
      <c r="Y159" s="56">
        <f>FROND_Prod!$V$21</f>
        <v>0</v>
      </c>
      <c r="Z159" s="21">
        <f>FROND_Prod!$W$21</f>
        <v>0</v>
      </c>
      <c r="AA159" s="56">
        <f>FROND_Prod!$V$22</f>
        <v>0</v>
      </c>
      <c r="AB159" s="21">
        <f>FROND_Prod!$W$22</f>
        <v>0</v>
      </c>
      <c r="AC159" s="56">
        <f>FROND_Prod!$V$23</f>
        <v>0</v>
      </c>
      <c r="AD159" s="21">
        <f>FROND_Prod!$W$23</f>
        <v>0</v>
      </c>
      <c r="AE159" s="56">
        <f>FROND_Prod!$V$24</f>
        <v>0</v>
      </c>
      <c r="AF159" s="21">
        <f>FROND_Prod!$W$24</f>
        <v>0</v>
      </c>
      <c r="AG159" s="56">
        <f>FROND_Prod!$V$25</f>
        <v>0</v>
      </c>
      <c r="AH159" s="21">
        <f>FROND_Prod!$W$25</f>
        <v>0</v>
      </c>
      <c r="AI159" s="56">
        <f>FROND_Prod!$V$26</f>
        <v>0</v>
      </c>
      <c r="AJ159" s="21">
        <f>FROND_Prod!$W$26</f>
        <v>0</v>
      </c>
      <c r="AK159" s="56">
        <f>FROND_Prod!$V$27</f>
        <v>0</v>
      </c>
      <c r="AL159" s="21">
        <f>FROND_Prod!$W$27</f>
        <v>0</v>
      </c>
      <c r="AM159" s="56">
        <f>FROND_Prod!$V$28</f>
        <v>0</v>
      </c>
      <c r="AN159" s="21">
        <f>FROND_Prod!$W$28</f>
        <v>0</v>
      </c>
      <c r="AO159" s="56">
        <f>FROND_Prod!$V$29</f>
        <v>0</v>
      </c>
      <c r="AP159" s="21">
        <f>FROND_Prod!$W$29</f>
        <v>0</v>
      </c>
      <c r="AQ159" s="56">
        <f>FROND_Prod!$V$30</f>
        <v>0</v>
      </c>
      <c r="AR159" s="21">
        <f>FROND_Prod!$W$30</f>
        <v>0</v>
      </c>
      <c r="AS159" s="56">
        <f>FROND_Prod!$V$31</f>
        <v>0</v>
      </c>
      <c r="AT159" s="21">
        <f>FROND_Prod!$W$31</f>
        <v>0</v>
      </c>
      <c r="AU159" s="56">
        <f>FROND_Prod!$V$32</f>
        <v>0</v>
      </c>
      <c r="AV159" s="21">
        <f>FROND_Prod!$W$32</f>
        <v>0</v>
      </c>
      <c r="AW159" s="56">
        <f>FROND_Prod!$V$33</f>
        <v>0</v>
      </c>
      <c r="AX159" s="21">
        <f>FROND_Prod!$W$33</f>
        <v>0</v>
      </c>
      <c r="AY159" s="56">
        <f>FROND_Prod!$V$34</f>
        <v>0</v>
      </c>
      <c r="AZ159" s="21">
        <f>FROND_Prod!$W$34</f>
        <v>0</v>
      </c>
      <c r="BA159" s="56">
        <f>FROND_Prod!$V$35</f>
        <v>0</v>
      </c>
      <c r="BB159" s="21">
        <f>FROND_Prod!$W$35</f>
        <v>0</v>
      </c>
      <c r="BC159" s="56">
        <f>FROND_Prod!$V$36</f>
        <v>0</v>
      </c>
      <c r="BD159" s="21">
        <f>FROND_Prod!$W$36</f>
        <v>0</v>
      </c>
      <c r="BE159" s="56">
        <f>FROND_Prod!$V$37</f>
        <v>0</v>
      </c>
      <c r="BF159" s="21">
        <f>FROND_Prod!$W$37</f>
        <v>0</v>
      </c>
      <c r="BG159" s="52" t="s">
        <v>69</v>
      </c>
      <c r="BH159" s="3"/>
    </row>
    <row r="160" spans="1:60">
      <c r="A160" s="20"/>
      <c r="B160" s="11" t="s">
        <v>272</v>
      </c>
      <c r="C160" s="213" t="s">
        <v>736</v>
      </c>
      <c r="D160" s="7" t="s">
        <v>12</v>
      </c>
      <c r="E160" s="29" t="s">
        <v>3</v>
      </c>
      <c r="F160" s="79" t="s">
        <v>6</v>
      </c>
      <c r="G160" s="46">
        <f>FROND_Prod!$X$9</f>
        <v>1</v>
      </c>
      <c r="H160" s="72">
        <f>FROND_Prod!$X$10</f>
        <v>4</v>
      </c>
      <c r="I160" s="56">
        <f>FROND_Prod!$V$13</f>
        <v>1</v>
      </c>
      <c r="J160" s="21">
        <f>FROND_Prod!$X$13</f>
        <v>0.5</v>
      </c>
      <c r="K160" s="56">
        <f>FROND_Prod!$V$14</f>
        <v>28</v>
      </c>
      <c r="L160" s="21">
        <f>FROND_Prod!$X$14</f>
        <v>0.08</v>
      </c>
      <c r="M160" s="56">
        <f>FROND_Prod!$V$15</f>
        <v>32</v>
      </c>
      <c r="N160" s="21">
        <f>FROND_Prod!$X$15</f>
        <v>7.0000000000000007E-2</v>
      </c>
      <c r="O160" s="56">
        <f>FROND_Prod!$V$16</f>
        <v>124</v>
      </c>
      <c r="P160" s="21">
        <f>FROND_Prod!$X$16</f>
        <v>0.06</v>
      </c>
      <c r="Q160" s="56">
        <f>FROND_Prod!$V$17</f>
        <v>0</v>
      </c>
      <c r="R160" s="21">
        <f>FROND_Prod!$X$17</f>
        <v>0</v>
      </c>
      <c r="S160" s="56">
        <f>FROND_Prod!$V$18</f>
        <v>0</v>
      </c>
      <c r="T160" s="21">
        <f>FROND_Prod!$X$18</f>
        <v>0</v>
      </c>
      <c r="U160" s="56">
        <f>FROND_Prod!$V$19</f>
        <v>0</v>
      </c>
      <c r="V160" s="21">
        <f>FROND_Prod!$X$19</f>
        <v>0</v>
      </c>
      <c r="W160" s="56">
        <f>FROND_Prod!$V$20</f>
        <v>0</v>
      </c>
      <c r="X160" s="21">
        <f>FROND_Prod!$X$20</f>
        <v>0</v>
      </c>
      <c r="Y160" s="56">
        <f>FROND_Prod!$V$21</f>
        <v>0</v>
      </c>
      <c r="Z160" s="21">
        <f>FROND_Prod!$X$21</f>
        <v>0</v>
      </c>
      <c r="AA160" s="56">
        <f>FROND_Prod!$V$22</f>
        <v>0</v>
      </c>
      <c r="AB160" s="21">
        <f>FROND_Prod!$X$22</f>
        <v>0</v>
      </c>
      <c r="AC160" s="56">
        <f>FROND_Prod!$V$23</f>
        <v>0</v>
      </c>
      <c r="AD160" s="21">
        <f>FROND_Prod!$X$23</f>
        <v>0</v>
      </c>
      <c r="AE160" s="56">
        <f>FROND_Prod!$V$24</f>
        <v>0</v>
      </c>
      <c r="AF160" s="21">
        <f>FROND_Prod!$X$24</f>
        <v>0</v>
      </c>
      <c r="AG160" s="56">
        <f>FROND_Prod!$V$25</f>
        <v>0</v>
      </c>
      <c r="AH160" s="21">
        <f>FROND_Prod!$X$25</f>
        <v>0</v>
      </c>
      <c r="AI160" s="56">
        <f>FROND_Prod!$V$26</f>
        <v>0</v>
      </c>
      <c r="AJ160" s="21">
        <f>FROND_Prod!$X$26</f>
        <v>0</v>
      </c>
      <c r="AK160" s="56">
        <f>FROND_Prod!$V$27</f>
        <v>0</v>
      </c>
      <c r="AL160" s="21">
        <f>FROND_Prod!$X$27</f>
        <v>0</v>
      </c>
      <c r="AM160" s="56">
        <f>FROND_Prod!$V$28</f>
        <v>0</v>
      </c>
      <c r="AN160" s="21">
        <f>FROND_Prod!$X$28</f>
        <v>0</v>
      </c>
      <c r="AO160" s="56">
        <f>FROND_Prod!$V$29</f>
        <v>0</v>
      </c>
      <c r="AP160" s="21">
        <f>FROND_Prod!$X$29</f>
        <v>0</v>
      </c>
      <c r="AQ160" s="56">
        <f>FROND_Prod!$V$30</f>
        <v>0</v>
      </c>
      <c r="AR160" s="21">
        <f>FROND_Prod!$X$30</f>
        <v>0</v>
      </c>
      <c r="AS160" s="56">
        <f>FROND_Prod!$V$31</f>
        <v>0</v>
      </c>
      <c r="AT160" s="21">
        <f>FROND_Prod!$X$31</f>
        <v>0</v>
      </c>
      <c r="AU160" s="56">
        <f>FROND_Prod!$V$32</f>
        <v>0</v>
      </c>
      <c r="AV160" s="21">
        <f>FROND_Prod!$X$32</f>
        <v>0</v>
      </c>
      <c r="AW160" s="56">
        <f>FROND_Prod!$V$33</f>
        <v>0</v>
      </c>
      <c r="AX160" s="21">
        <f>FROND_Prod!$X$33</f>
        <v>0</v>
      </c>
      <c r="AY160" s="56">
        <f>FROND_Prod!$V$34</f>
        <v>0</v>
      </c>
      <c r="AZ160" s="21">
        <f>FROND_Prod!$X$34</f>
        <v>0</v>
      </c>
      <c r="BA160" s="56">
        <f>FROND_Prod!$V$35</f>
        <v>0</v>
      </c>
      <c r="BB160" s="21">
        <f>FROND_Prod!$X$35</f>
        <v>0</v>
      </c>
      <c r="BC160" s="56">
        <f>FROND_Prod!$V$36</f>
        <v>0</v>
      </c>
      <c r="BD160" s="21">
        <f>FROND_Prod!$X$36</f>
        <v>0</v>
      </c>
      <c r="BE160" s="56">
        <f>FROND_Prod!$V$37</f>
        <v>0</v>
      </c>
      <c r="BF160" s="21">
        <f>FROND_Prod!$X$37</f>
        <v>0</v>
      </c>
      <c r="BG160" s="52" t="s">
        <v>69</v>
      </c>
      <c r="BH160" s="3"/>
    </row>
    <row r="161" spans="1:60">
      <c r="A161" s="20"/>
      <c r="B161" s="11" t="s">
        <v>677</v>
      </c>
      <c r="C161" s="213" t="s">
        <v>982</v>
      </c>
      <c r="D161" s="69" t="s">
        <v>12</v>
      </c>
      <c r="E161" s="2" t="s">
        <v>9</v>
      </c>
      <c r="F161" s="40" t="s">
        <v>304</v>
      </c>
      <c r="G161" s="46">
        <f>FROND_Prod!$Z$9</f>
        <v>1</v>
      </c>
      <c r="H161" s="72">
        <f>FROND_Prod!$Z$10</f>
        <v>4</v>
      </c>
      <c r="I161" s="76">
        <f>FROND_Prod!$Y$13</f>
        <v>1</v>
      </c>
      <c r="J161" s="264">
        <f>FROND_Prod!$Z$13</f>
        <v>8.2278481012658236E-2</v>
      </c>
      <c r="K161" s="76">
        <f>FROND_Prod!$Y$14</f>
        <v>57</v>
      </c>
      <c r="L161" s="264">
        <f>FROND_Prod!$Z$14</f>
        <v>0.74050632911392411</v>
      </c>
      <c r="M161" s="76">
        <f>FROND_Prod!$Y$15</f>
        <v>83</v>
      </c>
      <c r="N161" s="264">
        <f>FROND_Prod!$Z$15</f>
        <v>0.90506329113924056</v>
      </c>
      <c r="O161" s="76">
        <f>FROND_Prod!$Y$16</f>
        <v>98</v>
      </c>
      <c r="P161" s="264">
        <f>FROND_Prod!$Z$16</f>
        <v>1</v>
      </c>
      <c r="Q161" s="76">
        <f>FROND_Prod!$Y$17</f>
        <v>0</v>
      </c>
      <c r="R161" s="264">
        <f>FROND_Prod!$Z$17</f>
        <v>0</v>
      </c>
      <c r="S161" s="76">
        <f>FROND_Prod!$Y$18</f>
        <v>0</v>
      </c>
      <c r="T161" s="264">
        <f>FROND_Prod!$Z$18</f>
        <v>0</v>
      </c>
      <c r="U161" s="76">
        <f>FROND_Prod!$Y$19</f>
        <v>0</v>
      </c>
      <c r="V161" s="264">
        <f>FROND_Prod!$Z$19</f>
        <v>0</v>
      </c>
      <c r="W161" s="76">
        <f>FROND_Prod!$Y$20</f>
        <v>0</v>
      </c>
      <c r="X161" s="264">
        <f>FROND_Prod!$Z$20</f>
        <v>0</v>
      </c>
      <c r="Y161" s="76">
        <f>FROND_Prod!$Y$21</f>
        <v>0</v>
      </c>
      <c r="Z161" s="264">
        <f>FROND_Prod!$Z$21</f>
        <v>0</v>
      </c>
      <c r="AA161" s="76">
        <f>FROND_Prod!$Y$22</f>
        <v>0</v>
      </c>
      <c r="AB161" s="264">
        <f>FROND_Prod!$Z$22</f>
        <v>0</v>
      </c>
      <c r="AC161" s="76">
        <f>FROND_Prod!$Y$23</f>
        <v>0</v>
      </c>
      <c r="AD161" s="264">
        <f>FROND_Prod!$Z$23</f>
        <v>0</v>
      </c>
      <c r="AE161" s="76">
        <f>FROND_Prod!$Y$24</f>
        <v>0</v>
      </c>
      <c r="AF161" s="264">
        <f>FROND_Prod!$Z$24</f>
        <v>0</v>
      </c>
      <c r="AG161" s="76">
        <f>FROND_Prod!$Y$25</f>
        <v>0</v>
      </c>
      <c r="AH161" s="264">
        <f>FROND_Prod!$Z$25</f>
        <v>0</v>
      </c>
      <c r="AI161" s="76">
        <f>FROND_Prod!$Y$26</f>
        <v>0</v>
      </c>
      <c r="AJ161" s="264">
        <f>FROND_Prod!$Z$26</f>
        <v>0</v>
      </c>
      <c r="AK161" s="76">
        <f>FROND_Prod!$Y$27</f>
        <v>0</v>
      </c>
      <c r="AL161" s="264">
        <f>FROND_Prod!$Z$27</f>
        <v>0</v>
      </c>
      <c r="AM161" s="76">
        <f>FROND_Prod!$Y$28</f>
        <v>0</v>
      </c>
      <c r="AN161" s="264">
        <f>FROND_Prod!$Z$28</f>
        <v>0</v>
      </c>
      <c r="AO161" s="76">
        <f>FROND_Prod!$Y$29</f>
        <v>0</v>
      </c>
      <c r="AP161" s="264">
        <f>FROND_Prod!$Z$29</f>
        <v>0</v>
      </c>
      <c r="AQ161" s="76">
        <f>FROND_Prod!$Y$30</f>
        <v>0</v>
      </c>
      <c r="AR161" s="264">
        <f>FROND_Prod!$Z$30</f>
        <v>0</v>
      </c>
      <c r="AS161" s="76">
        <f>FROND_Prod!$Y$31</f>
        <v>0</v>
      </c>
      <c r="AT161" s="264">
        <f>FROND_Prod!$Z$31</f>
        <v>0</v>
      </c>
      <c r="AU161" s="76">
        <f>FROND_Prod!$Y$32</f>
        <v>0</v>
      </c>
      <c r="AV161" s="264">
        <f>FROND_Prod!$Z$32</f>
        <v>0</v>
      </c>
      <c r="AW161" s="76">
        <f>FROND_Prod!$Y$33</f>
        <v>0</v>
      </c>
      <c r="AX161" s="264">
        <f>FROND_Prod!$Z$33</f>
        <v>0</v>
      </c>
      <c r="AY161" s="76">
        <f>FROND_Prod!$Y$34</f>
        <v>0</v>
      </c>
      <c r="AZ161" s="264">
        <f>FROND_Prod!$Z$34</f>
        <v>0</v>
      </c>
      <c r="BA161" s="76">
        <f>FROND_Prod!$Y$35</f>
        <v>0</v>
      </c>
      <c r="BB161" s="264">
        <f>FROND_Prod!$Z$35</f>
        <v>0</v>
      </c>
      <c r="BC161" s="76">
        <f>FROND_Prod!$Y$36</f>
        <v>0</v>
      </c>
      <c r="BD161" s="264">
        <f>FROND_Prod!$Z$36</f>
        <v>0</v>
      </c>
      <c r="BE161" s="76">
        <f>FROND_Prod!$Y$37</f>
        <v>0</v>
      </c>
      <c r="BF161" s="264">
        <f>FROND_Prod!$Z$37</f>
        <v>0</v>
      </c>
      <c r="BG161" s="52" t="s">
        <v>69</v>
      </c>
      <c r="BH161" s="3"/>
    </row>
    <row r="162" spans="1:60" s="65" customFormat="1" ht="18.75">
      <c r="A162" s="21" t="s">
        <v>69</v>
      </c>
      <c r="B162" s="61"/>
      <c r="C162" s="62" t="s">
        <v>578</v>
      </c>
      <c r="D162" s="62"/>
      <c r="E162" s="62"/>
      <c r="F162" s="62"/>
      <c r="G162" s="61"/>
      <c r="H162" s="67"/>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52" t="s">
        <v>69</v>
      </c>
      <c r="BH162" s="64"/>
    </row>
    <row r="163" spans="1:60">
      <c r="A163" s="20"/>
      <c r="B163" s="10" t="s">
        <v>273</v>
      </c>
      <c r="C163" s="2" t="s">
        <v>737</v>
      </c>
      <c r="D163" s="7" t="s">
        <v>12</v>
      </c>
      <c r="E163" s="9" t="s">
        <v>0</v>
      </c>
      <c r="F163" s="40" t="s">
        <v>7</v>
      </c>
      <c r="G163" s="46">
        <f>STALK_Geom!$D$9</f>
        <v>1</v>
      </c>
      <c r="H163" s="72">
        <f>STALK_Geom!$D$10</f>
        <v>3</v>
      </c>
      <c r="I163" s="56">
        <f>STALK_Geom!$C$13</f>
        <v>1</v>
      </c>
      <c r="J163" s="21">
        <f>STALK_Geom!$D$13</f>
        <v>100</v>
      </c>
      <c r="K163" s="56">
        <f>STALK_Geom!$C$14</f>
        <v>100</v>
      </c>
      <c r="L163" s="21">
        <f>STALK_Geom!$D$14</f>
        <v>200</v>
      </c>
      <c r="M163" s="56">
        <f>STALK_Geom!$C$15</f>
        <v>200</v>
      </c>
      <c r="N163" s="21">
        <f>STALK_Geom!$D$15</f>
        <v>250</v>
      </c>
      <c r="O163" s="56">
        <f>STALK_Geom!$C$16</f>
        <v>0</v>
      </c>
      <c r="P163" s="21">
        <f>STALK_Geom!$D$16</f>
        <v>0</v>
      </c>
      <c r="Q163" s="56">
        <f>STALK_Geom!$C$17</f>
        <v>0</v>
      </c>
      <c r="R163" s="21">
        <f>STALK_Geom!$D$17</f>
        <v>0</v>
      </c>
      <c r="S163" s="56">
        <f>STALK_Geom!$C$18</f>
        <v>0</v>
      </c>
      <c r="T163" s="21">
        <f>STALK_Geom!$D$18</f>
        <v>0</v>
      </c>
      <c r="U163" s="56">
        <f>STALK_Geom!$C$19</f>
        <v>0</v>
      </c>
      <c r="V163" s="21">
        <f>STALK_Geom!$D$19</f>
        <v>0</v>
      </c>
      <c r="W163" s="56">
        <f>STALK_Geom!$C$20</f>
        <v>0</v>
      </c>
      <c r="X163" s="21">
        <f>STALK_Geom!$D$20</f>
        <v>0</v>
      </c>
      <c r="Y163" s="56">
        <f>STALK_Geom!$C$21</f>
        <v>0</v>
      </c>
      <c r="Z163" s="21">
        <f>STALK_Geom!$D$21</f>
        <v>0</v>
      </c>
      <c r="AA163" s="56">
        <f>STALK_Geom!$C$22</f>
        <v>0</v>
      </c>
      <c r="AB163" s="21">
        <f>STALK_Geom!$D$22</f>
        <v>0</v>
      </c>
      <c r="AC163" s="56">
        <f>STALK_Geom!$C$23</f>
        <v>0</v>
      </c>
      <c r="AD163" s="21">
        <f>STALK_Geom!$D$23</f>
        <v>0</v>
      </c>
      <c r="AE163" s="56">
        <f>STALK_Geom!$C$24</f>
        <v>0</v>
      </c>
      <c r="AF163" s="21">
        <f>STALK_Geom!$D$24</f>
        <v>0</v>
      </c>
      <c r="AG163" s="56">
        <f>STALK_Geom!$C$25</f>
        <v>0</v>
      </c>
      <c r="AH163" s="21">
        <f>STALK_Geom!$D$25</f>
        <v>0</v>
      </c>
      <c r="AI163" s="56">
        <f>STALK_Geom!$C$26</f>
        <v>0</v>
      </c>
      <c r="AJ163" s="21">
        <f>STALK_Geom!$D$26</f>
        <v>0</v>
      </c>
      <c r="AK163" s="56">
        <f>STALK_Geom!$C$27</f>
        <v>0</v>
      </c>
      <c r="AL163" s="21">
        <f>STALK_Geom!$D$27</f>
        <v>0</v>
      </c>
      <c r="AM163" s="56">
        <f>STALK_Geom!$C$28</f>
        <v>0</v>
      </c>
      <c r="AN163" s="21">
        <f>STALK_Geom!$D$28</f>
        <v>0</v>
      </c>
      <c r="AO163" s="56">
        <f>STALK_Geom!$C$29</f>
        <v>0</v>
      </c>
      <c r="AP163" s="21">
        <f>STALK_Geom!$D$29</f>
        <v>0</v>
      </c>
      <c r="AQ163" s="56">
        <f>STALK_Geom!$C$30</f>
        <v>0</v>
      </c>
      <c r="AR163" s="21">
        <f>STALK_Geom!$D$30</f>
        <v>0</v>
      </c>
      <c r="AS163" s="56">
        <f>STALK_Geom!$C$31</f>
        <v>0</v>
      </c>
      <c r="AT163" s="21">
        <f>STALK_Geom!$D$31</f>
        <v>0</v>
      </c>
      <c r="AU163" s="56">
        <f>STALK_Geom!$C$32</f>
        <v>0</v>
      </c>
      <c r="AV163" s="21">
        <f>STALK_Geom!$D$32</f>
        <v>0</v>
      </c>
      <c r="AW163" s="56">
        <f>STALK_Geom!$C$33</f>
        <v>0</v>
      </c>
      <c r="AX163" s="21">
        <f>STALK_Geom!$D$33</f>
        <v>0</v>
      </c>
      <c r="AY163" s="56">
        <f>STALK_Geom!$C$34</f>
        <v>0</v>
      </c>
      <c r="AZ163" s="21">
        <f>STALK_Geom!$D$34</f>
        <v>0</v>
      </c>
      <c r="BA163" s="56">
        <f>STALK_Geom!$C$35</f>
        <v>0</v>
      </c>
      <c r="BB163" s="21">
        <f>STALK_Geom!$D$35</f>
        <v>0</v>
      </c>
      <c r="BC163" s="56">
        <f>STALK_Geom!$C$36</f>
        <v>0</v>
      </c>
      <c r="BD163" s="21">
        <f>STALK_Geom!$D$36</f>
        <v>0</v>
      </c>
      <c r="BE163" s="56">
        <f>STALK_Geom!$C$37</f>
        <v>0</v>
      </c>
      <c r="BF163" s="21">
        <f>STALK_Geom!$D$37</f>
        <v>0</v>
      </c>
      <c r="BG163" s="52" t="s">
        <v>69</v>
      </c>
      <c r="BH163" s="16"/>
    </row>
    <row r="164" spans="1:60">
      <c r="A164" s="20"/>
      <c r="B164" s="11" t="s">
        <v>274</v>
      </c>
      <c r="C164" s="2" t="s">
        <v>738</v>
      </c>
      <c r="D164" s="7" t="s">
        <v>12</v>
      </c>
      <c r="E164" s="9" t="s">
        <v>0</v>
      </c>
      <c r="F164" s="40" t="s">
        <v>7</v>
      </c>
      <c r="G164" s="46">
        <f>STALK_Geom!$E$9</f>
        <v>1</v>
      </c>
      <c r="H164" s="72">
        <f>STALK_Geom!$E$10</f>
        <v>3</v>
      </c>
      <c r="I164" s="56">
        <f>STALK_Geom!$C$13</f>
        <v>1</v>
      </c>
      <c r="J164" s="21">
        <f>STALK_Geom!$E$13</f>
        <v>10</v>
      </c>
      <c r="K164" s="56">
        <f>STALK_Geom!$C$14</f>
        <v>100</v>
      </c>
      <c r="L164" s="21">
        <f>STALK_Geom!$E$14</f>
        <v>20</v>
      </c>
      <c r="M164" s="56">
        <f>STALK_Geom!$C$15</f>
        <v>200</v>
      </c>
      <c r="N164" s="21">
        <f>STALK_Geom!$E$15</f>
        <v>25</v>
      </c>
      <c r="O164" s="56">
        <f>STALK_Geom!$C$16</f>
        <v>0</v>
      </c>
      <c r="P164" s="21">
        <f>STALK_Geom!$E$16</f>
        <v>0</v>
      </c>
      <c r="Q164" s="56">
        <f>STALK_Geom!$C$17</f>
        <v>0</v>
      </c>
      <c r="R164" s="21">
        <f>STALK_Geom!$E$17</f>
        <v>0</v>
      </c>
      <c r="S164" s="56">
        <f>STALK_Geom!$C$18</f>
        <v>0</v>
      </c>
      <c r="T164" s="21">
        <f>STALK_Geom!$E$18</f>
        <v>0</v>
      </c>
      <c r="U164" s="56">
        <f>STALK_Geom!$C$19</f>
        <v>0</v>
      </c>
      <c r="V164" s="21">
        <f>STALK_Geom!$E$19</f>
        <v>0</v>
      </c>
      <c r="W164" s="56">
        <f>STALK_Geom!$C$20</f>
        <v>0</v>
      </c>
      <c r="X164" s="21">
        <f>STALK_Geom!$E$20</f>
        <v>0</v>
      </c>
      <c r="Y164" s="56">
        <f>STALK_Geom!$C$21</f>
        <v>0</v>
      </c>
      <c r="Z164" s="21">
        <f>STALK_Geom!$E$21</f>
        <v>0</v>
      </c>
      <c r="AA164" s="56">
        <f>STALK_Geom!$C$22</f>
        <v>0</v>
      </c>
      <c r="AB164" s="21">
        <f>STALK_Geom!$E$22</f>
        <v>0</v>
      </c>
      <c r="AC164" s="56">
        <f>STALK_Geom!$C$23</f>
        <v>0</v>
      </c>
      <c r="AD164" s="21">
        <f>STALK_Geom!$E$23</f>
        <v>0</v>
      </c>
      <c r="AE164" s="56">
        <f>STALK_Geom!$C$24</f>
        <v>0</v>
      </c>
      <c r="AF164" s="21">
        <f>STALK_Geom!$E$24</f>
        <v>0</v>
      </c>
      <c r="AG164" s="56">
        <f>STALK_Geom!$C$25</f>
        <v>0</v>
      </c>
      <c r="AH164" s="21">
        <f>STALK_Geom!$E$25</f>
        <v>0</v>
      </c>
      <c r="AI164" s="56">
        <f>STALK_Geom!$C$26</f>
        <v>0</v>
      </c>
      <c r="AJ164" s="21">
        <f>STALK_Geom!$E$26</f>
        <v>0</v>
      </c>
      <c r="AK164" s="56">
        <f>STALK_Geom!$C$27</f>
        <v>0</v>
      </c>
      <c r="AL164" s="21">
        <f>STALK_Geom!$E$27</f>
        <v>0</v>
      </c>
      <c r="AM164" s="56">
        <f>STALK_Geom!$C$28</f>
        <v>0</v>
      </c>
      <c r="AN164" s="21">
        <f>STALK_Geom!$E$28</f>
        <v>0</v>
      </c>
      <c r="AO164" s="56">
        <f>STALK_Geom!$C$29</f>
        <v>0</v>
      </c>
      <c r="AP164" s="21">
        <f>STALK_Geom!$E$29</f>
        <v>0</v>
      </c>
      <c r="AQ164" s="56">
        <f>STALK_Geom!$C$30</f>
        <v>0</v>
      </c>
      <c r="AR164" s="21">
        <f>STALK_Geom!$E$30</f>
        <v>0</v>
      </c>
      <c r="AS164" s="56">
        <f>STALK_Geom!$C$31</f>
        <v>0</v>
      </c>
      <c r="AT164" s="21">
        <f>STALK_Geom!$E$31</f>
        <v>0</v>
      </c>
      <c r="AU164" s="56">
        <f>STALK_Geom!$C$32</f>
        <v>0</v>
      </c>
      <c r="AV164" s="21">
        <f>STALK_Geom!$E$32</f>
        <v>0</v>
      </c>
      <c r="AW164" s="56">
        <f>STALK_Geom!$C$33</f>
        <v>0</v>
      </c>
      <c r="AX164" s="21">
        <f>STALK_Geom!$E$33</f>
        <v>0</v>
      </c>
      <c r="AY164" s="56">
        <f>STALK_Geom!$C$34</f>
        <v>0</v>
      </c>
      <c r="AZ164" s="21">
        <f>STALK_Geom!$E$34</f>
        <v>0</v>
      </c>
      <c r="BA164" s="56">
        <f>STALK_Geom!$C$35</f>
        <v>0</v>
      </c>
      <c r="BB164" s="21">
        <f>STALK_Geom!$E$35</f>
        <v>0</v>
      </c>
      <c r="BC164" s="56">
        <f>STALK_Geom!$C$36</f>
        <v>0</v>
      </c>
      <c r="BD164" s="21">
        <f>STALK_Geom!$E$36</f>
        <v>0</v>
      </c>
      <c r="BE164" s="56">
        <f>STALK_Geom!$C$37</f>
        <v>0</v>
      </c>
      <c r="BF164" s="21">
        <f>STALK_Geom!$E$37</f>
        <v>0</v>
      </c>
      <c r="BG164" s="52" t="s">
        <v>69</v>
      </c>
      <c r="BH164" s="16"/>
    </row>
    <row r="165" spans="1:60">
      <c r="A165" s="20"/>
      <c r="B165" s="11" t="s">
        <v>275</v>
      </c>
      <c r="C165" s="2" t="s">
        <v>276</v>
      </c>
      <c r="D165" s="7" t="s">
        <v>12</v>
      </c>
      <c r="E165" s="9" t="s">
        <v>0</v>
      </c>
      <c r="F165" s="40" t="s">
        <v>7</v>
      </c>
      <c r="G165" s="46">
        <f>STALK_Geom!$H$9</f>
        <v>1</v>
      </c>
      <c r="H165" s="72">
        <f>STALK_Geom!$H$10</f>
        <v>3</v>
      </c>
      <c r="I165" s="56">
        <f>STALK_Geom!$G$13</f>
        <v>1</v>
      </c>
      <c r="J165" s="21">
        <f>STALK_Geom!$H$13</f>
        <v>3</v>
      </c>
      <c r="K165" s="56">
        <f>STALK_Geom!$G$14</f>
        <v>100</v>
      </c>
      <c r="L165" s="21">
        <f>STALK_Geom!$H$14</f>
        <v>4</v>
      </c>
      <c r="M165" s="56">
        <f>STALK_Geom!$G$15</f>
        <v>200</v>
      </c>
      <c r="N165" s="21">
        <f>STALK_Geom!$H$15</f>
        <v>5</v>
      </c>
      <c r="O165" s="56">
        <f>STALK_Geom!$G$16</f>
        <v>0</v>
      </c>
      <c r="P165" s="21">
        <f>STALK_Geom!$H$16</f>
        <v>0</v>
      </c>
      <c r="Q165" s="56">
        <f>STALK_Geom!$G$17</f>
        <v>0</v>
      </c>
      <c r="R165" s="21">
        <f>STALK_Geom!$H$17</f>
        <v>0</v>
      </c>
      <c r="S165" s="56">
        <f>STALK_Geom!$G$18</f>
        <v>0</v>
      </c>
      <c r="T165" s="21">
        <f>STALK_Geom!$H$18</f>
        <v>0</v>
      </c>
      <c r="U165" s="56">
        <f>STALK_Geom!$G$19</f>
        <v>0</v>
      </c>
      <c r="V165" s="21">
        <f>STALK_Geom!$H$19</f>
        <v>0</v>
      </c>
      <c r="W165" s="56">
        <f>STALK_Geom!$G$20</f>
        <v>0</v>
      </c>
      <c r="X165" s="21">
        <f>STALK_Geom!$H$20</f>
        <v>0</v>
      </c>
      <c r="Y165" s="56">
        <f>STALK_Geom!$G$21</f>
        <v>0</v>
      </c>
      <c r="Z165" s="21">
        <f>STALK_Geom!$H$21</f>
        <v>0</v>
      </c>
      <c r="AA165" s="56">
        <f>STALK_Geom!$G$22</f>
        <v>0</v>
      </c>
      <c r="AB165" s="21">
        <f>STALK_Geom!$H$22</f>
        <v>0</v>
      </c>
      <c r="AC165" s="56">
        <f>STALK_Geom!$G$23</f>
        <v>0</v>
      </c>
      <c r="AD165" s="21">
        <f>STALK_Geom!$H$23</f>
        <v>0</v>
      </c>
      <c r="AE165" s="56">
        <f>STALK_Geom!$G$24</f>
        <v>0</v>
      </c>
      <c r="AF165" s="21">
        <f>STALK_Geom!$H$24</f>
        <v>0</v>
      </c>
      <c r="AG165" s="56">
        <f>STALK_Geom!$G$25</f>
        <v>0</v>
      </c>
      <c r="AH165" s="21">
        <f>STALK_Geom!$H$25</f>
        <v>0</v>
      </c>
      <c r="AI165" s="56">
        <f>STALK_Geom!$G$26</f>
        <v>0</v>
      </c>
      <c r="AJ165" s="21">
        <f>STALK_Geom!$H$26</f>
        <v>0</v>
      </c>
      <c r="AK165" s="56">
        <f>STALK_Geom!$G$27</f>
        <v>0</v>
      </c>
      <c r="AL165" s="21">
        <f>STALK_Geom!$H$27</f>
        <v>0</v>
      </c>
      <c r="AM165" s="56">
        <f>STALK_Geom!$G$28</f>
        <v>0</v>
      </c>
      <c r="AN165" s="21">
        <f>STALK_Geom!$H$28</f>
        <v>0</v>
      </c>
      <c r="AO165" s="56">
        <f>STALK_Geom!$G$29</f>
        <v>0</v>
      </c>
      <c r="AP165" s="21">
        <f>STALK_Geom!$H$29</f>
        <v>0</v>
      </c>
      <c r="AQ165" s="56">
        <f>STALK_Geom!$G$30</f>
        <v>0</v>
      </c>
      <c r="AR165" s="21">
        <f>STALK_Geom!$H$30</f>
        <v>0</v>
      </c>
      <c r="AS165" s="56">
        <f>STALK_Geom!$G$31</f>
        <v>0</v>
      </c>
      <c r="AT165" s="21">
        <f>STALK_Geom!$H$31</f>
        <v>0</v>
      </c>
      <c r="AU165" s="56">
        <f>STALK_Geom!$G$32</f>
        <v>0</v>
      </c>
      <c r="AV165" s="21">
        <f>STALK_Geom!$H$32</f>
        <v>0</v>
      </c>
      <c r="AW165" s="56">
        <f>STALK_Geom!$G$33</f>
        <v>0</v>
      </c>
      <c r="AX165" s="21">
        <f>STALK_Geom!$H$33</f>
        <v>0</v>
      </c>
      <c r="AY165" s="56">
        <f>STALK_Geom!$G$34</f>
        <v>0</v>
      </c>
      <c r="AZ165" s="21">
        <f>STALK_Geom!$H$34</f>
        <v>0</v>
      </c>
      <c r="BA165" s="56">
        <f>STALK_Geom!$G$35</f>
        <v>0</v>
      </c>
      <c r="BB165" s="21">
        <f>STALK_Geom!$H$35</f>
        <v>0</v>
      </c>
      <c r="BC165" s="56">
        <f>STALK_Geom!$G$36</f>
        <v>0</v>
      </c>
      <c r="BD165" s="21">
        <f>STALK_Geom!$H$36</f>
        <v>0</v>
      </c>
      <c r="BE165" s="56">
        <f>STALK_Geom!$G$37</f>
        <v>0</v>
      </c>
      <c r="BF165" s="21">
        <f>STALK_Geom!$H$37</f>
        <v>0</v>
      </c>
      <c r="BG165" s="52" t="s">
        <v>69</v>
      </c>
      <c r="BH165" s="16"/>
    </row>
    <row r="166" spans="1:60">
      <c r="A166" s="20"/>
      <c r="B166" s="11" t="s">
        <v>277</v>
      </c>
      <c r="C166" s="2" t="s">
        <v>278</v>
      </c>
      <c r="D166" s="7" t="s">
        <v>12</v>
      </c>
      <c r="E166" s="9" t="s">
        <v>0</v>
      </c>
      <c r="F166" s="40" t="s">
        <v>7</v>
      </c>
      <c r="G166" s="46">
        <f>STALK_Geom!$I$9</f>
        <v>1</v>
      </c>
      <c r="H166" s="72">
        <f>STALK_Geom!$I$10</f>
        <v>3</v>
      </c>
      <c r="I166" s="56">
        <f>STALK_Geom!$G$13</f>
        <v>1</v>
      </c>
      <c r="J166" s="21">
        <f>STALK_Geom!$I$13</f>
        <v>0.3</v>
      </c>
      <c r="K166" s="56">
        <f>STALK_Geom!$G$14</f>
        <v>100</v>
      </c>
      <c r="L166" s="21">
        <f>STALK_Geom!$I$14</f>
        <v>0.4</v>
      </c>
      <c r="M166" s="56">
        <f>STALK_Geom!$G$15</f>
        <v>200</v>
      </c>
      <c r="N166" s="21">
        <f>STALK_Geom!$I$15</f>
        <v>0.5</v>
      </c>
      <c r="O166" s="56">
        <f>STALK_Geom!$G$16</f>
        <v>0</v>
      </c>
      <c r="P166" s="21">
        <f>STALK_Geom!$I$16</f>
        <v>0</v>
      </c>
      <c r="Q166" s="56">
        <f>STALK_Geom!$G$17</f>
        <v>0</v>
      </c>
      <c r="R166" s="21">
        <f>STALK_Geom!$I$17</f>
        <v>0</v>
      </c>
      <c r="S166" s="56">
        <f>STALK_Geom!$G$18</f>
        <v>0</v>
      </c>
      <c r="T166" s="21">
        <f>STALK_Geom!$I$18</f>
        <v>0</v>
      </c>
      <c r="U166" s="56">
        <f>STALK_Geom!$G$19</f>
        <v>0</v>
      </c>
      <c r="V166" s="21">
        <f>STALK_Geom!$I$19</f>
        <v>0</v>
      </c>
      <c r="W166" s="56">
        <f>STALK_Geom!$G$20</f>
        <v>0</v>
      </c>
      <c r="X166" s="21">
        <f>STALK_Geom!$I$20</f>
        <v>0</v>
      </c>
      <c r="Y166" s="56">
        <f>STALK_Geom!$G$21</f>
        <v>0</v>
      </c>
      <c r="Z166" s="21">
        <f>STALK_Geom!$I$21</f>
        <v>0</v>
      </c>
      <c r="AA166" s="56">
        <f>STALK_Geom!$G$22</f>
        <v>0</v>
      </c>
      <c r="AB166" s="21">
        <f>STALK_Geom!$I$22</f>
        <v>0</v>
      </c>
      <c r="AC166" s="56">
        <f>STALK_Geom!$G$23</f>
        <v>0</v>
      </c>
      <c r="AD166" s="21">
        <f>STALK_Geom!$I$23</f>
        <v>0</v>
      </c>
      <c r="AE166" s="56">
        <f>STALK_Geom!$G$24</f>
        <v>0</v>
      </c>
      <c r="AF166" s="21">
        <f>STALK_Geom!$I$24</f>
        <v>0</v>
      </c>
      <c r="AG166" s="56">
        <f>STALK_Geom!$G$25</f>
        <v>0</v>
      </c>
      <c r="AH166" s="21">
        <f>STALK_Geom!$I$25</f>
        <v>0</v>
      </c>
      <c r="AI166" s="56">
        <f>STALK_Geom!$G$26</f>
        <v>0</v>
      </c>
      <c r="AJ166" s="21">
        <f>STALK_Geom!$I$26</f>
        <v>0</v>
      </c>
      <c r="AK166" s="56">
        <f>STALK_Geom!$G$27</f>
        <v>0</v>
      </c>
      <c r="AL166" s="21">
        <f>STALK_Geom!$I$27</f>
        <v>0</v>
      </c>
      <c r="AM166" s="56">
        <f>STALK_Geom!$G$28</f>
        <v>0</v>
      </c>
      <c r="AN166" s="21">
        <f>STALK_Geom!$I$28</f>
        <v>0</v>
      </c>
      <c r="AO166" s="56">
        <f>STALK_Geom!$G$29</f>
        <v>0</v>
      </c>
      <c r="AP166" s="21">
        <f>STALK_Geom!$I$29</f>
        <v>0</v>
      </c>
      <c r="AQ166" s="56">
        <f>STALK_Geom!$G$30</f>
        <v>0</v>
      </c>
      <c r="AR166" s="21">
        <f>STALK_Geom!$I$30</f>
        <v>0</v>
      </c>
      <c r="AS166" s="56">
        <f>STALK_Geom!$G$31</f>
        <v>0</v>
      </c>
      <c r="AT166" s="21">
        <f>STALK_Geom!$I$31</f>
        <v>0</v>
      </c>
      <c r="AU166" s="56">
        <f>STALK_Geom!$G$32</f>
        <v>0</v>
      </c>
      <c r="AV166" s="21">
        <f>STALK_Geom!$I$32</f>
        <v>0</v>
      </c>
      <c r="AW166" s="56">
        <f>STALK_Geom!$G$33</f>
        <v>0</v>
      </c>
      <c r="AX166" s="21">
        <f>STALK_Geom!$I$33</f>
        <v>0</v>
      </c>
      <c r="AY166" s="56">
        <f>STALK_Geom!$G$34</f>
        <v>0</v>
      </c>
      <c r="AZ166" s="21">
        <f>STALK_Geom!$I$34</f>
        <v>0</v>
      </c>
      <c r="BA166" s="56">
        <f>STALK_Geom!$G$35</f>
        <v>0</v>
      </c>
      <c r="BB166" s="21">
        <f>STALK_Geom!$I$35</f>
        <v>0</v>
      </c>
      <c r="BC166" s="56">
        <f>STALK_Geom!$G$36</f>
        <v>0</v>
      </c>
      <c r="BD166" s="21">
        <f>STALK_Geom!$I$36</f>
        <v>0</v>
      </c>
      <c r="BE166" s="56">
        <f>STALK_Geom!$G$37</f>
        <v>0</v>
      </c>
      <c r="BF166" s="21">
        <f>STALK_Geom!$I$37</f>
        <v>0</v>
      </c>
      <c r="BG166" s="52" t="s">
        <v>69</v>
      </c>
      <c r="BH166" s="16"/>
    </row>
    <row r="167" spans="1:60">
      <c r="A167" s="20"/>
      <c r="B167" s="11" t="s">
        <v>279</v>
      </c>
      <c r="C167" s="2" t="s">
        <v>280</v>
      </c>
      <c r="D167" s="33" t="s">
        <v>12</v>
      </c>
      <c r="E167" s="9" t="s">
        <v>5</v>
      </c>
      <c r="F167" s="40" t="s">
        <v>7</v>
      </c>
      <c r="G167" s="46">
        <f>STALK_Geom!$K$9</f>
        <v>1</v>
      </c>
      <c r="H167" s="72">
        <f>STALK_Geom!$K$10</f>
        <v>4</v>
      </c>
      <c r="I167" s="57">
        <f>STALK_Geom!$J$13</f>
        <v>0</v>
      </c>
      <c r="J167" s="21">
        <f>STALK_Geom!$K$13</f>
        <v>1</v>
      </c>
      <c r="K167" s="57">
        <f>STALK_Geom!$J$14</f>
        <v>70</v>
      </c>
      <c r="L167" s="21">
        <f>STALK_Geom!$K$14</f>
        <v>0.95</v>
      </c>
      <c r="M167" s="57">
        <f>STALK_Geom!$J$15</f>
        <v>75</v>
      </c>
      <c r="N167" s="21">
        <f>STALK_Geom!$K$15</f>
        <v>0.9</v>
      </c>
      <c r="O167" s="57">
        <f>STALK_Geom!$J$16</f>
        <v>100</v>
      </c>
      <c r="P167" s="21">
        <f>STALK_Geom!$K$16</f>
        <v>0.1</v>
      </c>
      <c r="Q167" s="57">
        <f>STALK_Geom!$J$17</f>
        <v>0</v>
      </c>
      <c r="R167" s="21">
        <f>STALK_Geom!$K$17</f>
        <v>0</v>
      </c>
      <c r="S167" s="57">
        <f>STALK_Geom!$J$18</f>
        <v>0</v>
      </c>
      <c r="T167" s="21">
        <f>STALK_Geom!$K$18</f>
        <v>0</v>
      </c>
      <c r="U167" s="57">
        <f>STALK_Geom!$J$19</f>
        <v>0</v>
      </c>
      <c r="V167" s="21">
        <f>STALK_Geom!$K$19</f>
        <v>0</v>
      </c>
      <c r="W167" s="57">
        <f>STALK_Geom!$J$20</f>
        <v>0</v>
      </c>
      <c r="X167" s="21">
        <f>STALK_Geom!$K$20</f>
        <v>0</v>
      </c>
      <c r="Y167" s="57">
        <f>STALK_Geom!$J$21</f>
        <v>0</v>
      </c>
      <c r="Z167" s="21">
        <f>STALK_Geom!$K$21</f>
        <v>0</v>
      </c>
      <c r="AA167" s="57">
        <f>STALK_Geom!$J$22</f>
        <v>0</v>
      </c>
      <c r="AB167" s="21">
        <f>STALK_Geom!$K$22</f>
        <v>0</v>
      </c>
      <c r="AC167" s="57">
        <f>STALK_Geom!$J$23</f>
        <v>0</v>
      </c>
      <c r="AD167" s="21">
        <f>STALK_Geom!$K$23</f>
        <v>0</v>
      </c>
      <c r="AE167" s="57">
        <f>STALK_Geom!$J$24</f>
        <v>0</v>
      </c>
      <c r="AF167" s="21">
        <f>STALK_Geom!$K$24</f>
        <v>0</v>
      </c>
      <c r="AG167" s="57">
        <f>STALK_Geom!$J$25</f>
        <v>0</v>
      </c>
      <c r="AH167" s="21">
        <f>STALK_Geom!$K$25</f>
        <v>0</v>
      </c>
      <c r="AI167" s="57">
        <f>STALK_Geom!$J$26</f>
        <v>0</v>
      </c>
      <c r="AJ167" s="21">
        <f>STALK_Geom!$K$26</f>
        <v>0</v>
      </c>
      <c r="AK167" s="57">
        <f>STALK_Geom!$J$27</f>
        <v>0</v>
      </c>
      <c r="AL167" s="21">
        <f>STALK_Geom!$K$27</f>
        <v>0</v>
      </c>
      <c r="AM167" s="57">
        <f>STALK_Geom!$J$28</f>
        <v>0</v>
      </c>
      <c r="AN167" s="21">
        <f>STALK_Geom!$K$28</f>
        <v>0</v>
      </c>
      <c r="AO167" s="57">
        <f>STALK_Geom!$J$29</f>
        <v>0</v>
      </c>
      <c r="AP167" s="21">
        <f>STALK_Geom!$K$29</f>
        <v>0</v>
      </c>
      <c r="AQ167" s="57">
        <f>STALK_Geom!$J$30</f>
        <v>0</v>
      </c>
      <c r="AR167" s="21">
        <f>STALK_Geom!$K$30</f>
        <v>0</v>
      </c>
      <c r="AS167" s="57">
        <f>STALK_Geom!$J$31</f>
        <v>0</v>
      </c>
      <c r="AT167" s="21">
        <f>STALK_Geom!$K$31</f>
        <v>0</v>
      </c>
      <c r="AU167" s="57">
        <f>STALK_Geom!$J$32</f>
        <v>0</v>
      </c>
      <c r="AV167" s="21">
        <f>STALK_Geom!$K$32</f>
        <v>0</v>
      </c>
      <c r="AW167" s="57">
        <f>STALK_Geom!$J$33</f>
        <v>0</v>
      </c>
      <c r="AX167" s="21">
        <f>STALK_Geom!$K$33</f>
        <v>0</v>
      </c>
      <c r="AY167" s="57">
        <f>STALK_Geom!$J$34</f>
        <v>0</v>
      </c>
      <c r="AZ167" s="21">
        <f>STALK_Geom!$K$34</f>
        <v>0</v>
      </c>
      <c r="BA167" s="57">
        <f>STALK_Geom!$J$35</f>
        <v>0</v>
      </c>
      <c r="BB167" s="21">
        <f>STALK_Geom!$K$35</f>
        <v>0</v>
      </c>
      <c r="BC167" s="57">
        <f>STALK_Geom!$J$36</f>
        <v>0</v>
      </c>
      <c r="BD167" s="21">
        <f>STALK_Geom!$K$36</f>
        <v>0</v>
      </c>
      <c r="BE167" s="57">
        <f>STALK_Geom!$J$37</f>
        <v>0</v>
      </c>
      <c r="BF167" s="21">
        <f>STALK_Geom!$K$37</f>
        <v>0</v>
      </c>
      <c r="BG167" s="52" t="s">
        <v>69</v>
      </c>
      <c r="BH167" s="16"/>
    </row>
    <row r="168" spans="1:60">
      <c r="A168" s="20"/>
      <c r="B168" s="11" t="s">
        <v>281</v>
      </c>
      <c r="C168" s="2" t="s">
        <v>282</v>
      </c>
      <c r="D168" s="7" t="s">
        <v>12</v>
      </c>
      <c r="E168" s="9" t="s">
        <v>0</v>
      </c>
      <c r="F168" s="40" t="s">
        <v>7</v>
      </c>
      <c r="G168" s="46">
        <f>STALK_Geom!$N$9</f>
        <v>1</v>
      </c>
      <c r="H168" s="72">
        <f>STALK_Geom!$N$10</f>
        <v>2</v>
      </c>
      <c r="I168" s="56">
        <f>STALK_Geom!$M$13</f>
        <v>1</v>
      </c>
      <c r="J168" s="21">
        <f>STALK_Geom!$N$13</f>
        <v>1</v>
      </c>
      <c r="K168" s="56">
        <f>STALK_Geom!$M$14</f>
        <v>200</v>
      </c>
      <c r="L168" s="21">
        <f>STALK_Geom!$N$14</f>
        <v>2</v>
      </c>
      <c r="M168" s="56">
        <f>STALK_Geom!$M$15</f>
        <v>0</v>
      </c>
      <c r="N168" s="21">
        <f>STALK_Geom!$N$15</f>
        <v>0</v>
      </c>
      <c r="O168" s="56">
        <f>STALK_Geom!$M$16</f>
        <v>0</v>
      </c>
      <c r="P168" s="21">
        <f>STALK_Geom!$N$16</f>
        <v>0</v>
      </c>
      <c r="Q168" s="56">
        <f>STALK_Geom!$M$17</f>
        <v>0</v>
      </c>
      <c r="R168" s="21">
        <f>STALK_Geom!$N$17</f>
        <v>0</v>
      </c>
      <c r="S168" s="56">
        <f>STALK_Geom!$M$18</f>
        <v>0</v>
      </c>
      <c r="T168" s="21">
        <f>STALK_Geom!$N$18</f>
        <v>0</v>
      </c>
      <c r="U168" s="56">
        <f>STALK_Geom!$M$19</f>
        <v>0</v>
      </c>
      <c r="V168" s="21">
        <f>STALK_Geom!$N$19</f>
        <v>0</v>
      </c>
      <c r="W168" s="56">
        <f>STALK_Geom!$M$20</f>
        <v>0</v>
      </c>
      <c r="X168" s="21">
        <f>STALK_Geom!$N$20</f>
        <v>0</v>
      </c>
      <c r="Y168" s="56">
        <f>STALK_Geom!$M$21</f>
        <v>0</v>
      </c>
      <c r="Z168" s="21">
        <f>STALK_Geom!$N$21</f>
        <v>0</v>
      </c>
      <c r="AA168" s="56">
        <f>STALK_Geom!$M$22</f>
        <v>0</v>
      </c>
      <c r="AB168" s="21">
        <f>STALK_Geom!$N$22</f>
        <v>0</v>
      </c>
      <c r="AC168" s="56">
        <f>STALK_Geom!$M$23</f>
        <v>0</v>
      </c>
      <c r="AD168" s="21">
        <f>STALK_Geom!$N$23</f>
        <v>0</v>
      </c>
      <c r="AE168" s="56">
        <f>STALK_Geom!$M$24</f>
        <v>0</v>
      </c>
      <c r="AF168" s="21">
        <f>STALK_Geom!$N$24</f>
        <v>0</v>
      </c>
      <c r="AG168" s="56">
        <f>STALK_Geom!$M$25</f>
        <v>0</v>
      </c>
      <c r="AH168" s="21">
        <f>STALK_Geom!$N$25</f>
        <v>0</v>
      </c>
      <c r="AI168" s="56">
        <f>STALK_Geom!$M$26</f>
        <v>0</v>
      </c>
      <c r="AJ168" s="21">
        <f>STALK_Geom!$N$26</f>
        <v>0</v>
      </c>
      <c r="AK168" s="56">
        <f>STALK_Geom!$M$27</f>
        <v>0</v>
      </c>
      <c r="AL168" s="21">
        <f>STALK_Geom!$N$27</f>
        <v>0</v>
      </c>
      <c r="AM168" s="56">
        <f>STALK_Geom!$M$28</f>
        <v>0</v>
      </c>
      <c r="AN168" s="21">
        <f>STALK_Geom!$N$28</f>
        <v>0</v>
      </c>
      <c r="AO168" s="56">
        <f>STALK_Geom!$M$29</f>
        <v>0</v>
      </c>
      <c r="AP168" s="21">
        <f>STALK_Geom!$N$29</f>
        <v>0</v>
      </c>
      <c r="AQ168" s="56">
        <f>STALK_Geom!$M$30</f>
        <v>0</v>
      </c>
      <c r="AR168" s="21">
        <f>STALK_Geom!$N$30</f>
        <v>0</v>
      </c>
      <c r="AS168" s="56">
        <f>STALK_Geom!$M$31</f>
        <v>0</v>
      </c>
      <c r="AT168" s="21">
        <f>STALK_Geom!$N$31</f>
        <v>0</v>
      </c>
      <c r="AU168" s="56">
        <f>STALK_Geom!$M$32</f>
        <v>0</v>
      </c>
      <c r="AV168" s="21">
        <f>STALK_Geom!$N$32</f>
        <v>0</v>
      </c>
      <c r="AW168" s="56">
        <f>STALK_Geom!$M$33</f>
        <v>0</v>
      </c>
      <c r="AX168" s="21">
        <f>STALK_Geom!$N$33</f>
        <v>0</v>
      </c>
      <c r="AY168" s="56">
        <f>STALK_Geom!$M$34</f>
        <v>0</v>
      </c>
      <c r="AZ168" s="21">
        <f>STALK_Geom!$N$34</f>
        <v>0</v>
      </c>
      <c r="BA168" s="56">
        <f>STALK_Geom!$M$35</f>
        <v>0</v>
      </c>
      <c r="BB168" s="21">
        <f>STALK_Geom!$N$35</f>
        <v>0</v>
      </c>
      <c r="BC168" s="56">
        <f>STALK_Geom!$M$36</f>
        <v>0</v>
      </c>
      <c r="BD168" s="21">
        <f>STALK_Geom!$N$36</f>
        <v>0</v>
      </c>
      <c r="BE168" s="56">
        <f>STALK_Geom!$M$37</f>
        <v>0</v>
      </c>
      <c r="BF168" s="21">
        <f>STALK_Geom!$N$37</f>
        <v>0</v>
      </c>
      <c r="BG168" s="52" t="s">
        <v>69</v>
      </c>
      <c r="BH168" s="16"/>
    </row>
    <row r="169" spans="1:60">
      <c r="A169" s="20"/>
      <c r="B169" s="11" t="s">
        <v>283</v>
      </c>
      <c r="C169" s="2" t="s">
        <v>284</v>
      </c>
      <c r="D169" s="7" t="s">
        <v>12</v>
      </c>
      <c r="E169" s="9" t="s">
        <v>0</v>
      </c>
      <c r="F169" s="40" t="s">
        <v>7</v>
      </c>
      <c r="G169" s="46">
        <f>STALK_Geom!$O$9</f>
        <v>1</v>
      </c>
      <c r="H169" s="72">
        <f>STALK_Geom!$O$10</f>
        <v>2</v>
      </c>
      <c r="I169" s="56">
        <f>STALK_Geom!$M$13</f>
        <v>1</v>
      </c>
      <c r="J169" s="21">
        <f>STALK_Geom!$O$13</f>
        <v>0.1</v>
      </c>
      <c r="K169" s="56">
        <f>STALK_Geom!$M$14</f>
        <v>200</v>
      </c>
      <c r="L169" s="21">
        <f>STALK_Geom!$O$14</f>
        <v>0.2</v>
      </c>
      <c r="M169" s="56">
        <f>STALK_Geom!$M$15</f>
        <v>0</v>
      </c>
      <c r="N169" s="21">
        <f>STALK_Geom!$O$15</f>
        <v>0</v>
      </c>
      <c r="O169" s="56">
        <f>STALK_Geom!$M$16</f>
        <v>0</v>
      </c>
      <c r="P169" s="21">
        <f>STALK_Geom!$O$16</f>
        <v>0</v>
      </c>
      <c r="Q169" s="56">
        <f>STALK_Geom!$M$17</f>
        <v>0</v>
      </c>
      <c r="R169" s="21">
        <f>STALK_Geom!$O$17</f>
        <v>0</v>
      </c>
      <c r="S169" s="56">
        <f>STALK_Geom!$M$18</f>
        <v>0</v>
      </c>
      <c r="T169" s="21">
        <f>STALK_Geom!$O$18</f>
        <v>0</v>
      </c>
      <c r="U169" s="56">
        <f>STALK_Geom!$M$19</f>
        <v>0</v>
      </c>
      <c r="V169" s="21">
        <f>STALK_Geom!$O$19</f>
        <v>0</v>
      </c>
      <c r="W169" s="56">
        <f>STALK_Geom!$M$20</f>
        <v>0</v>
      </c>
      <c r="X169" s="21">
        <f>STALK_Geom!$O$20</f>
        <v>0</v>
      </c>
      <c r="Y169" s="56">
        <f>STALK_Geom!$M$21</f>
        <v>0</v>
      </c>
      <c r="Z169" s="21">
        <f>STALK_Geom!$O$21</f>
        <v>0</v>
      </c>
      <c r="AA169" s="56">
        <f>STALK_Geom!$M$22</f>
        <v>0</v>
      </c>
      <c r="AB169" s="21">
        <f>STALK_Geom!$O$22</f>
        <v>0</v>
      </c>
      <c r="AC169" s="56">
        <f>STALK_Geom!$M$23</f>
        <v>0</v>
      </c>
      <c r="AD169" s="21">
        <f>STALK_Geom!$O$23</f>
        <v>0</v>
      </c>
      <c r="AE169" s="56">
        <f>STALK_Geom!$M$24</f>
        <v>0</v>
      </c>
      <c r="AF169" s="21">
        <f>STALK_Geom!$O$24</f>
        <v>0</v>
      </c>
      <c r="AG169" s="56">
        <f>STALK_Geom!$M$25</f>
        <v>0</v>
      </c>
      <c r="AH169" s="21">
        <f>STALK_Geom!$O$25</f>
        <v>0</v>
      </c>
      <c r="AI169" s="56">
        <f>STALK_Geom!$M$26</f>
        <v>0</v>
      </c>
      <c r="AJ169" s="21">
        <f>STALK_Geom!$O$26</f>
        <v>0</v>
      </c>
      <c r="AK169" s="56">
        <f>STALK_Geom!$M$27</f>
        <v>0</v>
      </c>
      <c r="AL169" s="21">
        <f>STALK_Geom!$O$27</f>
        <v>0</v>
      </c>
      <c r="AM169" s="56">
        <f>STALK_Geom!$M$28</f>
        <v>0</v>
      </c>
      <c r="AN169" s="21">
        <f>STALK_Geom!$O$28</f>
        <v>0</v>
      </c>
      <c r="AO169" s="56">
        <f>STALK_Geom!$M$29</f>
        <v>0</v>
      </c>
      <c r="AP169" s="21">
        <f>STALK_Geom!$O$29</f>
        <v>0</v>
      </c>
      <c r="AQ169" s="56">
        <f>STALK_Geom!$M$30</f>
        <v>0</v>
      </c>
      <c r="AR169" s="21">
        <f>STALK_Geom!$O$30</f>
        <v>0</v>
      </c>
      <c r="AS169" s="56">
        <f>STALK_Geom!$M$31</f>
        <v>0</v>
      </c>
      <c r="AT169" s="21">
        <f>STALK_Geom!$O$31</f>
        <v>0</v>
      </c>
      <c r="AU169" s="56">
        <f>STALK_Geom!$M$32</f>
        <v>0</v>
      </c>
      <c r="AV169" s="21">
        <f>STALK_Geom!$O$32</f>
        <v>0</v>
      </c>
      <c r="AW169" s="56">
        <f>STALK_Geom!$M$33</f>
        <v>0</v>
      </c>
      <c r="AX169" s="21">
        <f>STALK_Geom!$O$33</f>
        <v>0</v>
      </c>
      <c r="AY169" s="56">
        <f>STALK_Geom!$M$34</f>
        <v>0</v>
      </c>
      <c r="AZ169" s="21">
        <f>STALK_Geom!$O$34</f>
        <v>0</v>
      </c>
      <c r="BA169" s="56">
        <f>STALK_Geom!$M$35</f>
        <v>0</v>
      </c>
      <c r="BB169" s="21">
        <f>STALK_Geom!$O$35</f>
        <v>0</v>
      </c>
      <c r="BC169" s="56">
        <f>STALK_Geom!$M$36</f>
        <v>0</v>
      </c>
      <c r="BD169" s="21">
        <f>STALK_Geom!$O$36</f>
        <v>0</v>
      </c>
      <c r="BE169" s="56">
        <f>STALK_Geom!$M$37</f>
        <v>0</v>
      </c>
      <c r="BF169" s="21">
        <f>STALK_Geom!$O$37</f>
        <v>0</v>
      </c>
      <c r="BG169" s="52" t="s">
        <v>69</v>
      </c>
      <c r="BH169" s="16"/>
    </row>
    <row r="170" spans="1:60">
      <c r="A170" s="20"/>
      <c r="B170" s="11" t="s">
        <v>285</v>
      </c>
      <c r="C170" s="2" t="s">
        <v>286</v>
      </c>
      <c r="D170" s="33" t="s">
        <v>12</v>
      </c>
      <c r="E170" s="9" t="s">
        <v>5</v>
      </c>
      <c r="F170" s="40" t="s">
        <v>7</v>
      </c>
      <c r="G170" s="46">
        <f>STALK_Geom!$Q$9</f>
        <v>1</v>
      </c>
      <c r="H170" s="72">
        <f>STALK_Geom!$Q$10</f>
        <v>4</v>
      </c>
      <c r="I170" s="57">
        <f>STALK_Geom!$P$13</f>
        <v>0</v>
      </c>
      <c r="J170" s="21">
        <f>STALK_Geom!$Q$13</f>
        <v>1</v>
      </c>
      <c r="K170" s="57">
        <f>STALK_Geom!$P$14</f>
        <v>70</v>
      </c>
      <c r="L170" s="21">
        <f>STALK_Geom!$Q$14</f>
        <v>0.95</v>
      </c>
      <c r="M170" s="57">
        <f>STALK_Geom!$P$15</f>
        <v>75</v>
      </c>
      <c r="N170" s="21">
        <f>STALK_Geom!$Q$15</f>
        <v>0.9</v>
      </c>
      <c r="O170" s="57">
        <f>STALK_Geom!$P$16</f>
        <v>100</v>
      </c>
      <c r="P170" s="21">
        <f>STALK_Geom!$Q$16</f>
        <v>0.1</v>
      </c>
      <c r="Q170" s="57">
        <f>STALK_Geom!$P$17</f>
        <v>0</v>
      </c>
      <c r="R170" s="21">
        <f>STALK_Geom!$Q$17</f>
        <v>0</v>
      </c>
      <c r="S170" s="57">
        <f>STALK_Geom!$P$18</f>
        <v>0</v>
      </c>
      <c r="T170" s="21">
        <f>STALK_Geom!$Q$18</f>
        <v>0</v>
      </c>
      <c r="U170" s="57">
        <f>STALK_Geom!$P$19</f>
        <v>0</v>
      </c>
      <c r="V170" s="21">
        <f>STALK_Geom!$Q$19</f>
        <v>0</v>
      </c>
      <c r="W170" s="57">
        <f>STALK_Geom!$P$20</f>
        <v>0</v>
      </c>
      <c r="X170" s="21">
        <f>STALK_Geom!$Q$20</f>
        <v>0</v>
      </c>
      <c r="Y170" s="57">
        <f>STALK_Geom!$P$21</f>
        <v>0</v>
      </c>
      <c r="Z170" s="21">
        <f>STALK_Geom!$Q$21</f>
        <v>0</v>
      </c>
      <c r="AA170" s="57">
        <f>STALK_Geom!$P$22</f>
        <v>0</v>
      </c>
      <c r="AB170" s="21">
        <f>STALK_Geom!$Q$22</f>
        <v>0</v>
      </c>
      <c r="AC170" s="57">
        <f>STALK_Geom!$P$23</f>
        <v>0</v>
      </c>
      <c r="AD170" s="21">
        <f>STALK_Geom!$Q$23</f>
        <v>0</v>
      </c>
      <c r="AE170" s="57">
        <f>STALK_Geom!$P$24</f>
        <v>0</v>
      </c>
      <c r="AF170" s="21">
        <f>STALK_Geom!$Q$24</f>
        <v>0</v>
      </c>
      <c r="AG170" s="57">
        <f>STALK_Geom!$P$25</f>
        <v>0</v>
      </c>
      <c r="AH170" s="21">
        <f>STALK_Geom!$Q$25</f>
        <v>0</v>
      </c>
      <c r="AI170" s="57">
        <f>STALK_Geom!$P$26</f>
        <v>0</v>
      </c>
      <c r="AJ170" s="21">
        <f>STALK_Geom!$Q$26</f>
        <v>0</v>
      </c>
      <c r="AK170" s="57">
        <f>STALK_Geom!$P$27</f>
        <v>0</v>
      </c>
      <c r="AL170" s="21">
        <f>STALK_Geom!$Q$27</f>
        <v>0</v>
      </c>
      <c r="AM170" s="57">
        <f>STALK_Geom!$P$28</f>
        <v>0</v>
      </c>
      <c r="AN170" s="21">
        <f>STALK_Geom!$Q$28</f>
        <v>0</v>
      </c>
      <c r="AO170" s="57">
        <f>STALK_Geom!$P$29</f>
        <v>0</v>
      </c>
      <c r="AP170" s="21">
        <f>STALK_Geom!$Q$29</f>
        <v>0</v>
      </c>
      <c r="AQ170" s="57">
        <f>STALK_Geom!$P$30</f>
        <v>0</v>
      </c>
      <c r="AR170" s="21">
        <f>STALK_Geom!$Q$30</f>
        <v>0</v>
      </c>
      <c r="AS170" s="57">
        <f>STALK_Geom!$P$31</f>
        <v>0</v>
      </c>
      <c r="AT170" s="21">
        <f>STALK_Geom!$Q$31</f>
        <v>0</v>
      </c>
      <c r="AU170" s="57">
        <f>STALK_Geom!$P$32</f>
        <v>0</v>
      </c>
      <c r="AV170" s="21">
        <f>STALK_Geom!$Q$32</f>
        <v>0</v>
      </c>
      <c r="AW170" s="57">
        <f>STALK_Geom!$P$33</f>
        <v>0</v>
      </c>
      <c r="AX170" s="21">
        <f>STALK_Geom!$Q$33</f>
        <v>0</v>
      </c>
      <c r="AY170" s="57">
        <f>STALK_Geom!$P$34</f>
        <v>0</v>
      </c>
      <c r="AZ170" s="21">
        <f>STALK_Geom!$Q$34</f>
        <v>0</v>
      </c>
      <c r="BA170" s="57">
        <f>STALK_Geom!$P$35</f>
        <v>0</v>
      </c>
      <c r="BB170" s="21">
        <f>STALK_Geom!$Q$35</f>
        <v>0</v>
      </c>
      <c r="BC170" s="57">
        <f>STALK_Geom!$P$36</f>
        <v>0</v>
      </c>
      <c r="BD170" s="21">
        <f>STALK_Geom!$Q$36</f>
        <v>0</v>
      </c>
      <c r="BE170" s="57">
        <f>STALK_Geom!$P$37</f>
        <v>0</v>
      </c>
      <c r="BF170" s="21">
        <f>STALK_Geom!$Q$37</f>
        <v>0</v>
      </c>
      <c r="BG170" s="52" t="s">
        <v>69</v>
      </c>
      <c r="BH170" s="16"/>
    </row>
    <row r="171" spans="1:60">
      <c r="A171" s="20"/>
      <c r="B171" s="10" t="s">
        <v>291</v>
      </c>
      <c r="C171" s="213" t="s">
        <v>292</v>
      </c>
      <c r="D171" s="33" t="s">
        <v>12</v>
      </c>
      <c r="E171" s="9" t="s">
        <v>3</v>
      </c>
      <c r="F171" s="40" t="s">
        <v>6</v>
      </c>
      <c r="G171" s="46">
        <f>STALK_Geom!$T$9</f>
        <v>1</v>
      </c>
      <c r="H171" s="72">
        <f>STALK_Geom!$T$10</f>
        <v>5</v>
      </c>
      <c r="I171" s="57">
        <f>STALK_Geom!$S$13</f>
        <v>0</v>
      </c>
      <c r="J171" s="21">
        <f>STALK_Geom!$T$13</f>
        <v>0</v>
      </c>
      <c r="K171" s="57">
        <f>STALK_Geom!$S$14</f>
        <v>25</v>
      </c>
      <c r="L171" s="21">
        <f>STALK_Geom!$T$14</f>
        <v>2</v>
      </c>
      <c r="M171" s="57">
        <f>STALK_Geom!$S$15</f>
        <v>50</v>
      </c>
      <c r="N171" s="21">
        <f>STALK_Geom!$T$15</f>
        <v>4</v>
      </c>
      <c r="O171" s="57">
        <f>STALK_Geom!$S$16</f>
        <v>75</v>
      </c>
      <c r="P171" s="21">
        <f>STALK_Geom!$T$16</f>
        <v>6</v>
      </c>
      <c r="Q171" s="57">
        <f>STALK_Geom!$S$17</f>
        <v>100</v>
      </c>
      <c r="R171" s="21">
        <f>STALK_Geom!$T$17</f>
        <v>8</v>
      </c>
      <c r="S171" s="57">
        <f>STALK_Geom!$S$18</f>
        <v>0</v>
      </c>
      <c r="T171" s="21">
        <f>STALK_Geom!$T$18</f>
        <v>0</v>
      </c>
      <c r="U171" s="57">
        <f>STALK_Geom!$S$19</f>
        <v>0</v>
      </c>
      <c r="V171" s="21">
        <f>STALK_Geom!$T$19</f>
        <v>0</v>
      </c>
      <c r="W171" s="57">
        <f>STALK_Geom!$S$20</f>
        <v>0</v>
      </c>
      <c r="X171" s="21">
        <f>STALK_Geom!$T$20</f>
        <v>0</v>
      </c>
      <c r="Y171" s="57">
        <f>STALK_Geom!$S$21</f>
        <v>0</v>
      </c>
      <c r="Z171" s="21">
        <f>STALK_Geom!$T$21</f>
        <v>0</v>
      </c>
      <c r="AA171" s="57">
        <f>STALK_Geom!$S$22</f>
        <v>0</v>
      </c>
      <c r="AB171" s="21">
        <f>STALK_Geom!$T$22</f>
        <v>0</v>
      </c>
      <c r="AC171" s="57">
        <f>STALK_Geom!$S$23</f>
        <v>0</v>
      </c>
      <c r="AD171" s="21">
        <f>STALK_Geom!$T$23</f>
        <v>0</v>
      </c>
      <c r="AE171" s="57">
        <f>STALK_Geom!$S$24</f>
        <v>0</v>
      </c>
      <c r="AF171" s="21">
        <f>STALK_Geom!$T$24</f>
        <v>0</v>
      </c>
      <c r="AG171" s="57">
        <f>STALK_Geom!$S$25</f>
        <v>0</v>
      </c>
      <c r="AH171" s="21">
        <f>STALK_Geom!$T$25</f>
        <v>0</v>
      </c>
      <c r="AI171" s="57">
        <f>STALK_Geom!$S$26</f>
        <v>0</v>
      </c>
      <c r="AJ171" s="21">
        <f>STALK_Geom!$T$26</f>
        <v>0</v>
      </c>
      <c r="AK171" s="57">
        <f>STALK_Geom!$S$27</f>
        <v>0</v>
      </c>
      <c r="AL171" s="21">
        <f>STALK_Geom!$T$27</f>
        <v>0</v>
      </c>
      <c r="AM171" s="57">
        <f>STALK_Geom!$S$28</f>
        <v>0</v>
      </c>
      <c r="AN171" s="21">
        <f>STALK_Geom!$T$28</f>
        <v>0</v>
      </c>
      <c r="AO171" s="57">
        <f>STALK_Geom!$S$29</f>
        <v>0</v>
      </c>
      <c r="AP171" s="21">
        <f>STALK_Geom!$T$29</f>
        <v>0</v>
      </c>
      <c r="AQ171" s="57">
        <f>STALK_Geom!$S$30</f>
        <v>0</v>
      </c>
      <c r="AR171" s="21">
        <f>STALK_Geom!$T$30</f>
        <v>0</v>
      </c>
      <c r="AS171" s="57">
        <f>STALK_Geom!$S$31</f>
        <v>0</v>
      </c>
      <c r="AT171" s="21">
        <f>STALK_Geom!$T$31</f>
        <v>0</v>
      </c>
      <c r="AU171" s="57">
        <f>STALK_Geom!$S$32</f>
        <v>0</v>
      </c>
      <c r="AV171" s="21">
        <f>STALK_Geom!$T$32</f>
        <v>0</v>
      </c>
      <c r="AW171" s="57">
        <f>STALK_Geom!$S$33</f>
        <v>0</v>
      </c>
      <c r="AX171" s="21">
        <f>STALK_Geom!$T$33</f>
        <v>0</v>
      </c>
      <c r="AY171" s="57">
        <f>STALK_Geom!$S$34</f>
        <v>0</v>
      </c>
      <c r="AZ171" s="21">
        <f>STALK_Geom!$T$34</f>
        <v>0</v>
      </c>
      <c r="BA171" s="57">
        <f>STALK_Geom!$S$35</f>
        <v>0</v>
      </c>
      <c r="BB171" s="21">
        <f>STALK_Geom!$T$35</f>
        <v>0</v>
      </c>
      <c r="BC171" s="57">
        <f>STALK_Geom!$S$36</f>
        <v>0</v>
      </c>
      <c r="BD171" s="21">
        <f>STALK_Geom!$T$36</f>
        <v>0</v>
      </c>
      <c r="BE171" s="57">
        <f>STALK_Geom!$S$37</f>
        <v>0</v>
      </c>
      <c r="BF171" s="21">
        <f>STALK_Geom!$T$37</f>
        <v>0</v>
      </c>
      <c r="BG171" s="52" t="s">
        <v>69</v>
      </c>
      <c r="BH171" s="16"/>
    </row>
    <row r="172" spans="1:60">
      <c r="A172" s="20"/>
      <c r="B172" s="11" t="s">
        <v>293</v>
      </c>
      <c r="C172" s="213" t="s">
        <v>450</v>
      </c>
      <c r="D172" s="33" t="s">
        <v>12</v>
      </c>
      <c r="E172" s="9" t="s">
        <v>3</v>
      </c>
      <c r="F172" s="40" t="s">
        <v>6</v>
      </c>
      <c r="G172" s="46">
        <f>STALK_Geom!$V$9</f>
        <v>1</v>
      </c>
      <c r="H172" s="72">
        <f>STALK_Geom!$V$10</f>
        <v>5</v>
      </c>
      <c r="I172" s="57">
        <f>STALK_Geom!$U$13</f>
        <v>0</v>
      </c>
      <c r="J172" s="21">
        <f>STALK_Geom!$V$13</f>
        <v>0</v>
      </c>
      <c r="K172" s="57">
        <f>STALK_Geom!$U$14</f>
        <v>20</v>
      </c>
      <c r="L172" s="21">
        <f>STALK_Geom!$V$14</f>
        <v>20</v>
      </c>
      <c r="M172" s="57">
        <f>STALK_Geom!$U$15</f>
        <v>45</v>
      </c>
      <c r="N172" s="21">
        <f>STALK_Geom!$V$15</f>
        <v>100</v>
      </c>
      <c r="O172" s="57">
        <f>STALK_Geom!$U$16</f>
        <v>70</v>
      </c>
      <c r="P172" s="21">
        <f>STALK_Geom!$V$16</f>
        <v>140</v>
      </c>
      <c r="Q172" s="57">
        <f>STALK_Geom!$U$17</f>
        <v>100</v>
      </c>
      <c r="R172" s="21">
        <f>STALK_Geom!$V$17</f>
        <v>170</v>
      </c>
      <c r="S172" s="57">
        <f>STALK_Geom!$U$18</f>
        <v>0</v>
      </c>
      <c r="T172" s="21">
        <f>STALK_Geom!$V$18</f>
        <v>0</v>
      </c>
      <c r="U172" s="57">
        <f>STALK_Geom!$U$19</f>
        <v>0</v>
      </c>
      <c r="V172" s="21">
        <f>STALK_Geom!$V$19</f>
        <v>0</v>
      </c>
      <c r="W172" s="57">
        <f>STALK_Geom!$U$20</f>
        <v>0</v>
      </c>
      <c r="X172" s="21">
        <f>STALK_Geom!$V$20</f>
        <v>0</v>
      </c>
      <c r="Y172" s="57">
        <f>STALK_Geom!$U$21</f>
        <v>0</v>
      </c>
      <c r="Z172" s="21">
        <f>STALK_Geom!$V$21</f>
        <v>0</v>
      </c>
      <c r="AA172" s="57">
        <f>STALK_Geom!$U$22</f>
        <v>0</v>
      </c>
      <c r="AB172" s="21">
        <f>STALK_Geom!$V$22</f>
        <v>0</v>
      </c>
      <c r="AC172" s="57">
        <f>STALK_Geom!$U$23</f>
        <v>0</v>
      </c>
      <c r="AD172" s="21">
        <f>STALK_Geom!$V$23</f>
        <v>0</v>
      </c>
      <c r="AE172" s="57">
        <f>STALK_Geom!$U$24</f>
        <v>0</v>
      </c>
      <c r="AF172" s="21">
        <f>STALK_Geom!$V$24</f>
        <v>0</v>
      </c>
      <c r="AG172" s="57">
        <f>STALK_Geom!$U$25</f>
        <v>0</v>
      </c>
      <c r="AH172" s="21">
        <f>STALK_Geom!$V$25</f>
        <v>0</v>
      </c>
      <c r="AI172" s="57">
        <f>STALK_Geom!$U$26</f>
        <v>0</v>
      </c>
      <c r="AJ172" s="21">
        <f>STALK_Geom!$V$26</f>
        <v>0</v>
      </c>
      <c r="AK172" s="57">
        <f>STALK_Geom!$U$27</f>
        <v>0</v>
      </c>
      <c r="AL172" s="21">
        <f>STALK_Geom!$V$27</f>
        <v>0</v>
      </c>
      <c r="AM172" s="57">
        <f>STALK_Geom!$U$28</f>
        <v>0</v>
      </c>
      <c r="AN172" s="21">
        <f>STALK_Geom!$V$28</f>
        <v>0</v>
      </c>
      <c r="AO172" s="57">
        <f>STALK_Geom!$U$29</f>
        <v>0</v>
      </c>
      <c r="AP172" s="21">
        <f>STALK_Geom!$V$29</f>
        <v>0</v>
      </c>
      <c r="AQ172" s="57">
        <f>STALK_Geom!$U$30</f>
        <v>0</v>
      </c>
      <c r="AR172" s="21">
        <f>STALK_Geom!$V$30</f>
        <v>0</v>
      </c>
      <c r="AS172" s="57">
        <f>STALK_Geom!$U$31</f>
        <v>0</v>
      </c>
      <c r="AT172" s="21">
        <f>STALK_Geom!$V$31</f>
        <v>0</v>
      </c>
      <c r="AU172" s="57">
        <f>STALK_Geom!$U$32</f>
        <v>0</v>
      </c>
      <c r="AV172" s="21">
        <f>STALK_Geom!$V$32</f>
        <v>0</v>
      </c>
      <c r="AW172" s="57">
        <f>STALK_Geom!$U$33</f>
        <v>0</v>
      </c>
      <c r="AX172" s="21">
        <f>STALK_Geom!$V$33</f>
        <v>0</v>
      </c>
      <c r="AY172" s="57">
        <f>STALK_Geom!$U$34</f>
        <v>0</v>
      </c>
      <c r="AZ172" s="21">
        <f>STALK_Geom!$V$34</f>
        <v>0</v>
      </c>
      <c r="BA172" s="57">
        <f>STALK_Geom!$U$35</f>
        <v>0</v>
      </c>
      <c r="BB172" s="21">
        <f>STALK_Geom!$V$35</f>
        <v>0</v>
      </c>
      <c r="BC172" s="57">
        <f>STALK_Geom!$U$36</f>
        <v>0</v>
      </c>
      <c r="BD172" s="21">
        <f>STALK_Geom!$V$36</f>
        <v>0</v>
      </c>
      <c r="BE172" s="57">
        <f>STALK_Geom!$U$37</f>
        <v>0</v>
      </c>
      <c r="BF172" s="21">
        <f>STALK_Geom!$V$37</f>
        <v>0</v>
      </c>
      <c r="BG172" s="52" t="s">
        <v>69</v>
      </c>
      <c r="BH172" s="16"/>
    </row>
    <row r="173" spans="1:60">
      <c r="A173" s="20"/>
      <c r="B173" s="11" t="s">
        <v>294</v>
      </c>
      <c r="C173" s="213" t="s">
        <v>739</v>
      </c>
      <c r="D173" s="33" t="s">
        <v>12</v>
      </c>
      <c r="E173" s="9" t="s">
        <v>3</v>
      </c>
      <c r="F173" s="40" t="s">
        <v>6</v>
      </c>
      <c r="G173" s="46">
        <f>STALK_Geom!$W$9</f>
        <v>1</v>
      </c>
      <c r="H173" s="72">
        <f>STALK_Geom!$W$10</f>
        <v>5</v>
      </c>
      <c r="I173" s="57">
        <f>STALK_Geom!$U$13</f>
        <v>0</v>
      </c>
      <c r="J173" s="21">
        <f>STALK_Geom!$W$13</f>
        <v>0</v>
      </c>
      <c r="K173" s="57">
        <f>STALK_Geom!$U$14</f>
        <v>20</v>
      </c>
      <c r="L173" s="21">
        <f>STALK_Geom!$W$14</f>
        <v>0.2</v>
      </c>
      <c r="M173" s="57">
        <f>STALK_Geom!$U$15</f>
        <v>45</v>
      </c>
      <c r="N173" s="21">
        <f>STALK_Geom!$W$15</f>
        <v>1</v>
      </c>
      <c r="O173" s="57">
        <f>STALK_Geom!$U$16</f>
        <v>70</v>
      </c>
      <c r="P173" s="21">
        <f>STALK_Geom!$W$16</f>
        <v>1.4</v>
      </c>
      <c r="Q173" s="57">
        <f>STALK_Geom!$U$17</f>
        <v>100</v>
      </c>
      <c r="R173" s="21">
        <f>STALK_Geom!$W$17</f>
        <v>1.7</v>
      </c>
      <c r="S173" s="57">
        <f>STALK_Geom!$U$18</f>
        <v>0</v>
      </c>
      <c r="T173" s="21">
        <f>STALK_Geom!$W$18</f>
        <v>0</v>
      </c>
      <c r="U173" s="57">
        <f>STALK_Geom!$U$19</f>
        <v>0</v>
      </c>
      <c r="V173" s="21">
        <f>STALK_Geom!$W$19</f>
        <v>0</v>
      </c>
      <c r="W173" s="57">
        <f>STALK_Geom!$U$20</f>
        <v>0</v>
      </c>
      <c r="X173" s="21">
        <f>STALK_Geom!$W$20</f>
        <v>0</v>
      </c>
      <c r="Y173" s="57">
        <f>STALK_Geom!$U$21</f>
        <v>0</v>
      </c>
      <c r="Z173" s="21">
        <f>STALK_Geom!$W$21</f>
        <v>0</v>
      </c>
      <c r="AA173" s="57">
        <f>STALK_Geom!$U$22</f>
        <v>0</v>
      </c>
      <c r="AB173" s="21">
        <f>STALK_Geom!$W$22</f>
        <v>0</v>
      </c>
      <c r="AC173" s="57">
        <f>STALK_Geom!$U$23</f>
        <v>0</v>
      </c>
      <c r="AD173" s="21">
        <f>STALK_Geom!$W$23</f>
        <v>0</v>
      </c>
      <c r="AE173" s="57">
        <f>STALK_Geom!$U$24</f>
        <v>0</v>
      </c>
      <c r="AF173" s="21">
        <f>STALK_Geom!$W$24</f>
        <v>0</v>
      </c>
      <c r="AG173" s="57">
        <f>STALK_Geom!$U$25</f>
        <v>0</v>
      </c>
      <c r="AH173" s="21">
        <f>STALK_Geom!$W$25</f>
        <v>0</v>
      </c>
      <c r="AI173" s="57">
        <f>STALK_Geom!$U$26</f>
        <v>0</v>
      </c>
      <c r="AJ173" s="21">
        <f>STALK_Geom!$W$26</f>
        <v>0</v>
      </c>
      <c r="AK173" s="57">
        <f>STALK_Geom!$U$27</f>
        <v>0</v>
      </c>
      <c r="AL173" s="21">
        <f>STALK_Geom!$W$27</f>
        <v>0</v>
      </c>
      <c r="AM173" s="57">
        <f>STALK_Geom!$U$28</f>
        <v>0</v>
      </c>
      <c r="AN173" s="21">
        <f>STALK_Geom!$W$28</f>
        <v>0</v>
      </c>
      <c r="AO173" s="57">
        <f>STALK_Geom!$U$29</f>
        <v>0</v>
      </c>
      <c r="AP173" s="21">
        <f>STALK_Geom!$W$29</f>
        <v>0</v>
      </c>
      <c r="AQ173" s="57">
        <f>STALK_Geom!$U$30</f>
        <v>0</v>
      </c>
      <c r="AR173" s="21">
        <f>STALK_Geom!$W$30</f>
        <v>0</v>
      </c>
      <c r="AS173" s="57">
        <f>STALK_Geom!$U$31</f>
        <v>0</v>
      </c>
      <c r="AT173" s="21">
        <f>STALK_Geom!$W$31</f>
        <v>0</v>
      </c>
      <c r="AU173" s="57">
        <f>STALK_Geom!$U$32</f>
        <v>0</v>
      </c>
      <c r="AV173" s="21">
        <f>STALK_Geom!$W$32</f>
        <v>0</v>
      </c>
      <c r="AW173" s="57">
        <f>STALK_Geom!$U$33</f>
        <v>0</v>
      </c>
      <c r="AX173" s="21">
        <f>STALK_Geom!$W$33</f>
        <v>0</v>
      </c>
      <c r="AY173" s="57">
        <f>STALK_Geom!$U$34</f>
        <v>0</v>
      </c>
      <c r="AZ173" s="21">
        <f>STALK_Geom!$W$34</f>
        <v>0</v>
      </c>
      <c r="BA173" s="57">
        <f>STALK_Geom!$U$35</f>
        <v>0</v>
      </c>
      <c r="BB173" s="21">
        <f>STALK_Geom!$W$35</f>
        <v>0</v>
      </c>
      <c r="BC173" s="57">
        <f>STALK_Geom!$U$36</f>
        <v>0</v>
      </c>
      <c r="BD173" s="21">
        <f>STALK_Geom!$W$36</f>
        <v>0</v>
      </c>
      <c r="BE173" s="57">
        <f>STALK_Geom!$U$37</f>
        <v>0</v>
      </c>
      <c r="BF173" s="21">
        <f>STALK_Geom!$W$37</f>
        <v>0</v>
      </c>
      <c r="BG173" s="52" t="s">
        <v>69</v>
      </c>
      <c r="BH173" s="16"/>
    </row>
    <row r="174" spans="1:60">
      <c r="A174" s="20"/>
      <c r="B174" s="11" t="s">
        <v>295</v>
      </c>
      <c r="C174" s="213" t="s">
        <v>296</v>
      </c>
      <c r="D174" s="6" t="s">
        <v>61</v>
      </c>
      <c r="E174" s="2" t="s">
        <v>635</v>
      </c>
      <c r="F174" s="40" t="s">
        <v>7</v>
      </c>
      <c r="G174" s="46">
        <f>STALK_Geom!$X$9</f>
        <v>0</v>
      </c>
      <c r="H174" s="72">
        <f>STALK_Geom!$X$10</f>
        <v>1</v>
      </c>
      <c r="I174" s="54">
        <f>INFLO_Prod!$A$13</f>
        <v>1</v>
      </c>
      <c r="J174" s="76">
        <f>STALK_Geom!$X$13</f>
        <v>32</v>
      </c>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52" t="s">
        <v>69</v>
      </c>
      <c r="BH174" s="16"/>
    </row>
    <row r="175" spans="1:60">
      <c r="A175" s="20"/>
      <c r="B175" s="11" t="s">
        <v>289</v>
      </c>
      <c r="C175" s="213" t="s">
        <v>740</v>
      </c>
      <c r="D175" s="33" t="s">
        <v>12</v>
      </c>
      <c r="E175" s="9" t="s">
        <v>3</v>
      </c>
      <c r="F175" s="40" t="s">
        <v>6</v>
      </c>
      <c r="G175" s="46">
        <f>STALK_Geom!$AA$9</f>
        <v>1</v>
      </c>
      <c r="H175" s="72">
        <f>STALK_Geom!$AA$10</f>
        <v>3</v>
      </c>
      <c r="I175" s="57">
        <f>STALK_Geom!$Z$13</f>
        <v>0</v>
      </c>
      <c r="J175" s="21">
        <f>STALK_Geom!$AA$13</f>
        <v>0</v>
      </c>
      <c r="K175" s="57">
        <f>STALK_Geom!$Z$14</f>
        <v>10</v>
      </c>
      <c r="L175" s="21">
        <f>STALK_Geom!$AA$14</f>
        <v>10</v>
      </c>
      <c r="M175" s="57">
        <f>STALK_Geom!$Z$15</f>
        <v>100</v>
      </c>
      <c r="N175" s="21">
        <f>STALK_Geom!$AA$15</f>
        <v>90</v>
      </c>
      <c r="O175" s="57">
        <f>STALK_Geom!$Z$16</f>
        <v>0</v>
      </c>
      <c r="P175" s="21">
        <f>STALK_Geom!$AA$16</f>
        <v>0</v>
      </c>
      <c r="Q175" s="57">
        <f>STALK_Geom!$Z$17</f>
        <v>0</v>
      </c>
      <c r="R175" s="21">
        <f>STALK_Geom!$AA$17</f>
        <v>0</v>
      </c>
      <c r="S175" s="57">
        <f>STALK_Geom!$Z$18</f>
        <v>0</v>
      </c>
      <c r="T175" s="21">
        <f>STALK_Geom!$AA$18</f>
        <v>0</v>
      </c>
      <c r="U175" s="57">
        <f>STALK_Geom!$Z$19</f>
        <v>0</v>
      </c>
      <c r="V175" s="21">
        <f>STALK_Geom!$AA$19</f>
        <v>0</v>
      </c>
      <c r="W175" s="57">
        <f>STALK_Geom!$Z$20</f>
        <v>0</v>
      </c>
      <c r="X175" s="21">
        <f>STALK_Geom!$AA$20</f>
        <v>0</v>
      </c>
      <c r="Y175" s="57">
        <f>STALK_Geom!$Z$21</f>
        <v>0</v>
      </c>
      <c r="Z175" s="21">
        <f>STALK_Geom!$AA$21</f>
        <v>0</v>
      </c>
      <c r="AA175" s="57">
        <f>STALK_Geom!$Z$22</f>
        <v>0</v>
      </c>
      <c r="AB175" s="21">
        <f>STALK_Geom!$AA$22</f>
        <v>0</v>
      </c>
      <c r="AC175" s="57">
        <f>STALK_Geom!$Z$23</f>
        <v>0</v>
      </c>
      <c r="AD175" s="21">
        <f>STALK_Geom!$AA$23</f>
        <v>0</v>
      </c>
      <c r="AE175" s="57">
        <f>STALK_Geom!$Z$24</f>
        <v>0</v>
      </c>
      <c r="AF175" s="21">
        <f>STALK_Geom!$AA$24</f>
        <v>0</v>
      </c>
      <c r="AG175" s="57">
        <f>STALK_Geom!$Z$25</f>
        <v>0</v>
      </c>
      <c r="AH175" s="21">
        <f>STALK_Geom!$AA$25</f>
        <v>0</v>
      </c>
      <c r="AI175" s="57">
        <f>STALK_Geom!$Z$26</f>
        <v>0</v>
      </c>
      <c r="AJ175" s="21">
        <f>STALK_Geom!$AA$26</f>
        <v>0</v>
      </c>
      <c r="AK175" s="57">
        <f>STALK_Geom!$Z$27</f>
        <v>0</v>
      </c>
      <c r="AL175" s="21">
        <f>STALK_Geom!$AA$27</f>
        <v>0</v>
      </c>
      <c r="AM175" s="57">
        <f>STALK_Geom!$Z$28</f>
        <v>0</v>
      </c>
      <c r="AN175" s="21">
        <f>STALK_Geom!$AA$28</f>
        <v>0</v>
      </c>
      <c r="AO175" s="57">
        <f>STALK_Geom!$Z$29</f>
        <v>0</v>
      </c>
      <c r="AP175" s="21">
        <f>STALK_Geom!$AA$29</f>
        <v>0</v>
      </c>
      <c r="AQ175" s="57">
        <f>STALK_Geom!$Z$30</f>
        <v>0</v>
      </c>
      <c r="AR175" s="21">
        <f>STALK_Geom!$AA$30</f>
        <v>0</v>
      </c>
      <c r="AS175" s="57">
        <f>STALK_Geom!$Z$31</f>
        <v>0</v>
      </c>
      <c r="AT175" s="21">
        <f>STALK_Geom!$AA$31</f>
        <v>0</v>
      </c>
      <c r="AU175" s="57">
        <f>STALK_Geom!$Z$32</f>
        <v>0</v>
      </c>
      <c r="AV175" s="21">
        <f>STALK_Geom!$AA$32</f>
        <v>0</v>
      </c>
      <c r="AW175" s="57">
        <f>STALK_Geom!$Z$33</f>
        <v>0</v>
      </c>
      <c r="AX175" s="21">
        <f>STALK_Geom!$AA$33</f>
        <v>0</v>
      </c>
      <c r="AY175" s="57">
        <f>STALK_Geom!$Z$34</f>
        <v>0</v>
      </c>
      <c r="AZ175" s="21">
        <f>STALK_Geom!$AA$34</f>
        <v>0</v>
      </c>
      <c r="BA175" s="57">
        <f>STALK_Geom!$Z$35</f>
        <v>0</v>
      </c>
      <c r="BB175" s="21">
        <f>STALK_Geom!$AA$35</f>
        <v>0</v>
      </c>
      <c r="BC175" s="57">
        <f>STALK_Geom!$Z$36</f>
        <v>0</v>
      </c>
      <c r="BD175" s="21">
        <f>STALK_Geom!$AA$36</f>
        <v>0</v>
      </c>
      <c r="BE175" s="57">
        <f>STALK_Geom!$Z$37</f>
        <v>0</v>
      </c>
      <c r="BF175" s="21">
        <f>STALK_Geom!$AA$37</f>
        <v>0</v>
      </c>
      <c r="BG175" s="52" t="s">
        <v>69</v>
      </c>
      <c r="BH175" s="16"/>
    </row>
    <row r="176" spans="1:60">
      <c r="A176" s="20"/>
      <c r="B176" s="11" t="s">
        <v>290</v>
      </c>
      <c r="C176" s="213" t="s">
        <v>978</v>
      </c>
      <c r="D176" s="33" t="s">
        <v>12</v>
      </c>
      <c r="E176" s="9" t="s">
        <v>3</v>
      </c>
      <c r="F176" s="40" t="s">
        <v>6</v>
      </c>
      <c r="G176" s="46">
        <f>STALK_Geom!$AB$9</f>
        <v>1</v>
      </c>
      <c r="H176" s="72">
        <f>STALK_Geom!$AB$10</f>
        <v>3</v>
      </c>
      <c r="I176" s="57">
        <f>STALK_Geom!$Z$13</f>
        <v>0</v>
      </c>
      <c r="J176" s="21">
        <f>STALK_Geom!$AB$13</f>
        <v>0</v>
      </c>
      <c r="K176" s="57">
        <f>STALK_Geom!$Z$14</f>
        <v>10</v>
      </c>
      <c r="L176" s="21">
        <f>STALK_Geom!$AB$14</f>
        <v>1</v>
      </c>
      <c r="M176" s="57">
        <f>STALK_Geom!$Z$15</f>
        <v>100</v>
      </c>
      <c r="N176" s="21">
        <f>STALK_Geom!$AB$15</f>
        <v>9</v>
      </c>
      <c r="O176" s="57">
        <f>STALK_Geom!$Z$16</f>
        <v>0</v>
      </c>
      <c r="P176" s="21">
        <f>STALK_Geom!$AB$16</f>
        <v>0</v>
      </c>
      <c r="Q176" s="57">
        <f>STALK_Geom!$Z$17</f>
        <v>0</v>
      </c>
      <c r="R176" s="21">
        <f>STALK_Geom!$AB$17</f>
        <v>0</v>
      </c>
      <c r="S176" s="57">
        <f>STALK_Geom!$Z$18</f>
        <v>0</v>
      </c>
      <c r="T176" s="21">
        <f>STALK_Geom!$AB$18</f>
        <v>0</v>
      </c>
      <c r="U176" s="57">
        <f>STALK_Geom!$Z$19</f>
        <v>0</v>
      </c>
      <c r="V176" s="21">
        <f>STALK_Geom!$AB$19</f>
        <v>0</v>
      </c>
      <c r="W176" s="57">
        <f>STALK_Geom!$Z$20</f>
        <v>0</v>
      </c>
      <c r="X176" s="21">
        <f>STALK_Geom!$AB$20</f>
        <v>0</v>
      </c>
      <c r="Y176" s="57">
        <f>STALK_Geom!$Z$21</f>
        <v>0</v>
      </c>
      <c r="Z176" s="21">
        <f>STALK_Geom!$AB$21</f>
        <v>0</v>
      </c>
      <c r="AA176" s="57">
        <f>STALK_Geom!$Z$22</f>
        <v>0</v>
      </c>
      <c r="AB176" s="21">
        <f>STALK_Geom!$AB$22</f>
        <v>0</v>
      </c>
      <c r="AC176" s="57">
        <f>STALK_Geom!$Z$23</f>
        <v>0</v>
      </c>
      <c r="AD176" s="21">
        <f>STALK_Geom!$AB$23</f>
        <v>0</v>
      </c>
      <c r="AE176" s="57">
        <f>STALK_Geom!$Z$24</f>
        <v>0</v>
      </c>
      <c r="AF176" s="21">
        <f>STALK_Geom!$AB$24</f>
        <v>0</v>
      </c>
      <c r="AG176" s="57">
        <f>STALK_Geom!$Z$25</f>
        <v>0</v>
      </c>
      <c r="AH176" s="21">
        <f>STALK_Geom!$AB$25</f>
        <v>0</v>
      </c>
      <c r="AI176" s="57">
        <f>STALK_Geom!$Z$26</f>
        <v>0</v>
      </c>
      <c r="AJ176" s="21">
        <f>STALK_Geom!$AB$26</f>
        <v>0</v>
      </c>
      <c r="AK176" s="57">
        <f>STALK_Geom!$Z$27</f>
        <v>0</v>
      </c>
      <c r="AL176" s="21">
        <f>STALK_Geom!$AB$27</f>
        <v>0</v>
      </c>
      <c r="AM176" s="57">
        <f>STALK_Geom!$Z$28</f>
        <v>0</v>
      </c>
      <c r="AN176" s="21">
        <f>STALK_Geom!$AB$28</f>
        <v>0</v>
      </c>
      <c r="AO176" s="57">
        <f>STALK_Geom!$Z$29</f>
        <v>0</v>
      </c>
      <c r="AP176" s="21">
        <f>STALK_Geom!$AB$29</f>
        <v>0</v>
      </c>
      <c r="AQ176" s="57">
        <f>STALK_Geom!$Z$30</f>
        <v>0</v>
      </c>
      <c r="AR176" s="21">
        <f>STALK_Geom!$AB$30</f>
        <v>0</v>
      </c>
      <c r="AS176" s="57">
        <f>STALK_Geom!$Z$31</f>
        <v>0</v>
      </c>
      <c r="AT176" s="21">
        <f>STALK_Geom!$AB$31</f>
        <v>0</v>
      </c>
      <c r="AU176" s="57">
        <f>STALK_Geom!$Z$32</f>
        <v>0</v>
      </c>
      <c r="AV176" s="21">
        <f>STALK_Geom!$AB$32</f>
        <v>0</v>
      </c>
      <c r="AW176" s="57">
        <f>STALK_Geom!$Z$33</f>
        <v>0</v>
      </c>
      <c r="AX176" s="21">
        <f>STALK_Geom!$AB$33</f>
        <v>0</v>
      </c>
      <c r="AY176" s="57">
        <f>STALK_Geom!$Z$34</f>
        <v>0</v>
      </c>
      <c r="AZ176" s="21">
        <f>STALK_Geom!$AB$34</f>
        <v>0</v>
      </c>
      <c r="BA176" s="57">
        <f>STALK_Geom!$Z$35</f>
        <v>0</v>
      </c>
      <c r="BB176" s="21">
        <f>STALK_Geom!$AB$35</f>
        <v>0</v>
      </c>
      <c r="BC176" s="57">
        <f>STALK_Geom!$Z$36</f>
        <v>0</v>
      </c>
      <c r="BD176" s="21">
        <f>STALK_Geom!$AB$36</f>
        <v>0</v>
      </c>
      <c r="BE176" s="57">
        <f>STALK_Geom!$Z$37</f>
        <v>0</v>
      </c>
      <c r="BF176" s="21">
        <f>STALK_Geom!$AB$37</f>
        <v>0</v>
      </c>
      <c r="BG176" s="52" t="s">
        <v>69</v>
      </c>
      <c r="BH176" s="16"/>
    </row>
    <row r="177" spans="1:60">
      <c r="A177" s="20"/>
      <c r="B177" s="11" t="s">
        <v>678</v>
      </c>
      <c r="C177" s="213" t="s">
        <v>979</v>
      </c>
      <c r="D177" s="69" t="s">
        <v>12</v>
      </c>
      <c r="E177" s="2" t="s">
        <v>9</v>
      </c>
      <c r="F177" s="40" t="s">
        <v>304</v>
      </c>
      <c r="G177" s="46">
        <f>STALK_Geom!$AD$9</f>
        <v>1</v>
      </c>
      <c r="H177" s="72">
        <f>STALK_Geom!$AD$10</f>
        <v>2</v>
      </c>
      <c r="I177" s="76">
        <f>STALK_Geom!$AC$13</f>
        <v>1</v>
      </c>
      <c r="J177" s="264">
        <f>STALK_Geom!$AD$13</f>
        <v>0.1</v>
      </c>
      <c r="K177" s="76">
        <f>STALK_Geom!$AC$14</f>
        <v>32</v>
      </c>
      <c r="L177" s="264">
        <f>STALK_Geom!$AD$14</f>
        <v>1</v>
      </c>
      <c r="M177" s="76">
        <f>STALK_Geom!$AC$15</f>
        <v>0</v>
      </c>
      <c r="N177" s="264">
        <f>STALK_Geom!$AD$15</f>
        <v>0</v>
      </c>
      <c r="O177" s="76">
        <f>STALK_Geom!$AC$16</f>
        <v>0</v>
      </c>
      <c r="P177" s="264">
        <f>STALK_Geom!$AD$16</f>
        <v>0</v>
      </c>
      <c r="Q177" s="76">
        <f>STALK_Geom!$AC$17</f>
        <v>0</v>
      </c>
      <c r="R177" s="264">
        <f>STALK_Geom!$AD$17</f>
        <v>0</v>
      </c>
      <c r="S177" s="76">
        <f>STALK_Geom!$AC$18</f>
        <v>0</v>
      </c>
      <c r="T177" s="264">
        <f>STALK_Geom!$AD$18</f>
        <v>0</v>
      </c>
      <c r="U177" s="76">
        <f>STALK_Geom!$AC$19</f>
        <v>0</v>
      </c>
      <c r="V177" s="264">
        <f>STALK_Geom!$AD$19</f>
        <v>0</v>
      </c>
      <c r="W177" s="76">
        <f>STALK_Geom!$AC$20</f>
        <v>0</v>
      </c>
      <c r="X177" s="264">
        <f>STALK_Geom!$AD$20</f>
        <v>0</v>
      </c>
      <c r="Y177" s="76">
        <f>STALK_Geom!$AC$21</f>
        <v>0</v>
      </c>
      <c r="Z177" s="264">
        <f>STALK_Geom!$AD$21</f>
        <v>0</v>
      </c>
      <c r="AA177" s="76">
        <f>STALK_Geom!$AC$22</f>
        <v>0</v>
      </c>
      <c r="AB177" s="264">
        <f>STALK_Geom!$AD$22</f>
        <v>0</v>
      </c>
      <c r="AC177" s="76">
        <f>STALK_Geom!$AC$23</f>
        <v>0</v>
      </c>
      <c r="AD177" s="264">
        <f>STALK_Geom!$AD$23</f>
        <v>0</v>
      </c>
      <c r="AE177" s="76">
        <f>STALK_Geom!$AC$24</f>
        <v>0</v>
      </c>
      <c r="AF177" s="264">
        <f>STALK_Geom!$AD$24</f>
        <v>0</v>
      </c>
      <c r="AG177" s="76">
        <f>STALK_Geom!$AC$25</f>
        <v>0</v>
      </c>
      <c r="AH177" s="264">
        <f>STALK_Geom!$AD$25</f>
        <v>0</v>
      </c>
      <c r="AI177" s="76">
        <f>STALK_Geom!$AC$26</f>
        <v>0</v>
      </c>
      <c r="AJ177" s="264">
        <f>STALK_Geom!$AD$26</f>
        <v>0</v>
      </c>
      <c r="AK177" s="76">
        <f>STALK_Geom!$AC$27</f>
        <v>0</v>
      </c>
      <c r="AL177" s="264">
        <f>STALK_Geom!$AD$27</f>
        <v>0</v>
      </c>
      <c r="AM177" s="76">
        <f>STALK_Geom!$AC$28</f>
        <v>0</v>
      </c>
      <c r="AN177" s="264">
        <f>STALK_Geom!$AD$28</f>
        <v>0</v>
      </c>
      <c r="AO177" s="76">
        <f>STALK_Geom!$AC$29</f>
        <v>0</v>
      </c>
      <c r="AP177" s="264">
        <f>STALK_Geom!$AD$29</f>
        <v>0</v>
      </c>
      <c r="AQ177" s="76">
        <f>STALK_Geom!$AC$30</f>
        <v>0</v>
      </c>
      <c r="AR177" s="264">
        <f>STALK_Geom!$AD$30</f>
        <v>0</v>
      </c>
      <c r="AS177" s="76">
        <f>STALK_Geom!$AC$31</f>
        <v>0</v>
      </c>
      <c r="AT177" s="264">
        <f>STALK_Geom!$AD$31</f>
        <v>0</v>
      </c>
      <c r="AU177" s="76">
        <f>STALK_Geom!$AC$32</f>
        <v>0</v>
      </c>
      <c r="AV177" s="264">
        <f>STALK_Geom!$AD$32</f>
        <v>0</v>
      </c>
      <c r="AW177" s="76">
        <f>STALK_Geom!$AC$33</f>
        <v>0</v>
      </c>
      <c r="AX177" s="264">
        <f>STALK_Geom!$AD$33</f>
        <v>0</v>
      </c>
      <c r="AY177" s="76">
        <f>STALK_Geom!$AC$34</f>
        <v>0</v>
      </c>
      <c r="AZ177" s="264">
        <f>STALK_Geom!$AD$34</f>
        <v>0</v>
      </c>
      <c r="BA177" s="76">
        <f>STALK_Geom!$AC$35</f>
        <v>0</v>
      </c>
      <c r="BB177" s="264">
        <f>STALK_Geom!$AD$35</f>
        <v>0</v>
      </c>
      <c r="BC177" s="76">
        <f>STALK_Geom!$AC$36</f>
        <v>0</v>
      </c>
      <c r="BD177" s="264">
        <f>STALK_Geom!$AD$36</f>
        <v>0</v>
      </c>
      <c r="BE177" s="76">
        <f>STALK_Geom!$AC$37</f>
        <v>0</v>
      </c>
      <c r="BF177" s="264">
        <f>STALK_Geom!$AD$37</f>
        <v>0</v>
      </c>
      <c r="BG177" s="52" t="s">
        <v>69</v>
      </c>
      <c r="BH177" s="16"/>
    </row>
    <row r="178" spans="1:60">
      <c r="A178" s="20"/>
      <c r="B178" s="11" t="s">
        <v>287</v>
      </c>
      <c r="C178" s="213" t="s">
        <v>741</v>
      </c>
      <c r="D178" s="33" t="s">
        <v>12</v>
      </c>
      <c r="E178" s="9" t="s">
        <v>3</v>
      </c>
      <c r="F178" s="40" t="s">
        <v>6</v>
      </c>
      <c r="G178" s="46">
        <f>STALK_Geom!$AG$9</f>
        <v>1</v>
      </c>
      <c r="H178" s="72">
        <f>STALK_Geom!$AG$10</f>
        <v>3</v>
      </c>
      <c r="I178" s="57">
        <f>STALK_Geom!$AF$13</f>
        <v>0</v>
      </c>
      <c r="J178" s="21">
        <f>STALK_Geom!$AG$13</f>
        <v>0</v>
      </c>
      <c r="K178" s="57">
        <f>STALK_Geom!$AF$14</f>
        <v>10</v>
      </c>
      <c r="L178" s="21">
        <f>STALK_Geom!$AG$14</f>
        <v>20</v>
      </c>
      <c r="M178" s="57">
        <f>STALK_Geom!$AF$15</f>
        <v>100</v>
      </c>
      <c r="N178" s="21">
        <f>STALK_Geom!$AG$15</f>
        <v>40</v>
      </c>
      <c r="O178" s="57">
        <f>STALK_Geom!$AF$16</f>
        <v>0</v>
      </c>
      <c r="P178" s="21">
        <f>STALK_Geom!$AG$16</f>
        <v>0</v>
      </c>
      <c r="Q178" s="57">
        <f>STALK_Geom!$AF$17</f>
        <v>0</v>
      </c>
      <c r="R178" s="21">
        <f>STALK_Geom!$AG$17</f>
        <v>0</v>
      </c>
      <c r="S178" s="57">
        <f>STALK_Geom!$AF$18</f>
        <v>0</v>
      </c>
      <c r="T178" s="21">
        <f>STALK_Geom!$AG$18</f>
        <v>0</v>
      </c>
      <c r="U178" s="57">
        <f>STALK_Geom!$AF$19</f>
        <v>0</v>
      </c>
      <c r="V178" s="21">
        <f>STALK_Geom!$AG$19</f>
        <v>0</v>
      </c>
      <c r="W178" s="57">
        <f>STALK_Geom!$AF$20</f>
        <v>0</v>
      </c>
      <c r="X178" s="21">
        <f>STALK_Geom!$AG$20</f>
        <v>0</v>
      </c>
      <c r="Y178" s="57">
        <f>STALK_Geom!$AF$21</f>
        <v>0</v>
      </c>
      <c r="Z178" s="21">
        <f>STALK_Geom!$AG$21</f>
        <v>0</v>
      </c>
      <c r="AA178" s="57">
        <f>STALK_Geom!$AF$22</f>
        <v>0</v>
      </c>
      <c r="AB178" s="21">
        <f>STALK_Geom!$AG$22</f>
        <v>0</v>
      </c>
      <c r="AC178" s="57">
        <f>STALK_Geom!$AF$23</f>
        <v>0</v>
      </c>
      <c r="AD178" s="21">
        <f>STALK_Geom!$AG$23</f>
        <v>0</v>
      </c>
      <c r="AE178" s="57">
        <f>STALK_Geom!$AF$24</f>
        <v>0</v>
      </c>
      <c r="AF178" s="21">
        <f>STALK_Geom!$AG$24</f>
        <v>0</v>
      </c>
      <c r="AG178" s="57">
        <f>STALK_Geom!$AF$25</f>
        <v>0</v>
      </c>
      <c r="AH178" s="21">
        <f>STALK_Geom!$AG$25</f>
        <v>0</v>
      </c>
      <c r="AI178" s="57">
        <f>STALK_Geom!$AF$26</f>
        <v>0</v>
      </c>
      <c r="AJ178" s="21">
        <f>STALK_Geom!$AG$26</f>
        <v>0</v>
      </c>
      <c r="AK178" s="57">
        <f>STALK_Geom!$AF$27</f>
        <v>0</v>
      </c>
      <c r="AL178" s="21">
        <f>STALK_Geom!$AG$27</f>
        <v>0</v>
      </c>
      <c r="AM178" s="57">
        <f>STALK_Geom!$AF$28</f>
        <v>0</v>
      </c>
      <c r="AN178" s="21">
        <f>STALK_Geom!$AG$28</f>
        <v>0</v>
      </c>
      <c r="AO178" s="57">
        <f>STALK_Geom!$AF$29</f>
        <v>0</v>
      </c>
      <c r="AP178" s="21">
        <f>STALK_Geom!$AG$29</f>
        <v>0</v>
      </c>
      <c r="AQ178" s="57">
        <f>STALK_Geom!$AF$30</f>
        <v>0</v>
      </c>
      <c r="AR178" s="21">
        <f>STALK_Geom!$AG$30</f>
        <v>0</v>
      </c>
      <c r="AS178" s="57">
        <f>STALK_Geom!$AF$31</f>
        <v>0</v>
      </c>
      <c r="AT178" s="21">
        <f>STALK_Geom!$AG$31</f>
        <v>0</v>
      </c>
      <c r="AU178" s="57">
        <f>STALK_Geom!$AF$32</f>
        <v>0</v>
      </c>
      <c r="AV178" s="21">
        <f>STALK_Geom!$AG$32</f>
        <v>0</v>
      </c>
      <c r="AW178" s="57">
        <f>STALK_Geom!$AF$33</f>
        <v>0</v>
      </c>
      <c r="AX178" s="21">
        <f>STALK_Geom!$AG$33</f>
        <v>0</v>
      </c>
      <c r="AY178" s="57">
        <f>STALK_Geom!$AF$34</f>
        <v>0</v>
      </c>
      <c r="AZ178" s="21">
        <f>STALK_Geom!$AG$34</f>
        <v>0</v>
      </c>
      <c r="BA178" s="57">
        <f>STALK_Geom!$AF$35</f>
        <v>0</v>
      </c>
      <c r="BB178" s="21">
        <f>STALK_Geom!$AG$35</f>
        <v>0</v>
      </c>
      <c r="BC178" s="57">
        <f>STALK_Geom!$AF$36</f>
        <v>0</v>
      </c>
      <c r="BD178" s="21">
        <f>STALK_Geom!$AG$36</f>
        <v>0</v>
      </c>
      <c r="BE178" s="57">
        <f>STALK_Geom!$AF$37</f>
        <v>0</v>
      </c>
      <c r="BF178" s="21">
        <f>STALK_Geom!$AG$37</f>
        <v>0</v>
      </c>
      <c r="BG178" s="52" t="s">
        <v>69</v>
      </c>
      <c r="BH178" s="16"/>
    </row>
    <row r="179" spans="1:60">
      <c r="A179" s="20"/>
      <c r="B179" s="11" t="s">
        <v>288</v>
      </c>
      <c r="C179" s="213" t="s">
        <v>742</v>
      </c>
      <c r="D179" s="33" t="s">
        <v>12</v>
      </c>
      <c r="E179" s="9" t="s">
        <v>3</v>
      </c>
      <c r="F179" s="40" t="s">
        <v>6</v>
      </c>
      <c r="G179" s="46">
        <f>STALK_Geom!$AH$9</f>
        <v>1</v>
      </c>
      <c r="H179" s="72">
        <f>STALK_Geom!$AH$10</f>
        <v>3</v>
      </c>
      <c r="I179" s="57">
        <f>STALK_Geom!$AF$13</f>
        <v>0</v>
      </c>
      <c r="J179" s="21">
        <f>STALK_Geom!$AH$13</f>
        <v>0</v>
      </c>
      <c r="K179" s="57">
        <f>STALK_Geom!$AF$14</f>
        <v>10</v>
      </c>
      <c r="L179" s="21">
        <f>STALK_Geom!$AH$14</f>
        <v>2</v>
      </c>
      <c r="M179" s="57">
        <f>STALK_Geom!$AF$15</f>
        <v>100</v>
      </c>
      <c r="N179" s="21">
        <f>STALK_Geom!$AH$15</f>
        <v>4</v>
      </c>
      <c r="O179" s="57">
        <f>STALK_Geom!$AF$16</f>
        <v>0</v>
      </c>
      <c r="P179" s="21">
        <f>STALK_Geom!$AH$16</f>
        <v>0</v>
      </c>
      <c r="Q179" s="57">
        <f>STALK_Geom!$AF$17</f>
        <v>0</v>
      </c>
      <c r="R179" s="21">
        <f>STALK_Geom!$AH$17</f>
        <v>0</v>
      </c>
      <c r="S179" s="57">
        <f>STALK_Geom!$AF$18</f>
        <v>0</v>
      </c>
      <c r="T179" s="21">
        <f>STALK_Geom!$AH$18</f>
        <v>0</v>
      </c>
      <c r="U179" s="57">
        <f>STALK_Geom!$AF$19</f>
        <v>0</v>
      </c>
      <c r="V179" s="21">
        <f>STALK_Geom!$AH$19</f>
        <v>0</v>
      </c>
      <c r="W179" s="57">
        <f>STALK_Geom!$AF$20</f>
        <v>0</v>
      </c>
      <c r="X179" s="21">
        <f>STALK_Geom!$AH$20</f>
        <v>0</v>
      </c>
      <c r="Y179" s="57">
        <f>STALK_Geom!$AF$21</f>
        <v>0</v>
      </c>
      <c r="Z179" s="21">
        <f>STALK_Geom!$AH$21</f>
        <v>0</v>
      </c>
      <c r="AA179" s="57">
        <f>STALK_Geom!$AF$22</f>
        <v>0</v>
      </c>
      <c r="AB179" s="21">
        <f>STALK_Geom!$AH$22</f>
        <v>0</v>
      </c>
      <c r="AC179" s="57">
        <f>STALK_Geom!$AF$23</f>
        <v>0</v>
      </c>
      <c r="AD179" s="21">
        <f>STALK_Geom!$AH$23</f>
        <v>0</v>
      </c>
      <c r="AE179" s="57">
        <f>STALK_Geom!$AF$24</f>
        <v>0</v>
      </c>
      <c r="AF179" s="21">
        <f>STALK_Geom!$AH$24</f>
        <v>0</v>
      </c>
      <c r="AG179" s="57">
        <f>STALK_Geom!$AF$25</f>
        <v>0</v>
      </c>
      <c r="AH179" s="21">
        <f>STALK_Geom!$AH$25</f>
        <v>0</v>
      </c>
      <c r="AI179" s="57">
        <f>STALK_Geom!$AF$26</f>
        <v>0</v>
      </c>
      <c r="AJ179" s="21">
        <f>STALK_Geom!$AH$26</f>
        <v>0</v>
      </c>
      <c r="AK179" s="57">
        <f>STALK_Geom!$AF$27</f>
        <v>0</v>
      </c>
      <c r="AL179" s="21">
        <f>STALK_Geom!$AH$27</f>
        <v>0</v>
      </c>
      <c r="AM179" s="57">
        <f>STALK_Geom!$AF$28</f>
        <v>0</v>
      </c>
      <c r="AN179" s="21">
        <f>STALK_Geom!$AH$28</f>
        <v>0</v>
      </c>
      <c r="AO179" s="57">
        <f>STALK_Geom!$AF$29</f>
        <v>0</v>
      </c>
      <c r="AP179" s="21">
        <f>STALK_Geom!$AH$29</f>
        <v>0</v>
      </c>
      <c r="AQ179" s="57">
        <f>STALK_Geom!$AF$30</f>
        <v>0</v>
      </c>
      <c r="AR179" s="21">
        <f>STALK_Geom!$AH$30</f>
        <v>0</v>
      </c>
      <c r="AS179" s="57">
        <f>STALK_Geom!$AF$31</f>
        <v>0</v>
      </c>
      <c r="AT179" s="21">
        <f>STALK_Geom!$AH$31</f>
        <v>0</v>
      </c>
      <c r="AU179" s="57">
        <f>STALK_Geom!$AF$32</f>
        <v>0</v>
      </c>
      <c r="AV179" s="21">
        <f>STALK_Geom!$AH$32</f>
        <v>0</v>
      </c>
      <c r="AW179" s="57">
        <f>STALK_Geom!$AF$33</f>
        <v>0</v>
      </c>
      <c r="AX179" s="21">
        <f>STALK_Geom!$AH$33</f>
        <v>0</v>
      </c>
      <c r="AY179" s="57">
        <f>STALK_Geom!$AF$34</f>
        <v>0</v>
      </c>
      <c r="AZ179" s="21">
        <f>STALK_Geom!$AH$34</f>
        <v>0</v>
      </c>
      <c r="BA179" s="57">
        <f>STALK_Geom!$AF$35</f>
        <v>0</v>
      </c>
      <c r="BB179" s="21">
        <f>STALK_Geom!$AH$35</f>
        <v>0</v>
      </c>
      <c r="BC179" s="57">
        <f>STALK_Geom!$AF$36</f>
        <v>0</v>
      </c>
      <c r="BD179" s="21">
        <f>STALK_Geom!$AH$36</f>
        <v>0</v>
      </c>
      <c r="BE179" s="57">
        <f>STALK_Geom!$AF$37</f>
        <v>0</v>
      </c>
      <c r="BF179" s="21">
        <f>STALK_Geom!$AH$37</f>
        <v>0</v>
      </c>
      <c r="BG179" s="52" t="s">
        <v>69</v>
      </c>
      <c r="BH179" s="16"/>
    </row>
    <row r="180" spans="1:60">
      <c r="A180" s="20"/>
      <c r="B180" s="11" t="s">
        <v>679</v>
      </c>
      <c r="C180" s="213" t="s">
        <v>980</v>
      </c>
      <c r="D180" s="69" t="s">
        <v>12</v>
      </c>
      <c r="E180" s="2" t="s">
        <v>9</v>
      </c>
      <c r="F180" s="40" t="s">
        <v>304</v>
      </c>
      <c r="G180" s="46">
        <f>STALK_Geom!$AJ$9</f>
        <v>1</v>
      </c>
      <c r="H180" s="72">
        <f>STALK_Geom!$AJ$10</f>
        <v>2</v>
      </c>
      <c r="I180" s="76">
        <f>STALK_Geom!$AI$13</f>
        <v>1</v>
      </c>
      <c r="J180" s="264">
        <f>STALK_Geom!$AJ$13</f>
        <v>0.1</v>
      </c>
      <c r="K180" s="76">
        <f>STALK_Geom!$AI$14</f>
        <v>32</v>
      </c>
      <c r="L180" s="264">
        <f>STALK_Geom!$AJ$14</f>
        <v>1</v>
      </c>
      <c r="M180" s="76">
        <f>STALK_Geom!$AI$15</f>
        <v>0</v>
      </c>
      <c r="N180" s="264">
        <f>STALK_Geom!$AJ$15</f>
        <v>0</v>
      </c>
      <c r="O180" s="76">
        <f>STALK_Geom!$AI$16</f>
        <v>0</v>
      </c>
      <c r="P180" s="264">
        <f>STALK_Geom!$AJ$16</f>
        <v>0</v>
      </c>
      <c r="Q180" s="76">
        <f>STALK_Geom!$AI$17</f>
        <v>0</v>
      </c>
      <c r="R180" s="264">
        <f>STALK_Geom!$AJ$17</f>
        <v>0</v>
      </c>
      <c r="S180" s="76">
        <f>STALK_Geom!$AI$18</f>
        <v>0</v>
      </c>
      <c r="T180" s="264">
        <f>STALK_Geom!$AJ$18</f>
        <v>0</v>
      </c>
      <c r="U180" s="76">
        <f>STALK_Geom!$AI$19</f>
        <v>0</v>
      </c>
      <c r="V180" s="264">
        <f>STALK_Geom!$AJ$19</f>
        <v>0</v>
      </c>
      <c r="W180" s="76">
        <f>STALK_Geom!$AI$20</f>
        <v>0</v>
      </c>
      <c r="X180" s="264">
        <f>STALK_Geom!$AJ$20</f>
        <v>0</v>
      </c>
      <c r="Y180" s="76">
        <f>STALK_Geom!$AI$21</f>
        <v>0</v>
      </c>
      <c r="Z180" s="264">
        <f>STALK_Geom!$AJ$21</f>
        <v>0</v>
      </c>
      <c r="AA180" s="76">
        <f>STALK_Geom!$AI$22</f>
        <v>0</v>
      </c>
      <c r="AB180" s="264">
        <f>STALK_Geom!$AJ$22</f>
        <v>0</v>
      </c>
      <c r="AC180" s="76">
        <f>STALK_Geom!$AI$23</f>
        <v>0</v>
      </c>
      <c r="AD180" s="264">
        <f>STALK_Geom!$AJ$23</f>
        <v>0</v>
      </c>
      <c r="AE180" s="76">
        <f>STALK_Geom!$AI$24</f>
        <v>0</v>
      </c>
      <c r="AF180" s="264">
        <f>STALK_Geom!$AJ$24</f>
        <v>0</v>
      </c>
      <c r="AG180" s="76">
        <f>STALK_Geom!$AI$25</f>
        <v>0</v>
      </c>
      <c r="AH180" s="264">
        <f>STALK_Geom!$AJ$25</f>
        <v>0</v>
      </c>
      <c r="AI180" s="76">
        <f>STALK_Geom!$AI$26</f>
        <v>0</v>
      </c>
      <c r="AJ180" s="264">
        <f>STALK_Geom!$AJ$26</f>
        <v>0</v>
      </c>
      <c r="AK180" s="76">
        <f>STALK_Geom!$AI$27</f>
        <v>0</v>
      </c>
      <c r="AL180" s="264">
        <f>STALK_Geom!$AJ$27</f>
        <v>0</v>
      </c>
      <c r="AM180" s="76">
        <f>STALK_Geom!$AI$28</f>
        <v>0</v>
      </c>
      <c r="AN180" s="264">
        <f>STALK_Geom!$AJ$28</f>
        <v>0</v>
      </c>
      <c r="AO180" s="76">
        <f>STALK_Geom!$AI$29</f>
        <v>0</v>
      </c>
      <c r="AP180" s="264">
        <f>STALK_Geom!$AJ$29</f>
        <v>0</v>
      </c>
      <c r="AQ180" s="76">
        <f>STALK_Geom!$AI$30</f>
        <v>0</v>
      </c>
      <c r="AR180" s="264">
        <f>STALK_Geom!$AJ$30</f>
        <v>0</v>
      </c>
      <c r="AS180" s="76">
        <f>STALK_Geom!$AI$31</f>
        <v>0</v>
      </c>
      <c r="AT180" s="264">
        <f>STALK_Geom!$AJ$31</f>
        <v>0</v>
      </c>
      <c r="AU180" s="76">
        <f>STALK_Geom!$AI$32</f>
        <v>0</v>
      </c>
      <c r="AV180" s="264">
        <f>STALK_Geom!$AJ$32</f>
        <v>0</v>
      </c>
      <c r="AW180" s="76">
        <f>STALK_Geom!$AI$33</f>
        <v>0</v>
      </c>
      <c r="AX180" s="264">
        <f>STALK_Geom!$AJ$33</f>
        <v>0</v>
      </c>
      <c r="AY180" s="76">
        <f>STALK_Geom!$AI$34</f>
        <v>0</v>
      </c>
      <c r="AZ180" s="264">
        <f>STALK_Geom!$AJ$34</f>
        <v>0</v>
      </c>
      <c r="BA180" s="76">
        <f>STALK_Geom!$AI$35</f>
        <v>0</v>
      </c>
      <c r="BB180" s="264">
        <f>STALK_Geom!$AJ$35</f>
        <v>0</v>
      </c>
      <c r="BC180" s="76">
        <f>STALK_Geom!$AI$36</f>
        <v>0</v>
      </c>
      <c r="BD180" s="264">
        <f>STALK_Geom!$AJ$36</f>
        <v>0</v>
      </c>
      <c r="BE180" s="76">
        <f>STALK_Geom!$AI$37</f>
        <v>0</v>
      </c>
      <c r="BF180" s="264">
        <f>STALK_Geom!$AJ$37</f>
        <v>0</v>
      </c>
      <c r="BG180" s="52" t="s">
        <v>69</v>
      </c>
    </row>
    <row r="181" spans="1:60" s="65" customFormat="1" ht="18.75">
      <c r="A181" s="21" t="s">
        <v>69</v>
      </c>
      <c r="B181" s="61"/>
      <c r="C181" s="62" t="s">
        <v>579</v>
      </c>
      <c r="D181" s="62"/>
      <c r="E181" s="62"/>
      <c r="F181" s="62"/>
      <c r="G181" s="62"/>
      <c r="H181" s="67"/>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52" t="s">
        <v>69</v>
      </c>
      <c r="BH181" s="64"/>
    </row>
    <row r="182" spans="1:60">
      <c r="A182" s="20"/>
      <c r="B182" s="11" t="s">
        <v>596</v>
      </c>
      <c r="C182" s="2" t="s">
        <v>595</v>
      </c>
      <c r="D182" s="15" t="s">
        <v>12</v>
      </c>
      <c r="E182" s="9" t="s">
        <v>1</v>
      </c>
      <c r="F182" s="40" t="s">
        <v>304</v>
      </c>
      <c r="G182" s="46">
        <f>BRACT_Prod!$D$9</f>
        <v>0</v>
      </c>
      <c r="H182" s="72">
        <f>BRACT_Prod!$D$10</f>
        <v>3</v>
      </c>
      <c r="I182" s="58">
        <f>BRACT_Prod!$C$13</f>
        <v>0</v>
      </c>
      <c r="J182" s="26">
        <f>BRACT_Prod!$D$13</f>
        <v>0</v>
      </c>
      <c r="K182" s="58">
        <f>BRACT_Prod!$C$14</f>
        <v>2</v>
      </c>
      <c r="L182" s="26">
        <f>BRACT_Prod!$D$14</f>
        <v>1</v>
      </c>
      <c r="M182" s="58">
        <f>BRACT_Prod!$C$15</f>
        <v>2.1</v>
      </c>
      <c r="N182" s="26">
        <f>BRACT_Prod!$D$15</f>
        <v>0</v>
      </c>
      <c r="O182" s="58">
        <f>BRACT_Prod!$C$16</f>
        <v>0</v>
      </c>
      <c r="P182" s="26">
        <f>BRACT_Prod!$D$16</f>
        <v>0</v>
      </c>
      <c r="Q182" s="58">
        <f>BRACT_Prod!$C$17</f>
        <v>0</v>
      </c>
      <c r="R182" s="26">
        <f>BRACT_Prod!$D$17</f>
        <v>0</v>
      </c>
      <c r="S182" s="58">
        <f>BRACT_Prod!$C$18</f>
        <v>0</v>
      </c>
      <c r="T182" s="26">
        <f>BRACT_Prod!$D$18</f>
        <v>0</v>
      </c>
      <c r="U182" s="58">
        <f>BRACT_Prod!$C$19</f>
        <v>0</v>
      </c>
      <c r="V182" s="26">
        <f>BRACT_Prod!$D$19</f>
        <v>0</v>
      </c>
      <c r="W182" s="58">
        <f>BRACT_Prod!$C$20</f>
        <v>0</v>
      </c>
      <c r="X182" s="26">
        <f>BRACT_Prod!$D$20</f>
        <v>0</v>
      </c>
      <c r="Y182" s="58">
        <f>BRACT_Prod!$C$21</f>
        <v>0</v>
      </c>
      <c r="Z182" s="26">
        <f>BRACT_Prod!$D$21</f>
        <v>0</v>
      </c>
      <c r="AA182" s="58">
        <f>BRACT_Prod!$C$22</f>
        <v>0</v>
      </c>
      <c r="AB182" s="26">
        <f>BRACT_Prod!$D$22</f>
        <v>0</v>
      </c>
      <c r="AC182" s="58">
        <f>BRACT_Prod!$C$23</f>
        <v>0</v>
      </c>
      <c r="AD182" s="26">
        <f>BRACT_Prod!$D$23</f>
        <v>0</v>
      </c>
      <c r="AE182" s="58">
        <f>BRACT_Prod!$C$24</f>
        <v>0</v>
      </c>
      <c r="AF182" s="26">
        <f>BRACT_Prod!$D$24</f>
        <v>0</v>
      </c>
      <c r="AG182" s="58">
        <f>BRACT_Prod!$C$25</f>
        <v>0</v>
      </c>
      <c r="AH182" s="26">
        <f>BRACT_Prod!$D$25</f>
        <v>0</v>
      </c>
      <c r="AI182" s="58">
        <f>BRACT_Prod!$C$26</f>
        <v>0</v>
      </c>
      <c r="AJ182" s="26">
        <f>BRACT_Prod!$D$26</f>
        <v>0</v>
      </c>
      <c r="AK182" s="58">
        <f>BRACT_Prod!$C$27</f>
        <v>0</v>
      </c>
      <c r="AL182" s="26">
        <f>BRACT_Prod!$D$27</f>
        <v>0</v>
      </c>
      <c r="AM182" s="58">
        <f>BRACT_Prod!$C$28</f>
        <v>0</v>
      </c>
      <c r="AN182" s="26">
        <f>BRACT_Prod!$D$28</f>
        <v>0</v>
      </c>
      <c r="AO182" s="58">
        <f>BRACT_Prod!$C$29</f>
        <v>0</v>
      </c>
      <c r="AP182" s="26">
        <f>BRACT_Prod!$D$29</f>
        <v>0</v>
      </c>
      <c r="AQ182" s="58">
        <f>BRACT_Prod!$C$30</f>
        <v>0</v>
      </c>
      <c r="AR182" s="26">
        <f>BRACT_Prod!$D$30</f>
        <v>0</v>
      </c>
      <c r="AS182" s="58">
        <f>BRACT_Prod!$C$31</f>
        <v>0</v>
      </c>
      <c r="AT182" s="26">
        <f>BRACT_Prod!$D$31</f>
        <v>0</v>
      </c>
      <c r="AU182" s="58">
        <f>BRACT_Prod!$C$32</f>
        <v>0</v>
      </c>
      <c r="AV182" s="26">
        <f>BRACT_Prod!$D$32</f>
        <v>0</v>
      </c>
      <c r="AW182" s="58">
        <f>BRACT_Prod!$C$33</f>
        <v>0</v>
      </c>
      <c r="AX182" s="26">
        <f>BRACT_Prod!$D$33</f>
        <v>0</v>
      </c>
      <c r="AY182" s="58">
        <f>BRACT_Prod!$C$34</f>
        <v>0</v>
      </c>
      <c r="AZ182" s="26">
        <f>BRACT_Prod!$D$34</f>
        <v>0</v>
      </c>
      <c r="BA182" s="58">
        <f>BRACT_Prod!$C$35</f>
        <v>0</v>
      </c>
      <c r="BB182" s="26">
        <f>BRACT_Prod!$D$35</f>
        <v>0</v>
      </c>
      <c r="BC182" s="58">
        <f>BRACT_Prod!$C$36</f>
        <v>0</v>
      </c>
      <c r="BD182" s="26">
        <f>BRACT_Prod!$D$36</f>
        <v>0</v>
      </c>
      <c r="BE182" s="58">
        <f>BRACT_Prod!$C$37</f>
        <v>0</v>
      </c>
      <c r="BF182" s="26">
        <f>BRACT_Prod!$D$37</f>
        <v>0</v>
      </c>
      <c r="BG182" s="52" t="s">
        <v>69</v>
      </c>
      <c r="BH182" s="16"/>
    </row>
    <row r="183" spans="1:60">
      <c r="A183" s="20"/>
      <c r="B183" s="11" t="s">
        <v>597</v>
      </c>
      <c r="C183" s="2" t="s">
        <v>743</v>
      </c>
      <c r="D183" s="15" t="s">
        <v>12</v>
      </c>
      <c r="E183" s="9" t="s">
        <v>4</v>
      </c>
      <c r="F183" s="40" t="s">
        <v>11</v>
      </c>
      <c r="G183" s="46">
        <f>BRACT_Prod!$E$9</f>
        <v>0</v>
      </c>
      <c r="H183" s="72">
        <f>BRACT_Prod!$E$10</f>
        <v>3</v>
      </c>
      <c r="I183" s="58">
        <f>BRACT_Prod!$C$13</f>
        <v>0</v>
      </c>
      <c r="J183" s="21">
        <f>BRACT_Prod!$E$13</f>
        <v>0</v>
      </c>
      <c r="K183" s="58">
        <f>BRACT_Prod!$C$14</f>
        <v>2</v>
      </c>
      <c r="L183" s="21">
        <f>BRACT_Prod!$E$14</f>
        <v>0</v>
      </c>
      <c r="M183" s="58">
        <f>BRACT_Prod!$C$15</f>
        <v>2.1</v>
      </c>
      <c r="N183" s="21">
        <f>BRACT_Prod!$E$15</f>
        <v>0</v>
      </c>
      <c r="O183" s="58">
        <f>BRACT_Prod!$C$16</f>
        <v>0</v>
      </c>
      <c r="P183" s="21">
        <f>BRACT_Prod!$E$16</f>
        <v>0</v>
      </c>
      <c r="Q183" s="58">
        <f>BRACT_Prod!$C$17</f>
        <v>0</v>
      </c>
      <c r="R183" s="21">
        <f>BRACT_Prod!$E$17</f>
        <v>0</v>
      </c>
      <c r="S183" s="58">
        <f>BRACT_Prod!$C$18</f>
        <v>0</v>
      </c>
      <c r="T183" s="21">
        <f>BRACT_Prod!$E$18</f>
        <v>0</v>
      </c>
      <c r="U183" s="58">
        <f>BRACT_Prod!$C$19</f>
        <v>0</v>
      </c>
      <c r="V183" s="21">
        <f>BRACT_Prod!$E$19</f>
        <v>0</v>
      </c>
      <c r="W183" s="58">
        <f>BRACT_Prod!$C$20</f>
        <v>0</v>
      </c>
      <c r="X183" s="21">
        <f>BRACT_Prod!$E$20</f>
        <v>0</v>
      </c>
      <c r="Y183" s="58">
        <f>BRACT_Prod!$C$21</f>
        <v>0</v>
      </c>
      <c r="Z183" s="21">
        <f>BRACT_Prod!$E$21</f>
        <v>0</v>
      </c>
      <c r="AA183" s="58">
        <f>BRACT_Prod!$C$22</f>
        <v>0</v>
      </c>
      <c r="AB183" s="21">
        <f>BRACT_Prod!$E$22</f>
        <v>0</v>
      </c>
      <c r="AC183" s="58">
        <f>BRACT_Prod!$C$23</f>
        <v>0</v>
      </c>
      <c r="AD183" s="21">
        <f>BRACT_Prod!$E$23</f>
        <v>0</v>
      </c>
      <c r="AE183" s="58">
        <f>BRACT_Prod!$C$24</f>
        <v>0</v>
      </c>
      <c r="AF183" s="21">
        <f>BRACT_Prod!$E$24</f>
        <v>0</v>
      </c>
      <c r="AG183" s="58">
        <f>BRACT_Prod!$C$25</f>
        <v>0</v>
      </c>
      <c r="AH183" s="21">
        <f>BRACT_Prod!$E$25</f>
        <v>0</v>
      </c>
      <c r="AI183" s="58">
        <f>BRACT_Prod!$C$26</f>
        <v>0</v>
      </c>
      <c r="AJ183" s="21">
        <f>BRACT_Prod!$E$26</f>
        <v>0</v>
      </c>
      <c r="AK183" s="58">
        <f>BRACT_Prod!$C$27</f>
        <v>0</v>
      </c>
      <c r="AL183" s="21">
        <f>BRACT_Prod!$E$27</f>
        <v>0</v>
      </c>
      <c r="AM183" s="58">
        <f>BRACT_Prod!$C$28</f>
        <v>0</v>
      </c>
      <c r="AN183" s="21">
        <f>BRACT_Prod!$E$28</f>
        <v>0</v>
      </c>
      <c r="AO183" s="58">
        <f>BRACT_Prod!$C$29</f>
        <v>0</v>
      </c>
      <c r="AP183" s="21">
        <f>BRACT_Prod!$E$29</f>
        <v>0</v>
      </c>
      <c r="AQ183" s="58">
        <f>BRACT_Prod!$C$30</f>
        <v>0</v>
      </c>
      <c r="AR183" s="21">
        <f>BRACT_Prod!$E$30</f>
        <v>0</v>
      </c>
      <c r="AS183" s="58">
        <f>BRACT_Prod!$C$31</f>
        <v>0</v>
      </c>
      <c r="AT183" s="21">
        <f>BRACT_Prod!$E$31</f>
        <v>0</v>
      </c>
      <c r="AU183" s="58">
        <f>BRACT_Prod!$C$32</f>
        <v>0</v>
      </c>
      <c r="AV183" s="21">
        <f>BRACT_Prod!$E$32</f>
        <v>0</v>
      </c>
      <c r="AW183" s="58">
        <f>BRACT_Prod!$C$33</f>
        <v>0</v>
      </c>
      <c r="AX183" s="21">
        <f>BRACT_Prod!$E$33</f>
        <v>0</v>
      </c>
      <c r="AY183" s="58">
        <f>BRACT_Prod!$C$34</f>
        <v>0</v>
      </c>
      <c r="AZ183" s="21">
        <f>BRACT_Prod!$E$34</f>
        <v>0</v>
      </c>
      <c r="BA183" s="58">
        <f>BRACT_Prod!$C$35</f>
        <v>0</v>
      </c>
      <c r="BB183" s="21">
        <f>BRACT_Prod!$E$35</f>
        <v>0</v>
      </c>
      <c r="BC183" s="58">
        <f>BRACT_Prod!$C$36</f>
        <v>0</v>
      </c>
      <c r="BD183" s="21">
        <f>BRACT_Prod!$E$36</f>
        <v>0</v>
      </c>
      <c r="BE183" s="58">
        <f>BRACT_Prod!$C$37</f>
        <v>0</v>
      </c>
      <c r="BF183" s="21">
        <f>BRACT_Prod!$E$37</f>
        <v>0</v>
      </c>
      <c r="BG183" s="52" t="s">
        <v>69</v>
      </c>
      <c r="BH183" s="16"/>
    </row>
    <row r="184" spans="1:60">
      <c r="A184" s="20"/>
      <c r="B184" s="11" t="s">
        <v>256</v>
      </c>
      <c r="C184" s="2" t="s">
        <v>258</v>
      </c>
      <c r="D184" s="6" t="s">
        <v>61</v>
      </c>
      <c r="E184" s="2" t="s">
        <v>2</v>
      </c>
      <c r="F184" s="40" t="s">
        <v>7</v>
      </c>
      <c r="G184" s="46">
        <f>BRACT_Prod!$H$9</f>
        <v>0</v>
      </c>
      <c r="H184" s="72">
        <f>BRACT_Prod!$H$10</f>
        <v>1</v>
      </c>
      <c r="I184" s="54">
        <f>BRACT_Prod!$G$13</f>
        <v>1</v>
      </c>
      <c r="J184" s="26">
        <f>BRACT_Prod!$H$13</f>
        <v>1</v>
      </c>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c r="AK184" s="197"/>
      <c r="AL184" s="197"/>
      <c r="AM184" s="197"/>
      <c r="AN184" s="197"/>
      <c r="AO184" s="197"/>
      <c r="AP184" s="197"/>
      <c r="AQ184" s="197"/>
      <c r="AR184" s="197"/>
      <c r="AS184" s="197"/>
      <c r="AT184" s="197"/>
      <c r="AU184" s="197"/>
      <c r="AV184" s="197"/>
      <c r="AW184" s="197"/>
      <c r="AX184" s="197"/>
      <c r="AY184" s="197"/>
      <c r="AZ184" s="197"/>
      <c r="BA184" s="197"/>
      <c r="BB184" s="197"/>
      <c r="BC184" s="197"/>
      <c r="BD184" s="197"/>
      <c r="BE184" s="197"/>
      <c r="BF184" s="197"/>
      <c r="BG184" s="52" t="s">
        <v>69</v>
      </c>
      <c r="BH184" s="16"/>
    </row>
    <row r="185" spans="1:60">
      <c r="A185" s="20"/>
      <c r="B185" s="11" t="s">
        <v>257</v>
      </c>
      <c r="C185" s="2" t="s">
        <v>259</v>
      </c>
      <c r="D185" s="15" t="s">
        <v>12</v>
      </c>
      <c r="E185" s="9" t="s">
        <v>0</v>
      </c>
      <c r="F185" s="40" t="s">
        <v>7</v>
      </c>
      <c r="G185" s="46">
        <f>BRACT_Prod!$J$9</f>
        <v>1</v>
      </c>
      <c r="H185" s="72">
        <f>BRACT_Prod!$J$10</f>
        <v>1</v>
      </c>
      <c r="I185" s="58">
        <f>BRACT_Prod!$I$13</f>
        <v>0</v>
      </c>
      <c r="J185" s="21">
        <f>BRACT_Prod!$J$13</f>
        <v>1</v>
      </c>
      <c r="K185" s="58">
        <f>BRACT_Prod!$I$14</f>
        <v>0</v>
      </c>
      <c r="L185" s="21">
        <f>BRACT_Prod!$J$14</f>
        <v>0</v>
      </c>
      <c r="M185" s="58">
        <f>BRACT_Prod!$I$15</f>
        <v>0</v>
      </c>
      <c r="N185" s="21">
        <f>BRACT_Prod!$J$15</f>
        <v>0</v>
      </c>
      <c r="O185" s="58">
        <f>BRACT_Prod!$I$16</f>
        <v>0</v>
      </c>
      <c r="P185" s="21">
        <f>BRACT_Prod!$J$16</f>
        <v>0</v>
      </c>
      <c r="Q185" s="58">
        <f>BRACT_Prod!$I$17</f>
        <v>0</v>
      </c>
      <c r="R185" s="21">
        <f>BRACT_Prod!$J$17</f>
        <v>0</v>
      </c>
      <c r="S185" s="58">
        <f>BRACT_Prod!$I$18</f>
        <v>0</v>
      </c>
      <c r="T185" s="21">
        <f>BRACT_Prod!$J$18</f>
        <v>0</v>
      </c>
      <c r="U185" s="58">
        <f>BRACT_Prod!$I$19</f>
        <v>0</v>
      </c>
      <c r="V185" s="21">
        <f>BRACT_Prod!$J$19</f>
        <v>0</v>
      </c>
      <c r="W185" s="58">
        <f>BRACT_Prod!$I$20</f>
        <v>0</v>
      </c>
      <c r="X185" s="21">
        <f>BRACT_Prod!$J$20</f>
        <v>0</v>
      </c>
      <c r="Y185" s="58">
        <f>BRACT_Prod!$I$21</f>
        <v>0</v>
      </c>
      <c r="Z185" s="21">
        <f>BRACT_Prod!$J$21</f>
        <v>0</v>
      </c>
      <c r="AA185" s="58">
        <f>BRACT_Prod!$I$22</f>
        <v>0</v>
      </c>
      <c r="AB185" s="21">
        <f>BRACT_Prod!$J$22</f>
        <v>0</v>
      </c>
      <c r="AC185" s="58">
        <f>BRACT_Prod!$I$23</f>
        <v>0</v>
      </c>
      <c r="AD185" s="21">
        <f>BRACT_Prod!$J$23</f>
        <v>0</v>
      </c>
      <c r="AE185" s="58">
        <f>BRACT_Prod!$I$24</f>
        <v>0</v>
      </c>
      <c r="AF185" s="21">
        <f>BRACT_Prod!$J$24</f>
        <v>0</v>
      </c>
      <c r="AG185" s="58">
        <f>BRACT_Prod!$I$25</f>
        <v>0</v>
      </c>
      <c r="AH185" s="21">
        <f>BRACT_Prod!$J$25</f>
        <v>0</v>
      </c>
      <c r="AI185" s="58">
        <f>BRACT_Prod!$I$26</f>
        <v>0</v>
      </c>
      <c r="AJ185" s="21">
        <f>BRACT_Prod!$J$26</f>
        <v>0</v>
      </c>
      <c r="AK185" s="58">
        <f>BRACT_Prod!$I$27</f>
        <v>0</v>
      </c>
      <c r="AL185" s="21">
        <f>BRACT_Prod!$J$27</f>
        <v>0</v>
      </c>
      <c r="AM185" s="58">
        <f>BRACT_Prod!$I$28</f>
        <v>0</v>
      </c>
      <c r="AN185" s="21">
        <f>BRACT_Prod!$J$28</f>
        <v>0</v>
      </c>
      <c r="AO185" s="58">
        <f>BRACT_Prod!$I$29</f>
        <v>0</v>
      </c>
      <c r="AP185" s="21">
        <f>BRACT_Prod!$J$29</f>
        <v>0</v>
      </c>
      <c r="AQ185" s="58">
        <f>BRACT_Prod!$I$30</f>
        <v>0</v>
      </c>
      <c r="AR185" s="21">
        <f>BRACT_Prod!$J$30</f>
        <v>0</v>
      </c>
      <c r="AS185" s="58">
        <f>BRACT_Prod!$I$31</f>
        <v>0</v>
      </c>
      <c r="AT185" s="21">
        <f>BRACT_Prod!$J$31</f>
        <v>0</v>
      </c>
      <c r="AU185" s="58">
        <f>BRACT_Prod!$I$32</f>
        <v>0</v>
      </c>
      <c r="AV185" s="21">
        <f>BRACT_Prod!$J$32</f>
        <v>0</v>
      </c>
      <c r="AW185" s="58">
        <f>BRACT_Prod!$I$33</f>
        <v>0</v>
      </c>
      <c r="AX185" s="21">
        <f>BRACT_Prod!$J$33</f>
        <v>0</v>
      </c>
      <c r="AY185" s="58">
        <f>BRACT_Prod!$I$34</f>
        <v>0</v>
      </c>
      <c r="AZ185" s="21">
        <f>BRACT_Prod!$J$34</f>
        <v>0</v>
      </c>
      <c r="BA185" s="58">
        <f>BRACT_Prod!$I$35</f>
        <v>0</v>
      </c>
      <c r="BB185" s="21">
        <f>BRACT_Prod!$J$35</f>
        <v>0</v>
      </c>
      <c r="BC185" s="58">
        <f>BRACT_Prod!$I$36</f>
        <v>0</v>
      </c>
      <c r="BD185" s="21">
        <f>BRACT_Prod!$J$36</f>
        <v>0</v>
      </c>
      <c r="BE185" s="58">
        <f>BRACT_Prod!$I$37</f>
        <v>0</v>
      </c>
      <c r="BF185" s="21">
        <f>BRACT_Prod!$J$37</f>
        <v>0</v>
      </c>
      <c r="BG185" s="52" t="s">
        <v>69</v>
      </c>
      <c r="BH185" s="16"/>
    </row>
    <row r="186" spans="1:60">
      <c r="A186" s="20"/>
      <c r="B186" s="11" t="s">
        <v>315</v>
      </c>
      <c r="C186" s="2" t="s">
        <v>260</v>
      </c>
      <c r="D186" s="15" t="s">
        <v>12</v>
      </c>
      <c r="E186" s="9" t="s">
        <v>0</v>
      </c>
      <c r="F186" s="40" t="s">
        <v>7</v>
      </c>
      <c r="G186" s="46">
        <f>BRACT_Prod!$K$9</f>
        <v>1</v>
      </c>
      <c r="H186" s="72">
        <f>BRACT_Prod!$K$10</f>
        <v>1</v>
      </c>
      <c r="I186" s="58">
        <f>BRACT_Prod!$I$13</f>
        <v>0</v>
      </c>
      <c r="J186" s="21">
        <f>BRACT_Prod!$K$13</f>
        <v>0</v>
      </c>
      <c r="K186" s="58">
        <f>BRACT_Prod!$I$14</f>
        <v>0</v>
      </c>
      <c r="L186" s="21">
        <f>BRACT_Prod!$K$14</f>
        <v>0</v>
      </c>
      <c r="M186" s="58">
        <f>BRACT_Prod!$I$15</f>
        <v>0</v>
      </c>
      <c r="N186" s="21">
        <f>BRACT_Prod!$K$15</f>
        <v>0</v>
      </c>
      <c r="O186" s="58">
        <f>BRACT_Prod!$I$16</f>
        <v>0</v>
      </c>
      <c r="P186" s="21">
        <f>BRACT_Prod!$K$16</f>
        <v>0</v>
      </c>
      <c r="Q186" s="58">
        <f>BRACT_Prod!$I$17</f>
        <v>0</v>
      </c>
      <c r="R186" s="21">
        <f>BRACT_Prod!$K$17</f>
        <v>0</v>
      </c>
      <c r="S186" s="58">
        <f>BRACT_Prod!$I$18</f>
        <v>0</v>
      </c>
      <c r="T186" s="21">
        <f>BRACT_Prod!$K$18</f>
        <v>0</v>
      </c>
      <c r="U186" s="58">
        <f>BRACT_Prod!$I$19</f>
        <v>0</v>
      </c>
      <c r="V186" s="21">
        <f>BRACT_Prod!$K$19</f>
        <v>0</v>
      </c>
      <c r="W186" s="58">
        <f>BRACT_Prod!$I$20</f>
        <v>0</v>
      </c>
      <c r="X186" s="21">
        <f>BRACT_Prod!$K$20</f>
        <v>0</v>
      </c>
      <c r="Y186" s="58">
        <f>BRACT_Prod!$I$21</f>
        <v>0</v>
      </c>
      <c r="Z186" s="21">
        <f>BRACT_Prod!$K$21</f>
        <v>0</v>
      </c>
      <c r="AA186" s="58">
        <f>BRACT_Prod!$I$22</f>
        <v>0</v>
      </c>
      <c r="AB186" s="21">
        <f>BRACT_Prod!$K$22</f>
        <v>0</v>
      </c>
      <c r="AC186" s="58">
        <f>BRACT_Prod!$I$23</f>
        <v>0</v>
      </c>
      <c r="AD186" s="21">
        <f>BRACT_Prod!$K$23</f>
        <v>0</v>
      </c>
      <c r="AE186" s="58">
        <f>BRACT_Prod!$I$24</f>
        <v>0</v>
      </c>
      <c r="AF186" s="21">
        <f>BRACT_Prod!$K$24</f>
        <v>0</v>
      </c>
      <c r="AG186" s="58">
        <f>BRACT_Prod!$I$25</f>
        <v>0</v>
      </c>
      <c r="AH186" s="21">
        <f>BRACT_Prod!$K$25</f>
        <v>0</v>
      </c>
      <c r="AI186" s="58">
        <f>BRACT_Prod!$I$26</f>
        <v>0</v>
      </c>
      <c r="AJ186" s="21">
        <f>BRACT_Prod!$K$26</f>
        <v>0</v>
      </c>
      <c r="AK186" s="58">
        <f>BRACT_Prod!$I$27</f>
        <v>0</v>
      </c>
      <c r="AL186" s="21">
        <f>BRACT_Prod!$K$27</f>
        <v>0</v>
      </c>
      <c r="AM186" s="58">
        <f>BRACT_Prod!$I$28</f>
        <v>0</v>
      </c>
      <c r="AN186" s="21">
        <f>BRACT_Prod!$K$28</f>
        <v>0</v>
      </c>
      <c r="AO186" s="58">
        <f>BRACT_Prod!$I$29</f>
        <v>0</v>
      </c>
      <c r="AP186" s="21">
        <f>BRACT_Prod!$K$29</f>
        <v>0</v>
      </c>
      <c r="AQ186" s="58">
        <f>BRACT_Prod!$I$30</f>
        <v>0</v>
      </c>
      <c r="AR186" s="21">
        <f>BRACT_Prod!$K$30</f>
        <v>0</v>
      </c>
      <c r="AS186" s="58">
        <f>BRACT_Prod!$I$31</f>
        <v>0</v>
      </c>
      <c r="AT186" s="21">
        <f>BRACT_Prod!$K$31</f>
        <v>0</v>
      </c>
      <c r="AU186" s="58">
        <f>BRACT_Prod!$I$32</f>
        <v>0</v>
      </c>
      <c r="AV186" s="21">
        <f>BRACT_Prod!$K$32</f>
        <v>0</v>
      </c>
      <c r="AW186" s="58">
        <f>BRACT_Prod!$I$33</f>
        <v>0</v>
      </c>
      <c r="AX186" s="21">
        <f>BRACT_Prod!$K$33</f>
        <v>0</v>
      </c>
      <c r="AY186" s="58">
        <f>BRACT_Prod!$I$34</f>
        <v>0</v>
      </c>
      <c r="AZ186" s="21">
        <f>BRACT_Prod!$K$34</f>
        <v>0</v>
      </c>
      <c r="BA186" s="58">
        <f>BRACT_Prod!$I$35</f>
        <v>0</v>
      </c>
      <c r="BB186" s="21">
        <f>BRACT_Prod!$K$35</f>
        <v>0</v>
      </c>
      <c r="BC186" s="58">
        <f>BRACT_Prod!$I$36</f>
        <v>0</v>
      </c>
      <c r="BD186" s="21">
        <f>BRACT_Prod!$K$36</f>
        <v>0</v>
      </c>
      <c r="BE186" s="58">
        <f>BRACT_Prod!$I$37</f>
        <v>0</v>
      </c>
      <c r="BF186" s="21">
        <f>BRACT_Prod!$K$37</f>
        <v>0</v>
      </c>
      <c r="BG186" s="52" t="s">
        <v>69</v>
      </c>
      <c r="BH186" s="16"/>
    </row>
    <row r="187" spans="1:60">
      <c r="A187" s="20"/>
      <c r="B187" s="10" t="s">
        <v>354</v>
      </c>
      <c r="C187" s="2" t="s">
        <v>451</v>
      </c>
      <c r="D187" s="15" t="s">
        <v>12</v>
      </c>
      <c r="E187" s="9" t="s">
        <v>3</v>
      </c>
      <c r="F187" s="40" t="s">
        <v>6</v>
      </c>
      <c r="G187" s="46">
        <f>BRACT_Prod!$P$9</f>
        <v>1</v>
      </c>
      <c r="H187" s="72">
        <f>BRACT_Prod!$P$10</f>
        <v>1</v>
      </c>
      <c r="I187" s="58">
        <f>BRACT_Prod!$O$13</f>
        <v>0</v>
      </c>
      <c r="J187" s="21">
        <f>BRACT_Prod!$P$13</f>
        <v>90</v>
      </c>
      <c r="K187" s="58">
        <f>BRACT_Prod!$O$14</f>
        <v>0</v>
      </c>
      <c r="L187" s="21">
        <f>BRACT_Prod!$P$14</f>
        <v>0</v>
      </c>
      <c r="M187" s="58">
        <f>BRACT_Prod!$O$15</f>
        <v>0</v>
      </c>
      <c r="N187" s="21">
        <f>BRACT_Prod!$P$15</f>
        <v>0</v>
      </c>
      <c r="O187" s="58">
        <f>BRACT_Prod!$O$16</f>
        <v>0</v>
      </c>
      <c r="P187" s="21">
        <f>BRACT_Prod!$P$16</f>
        <v>0</v>
      </c>
      <c r="Q187" s="58">
        <f>BRACT_Prod!$O$17</f>
        <v>0</v>
      </c>
      <c r="R187" s="21">
        <f>BRACT_Prod!$P$17</f>
        <v>0</v>
      </c>
      <c r="S187" s="58">
        <f>BRACT_Prod!$O$18</f>
        <v>0</v>
      </c>
      <c r="T187" s="21">
        <f>BRACT_Prod!$P$18</f>
        <v>0</v>
      </c>
      <c r="U187" s="58">
        <f>BRACT_Prod!$O$19</f>
        <v>0</v>
      </c>
      <c r="V187" s="21">
        <f>BRACT_Prod!$P$19</f>
        <v>0</v>
      </c>
      <c r="W187" s="58">
        <f>BRACT_Prod!$O$20</f>
        <v>0</v>
      </c>
      <c r="X187" s="21">
        <f>BRACT_Prod!$P$20</f>
        <v>0</v>
      </c>
      <c r="Y187" s="58">
        <f>BRACT_Prod!$O$21</f>
        <v>0</v>
      </c>
      <c r="Z187" s="21">
        <f>BRACT_Prod!$P$21</f>
        <v>0</v>
      </c>
      <c r="AA187" s="58">
        <f>BRACT_Prod!$O$22</f>
        <v>0</v>
      </c>
      <c r="AB187" s="21">
        <f>BRACT_Prod!$P$22</f>
        <v>0</v>
      </c>
      <c r="AC187" s="58">
        <f>BRACT_Prod!$O$23</f>
        <v>0</v>
      </c>
      <c r="AD187" s="21">
        <f>BRACT_Prod!$P$23</f>
        <v>0</v>
      </c>
      <c r="AE187" s="58">
        <f>BRACT_Prod!$O$24</f>
        <v>0</v>
      </c>
      <c r="AF187" s="21">
        <f>BRACT_Prod!$P$24</f>
        <v>0</v>
      </c>
      <c r="AG187" s="58">
        <f>BRACT_Prod!$O$25</f>
        <v>0</v>
      </c>
      <c r="AH187" s="21">
        <f>BRACT_Prod!$P$25</f>
        <v>0</v>
      </c>
      <c r="AI187" s="58">
        <f>BRACT_Prod!$O$26</f>
        <v>0</v>
      </c>
      <c r="AJ187" s="21">
        <f>BRACT_Prod!$P$26</f>
        <v>0</v>
      </c>
      <c r="AK187" s="58">
        <f>BRACT_Prod!$O$27</f>
        <v>0</v>
      </c>
      <c r="AL187" s="21">
        <f>BRACT_Prod!$P$27</f>
        <v>0</v>
      </c>
      <c r="AM187" s="58">
        <f>BRACT_Prod!$O$28</f>
        <v>0</v>
      </c>
      <c r="AN187" s="21">
        <f>BRACT_Prod!$P$28</f>
        <v>0</v>
      </c>
      <c r="AO187" s="58">
        <f>BRACT_Prod!$O$29</f>
        <v>0</v>
      </c>
      <c r="AP187" s="21">
        <f>BRACT_Prod!$P$29</f>
        <v>0</v>
      </c>
      <c r="AQ187" s="58">
        <f>BRACT_Prod!$O$30</f>
        <v>0</v>
      </c>
      <c r="AR187" s="21">
        <f>BRACT_Prod!$P$30</f>
        <v>0</v>
      </c>
      <c r="AS187" s="58">
        <f>BRACT_Prod!$O$31</f>
        <v>0</v>
      </c>
      <c r="AT187" s="21">
        <f>BRACT_Prod!$P$31</f>
        <v>0</v>
      </c>
      <c r="AU187" s="58">
        <f>BRACT_Prod!$O$32</f>
        <v>0</v>
      </c>
      <c r="AV187" s="21">
        <f>BRACT_Prod!$P$32</f>
        <v>0</v>
      </c>
      <c r="AW187" s="58">
        <f>BRACT_Prod!$O$33</f>
        <v>0</v>
      </c>
      <c r="AX187" s="21">
        <f>BRACT_Prod!$P$33</f>
        <v>0</v>
      </c>
      <c r="AY187" s="58">
        <f>BRACT_Prod!$O$34</f>
        <v>0</v>
      </c>
      <c r="AZ187" s="21">
        <f>BRACT_Prod!$P$34</f>
        <v>0</v>
      </c>
      <c r="BA187" s="58">
        <f>BRACT_Prod!$O$35</f>
        <v>0</v>
      </c>
      <c r="BB187" s="21">
        <f>BRACT_Prod!$P$35</f>
        <v>0</v>
      </c>
      <c r="BC187" s="58">
        <f>BRACT_Prod!$O$36</f>
        <v>0</v>
      </c>
      <c r="BD187" s="21">
        <f>BRACT_Prod!$P$36</f>
        <v>0</v>
      </c>
      <c r="BE187" s="58">
        <f>BRACT_Prod!$O$37</f>
        <v>0</v>
      </c>
      <c r="BF187" s="21">
        <f>BRACT_Prod!$P$37</f>
        <v>0</v>
      </c>
      <c r="BG187" s="52" t="s">
        <v>69</v>
      </c>
      <c r="BH187" s="16"/>
    </row>
    <row r="188" spans="1:60">
      <c r="A188" s="20"/>
      <c r="B188" s="11" t="s">
        <v>355</v>
      </c>
      <c r="C188" s="2" t="s">
        <v>356</v>
      </c>
      <c r="D188" s="15" t="s">
        <v>12</v>
      </c>
      <c r="E188" s="9" t="s">
        <v>3</v>
      </c>
      <c r="F188" s="40" t="s">
        <v>6</v>
      </c>
      <c r="G188" s="46">
        <f>BRACT_Prod!$Q$9</f>
        <v>1</v>
      </c>
      <c r="H188" s="72">
        <f>BRACT_Prod!$Q$10</f>
        <v>1</v>
      </c>
      <c r="I188" s="58">
        <f>BRACT_Prod!$O$13</f>
        <v>0</v>
      </c>
      <c r="J188" s="21">
        <f>BRACT_Prod!$Q$13</f>
        <v>0</v>
      </c>
      <c r="K188" s="58">
        <f>BRACT_Prod!$O$14</f>
        <v>0</v>
      </c>
      <c r="L188" s="21">
        <f>BRACT_Prod!$Q$14</f>
        <v>0</v>
      </c>
      <c r="M188" s="58">
        <f>BRACT_Prod!$O$15</f>
        <v>0</v>
      </c>
      <c r="N188" s="21">
        <f>BRACT_Prod!$Q$15</f>
        <v>0</v>
      </c>
      <c r="O188" s="58">
        <f>BRACT_Prod!$O$16</f>
        <v>0</v>
      </c>
      <c r="P188" s="21">
        <f>BRACT_Prod!$Q$16</f>
        <v>0</v>
      </c>
      <c r="Q188" s="58">
        <f>BRACT_Prod!$O$17</f>
        <v>0</v>
      </c>
      <c r="R188" s="21">
        <f>BRACT_Prod!$Q$17</f>
        <v>0</v>
      </c>
      <c r="S188" s="58">
        <f>BRACT_Prod!$O$18</f>
        <v>0</v>
      </c>
      <c r="T188" s="21">
        <f>BRACT_Prod!$Q$18</f>
        <v>0</v>
      </c>
      <c r="U188" s="58">
        <f>BRACT_Prod!$O$19</f>
        <v>0</v>
      </c>
      <c r="V188" s="21">
        <f>BRACT_Prod!$Q$19</f>
        <v>0</v>
      </c>
      <c r="W188" s="58">
        <f>BRACT_Prod!$O$20</f>
        <v>0</v>
      </c>
      <c r="X188" s="21">
        <f>BRACT_Prod!$Q$20</f>
        <v>0</v>
      </c>
      <c r="Y188" s="58">
        <f>BRACT_Prod!$O$21</f>
        <v>0</v>
      </c>
      <c r="Z188" s="21">
        <f>BRACT_Prod!$Q$21</f>
        <v>0</v>
      </c>
      <c r="AA188" s="58">
        <f>BRACT_Prod!$O$22</f>
        <v>0</v>
      </c>
      <c r="AB188" s="21">
        <f>BRACT_Prod!$Q$22</f>
        <v>0</v>
      </c>
      <c r="AC188" s="58">
        <f>BRACT_Prod!$O$23</f>
        <v>0</v>
      </c>
      <c r="AD188" s="21">
        <f>BRACT_Prod!$Q$23</f>
        <v>0</v>
      </c>
      <c r="AE188" s="58">
        <f>BRACT_Prod!$O$24</f>
        <v>0</v>
      </c>
      <c r="AF188" s="21">
        <f>BRACT_Prod!$Q$24</f>
        <v>0</v>
      </c>
      <c r="AG188" s="58">
        <f>BRACT_Prod!$O$25</f>
        <v>0</v>
      </c>
      <c r="AH188" s="21">
        <f>BRACT_Prod!$Q$25</f>
        <v>0</v>
      </c>
      <c r="AI188" s="58">
        <f>BRACT_Prod!$O$26</f>
        <v>0</v>
      </c>
      <c r="AJ188" s="21">
        <f>BRACT_Prod!$Q$26</f>
        <v>0</v>
      </c>
      <c r="AK188" s="58">
        <f>BRACT_Prod!$O$27</f>
        <v>0</v>
      </c>
      <c r="AL188" s="21">
        <f>BRACT_Prod!$Q$27</f>
        <v>0</v>
      </c>
      <c r="AM188" s="58">
        <f>BRACT_Prod!$O$28</f>
        <v>0</v>
      </c>
      <c r="AN188" s="21">
        <f>BRACT_Prod!$Q$28</f>
        <v>0</v>
      </c>
      <c r="AO188" s="58">
        <f>BRACT_Prod!$O$29</f>
        <v>0</v>
      </c>
      <c r="AP188" s="21">
        <f>BRACT_Prod!$Q$29</f>
        <v>0</v>
      </c>
      <c r="AQ188" s="58">
        <f>BRACT_Prod!$O$30</f>
        <v>0</v>
      </c>
      <c r="AR188" s="21">
        <f>BRACT_Prod!$Q$30</f>
        <v>0</v>
      </c>
      <c r="AS188" s="58">
        <f>BRACT_Prod!$O$31</f>
        <v>0</v>
      </c>
      <c r="AT188" s="21">
        <f>BRACT_Prod!$Q$31</f>
        <v>0</v>
      </c>
      <c r="AU188" s="58">
        <f>BRACT_Prod!$O$32</f>
        <v>0</v>
      </c>
      <c r="AV188" s="21">
        <f>BRACT_Prod!$Q$32</f>
        <v>0</v>
      </c>
      <c r="AW188" s="58">
        <f>BRACT_Prod!$O$33</f>
        <v>0</v>
      </c>
      <c r="AX188" s="21">
        <f>BRACT_Prod!$Q$33</f>
        <v>0</v>
      </c>
      <c r="AY188" s="58">
        <f>BRACT_Prod!$O$34</f>
        <v>0</v>
      </c>
      <c r="AZ188" s="21">
        <f>BRACT_Prod!$Q$34</f>
        <v>0</v>
      </c>
      <c r="BA188" s="58">
        <f>BRACT_Prod!$O$35</f>
        <v>0</v>
      </c>
      <c r="BB188" s="21">
        <f>BRACT_Prod!$Q$35</f>
        <v>0</v>
      </c>
      <c r="BC188" s="58">
        <f>BRACT_Prod!$O$36</f>
        <v>0</v>
      </c>
      <c r="BD188" s="21">
        <f>BRACT_Prod!$Q$36</f>
        <v>0</v>
      </c>
      <c r="BE188" s="58">
        <f>BRACT_Prod!$O$37</f>
        <v>0</v>
      </c>
      <c r="BF188" s="21">
        <f>BRACT_Prod!$Q$37</f>
        <v>0</v>
      </c>
      <c r="BG188" s="52" t="s">
        <v>69</v>
      </c>
      <c r="BH188" s="16"/>
    </row>
    <row r="189" spans="1:60">
      <c r="A189" s="20"/>
      <c r="B189" s="10" t="s">
        <v>223</v>
      </c>
      <c r="C189" s="213" t="s">
        <v>744</v>
      </c>
      <c r="D189" s="15" t="s">
        <v>12</v>
      </c>
      <c r="E189" s="9" t="s">
        <v>3</v>
      </c>
      <c r="F189" s="40" t="s">
        <v>6</v>
      </c>
      <c r="G189" s="46">
        <f>BRACT_Prod!$T$9</f>
        <v>1</v>
      </c>
      <c r="H189" s="72">
        <f>BRACT_Prod!$T$10</f>
        <v>1</v>
      </c>
      <c r="I189" s="58">
        <f>BRACT_Prod!$S$13</f>
        <v>0</v>
      </c>
      <c r="J189" s="21">
        <f>BRACT_Prod!$T$13</f>
        <v>12</v>
      </c>
      <c r="K189" s="58">
        <f>BRACT_Prod!$S$14</f>
        <v>0</v>
      </c>
      <c r="L189" s="21">
        <f>BRACT_Prod!$T$14</f>
        <v>0</v>
      </c>
      <c r="M189" s="58">
        <f>BRACT_Prod!$S$15</f>
        <v>0</v>
      </c>
      <c r="N189" s="21">
        <f>BRACT_Prod!$T$15</f>
        <v>0</v>
      </c>
      <c r="O189" s="58">
        <f>BRACT_Prod!$S$16</f>
        <v>0</v>
      </c>
      <c r="P189" s="21">
        <f>BRACT_Prod!$T$16</f>
        <v>0</v>
      </c>
      <c r="Q189" s="58">
        <f>BRACT_Prod!$S$17</f>
        <v>0</v>
      </c>
      <c r="R189" s="21">
        <f>BRACT_Prod!$T$17</f>
        <v>0</v>
      </c>
      <c r="S189" s="58">
        <f>BRACT_Prod!$S$18</f>
        <v>0</v>
      </c>
      <c r="T189" s="21">
        <f>BRACT_Prod!$T$18</f>
        <v>0</v>
      </c>
      <c r="U189" s="58">
        <f>BRACT_Prod!$S$19</f>
        <v>0</v>
      </c>
      <c r="V189" s="21">
        <f>BRACT_Prod!$T$19</f>
        <v>0</v>
      </c>
      <c r="W189" s="58">
        <f>BRACT_Prod!$S$20</f>
        <v>0</v>
      </c>
      <c r="X189" s="21">
        <f>BRACT_Prod!$T$20</f>
        <v>0</v>
      </c>
      <c r="Y189" s="58">
        <f>BRACT_Prod!$S$21</f>
        <v>0</v>
      </c>
      <c r="Z189" s="21">
        <f>BRACT_Prod!$T$21</f>
        <v>0</v>
      </c>
      <c r="AA189" s="58">
        <f>BRACT_Prod!$S$22</f>
        <v>0</v>
      </c>
      <c r="AB189" s="21">
        <f>BRACT_Prod!$T$22</f>
        <v>0</v>
      </c>
      <c r="AC189" s="58">
        <f>BRACT_Prod!$S$23</f>
        <v>0</v>
      </c>
      <c r="AD189" s="21">
        <f>BRACT_Prod!$T$23</f>
        <v>0</v>
      </c>
      <c r="AE189" s="58">
        <f>BRACT_Prod!$S$24</f>
        <v>0</v>
      </c>
      <c r="AF189" s="21">
        <f>BRACT_Prod!$T$24</f>
        <v>0</v>
      </c>
      <c r="AG189" s="58">
        <f>BRACT_Prod!$S$25</f>
        <v>0</v>
      </c>
      <c r="AH189" s="21">
        <f>BRACT_Prod!$T$25</f>
        <v>0</v>
      </c>
      <c r="AI189" s="58">
        <f>BRACT_Prod!$S$26</f>
        <v>0</v>
      </c>
      <c r="AJ189" s="21">
        <f>BRACT_Prod!$T$26</f>
        <v>0</v>
      </c>
      <c r="AK189" s="58">
        <f>BRACT_Prod!$S$27</f>
        <v>0</v>
      </c>
      <c r="AL189" s="21">
        <f>BRACT_Prod!$T$27</f>
        <v>0</v>
      </c>
      <c r="AM189" s="58">
        <f>BRACT_Prod!$S$28</f>
        <v>0</v>
      </c>
      <c r="AN189" s="21">
        <f>BRACT_Prod!$T$28</f>
        <v>0</v>
      </c>
      <c r="AO189" s="58">
        <f>BRACT_Prod!$S$29</f>
        <v>0</v>
      </c>
      <c r="AP189" s="21">
        <f>BRACT_Prod!$T$29</f>
        <v>0</v>
      </c>
      <c r="AQ189" s="58">
        <f>BRACT_Prod!$S$30</f>
        <v>0</v>
      </c>
      <c r="AR189" s="21">
        <f>BRACT_Prod!$T$30</f>
        <v>0</v>
      </c>
      <c r="AS189" s="58">
        <f>BRACT_Prod!$S$31</f>
        <v>0</v>
      </c>
      <c r="AT189" s="21">
        <f>BRACT_Prod!$T$31</f>
        <v>0</v>
      </c>
      <c r="AU189" s="58">
        <f>BRACT_Prod!$S$32</f>
        <v>0</v>
      </c>
      <c r="AV189" s="21">
        <f>BRACT_Prod!$T$32</f>
        <v>0</v>
      </c>
      <c r="AW189" s="58">
        <f>BRACT_Prod!$S$33</f>
        <v>0</v>
      </c>
      <c r="AX189" s="21">
        <f>BRACT_Prod!$T$33</f>
        <v>0</v>
      </c>
      <c r="AY189" s="58">
        <f>BRACT_Prod!$S$34</f>
        <v>0</v>
      </c>
      <c r="AZ189" s="21">
        <f>BRACT_Prod!$T$34</f>
        <v>0</v>
      </c>
      <c r="BA189" s="58">
        <f>BRACT_Prod!$S$35</f>
        <v>0</v>
      </c>
      <c r="BB189" s="21">
        <f>BRACT_Prod!$T$35</f>
        <v>0</v>
      </c>
      <c r="BC189" s="58">
        <f>BRACT_Prod!$S$36</f>
        <v>0</v>
      </c>
      <c r="BD189" s="21">
        <f>BRACT_Prod!$T$36</f>
        <v>0</v>
      </c>
      <c r="BE189" s="58">
        <f>BRACT_Prod!$S$37</f>
        <v>0</v>
      </c>
      <c r="BF189" s="21">
        <f>BRACT_Prod!$T$37</f>
        <v>0</v>
      </c>
      <c r="BG189" s="52" t="s">
        <v>69</v>
      </c>
      <c r="BH189" s="16"/>
    </row>
    <row r="190" spans="1:60">
      <c r="A190" s="20"/>
      <c r="B190" s="11" t="s">
        <v>224</v>
      </c>
      <c r="C190" s="213" t="s">
        <v>745</v>
      </c>
      <c r="D190" s="15" t="s">
        <v>12</v>
      </c>
      <c r="E190" s="2" t="s">
        <v>3</v>
      </c>
      <c r="F190" s="40" t="s">
        <v>6</v>
      </c>
      <c r="G190" s="46">
        <f>BRACT_Prod!$U$9</f>
        <v>1</v>
      </c>
      <c r="H190" s="72">
        <f>BRACT_Prod!$U$10</f>
        <v>1</v>
      </c>
      <c r="I190" s="58">
        <f>BRACT_Prod!$S$13</f>
        <v>0</v>
      </c>
      <c r="J190" s="21">
        <f>BRACT_Prod!$U$13</f>
        <v>1.2</v>
      </c>
      <c r="K190" s="58">
        <f>BRACT_Prod!$S$14</f>
        <v>0</v>
      </c>
      <c r="L190" s="21">
        <f>BRACT_Prod!$U$14</f>
        <v>0</v>
      </c>
      <c r="M190" s="58">
        <f>BRACT_Prod!$S$15</f>
        <v>0</v>
      </c>
      <c r="N190" s="21">
        <f>BRACT_Prod!$U$15</f>
        <v>0</v>
      </c>
      <c r="O190" s="58">
        <f>BRACT_Prod!$S$16</f>
        <v>0</v>
      </c>
      <c r="P190" s="21">
        <f>BRACT_Prod!$U$16</f>
        <v>0</v>
      </c>
      <c r="Q190" s="58">
        <f>BRACT_Prod!$S$17</f>
        <v>0</v>
      </c>
      <c r="R190" s="21">
        <f>BRACT_Prod!$U$17</f>
        <v>0</v>
      </c>
      <c r="S190" s="58">
        <f>BRACT_Prod!$S$18</f>
        <v>0</v>
      </c>
      <c r="T190" s="21">
        <f>BRACT_Prod!$U$18</f>
        <v>0</v>
      </c>
      <c r="U190" s="58">
        <f>BRACT_Prod!$S$19</f>
        <v>0</v>
      </c>
      <c r="V190" s="21">
        <f>BRACT_Prod!$U$19</f>
        <v>0</v>
      </c>
      <c r="W190" s="58">
        <f>BRACT_Prod!$S$20</f>
        <v>0</v>
      </c>
      <c r="X190" s="21">
        <f>BRACT_Prod!$U$20</f>
        <v>0</v>
      </c>
      <c r="Y190" s="58">
        <f>BRACT_Prod!$S$21</f>
        <v>0</v>
      </c>
      <c r="Z190" s="21">
        <f>BRACT_Prod!$U$21</f>
        <v>0</v>
      </c>
      <c r="AA190" s="58">
        <f>BRACT_Prod!$S$22</f>
        <v>0</v>
      </c>
      <c r="AB190" s="21">
        <f>BRACT_Prod!$U$22</f>
        <v>0</v>
      </c>
      <c r="AC190" s="58">
        <f>BRACT_Prod!$S$23</f>
        <v>0</v>
      </c>
      <c r="AD190" s="21">
        <f>BRACT_Prod!$U$23</f>
        <v>0</v>
      </c>
      <c r="AE190" s="58">
        <f>BRACT_Prod!$S$24</f>
        <v>0</v>
      </c>
      <c r="AF190" s="21">
        <f>BRACT_Prod!$U$24</f>
        <v>0</v>
      </c>
      <c r="AG190" s="58">
        <f>BRACT_Prod!$S$25</f>
        <v>0</v>
      </c>
      <c r="AH190" s="21">
        <f>BRACT_Prod!$U$25</f>
        <v>0</v>
      </c>
      <c r="AI190" s="58">
        <f>BRACT_Prod!$S$26</f>
        <v>0</v>
      </c>
      <c r="AJ190" s="21">
        <f>BRACT_Prod!$U$26</f>
        <v>0</v>
      </c>
      <c r="AK190" s="58">
        <f>BRACT_Prod!$S$27</f>
        <v>0</v>
      </c>
      <c r="AL190" s="21">
        <f>BRACT_Prod!$U$27</f>
        <v>0</v>
      </c>
      <c r="AM190" s="58">
        <f>BRACT_Prod!$S$28</f>
        <v>0</v>
      </c>
      <c r="AN190" s="21">
        <f>BRACT_Prod!$U$28</f>
        <v>0</v>
      </c>
      <c r="AO190" s="58">
        <f>BRACT_Prod!$S$29</f>
        <v>0</v>
      </c>
      <c r="AP190" s="21">
        <f>BRACT_Prod!$U$29</f>
        <v>0</v>
      </c>
      <c r="AQ190" s="58">
        <f>BRACT_Prod!$S$30</f>
        <v>0</v>
      </c>
      <c r="AR190" s="21">
        <f>BRACT_Prod!$U$30</f>
        <v>0</v>
      </c>
      <c r="AS190" s="58">
        <f>BRACT_Prod!$S$31</f>
        <v>0</v>
      </c>
      <c r="AT190" s="21">
        <f>BRACT_Prod!$U$31</f>
        <v>0</v>
      </c>
      <c r="AU190" s="58">
        <f>BRACT_Prod!$S$32</f>
        <v>0</v>
      </c>
      <c r="AV190" s="21">
        <f>BRACT_Prod!$U$32</f>
        <v>0</v>
      </c>
      <c r="AW190" s="58">
        <f>BRACT_Prod!$S$33</f>
        <v>0</v>
      </c>
      <c r="AX190" s="21">
        <f>BRACT_Prod!$U$33</f>
        <v>0</v>
      </c>
      <c r="AY190" s="58">
        <f>BRACT_Prod!$S$34</f>
        <v>0</v>
      </c>
      <c r="AZ190" s="21">
        <f>BRACT_Prod!$U$34</f>
        <v>0</v>
      </c>
      <c r="BA190" s="58">
        <f>BRACT_Prod!$S$35</f>
        <v>0</v>
      </c>
      <c r="BB190" s="21">
        <f>BRACT_Prod!$U$35</f>
        <v>0</v>
      </c>
      <c r="BC190" s="58">
        <f>BRACT_Prod!$S$36</f>
        <v>0</v>
      </c>
      <c r="BD190" s="21">
        <f>BRACT_Prod!$U$36</f>
        <v>0</v>
      </c>
      <c r="BE190" s="58">
        <f>BRACT_Prod!$S$37</f>
        <v>0</v>
      </c>
      <c r="BF190" s="21">
        <f>BRACT_Prod!$U$37</f>
        <v>0</v>
      </c>
      <c r="BG190" s="52" t="s">
        <v>69</v>
      </c>
      <c r="BH190" s="16"/>
    </row>
    <row r="191" spans="1:60">
      <c r="A191" s="20"/>
      <c r="B191" s="11" t="s">
        <v>680</v>
      </c>
      <c r="C191" s="213" t="s">
        <v>977</v>
      </c>
      <c r="D191" s="69" t="s">
        <v>12</v>
      </c>
      <c r="E191" s="2" t="s">
        <v>9</v>
      </c>
      <c r="F191" s="40" t="s">
        <v>304</v>
      </c>
      <c r="G191" s="46">
        <f>BRACT_Prod!$W$9</f>
        <v>1</v>
      </c>
      <c r="H191" s="72">
        <f>BRACT_Prod!$W$10</f>
        <v>2</v>
      </c>
      <c r="I191" s="76">
        <f>BRACT_Prod!$V$13</f>
        <v>1</v>
      </c>
      <c r="J191" s="21">
        <f>BRACT_Prod!$W$13</f>
        <v>0.1</v>
      </c>
      <c r="K191" s="76">
        <f>BRACT_Prod!$V$14</f>
        <v>32</v>
      </c>
      <c r="L191" s="21">
        <f>BRACT_Prod!$W$14</f>
        <v>1</v>
      </c>
      <c r="M191" s="76">
        <f>BRACT_Prod!$V$15</f>
        <v>0</v>
      </c>
      <c r="N191" s="21">
        <f>BRACT_Prod!$W$15</f>
        <v>0</v>
      </c>
      <c r="O191" s="76">
        <f>BRACT_Prod!$V$16</f>
        <v>0</v>
      </c>
      <c r="P191" s="21">
        <f>BRACT_Prod!$W$16</f>
        <v>0</v>
      </c>
      <c r="Q191" s="76">
        <f>BRACT_Prod!$V$17</f>
        <v>0</v>
      </c>
      <c r="R191" s="21">
        <f>BRACT_Prod!$W$17</f>
        <v>0</v>
      </c>
      <c r="S191" s="76">
        <f>BRACT_Prod!$V$18</f>
        <v>0</v>
      </c>
      <c r="T191" s="21">
        <f>BRACT_Prod!$W$18</f>
        <v>0</v>
      </c>
      <c r="U191" s="76">
        <f>BRACT_Prod!$V$19</f>
        <v>0</v>
      </c>
      <c r="V191" s="21">
        <f>BRACT_Prod!$W$19</f>
        <v>0</v>
      </c>
      <c r="W191" s="76">
        <f>BRACT_Prod!$V$20</f>
        <v>0</v>
      </c>
      <c r="X191" s="21">
        <f>BRACT_Prod!$W$20</f>
        <v>0</v>
      </c>
      <c r="Y191" s="76">
        <f>BRACT_Prod!$V$21</f>
        <v>0</v>
      </c>
      <c r="Z191" s="21">
        <f>BRACT_Prod!$W$21</f>
        <v>0</v>
      </c>
      <c r="AA191" s="76">
        <f>BRACT_Prod!$V$22</f>
        <v>0</v>
      </c>
      <c r="AB191" s="21">
        <f>BRACT_Prod!$W$22</f>
        <v>0</v>
      </c>
      <c r="AC191" s="76">
        <f>BRACT_Prod!$V$23</f>
        <v>0</v>
      </c>
      <c r="AD191" s="21">
        <f>BRACT_Prod!$W$23</f>
        <v>0</v>
      </c>
      <c r="AE191" s="76">
        <f>BRACT_Prod!$V$24</f>
        <v>0</v>
      </c>
      <c r="AF191" s="21">
        <f>BRACT_Prod!$W$24</f>
        <v>0</v>
      </c>
      <c r="AG191" s="76">
        <f>BRACT_Prod!$V$25</f>
        <v>0</v>
      </c>
      <c r="AH191" s="21">
        <f>BRACT_Prod!$W$25</f>
        <v>0</v>
      </c>
      <c r="AI191" s="76">
        <f>BRACT_Prod!$V$26</f>
        <v>0</v>
      </c>
      <c r="AJ191" s="21">
        <f>BRACT_Prod!$W$26</f>
        <v>0</v>
      </c>
      <c r="AK191" s="76">
        <f>BRACT_Prod!$V$27</f>
        <v>0</v>
      </c>
      <c r="AL191" s="21">
        <f>BRACT_Prod!$W$27</f>
        <v>0</v>
      </c>
      <c r="AM191" s="76">
        <f>BRACT_Prod!$V$28</f>
        <v>0</v>
      </c>
      <c r="AN191" s="21">
        <f>BRACT_Prod!$W$28</f>
        <v>0</v>
      </c>
      <c r="AO191" s="76">
        <f>BRACT_Prod!$V$29</f>
        <v>0</v>
      </c>
      <c r="AP191" s="21">
        <f>BRACT_Prod!$W$29</f>
        <v>0</v>
      </c>
      <c r="AQ191" s="76">
        <f>BRACT_Prod!$V$30</f>
        <v>0</v>
      </c>
      <c r="AR191" s="21">
        <f>BRACT_Prod!$W$30</f>
        <v>0</v>
      </c>
      <c r="AS191" s="76">
        <f>BRACT_Prod!$V$31</f>
        <v>0</v>
      </c>
      <c r="AT191" s="21">
        <f>BRACT_Prod!$W$31</f>
        <v>0</v>
      </c>
      <c r="AU191" s="76">
        <f>BRACT_Prod!$V$32</f>
        <v>0</v>
      </c>
      <c r="AV191" s="21">
        <f>BRACT_Prod!$W$32</f>
        <v>0</v>
      </c>
      <c r="AW191" s="76">
        <f>BRACT_Prod!$V$33</f>
        <v>0</v>
      </c>
      <c r="AX191" s="21">
        <f>BRACT_Prod!$W$33</f>
        <v>0</v>
      </c>
      <c r="AY191" s="76">
        <f>BRACT_Prod!$V$34</f>
        <v>0</v>
      </c>
      <c r="AZ191" s="21">
        <f>BRACT_Prod!$W$34</f>
        <v>0</v>
      </c>
      <c r="BA191" s="76">
        <f>BRACT_Prod!$V$35</f>
        <v>0</v>
      </c>
      <c r="BB191" s="21">
        <f>BRACT_Prod!$W$35</f>
        <v>0</v>
      </c>
      <c r="BC191" s="76">
        <f>BRACT_Prod!$V$36</f>
        <v>0</v>
      </c>
      <c r="BD191" s="21">
        <f>BRACT_Prod!$W$36</f>
        <v>0</v>
      </c>
      <c r="BE191" s="76">
        <f>BRACT_Prod!$V$37</f>
        <v>0</v>
      </c>
      <c r="BF191" s="21">
        <f>BRACT_Prod!$W$37</f>
        <v>0</v>
      </c>
      <c r="BG191" s="52" t="s">
        <v>69</v>
      </c>
      <c r="BH191" s="16"/>
    </row>
    <row r="192" spans="1:60" s="65" customFormat="1" ht="18.75">
      <c r="A192" s="21" t="s">
        <v>69</v>
      </c>
      <c r="B192" s="61"/>
      <c r="C192" s="62" t="s">
        <v>580</v>
      </c>
      <c r="D192" s="62"/>
      <c r="E192" s="62"/>
      <c r="F192" s="62"/>
      <c r="G192" s="62"/>
      <c r="H192" s="67"/>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52" t="s">
        <v>69</v>
      </c>
      <c r="BH192" s="64"/>
    </row>
    <row r="193" spans="1:60">
      <c r="A193" s="20"/>
      <c r="B193" s="10" t="s">
        <v>225</v>
      </c>
      <c r="C193" s="213" t="s">
        <v>746</v>
      </c>
      <c r="D193" s="7" t="s">
        <v>12</v>
      </c>
      <c r="E193" s="9" t="s">
        <v>0</v>
      </c>
      <c r="F193" s="40" t="s">
        <v>7</v>
      </c>
      <c r="G193" s="46">
        <f>BRACT_Geom!$D$9</f>
        <v>1</v>
      </c>
      <c r="H193" s="72">
        <f>BRACT_Geom!$D$10</f>
        <v>3</v>
      </c>
      <c r="I193" s="56">
        <f>BRACT_Geom!$C$13</f>
        <v>1</v>
      </c>
      <c r="J193" s="21">
        <f>BRACT_Geom!$D$13</f>
        <v>100</v>
      </c>
      <c r="K193" s="56">
        <f>BRACT_Geom!$C$14</f>
        <v>100</v>
      </c>
      <c r="L193" s="21">
        <f>BRACT_Geom!$D$14</f>
        <v>150</v>
      </c>
      <c r="M193" s="56">
        <f>BRACT_Geom!$C$15</f>
        <v>200</v>
      </c>
      <c r="N193" s="21">
        <f>BRACT_Geom!$D$15</f>
        <v>200</v>
      </c>
      <c r="O193" s="56">
        <f>BRACT_Geom!$C$16</f>
        <v>0</v>
      </c>
      <c r="P193" s="21">
        <f>BRACT_Geom!$D$16</f>
        <v>0</v>
      </c>
      <c r="Q193" s="56">
        <f>BRACT_Geom!$C$17</f>
        <v>0</v>
      </c>
      <c r="R193" s="21">
        <f>BRACT_Geom!$D$17</f>
        <v>0</v>
      </c>
      <c r="S193" s="56">
        <f>BRACT_Geom!$C$18</f>
        <v>0</v>
      </c>
      <c r="T193" s="21">
        <f>BRACT_Geom!$D$18</f>
        <v>0</v>
      </c>
      <c r="U193" s="56">
        <f>BRACT_Geom!$C$19</f>
        <v>0</v>
      </c>
      <c r="V193" s="21">
        <f>BRACT_Geom!$D$19</f>
        <v>0</v>
      </c>
      <c r="W193" s="56">
        <f>BRACT_Geom!$C$20</f>
        <v>0</v>
      </c>
      <c r="X193" s="21">
        <f>BRACT_Geom!$D$20</f>
        <v>0</v>
      </c>
      <c r="Y193" s="56">
        <f>BRACT_Geom!$C$21</f>
        <v>0</v>
      </c>
      <c r="Z193" s="21">
        <f>BRACT_Geom!$D$21</f>
        <v>0</v>
      </c>
      <c r="AA193" s="56">
        <f>BRACT_Geom!$C$22</f>
        <v>0</v>
      </c>
      <c r="AB193" s="21">
        <f>BRACT_Geom!$D$22</f>
        <v>0</v>
      </c>
      <c r="AC193" s="56">
        <f>BRACT_Geom!$C$23</f>
        <v>0</v>
      </c>
      <c r="AD193" s="21">
        <f>BRACT_Geom!$D$23</f>
        <v>0</v>
      </c>
      <c r="AE193" s="56">
        <f>BRACT_Geom!$C$24</f>
        <v>0</v>
      </c>
      <c r="AF193" s="21">
        <f>BRACT_Geom!$D$24</f>
        <v>0</v>
      </c>
      <c r="AG193" s="56">
        <f>BRACT_Geom!$C$25</f>
        <v>0</v>
      </c>
      <c r="AH193" s="21">
        <f>BRACT_Geom!$D$25</f>
        <v>0</v>
      </c>
      <c r="AI193" s="56">
        <f>BRACT_Geom!$C$26</f>
        <v>0</v>
      </c>
      <c r="AJ193" s="21">
        <f>BRACT_Geom!$D$26</f>
        <v>0</v>
      </c>
      <c r="AK193" s="56">
        <f>BRACT_Geom!$C$27</f>
        <v>0</v>
      </c>
      <c r="AL193" s="21">
        <f>BRACT_Geom!$D$27</f>
        <v>0</v>
      </c>
      <c r="AM193" s="56">
        <f>BRACT_Geom!$C$28</f>
        <v>0</v>
      </c>
      <c r="AN193" s="21">
        <f>BRACT_Geom!$D$28</f>
        <v>0</v>
      </c>
      <c r="AO193" s="56">
        <f>BRACT_Geom!$C$29</f>
        <v>0</v>
      </c>
      <c r="AP193" s="21">
        <f>BRACT_Geom!$D$29</f>
        <v>0</v>
      </c>
      <c r="AQ193" s="56">
        <f>BRACT_Geom!$C$30</f>
        <v>0</v>
      </c>
      <c r="AR193" s="21">
        <f>BRACT_Geom!$D$30</f>
        <v>0</v>
      </c>
      <c r="AS193" s="56">
        <f>BRACT_Geom!$C$31</f>
        <v>0</v>
      </c>
      <c r="AT193" s="21">
        <f>BRACT_Geom!$D$31</f>
        <v>0</v>
      </c>
      <c r="AU193" s="56">
        <f>BRACT_Geom!$C$32</f>
        <v>0</v>
      </c>
      <c r="AV193" s="21">
        <f>BRACT_Geom!$D$32</f>
        <v>0</v>
      </c>
      <c r="AW193" s="56">
        <f>BRACT_Geom!$C$33</f>
        <v>0</v>
      </c>
      <c r="AX193" s="21">
        <f>BRACT_Geom!$D$33</f>
        <v>0</v>
      </c>
      <c r="AY193" s="56">
        <f>BRACT_Geom!$C$34</f>
        <v>0</v>
      </c>
      <c r="AZ193" s="21">
        <f>BRACT_Geom!$D$34</f>
        <v>0</v>
      </c>
      <c r="BA193" s="56">
        <f>BRACT_Geom!$C$35</f>
        <v>0</v>
      </c>
      <c r="BB193" s="21">
        <f>BRACT_Geom!$D$35</f>
        <v>0</v>
      </c>
      <c r="BC193" s="56">
        <f>BRACT_Geom!$C$36</f>
        <v>0</v>
      </c>
      <c r="BD193" s="21">
        <f>BRACT_Geom!$D$36</f>
        <v>0</v>
      </c>
      <c r="BE193" s="56">
        <f>BRACT_Geom!$C$37</f>
        <v>0</v>
      </c>
      <c r="BF193" s="21">
        <f>BRACT_Geom!$D$37</f>
        <v>0</v>
      </c>
      <c r="BG193" s="52" t="s">
        <v>69</v>
      </c>
      <c r="BH193" s="16"/>
    </row>
    <row r="194" spans="1:60">
      <c r="A194" s="20"/>
      <c r="B194" s="11" t="s">
        <v>226</v>
      </c>
      <c r="C194" s="213" t="s">
        <v>747</v>
      </c>
      <c r="D194" s="7" t="s">
        <v>12</v>
      </c>
      <c r="E194" s="9" t="s">
        <v>0</v>
      </c>
      <c r="F194" s="40" t="s">
        <v>7</v>
      </c>
      <c r="G194" s="46">
        <f>BRACT_Geom!$E$9</f>
        <v>1</v>
      </c>
      <c r="H194" s="72">
        <f>BRACT_Geom!$E$10</f>
        <v>3</v>
      </c>
      <c r="I194" s="56">
        <f>BRACT_Geom!$C$13</f>
        <v>1</v>
      </c>
      <c r="J194" s="21">
        <f>BRACT_Geom!$E$13</f>
        <v>10</v>
      </c>
      <c r="K194" s="56">
        <f>BRACT_Geom!$C$14</f>
        <v>100</v>
      </c>
      <c r="L194" s="21">
        <f>BRACT_Geom!$E$14</f>
        <v>15</v>
      </c>
      <c r="M194" s="56">
        <f>BRACT_Geom!$C$15</f>
        <v>200</v>
      </c>
      <c r="N194" s="21">
        <f>BRACT_Geom!$E$15</f>
        <v>20</v>
      </c>
      <c r="O194" s="56">
        <f>BRACT_Geom!$C$16</f>
        <v>0</v>
      </c>
      <c r="P194" s="21">
        <f>BRACT_Geom!$E$16</f>
        <v>0</v>
      </c>
      <c r="Q194" s="56">
        <f>BRACT_Geom!$C$17</f>
        <v>0</v>
      </c>
      <c r="R194" s="21">
        <f>BRACT_Geom!$E$17</f>
        <v>0</v>
      </c>
      <c r="S194" s="56">
        <f>BRACT_Geom!$C$18</f>
        <v>0</v>
      </c>
      <c r="T194" s="21">
        <f>BRACT_Geom!$E$18</f>
        <v>0</v>
      </c>
      <c r="U194" s="56">
        <f>BRACT_Geom!$C$19</f>
        <v>0</v>
      </c>
      <c r="V194" s="21">
        <f>BRACT_Geom!$E$19</f>
        <v>0</v>
      </c>
      <c r="W194" s="56">
        <f>BRACT_Geom!$C$20</f>
        <v>0</v>
      </c>
      <c r="X194" s="21">
        <f>BRACT_Geom!$E$20</f>
        <v>0</v>
      </c>
      <c r="Y194" s="56">
        <f>BRACT_Geom!$C$21</f>
        <v>0</v>
      </c>
      <c r="Z194" s="21">
        <f>BRACT_Geom!$E$21</f>
        <v>0</v>
      </c>
      <c r="AA194" s="56">
        <f>BRACT_Geom!$C$22</f>
        <v>0</v>
      </c>
      <c r="AB194" s="21">
        <f>BRACT_Geom!$E$22</f>
        <v>0</v>
      </c>
      <c r="AC194" s="56">
        <f>BRACT_Geom!$C$23</f>
        <v>0</v>
      </c>
      <c r="AD194" s="21">
        <f>BRACT_Geom!$E$23</f>
        <v>0</v>
      </c>
      <c r="AE194" s="56">
        <f>BRACT_Geom!$C$24</f>
        <v>0</v>
      </c>
      <c r="AF194" s="21">
        <f>BRACT_Geom!$E$24</f>
        <v>0</v>
      </c>
      <c r="AG194" s="56">
        <f>BRACT_Geom!$C$25</f>
        <v>0</v>
      </c>
      <c r="AH194" s="21">
        <f>BRACT_Geom!$E$25</f>
        <v>0</v>
      </c>
      <c r="AI194" s="56">
        <f>BRACT_Geom!$C$26</f>
        <v>0</v>
      </c>
      <c r="AJ194" s="21">
        <f>BRACT_Geom!$E$26</f>
        <v>0</v>
      </c>
      <c r="AK194" s="56">
        <f>BRACT_Geom!$C$27</f>
        <v>0</v>
      </c>
      <c r="AL194" s="21">
        <f>BRACT_Geom!$E$27</f>
        <v>0</v>
      </c>
      <c r="AM194" s="56">
        <f>BRACT_Geom!$C$28</f>
        <v>0</v>
      </c>
      <c r="AN194" s="21">
        <f>BRACT_Geom!$E$28</f>
        <v>0</v>
      </c>
      <c r="AO194" s="56">
        <f>BRACT_Geom!$C$29</f>
        <v>0</v>
      </c>
      <c r="AP194" s="21">
        <f>BRACT_Geom!$E$29</f>
        <v>0</v>
      </c>
      <c r="AQ194" s="56">
        <f>BRACT_Geom!$C$30</f>
        <v>0</v>
      </c>
      <c r="AR194" s="21">
        <f>BRACT_Geom!$E$30</f>
        <v>0</v>
      </c>
      <c r="AS194" s="56">
        <f>BRACT_Geom!$C$31</f>
        <v>0</v>
      </c>
      <c r="AT194" s="21">
        <f>BRACT_Geom!$E$31</f>
        <v>0</v>
      </c>
      <c r="AU194" s="56">
        <f>BRACT_Geom!$C$32</f>
        <v>0</v>
      </c>
      <c r="AV194" s="21">
        <f>BRACT_Geom!$E$32</f>
        <v>0</v>
      </c>
      <c r="AW194" s="56">
        <f>BRACT_Geom!$C$33</f>
        <v>0</v>
      </c>
      <c r="AX194" s="21">
        <f>BRACT_Geom!$E$33</f>
        <v>0</v>
      </c>
      <c r="AY194" s="56">
        <f>BRACT_Geom!$C$34</f>
        <v>0</v>
      </c>
      <c r="AZ194" s="21">
        <f>BRACT_Geom!$E$34</f>
        <v>0</v>
      </c>
      <c r="BA194" s="56">
        <f>BRACT_Geom!$C$35</f>
        <v>0</v>
      </c>
      <c r="BB194" s="21">
        <f>BRACT_Geom!$E$35</f>
        <v>0</v>
      </c>
      <c r="BC194" s="56">
        <f>BRACT_Geom!$C$36</f>
        <v>0</v>
      </c>
      <c r="BD194" s="21">
        <f>BRACT_Geom!$E$36</f>
        <v>0</v>
      </c>
      <c r="BE194" s="56">
        <f>BRACT_Geom!$C$37</f>
        <v>0</v>
      </c>
      <c r="BF194" s="21">
        <f>BRACT_Geom!$E$37</f>
        <v>0</v>
      </c>
      <c r="BG194" s="52" t="s">
        <v>69</v>
      </c>
      <c r="BH194" s="16"/>
    </row>
    <row r="195" spans="1:60">
      <c r="A195" s="20"/>
      <c r="B195" s="11" t="s">
        <v>681</v>
      </c>
      <c r="C195" s="213" t="s">
        <v>976</v>
      </c>
      <c r="D195" s="69" t="s">
        <v>12</v>
      </c>
      <c r="E195" s="2" t="s">
        <v>9</v>
      </c>
      <c r="F195" s="40" t="s">
        <v>304</v>
      </c>
      <c r="G195" s="46">
        <f>BRACT_Geom!$G$9</f>
        <v>1</v>
      </c>
      <c r="H195" s="72">
        <f>BRACT_Geom!$G$10</f>
        <v>2</v>
      </c>
      <c r="I195" s="76">
        <f>BRACT_Geom!$F$13</f>
        <v>1</v>
      </c>
      <c r="J195" s="264">
        <f>BRACT_Geom!$G$13</f>
        <v>0.1</v>
      </c>
      <c r="K195" s="76">
        <f>BRACT_Geom!$F$14</f>
        <v>10</v>
      </c>
      <c r="L195" s="264">
        <f>BRACT_Geom!$G$14</f>
        <v>1</v>
      </c>
      <c r="M195" s="76">
        <f>BRACT_Geom!$F$15</f>
        <v>0</v>
      </c>
      <c r="N195" s="264">
        <f>BRACT_Geom!$G$15</f>
        <v>0</v>
      </c>
      <c r="O195" s="76">
        <f>BRACT_Geom!$F$16</f>
        <v>0</v>
      </c>
      <c r="P195" s="264">
        <f>BRACT_Geom!$G$16</f>
        <v>0</v>
      </c>
      <c r="Q195" s="76">
        <f>BRACT_Geom!$F$17</f>
        <v>0</v>
      </c>
      <c r="R195" s="264">
        <f>BRACT_Geom!$G$17</f>
        <v>0</v>
      </c>
      <c r="S195" s="76">
        <f>BRACT_Geom!$F$18</f>
        <v>0</v>
      </c>
      <c r="T195" s="264">
        <f>BRACT_Geom!$G$18</f>
        <v>0</v>
      </c>
      <c r="U195" s="76">
        <f>BRACT_Geom!$F$19</f>
        <v>0</v>
      </c>
      <c r="V195" s="264">
        <f>BRACT_Geom!$G$19</f>
        <v>0</v>
      </c>
      <c r="W195" s="76">
        <f>BRACT_Geom!$F$20</f>
        <v>0</v>
      </c>
      <c r="X195" s="264">
        <f>BRACT_Geom!$G$20</f>
        <v>0</v>
      </c>
      <c r="Y195" s="76">
        <f>BRACT_Geom!$F$21</f>
        <v>0</v>
      </c>
      <c r="Z195" s="264">
        <f>BRACT_Geom!$G$21</f>
        <v>0</v>
      </c>
      <c r="AA195" s="76">
        <f>BRACT_Geom!$F$22</f>
        <v>0</v>
      </c>
      <c r="AB195" s="264">
        <f>BRACT_Geom!$G$22</f>
        <v>0</v>
      </c>
      <c r="AC195" s="76">
        <f>BRACT_Geom!$F$23</f>
        <v>0</v>
      </c>
      <c r="AD195" s="264">
        <f>BRACT_Geom!$G$23</f>
        <v>0</v>
      </c>
      <c r="AE195" s="76">
        <f>BRACT_Geom!$F$24</f>
        <v>0</v>
      </c>
      <c r="AF195" s="264">
        <f>BRACT_Geom!$G$24</f>
        <v>0</v>
      </c>
      <c r="AG195" s="76">
        <f>BRACT_Geom!$F$25</f>
        <v>0</v>
      </c>
      <c r="AH195" s="264">
        <f>BRACT_Geom!$G$25</f>
        <v>0</v>
      </c>
      <c r="AI195" s="76">
        <f>BRACT_Geom!$F$26</f>
        <v>0</v>
      </c>
      <c r="AJ195" s="264">
        <f>BRACT_Geom!$G$26</f>
        <v>0</v>
      </c>
      <c r="AK195" s="76">
        <f>BRACT_Geom!$F$27</f>
        <v>0</v>
      </c>
      <c r="AL195" s="264">
        <f>BRACT_Geom!$G$27</f>
        <v>0</v>
      </c>
      <c r="AM195" s="76">
        <f>BRACT_Geom!$F$28</f>
        <v>0</v>
      </c>
      <c r="AN195" s="264">
        <f>BRACT_Geom!$G$28</f>
        <v>0</v>
      </c>
      <c r="AO195" s="76">
        <f>BRACT_Geom!$F$29</f>
        <v>0</v>
      </c>
      <c r="AP195" s="264">
        <f>BRACT_Geom!$G$29</f>
        <v>0</v>
      </c>
      <c r="AQ195" s="76">
        <f>BRACT_Geom!$F$30</f>
        <v>0</v>
      </c>
      <c r="AR195" s="264">
        <f>BRACT_Geom!$G$30</f>
        <v>0</v>
      </c>
      <c r="AS195" s="76">
        <f>BRACT_Geom!$F$31</f>
        <v>0</v>
      </c>
      <c r="AT195" s="264">
        <f>BRACT_Geom!$G$31</f>
        <v>0</v>
      </c>
      <c r="AU195" s="76">
        <f>BRACT_Geom!$F$32</f>
        <v>0</v>
      </c>
      <c r="AV195" s="264">
        <f>BRACT_Geom!$G$32</f>
        <v>0</v>
      </c>
      <c r="AW195" s="76">
        <f>BRACT_Geom!$F$33</f>
        <v>0</v>
      </c>
      <c r="AX195" s="264">
        <f>BRACT_Geom!$G$33</f>
        <v>0</v>
      </c>
      <c r="AY195" s="76">
        <f>BRACT_Geom!$F$34</f>
        <v>0</v>
      </c>
      <c r="AZ195" s="264">
        <f>BRACT_Geom!$G$34</f>
        <v>0</v>
      </c>
      <c r="BA195" s="76">
        <f>BRACT_Geom!$F$35</f>
        <v>0</v>
      </c>
      <c r="BB195" s="264">
        <f>BRACT_Geom!$G$35</f>
        <v>0</v>
      </c>
      <c r="BC195" s="76">
        <f>BRACT_Geom!$F$36</f>
        <v>0</v>
      </c>
      <c r="BD195" s="264">
        <f>BRACT_Geom!$G$36</f>
        <v>0</v>
      </c>
      <c r="BE195" s="76">
        <f>BRACT_Geom!$F$37</f>
        <v>0</v>
      </c>
      <c r="BF195" s="264">
        <f>BRACT_Geom!$G$37</f>
        <v>0</v>
      </c>
      <c r="BG195" s="52" t="s">
        <v>69</v>
      </c>
      <c r="BH195" s="16"/>
    </row>
    <row r="196" spans="1:60">
      <c r="A196" s="20"/>
      <c r="B196" s="11" t="s">
        <v>227</v>
      </c>
      <c r="C196" s="2" t="s">
        <v>748</v>
      </c>
      <c r="D196" s="7" t="s">
        <v>12</v>
      </c>
      <c r="E196" s="9" t="s">
        <v>0</v>
      </c>
      <c r="F196" s="40" t="s">
        <v>7</v>
      </c>
      <c r="G196" s="46">
        <f>BRACT_Geom!$J$9</f>
        <v>1</v>
      </c>
      <c r="H196" s="72">
        <f>BRACT_Geom!$J$10</f>
        <v>3</v>
      </c>
      <c r="I196" s="56">
        <f>BRACT_Geom!$I$13</f>
        <v>1</v>
      </c>
      <c r="J196" s="21">
        <f>BRACT_Geom!$J$13</f>
        <v>3</v>
      </c>
      <c r="K196" s="56">
        <f>BRACT_Geom!$I$14</f>
        <v>100</v>
      </c>
      <c r="L196" s="21">
        <f>BRACT_Geom!$J$14</f>
        <v>5</v>
      </c>
      <c r="M196" s="56">
        <f>BRACT_Geom!$I$15</f>
        <v>200</v>
      </c>
      <c r="N196" s="21">
        <f>BRACT_Geom!$J$15</f>
        <v>7</v>
      </c>
      <c r="O196" s="56">
        <f>BRACT_Geom!$I$16</f>
        <v>0</v>
      </c>
      <c r="P196" s="21">
        <f>BRACT_Geom!$J$16</f>
        <v>0</v>
      </c>
      <c r="Q196" s="56">
        <f>BRACT_Geom!$I$17</f>
        <v>0</v>
      </c>
      <c r="R196" s="21">
        <f>BRACT_Geom!$J$17</f>
        <v>0</v>
      </c>
      <c r="S196" s="56">
        <f>BRACT_Geom!$I$18</f>
        <v>0</v>
      </c>
      <c r="T196" s="21">
        <f>BRACT_Geom!$J$18</f>
        <v>0</v>
      </c>
      <c r="U196" s="56">
        <f>BRACT_Geom!$I$19</f>
        <v>0</v>
      </c>
      <c r="V196" s="21">
        <f>BRACT_Geom!$J$19</f>
        <v>0</v>
      </c>
      <c r="W196" s="56">
        <f>BRACT_Geom!$I$20</f>
        <v>0</v>
      </c>
      <c r="X196" s="21">
        <f>BRACT_Geom!$J$20</f>
        <v>0</v>
      </c>
      <c r="Y196" s="56">
        <f>BRACT_Geom!$I$21</f>
        <v>0</v>
      </c>
      <c r="Z196" s="21">
        <f>BRACT_Geom!$J$21</f>
        <v>0</v>
      </c>
      <c r="AA196" s="56">
        <f>BRACT_Geom!$I$22</f>
        <v>0</v>
      </c>
      <c r="AB196" s="21">
        <f>BRACT_Geom!$J$22</f>
        <v>0</v>
      </c>
      <c r="AC196" s="56">
        <f>BRACT_Geom!$I$23</f>
        <v>0</v>
      </c>
      <c r="AD196" s="21">
        <f>BRACT_Geom!$J$23</f>
        <v>0</v>
      </c>
      <c r="AE196" s="56">
        <f>BRACT_Geom!$I$24</f>
        <v>0</v>
      </c>
      <c r="AF196" s="21">
        <f>BRACT_Geom!$J$24</f>
        <v>0</v>
      </c>
      <c r="AG196" s="56">
        <f>BRACT_Geom!$I$25</f>
        <v>0</v>
      </c>
      <c r="AH196" s="21">
        <f>BRACT_Geom!$J$25</f>
        <v>0</v>
      </c>
      <c r="AI196" s="56">
        <f>BRACT_Geom!$I$26</f>
        <v>0</v>
      </c>
      <c r="AJ196" s="21">
        <f>BRACT_Geom!$J$26</f>
        <v>0</v>
      </c>
      <c r="AK196" s="56">
        <f>BRACT_Geom!$I$27</f>
        <v>0</v>
      </c>
      <c r="AL196" s="21">
        <f>BRACT_Geom!$J$27</f>
        <v>0</v>
      </c>
      <c r="AM196" s="56">
        <f>BRACT_Geom!$I$28</f>
        <v>0</v>
      </c>
      <c r="AN196" s="21">
        <f>BRACT_Geom!$J$28</f>
        <v>0</v>
      </c>
      <c r="AO196" s="56">
        <f>BRACT_Geom!$I$29</f>
        <v>0</v>
      </c>
      <c r="AP196" s="21">
        <f>BRACT_Geom!$J$29</f>
        <v>0</v>
      </c>
      <c r="AQ196" s="56">
        <f>BRACT_Geom!$I$30</f>
        <v>0</v>
      </c>
      <c r="AR196" s="21">
        <f>BRACT_Geom!$J$30</f>
        <v>0</v>
      </c>
      <c r="AS196" s="56">
        <f>BRACT_Geom!$I$31</f>
        <v>0</v>
      </c>
      <c r="AT196" s="21">
        <f>BRACT_Geom!$J$31</f>
        <v>0</v>
      </c>
      <c r="AU196" s="56">
        <f>BRACT_Geom!$I$32</f>
        <v>0</v>
      </c>
      <c r="AV196" s="21">
        <f>BRACT_Geom!$J$32</f>
        <v>0</v>
      </c>
      <c r="AW196" s="56">
        <f>BRACT_Geom!$I$33</f>
        <v>0</v>
      </c>
      <c r="AX196" s="21">
        <f>BRACT_Geom!$J$33</f>
        <v>0</v>
      </c>
      <c r="AY196" s="56">
        <f>BRACT_Geom!$I$34</f>
        <v>0</v>
      </c>
      <c r="AZ196" s="21">
        <f>BRACT_Geom!$J$34</f>
        <v>0</v>
      </c>
      <c r="BA196" s="56">
        <f>BRACT_Geom!$I$35</f>
        <v>0</v>
      </c>
      <c r="BB196" s="21">
        <f>BRACT_Geom!$J$35</f>
        <v>0</v>
      </c>
      <c r="BC196" s="56">
        <f>BRACT_Geom!$I$36</f>
        <v>0</v>
      </c>
      <c r="BD196" s="21">
        <f>BRACT_Geom!$J$36</f>
        <v>0</v>
      </c>
      <c r="BE196" s="56">
        <f>BRACT_Geom!$I$37</f>
        <v>0</v>
      </c>
      <c r="BF196" s="21">
        <f>BRACT_Geom!$J$37</f>
        <v>0</v>
      </c>
      <c r="BG196" s="52" t="s">
        <v>69</v>
      </c>
      <c r="BH196" s="16"/>
    </row>
    <row r="197" spans="1:60">
      <c r="A197" s="20"/>
      <c r="B197" s="11" t="s">
        <v>228</v>
      </c>
      <c r="C197" s="2" t="s">
        <v>229</v>
      </c>
      <c r="D197" s="7" t="s">
        <v>12</v>
      </c>
      <c r="E197" s="9" t="s">
        <v>0</v>
      </c>
      <c r="F197" s="40" t="s">
        <v>7</v>
      </c>
      <c r="G197" s="46">
        <f>BRACT_Geom!$K$9</f>
        <v>1</v>
      </c>
      <c r="H197" s="72">
        <f>BRACT_Geom!$K$10</f>
        <v>3</v>
      </c>
      <c r="I197" s="56">
        <f>BRACT_Geom!$I$13</f>
        <v>1</v>
      </c>
      <c r="J197" s="21">
        <f>BRACT_Geom!$K$13</f>
        <v>0.3</v>
      </c>
      <c r="K197" s="56">
        <f>BRACT_Geom!$I$14</f>
        <v>100</v>
      </c>
      <c r="L197" s="21">
        <f>BRACT_Geom!$K$14</f>
        <v>0.5</v>
      </c>
      <c r="M197" s="56">
        <f>BRACT_Geom!$I$15</f>
        <v>200</v>
      </c>
      <c r="N197" s="21">
        <f>BRACT_Geom!$K$15</f>
        <v>0.7</v>
      </c>
      <c r="O197" s="56">
        <f>BRACT_Geom!$I$16</f>
        <v>0</v>
      </c>
      <c r="P197" s="21">
        <f>BRACT_Geom!$K$16</f>
        <v>0</v>
      </c>
      <c r="Q197" s="56">
        <f>BRACT_Geom!$I$17</f>
        <v>0</v>
      </c>
      <c r="R197" s="21">
        <f>BRACT_Geom!$K$17</f>
        <v>0</v>
      </c>
      <c r="S197" s="56">
        <f>BRACT_Geom!$I$18</f>
        <v>0</v>
      </c>
      <c r="T197" s="21">
        <f>BRACT_Geom!$K$18</f>
        <v>0</v>
      </c>
      <c r="U197" s="56">
        <f>BRACT_Geom!$I$19</f>
        <v>0</v>
      </c>
      <c r="V197" s="21">
        <f>BRACT_Geom!$K$19</f>
        <v>0</v>
      </c>
      <c r="W197" s="56">
        <f>BRACT_Geom!$I$20</f>
        <v>0</v>
      </c>
      <c r="X197" s="21">
        <f>BRACT_Geom!$K$20</f>
        <v>0</v>
      </c>
      <c r="Y197" s="56">
        <f>BRACT_Geom!$I$21</f>
        <v>0</v>
      </c>
      <c r="Z197" s="21">
        <f>BRACT_Geom!$K$21</f>
        <v>0</v>
      </c>
      <c r="AA197" s="56">
        <f>BRACT_Geom!$I$22</f>
        <v>0</v>
      </c>
      <c r="AB197" s="21">
        <f>BRACT_Geom!$K$22</f>
        <v>0</v>
      </c>
      <c r="AC197" s="56">
        <f>BRACT_Geom!$I$23</f>
        <v>0</v>
      </c>
      <c r="AD197" s="21">
        <f>BRACT_Geom!$K$23</f>
        <v>0</v>
      </c>
      <c r="AE197" s="56">
        <f>BRACT_Geom!$I$24</f>
        <v>0</v>
      </c>
      <c r="AF197" s="21">
        <f>BRACT_Geom!$K$24</f>
        <v>0</v>
      </c>
      <c r="AG197" s="56">
        <f>BRACT_Geom!$I$25</f>
        <v>0</v>
      </c>
      <c r="AH197" s="21">
        <f>BRACT_Geom!$K$25</f>
        <v>0</v>
      </c>
      <c r="AI197" s="56">
        <f>BRACT_Geom!$I$26</f>
        <v>0</v>
      </c>
      <c r="AJ197" s="21">
        <f>BRACT_Geom!$K$26</f>
        <v>0</v>
      </c>
      <c r="AK197" s="56">
        <f>BRACT_Geom!$I$27</f>
        <v>0</v>
      </c>
      <c r="AL197" s="21">
        <f>BRACT_Geom!$K$27</f>
        <v>0</v>
      </c>
      <c r="AM197" s="56">
        <f>BRACT_Geom!$I$28</f>
        <v>0</v>
      </c>
      <c r="AN197" s="21">
        <f>BRACT_Geom!$K$28</f>
        <v>0</v>
      </c>
      <c r="AO197" s="56">
        <f>BRACT_Geom!$I$29</f>
        <v>0</v>
      </c>
      <c r="AP197" s="21">
        <f>BRACT_Geom!$K$29</f>
        <v>0</v>
      </c>
      <c r="AQ197" s="56">
        <f>BRACT_Geom!$I$30</f>
        <v>0</v>
      </c>
      <c r="AR197" s="21">
        <f>BRACT_Geom!$K$30</f>
        <v>0</v>
      </c>
      <c r="AS197" s="56">
        <f>BRACT_Geom!$I$31</f>
        <v>0</v>
      </c>
      <c r="AT197" s="21">
        <f>BRACT_Geom!$K$31</f>
        <v>0</v>
      </c>
      <c r="AU197" s="56">
        <f>BRACT_Geom!$I$32</f>
        <v>0</v>
      </c>
      <c r="AV197" s="21">
        <f>BRACT_Geom!$K$32</f>
        <v>0</v>
      </c>
      <c r="AW197" s="56">
        <f>BRACT_Geom!$I$33</f>
        <v>0</v>
      </c>
      <c r="AX197" s="21">
        <f>BRACT_Geom!$K$33</f>
        <v>0</v>
      </c>
      <c r="AY197" s="56">
        <f>BRACT_Geom!$I$34</f>
        <v>0</v>
      </c>
      <c r="AZ197" s="21">
        <f>BRACT_Geom!$K$34</f>
        <v>0</v>
      </c>
      <c r="BA197" s="56">
        <f>BRACT_Geom!$I$35</f>
        <v>0</v>
      </c>
      <c r="BB197" s="21">
        <f>BRACT_Geom!$K$35</f>
        <v>0</v>
      </c>
      <c r="BC197" s="56">
        <f>BRACT_Geom!$I$36</f>
        <v>0</v>
      </c>
      <c r="BD197" s="21">
        <f>BRACT_Geom!$K$36</f>
        <v>0</v>
      </c>
      <c r="BE197" s="56">
        <f>BRACT_Geom!$I$37</f>
        <v>0</v>
      </c>
      <c r="BF197" s="21">
        <f>BRACT_Geom!$K$37</f>
        <v>0</v>
      </c>
      <c r="BG197" s="52" t="s">
        <v>69</v>
      </c>
      <c r="BH197" s="16"/>
    </row>
    <row r="198" spans="1:60">
      <c r="A198" s="20"/>
      <c r="B198" s="11" t="s">
        <v>230</v>
      </c>
      <c r="C198" s="2" t="s">
        <v>231</v>
      </c>
      <c r="D198" s="33" t="s">
        <v>12</v>
      </c>
      <c r="E198" s="9" t="s">
        <v>5</v>
      </c>
      <c r="F198" s="40" t="s">
        <v>7</v>
      </c>
      <c r="G198" s="46">
        <f>BRACT_Geom!$M$9</f>
        <v>1</v>
      </c>
      <c r="H198" s="72">
        <f>BRACT_Geom!$M$10</f>
        <v>6</v>
      </c>
      <c r="I198" s="57">
        <f>BRACT_Geom!$L$13</f>
        <v>0</v>
      </c>
      <c r="J198" s="21">
        <f>BRACT_Geom!$M$13</f>
        <v>0.6</v>
      </c>
      <c r="K198" s="57">
        <f>BRACT_Geom!$L$14</f>
        <v>20</v>
      </c>
      <c r="L198" s="21">
        <f>BRACT_Geom!$M$14</f>
        <v>0.8</v>
      </c>
      <c r="M198" s="57">
        <f>BRACT_Geom!$L$15</f>
        <v>40</v>
      </c>
      <c r="N198" s="21">
        <f>BRACT_Geom!$M$15</f>
        <v>1</v>
      </c>
      <c r="O198" s="57">
        <f>BRACT_Geom!$L$16</f>
        <v>60</v>
      </c>
      <c r="P198" s="21">
        <f>BRACT_Geom!$M$16</f>
        <v>0.8</v>
      </c>
      <c r="Q198" s="57">
        <f>BRACT_Geom!$L$17</f>
        <v>80</v>
      </c>
      <c r="R198" s="21">
        <f>BRACT_Geom!$M$17</f>
        <v>0.5</v>
      </c>
      <c r="S198" s="57">
        <f>BRACT_Geom!$L$18</f>
        <v>100</v>
      </c>
      <c r="T198" s="21">
        <f>BRACT_Geom!$M$18</f>
        <v>0.1</v>
      </c>
      <c r="U198" s="57">
        <f>BRACT_Geom!$L$19</f>
        <v>0</v>
      </c>
      <c r="V198" s="21">
        <f>BRACT_Geom!$M$19</f>
        <v>0</v>
      </c>
      <c r="W198" s="57">
        <f>BRACT_Geom!$L$20</f>
        <v>0</v>
      </c>
      <c r="X198" s="21">
        <f>BRACT_Geom!$M$20</f>
        <v>0</v>
      </c>
      <c r="Y198" s="57">
        <f>BRACT_Geom!$L$21</f>
        <v>0</v>
      </c>
      <c r="Z198" s="21">
        <f>BRACT_Geom!$M$21</f>
        <v>0</v>
      </c>
      <c r="AA198" s="57">
        <f>BRACT_Geom!$L$22</f>
        <v>0</v>
      </c>
      <c r="AB198" s="21">
        <f>BRACT_Geom!$M$22</f>
        <v>0</v>
      </c>
      <c r="AC198" s="57">
        <f>BRACT_Geom!$L$23</f>
        <v>0</v>
      </c>
      <c r="AD198" s="21">
        <f>BRACT_Geom!$M$23</f>
        <v>0</v>
      </c>
      <c r="AE198" s="57">
        <f>BRACT_Geom!$L$24</f>
        <v>0</v>
      </c>
      <c r="AF198" s="21">
        <f>BRACT_Geom!$M$24</f>
        <v>0</v>
      </c>
      <c r="AG198" s="57">
        <f>BRACT_Geom!$L$25</f>
        <v>0</v>
      </c>
      <c r="AH198" s="21">
        <f>BRACT_Geom!$M$25</f>
        <v>0</v>
      </c>
      <c r="AI198" s="57">
        <f>BRACT_Geom!$L$26</f>
        <v>0</v>
      </c>
      <c r="AJ198" s="21">
        <f>BRACT_Geom!$M$26</f>
        <v>0</v>
      </c>
      <c r="AK198" s="57">
        <f>BRACT_Geom!$L$27</f>
        <v>0</v>
      </c>
      <c r="AL198" s="21">
        <f>BRACT_Geom!$M$27</f>
        <v>0</v>
      </c>
      <c r="AM198" s="57">
        <f>BRACT_Geom!$L$28</f>
        <v>0</v>
      </c>
      <c r="AN198" s="21">
        <f>BRACT_Geom!$M$28</f>
        <v>0</v>
      </c>
      <c r="AO198" s="57">
        <f>BRACT_Geom!$L$29</f>
        <v>0</v>
      </c>
      <c r="AP198" s="21">
        <f>BRACT_Geom!$M$29</f>
        <v>0</v>
      </c>
      <c r="AQ198" s="57">
        <f>BRACT_Geom!$L$30</f>
        <v>0</v>
      </c>
      <c r="AR198" s="21">
        <f>BRACT_Geom!$M$30</f>
        <v>0</v>
      </c>
      <c r="AS198" s="57">
        <f>BRACT_Geom!$L$31</f>
        <v>0</v>
      </c>
      <c r="AT198" s="21">
        <f>BRACT_Geom!$M$31</f>
        <v>0</v>
      </c>
      <c r="AU198" s="57">
        <f>BRACT_Geom!$L$32</f>
        <v>0</v>
      </c>
      <c r="AV198" s="21">
        <f>BRACT_Geom!$M$32</f>
        <v>0</v>
      </c>
      <c r="AW198" s="57">
        <f>BRACT_Geom!$L$33</f>
        <v>0</v>
      </c>
      <c r="AX198" s="21">
        <f>BRACT_Geom!$M$33</f>
        <v>0</v>
      </c>
      <c r="AY198" s="57">
        <f>BRACT_Geom!$L$34</f>
        <v>0</v>
      </c>
      <c r="AZ198" s="21">
        <f>BRACT_Geom!$M$34</f>
        <v>0</v>
      </c>
      <c r="BA198" s="57">
        <f>BRACT_Geom!$L$35</f>
        <v>0</v>
      </c>
      <c r="BB198" s="21">
        <f>BRACT_Geom!$M$35</f>
        <v>0</v>
      </c>
      <c r="BC198" s="57">
        <f>BRACT_Geom!$L$36</f>
        <v>0</v>
      </c>
      <c r="BD198" s="21">
        <f>BRACT_Geom!$M$36</f>
        <v>0</v>
      </c>
      <c r="BE198" s="57">
        <f>BRACT_Geom!$L$37</f>
        <v>0</v>
      </c>
      <c r="BF198" s="21">
        <f>BRACT_Geom!$M$37</f>
        <v>0</v>
      </c>
      <c r="BG198" s="52" t="s">
        <v>69</v>
      </c>
      <c r="BH198" s="16"/>
    </row>
    <row r="199" spans="1:60">
      <c r="A199" s="20"/>
      <c r="B199" s="11" t="s">
        <v>232</v>
      </c>
      <c r="C199" s="2" t="s">
        <v>233</v>
      </c>
      <c r="D199" s="7" t="s">
        <v>12</v>
      </c>
      <c r="E199" s="9" t="s">
        <v>0</v>
      </c>
      <c r="F199" s="40" t="s">
        <v>7</v>
      </c>
      <c r="G199" s="46">
        <f>BRACT_Geom!$P$9</f>
        <v>1</v>
      </c>
      <c r="H199" s="72">
        <f>BRACT_Geom!$P$10</f>
        <v>3</v>
      </c>
      <c r="I199" s="56">
        <f>BRACT_Geom!$O$13</f>
        <v>1</v>
      </c>
      <c r="J199" s="21">
        <f>BRACT_Geom!$P$13</f>
        <v>1</v>
      </c>
      <c r="K199" s="56">
        <f>BRACT_Geom!$O$14</f>
        <v>100</v>
      </c>
      <c r="L199" s="21">
        <f>BRACT_Geom!$P$14</f>
        <v>1.5</v>
      </c>
      <c r="M199" s="56">
        <f>BRACT_Geom!$O$15</f>
        <v>200</v>
      </c>
      <c r="N199" s="21">
        <f>BRACT_Geom!$P$15</f>
        <v>2</v>
      </c>
      <c r="O199" s="56">
        <f>BRACT_Geom!$O$16</f>
        <v>0</v>
      </c>
      <c r="P199" s="21">
        <f>BRACT_Geom!$P$16</f>
        <v>0</v>
      </c>
      <c r="Q199" s="56">
        <f>BRACT_Geom!$O$17</f>
        <v>0</v>
      </c>
      <c r="R199" s="21">
        <f>BRACT_Geom!$P$17</f>
        <v>0</v>
      </c>
      <c r="S199" s="56">
        <f>BRACT_Geom!$O$18</f>
        <v>0</v>
      </c>
      <c r="T199" s="21">
        <f>BRACT_Geom!$P$18</f>
        <v>0</v>
      </c>
      <c r="U199" s="56">
        <f>BRACT_Geom!$O$19</f>
        <v>0</v>
      </c>
      <c r="V199" s="21">
        <f>BRACT_Geom!$P$19</f>
        <v>0</v>
      </c>
      <c r="W199" s="56">
        <f>BRACT_Geom!$O$20</f>
        <v>0</v>
      </c>
      <c r="X199" s="21">
        <f>BRACT_Geom!$P$20</f>
        <v>0</v>
      </c>
      <c r="Y199" s="56">
        <f>BRACT_Geom!$O$21</f>
        <v>0</v>
      </c>
      <c r="Z199" s="21">
        <f>BRACT_Geom!$P$21</f>
        <v>0</v>
      </c>
      <c r="AA199" s="56">
        <f>BRACT_Geom!$O$22</f>
        <v>0</v>
      </c>
      <c r="AB199" s="21">
        <f>BRACT_Geom!$P$22</f>
        <v>0</v>
      </c>
      <c r="AC199" s="56">
        <f>BRACT_Geom!$O$23</f>
        <v>0</v>
      </c>
      <c r="AD199" s="21">
        <f>BRACT_Geom!$P$23</f>
        <v>0</v>
      </c>
      <c r="AE199" s="56">
        <f>BRACT_Geom!$O$24</f>
        <v>0</v>
      </c>
      <c r="AF199" s="21">
        <f>BRACT_Geom!$P$24</f>
        <v>0</v>
      </c>
      <c r="AG199" s="56">
        <f>BRACT_Geom!$O$25</f>
        <v>0</v>
      </c>
      <c r="AH199" s="21">
        <f>BRACT_Geom!$P$25</f>
        <v>0</v>
      </c>
      <c r="AI199" s="56">
        <f>BRACT_Geom!$O$26</f>
        <v>0</v>
      </c>
      <c r="AJ199" s="21">
        <f>BRACT_Geom!$P$26</f>
        <v>0</v>
      </c>
      <c r="AK199" s="56">
        <f>BRACT_Geom!$O$27</f>
        <v>0</v>
      </c>
      <c r="AL199" s="21">
        <f>BRACT_Geom!$P$27</f>
        <v>0</v>
      </c>
      <c r="AM199" s="56">
        <f>BRACT_Geom!$O$28</f>
        <v>0</v>
      </c>
      <c r="AN199" s="21">
        <f>BRACT_Geom!$P$28</f>
        <v>0</v>
      </c>
      <c r="AO199" s="56">
        <f>BRACT_Geom!$O$29</f>
        <v>0</v>
      </c>
      <c r="AP199" s="21">
        <f>BRACT_Geom!$P$29</f>
        <v>0</v>
      </c>
      <c r="AQ199" s="56">
        <f>BRACT_Geom!$O$30</f>
        <v>0</v>
      </c>
      <c r="AR199" s="21">
        <f>BRACT_Geom!$P$30</f>
        <v>0</v>
      </c>
      <c r="AS199" s="56">
        <f>BRACT_Geom!$O$31</f>
        <v>0</v>
      </c>
      <c r="AT199" s="21">
        <f>BRACT_Geom!$P$31</f>
        <v>0</v>
      </c>
      <c r="AU199" s="56">
        <f>BRACT_Geom!$O$32</f>
        <v>0</v>
      </c>
      <c r="AV199" s="21">
        <f>BRACT_Geom!$P$32</f>
        <v>0</v>
      </c>
      <c r="AW199" s="56">
        <f>BRACT_Geom!$O$33</f>
        <v>0</v>
      </c>
      <c r="AX199" s="21">
        <f>BRACT_Geom!$P$33</f>
        <v>0</v>
      </c>
      <c r="AY199" s="56">
        <f>BRACT_Geom!$O$34</f>
        <v>0</v>
      </c>
      <c r="AZ199" s="21">
        <f>BRACT_Geom!$P$34</f>
        <v>0</v>
      </c>
      <c r="BA199" s="56">
        <f>BRACT_Geom!$O$35</f>
        <v>0</v>
      </c>
      <c r="BB199" s="21">
        <f>BRACT_Geom!$P$35</f>
        <v>0</v>
      </c>
      <c r="BC199" s="56">
        <f>BRACT_Geom!$O$36</f>
        <v>0</v>
      </c>
      <c r="BD199" s="21">
        <f>BRACT_Geom!$P$36</f>
        <v>0</v>
      </c>
      <c r="BE199" s="56">
        <f>BRACT_Geom!$O$37</f>
        <v>0</v>
      </c>
      <c r="BF199" s="21">
        <f>BRACT_Geom!$P$37</f>
        <v>0</v>
      </c>
      <c r="BG199" s="52" t="s">
        <v>69</v>
      </c>
      <c r="BH199" s="16"/>
    </row>
    <row r="200" spans="1:60">
      <c r="A200" s="20"/>
      <c r="B200" s="11" t="s">
        <v>234</v>
      </c>
      <c r="C200" s="2" t="s">
        <v>235</v>
      </c>
      <c r="D200" s="7" t="s">
        <v>12</v>
      </c>
      <c r="E200" s="9" t="s">
        <v>0</v>
      </c>
      <c r="F200" s="40" t="s">
        <v>7</v>
      </c>
      <c r="G200" s="46">
        <f>BRACT_Geom!$Q$9</f>
        <v>1</v>
      </c>
      <c r="H200" s="72">
        <f>BRACT_Geom!$Q$10</f>
        <v>3</v>
      </c>
      <c r="I200" s="56">
        <f>BRACT_Geom!$O$13</f>
        <v>1</v>
      </c>
      <c r="J200" s="21">
        <f>BRACT_Geom!$Q$13</f>
        <v>0.1</v>
      </c>
      <c r="K200" s="56">
        <f>BRACT_Geom!$O$14</f>
        <v>100</v>
      </c>
      <c r="L200" s="21">
        <f>BRACT_Geom!$Q$14</f>
        <v>0.15</v>
      </c>
      <c r="M200" s="56">
        <f>BRACT_Geom!$O$15</f>
        <v>200</v>
      </c>
      <c r="N200" s="21">
        <f>BRACT_Geom!$Q$15</f>
        <v>0.2</v>
      </c>
      <c r="O200" s="56">
        <f>BRACT_Geom!$O$16</f>
        <v>0</v>
      </c>
      <c r="P200" s="21">
        <f>BRACT_Geom!$Q$16</f>
        <v>0</v>
      </c>
      <c r="Q200" s="56">
        <f>BRACT_Geom!$O$17</f>
        <v>0</v>
      </c>
      <c r="R200" s="21">
        <f>BRACT_Geom!$Q$17</f>
        <v>0</v>
      </c>
      <c r="S200" s="56">
        <f>BRACT_Geom!$O$18</f>
        <v>0</v>
      </c>
      <c r="T200" s="21">
        <f>BRACT_Geom!$Q$18</f>
        <v>0</v>
      </c>
      <c r="U200" s="56">
        <f>BRACT_Geom!$O$19</f>
        <v>0</v>
      </c>
      <c r="V200" s="21">
        <f>BRACT_Geom!$Q$19</f>
        <v>0</v>
      </c>
      <c r="W200" s="56">
        <f>BRACT_Geom!$O$20</f>
        <v>0</v>
      </c>
      <c r="X200" s="21">
        <f>BRACT_Geom!$Q$20</f>
        <v>0</v>
      </c>
      <c r="Y200" s="56">
        <f>BRACT_Geom!$O$21</f>
        <v>0</v>
      </c>
      <c r="Z200" s="21">
        <f>BRACT_Geom!$Q$21</f>
        <v>0</v>
      </c>
      <c r="AA200" s="56">
        <f>BRACT_Geom!$O$22</f>
        <v>0</v>
      </c>
      <c r="AB200" s="21">
        <f>BRACT_Geom!$Q$22</f>
        <v>0</v>
      </c>
      <c r="AC200" s="56">
        <f>BRACT_Geom!$O$23</f>
        <v>0</v>
      </c>
      <c r="AD200" s="21">
        <f>BRACT_Geom!$Q$23</f>
        <v>0</v>
      </c>
      <c r="AE200" s="56">
        <f>BRACT_Geom!$O$24</f>
        <v>0</v>
      </c>
      <c r="AF200" s="21">
        <f>BRACT_Geom!$Q$24</f>
        <v>0</v>
      </c>
      <c r="AG200" s="56">
        <f>BRACT_Geom!$O$25</f>
        <v>0</v>
      </c>
      <c r="AH200" s="21">
        <f>BRACT_Geom!$Q$25</f>
        <v>0</v>
      </c>
      <c r="AI200" s="56">
        <f>BRACT_Geom!$O$26</f>
        <v>0</v>
      </c>
      <c r="AJ200" s="21">
        <f>BRACT_Geom!$Q$26</f>
        <v>0</v>
      </c>
      <c r="AK200" s="56">
        <f>BRACT_Geom!$O$27</f>
        <v>0</v>
      </c>
      <c r="AL200" s="21">
        <f>BRACT_Geom!$Q$27</f>
        <v>0</v>
      </c>
      <c r="AM200" s="56">
        <f>BRACT_Geom!$O$28</f>
        <v>0</v>
      </c>
      <c r="AN200" s="21">
        <f>BRACT_Geom!$Q$28</f>
        <v>0</v>
      </c>
      <c r="AO200" s="56">
        <f>BRACT_Geom!$O$29</f>
        <v>0</v>
      </c>
      <c r="AP200" s="21">
        <f>BRACT_Geom!$Q$29</f>
        <v>0</v>
      </c>
      <c r="AQ200" s="56">
        <f>BRACT_Geom!$O$30</f>
        <v>0</v>
      </c>
      <c r="AR200" s="21">
        <f>BRACT_Geom!$Q$30</f>
        <v>0</v>
      </c>
      <c r="AS200" s="56">
        <f>BRACT_Geom!$O$31</f>
        <v>0</v>
      </c>
      <c r="AT200" s="21">
        <f>BRACT_Geom!$Q$31</f>
        <v>0</v>
      </c>
      <c r="AU200" s="56">
        <f>BRACT_Geom!$O$32</f>
        <v>0</v>
      </c>
      <c r="AV200" s="21">
        <f>BRACT_Geom!$Q$32</f>
        <v>0</v>
      </c>
      <c r="AW200" s="56">
        <f>BRACT_Geom!$O$33</f>
        <v>0</v>
      </c>
      <c r="AX200" s="21">
        <f>BRACT_Geom!$Q$33</f>
        <v>0</v>
      </c>
      <c r="AY200" s="56">
        <f>BRACT_Geom!$O$34</f>
        <v>0</v>
      </c>
      <c r="AZ200" s="21">
        <f>BRACT_Geom!$Q$34</f>
        <v>0</v>
      </c>
      <c r="BA200" s="56">
        <f>BRACT_Geom!$O$35</f>
        <v>0</v>
      </c>
      <c r="BB200" s="21">
        <f>BRACT_Geom!$Q$35</f>
        <v>0</v>
      </c>
      <c r="BC200" s="56">
        <f>BRACT_Geom!$O$36</f>
        <v>0</v>
      </c>
      <c r="BD200" s="21">
        <f>BRACT_Geom!$Q$36</f>
        <v>0</v>
      </c>
      <c r="BE200" s="56">
        <f>BRACT_Geom!$O$37</f>
        <v>0</v>
      </c>
      <c r="BF200" s="21">
        <f>BRACT_Geom!$Q$37</f>
        <v>0</v>
      </c>
      <c r="BG200" s="52" t="s">
        <v>69</v>
      </c>
      <c r="BH200" s="16"/>
    </row>
    <row r="201" spans="1:60">
      <c r="A201" s="20"/>
      <c r="B201" s="11" t="s">
        <v>236</v>
      </c>
      <c r="C201" s="2" t="s">
        <v>237</v>
      </c>
      <c r="D201" s="33" t="s">
        <v>12</v>
      </c>
      <c r="E201" s="9" t="s">
        <v>5</v>
      </c>
      <c r="F201" s="40" t="s">
        <v>7</v>
      </c>
      <c r="G201" s="46">
        <f>BRACT_Geom!$S$9</f>
        <v>1</v>
      </c>
      <c r="H201" s="72">
        <f>BRACT_Geom!$S$10</f>
        <v>6</v>
      </c>
      <c r="I201" s="57">
        <f>BRACT_Geom!$R$13</f>
        <v>0</v>
      </c>
      <c r="J201" s="21">
        <f>BRACT_Geom!$S$13</f>
        <v>0.8</v>
      </c>
      <c r="K201" s="57">
        <f>BRACT_Geom!$R$14</f>
        <v>20</v>
      </c>
      <c r="L201" s="21">
        <f>BRACT_Geom!$S$14</f>
        <v>0.9</v>
      </c>
      <c r="M201" s="57">
        <f>BRACT_Geom!$R$15</f>
        <v>40</v>
      </c>
      <c r="N201" s="21">
        <f>BRACT_Geom!$S$15</f>
        <v>1</v>
      </c>
      <c r="O201" s="57">
        <f>BRACT_Geom!$R$16</f>
        <v>60</v>
      </c>
      <c r="P201" s="21">
        <f>BRACT_Geom!$S$16</f>
        <v>0.8</v>
      </c>
      <c r="Q201" s="57">
        <f>BRACT_Geom!$R$17</f>
        <v>80</v>
      </c>
      <c r="R201" s="21">
        <f>BRACT_Geom!$S$17</f>
        <v>0.6</v>
      </c>
      <c r="S201" s="57">
        <f>BRACT_Geom!$R$18</f>
        <v>100</v>
      </c>
      <c r="T201" s="21">
        <f>BRACT_Geom!$S$18</f>
        <v>0.1</v>
      </c>
      <c r="U201" s="57">
        <f>BRACT_Geom!$R$19</f>
        <v>0</v>
      </c>
      <c r="V201" s="21">
        <f>BRACT_Geom!$S$19</f>
        <v>0</v>
      </c>
      <c r="W201" s="57">
        <f>BRACT_Geom!$R$20</f>
        <v>0</v>
      </c>
      <c r="X201" s="21">
        <f>BRACT_Geom!$S$20</f>
        <v>0</v>
      </c>
      <c r="Y201" s="57">
        <f>BRACT_Geom!$R$21</f>
        <v>0</v>
      </c>
      <c r="Z201" s="21">
        <f>BRACT_Geom!$S$21</f>
        <v>0</v>
      </c>
      <c r="AA201" s="57">
        <f>BRACT_Geom!$R$22</f>
        <v>0</v>
      </c>
      <c r="AB201" s="21">
        <f>BRACT_Geom!$S$22</f>
        <v>0</v>
      </c>
      <c r="AC201" s="57">
        <f>BRACT_Geom!$R$23</f>
        <v>0</v>
      </c>
      <c r="AD201" s="21">
        <f>BRACT_Geom!$S$23</f>
        <v>0</v>
      </c>
      <c r="AE201" s="57">
        <f>BRACT_Geom!$R$24</f>
        <v>0</v>
      </c>
      <c r="AF201" s="21">
        <f>BRACT_Geom!$S$24</f>
        <v>0</v>
      </c>
      <c r="AG201" s="57">
        <f>BRACT_Geom!$R$25</f>
        <v>0</v>
      </c>
      <c r="AH201" s="21">
        <f>BRACT_Geom!$S$25</f>
        <v>0</v>
      </c>
      <c r="AI201" s="57">
        <f>BRACT_Geom!$R$26</f>
        <v>0</v>
      </c>
      <c r="AJ201" s="21">
        <f>BRACT_Geom!$S$26</f>
        <v>0</v>
      </c>
      <c r="AK201" s="57">
        <f>BRACT_Geom!$R$27</f>
        <v>0</v>
      </c>
      <c r="AL201" s="21">
        <f>BRACT_Geom!$S$27</f>
        <v>0</v>
      </c>
      <c r="AM201" s="57">
        <f>BRACT_Geom!$R$28</f>
        <v>0</v>
      </c>
      <c r="AN201" s="21">
        <f>BRACT_Geom!$S$28</f>
        <v>0</v>
      </c>
      <c r="AO201" s="57">
        <f>BRACT_Geom!$R$29</f>
        <v>0</v>
      </c>
      <c r="AP201" s="21">
        <f>BRACT_Geom!$S$29</f>
        <v>0</v>
      </c>
      <c r="AQ201" s="57">
        <f>BRACT_Geom!$R$30</f>
        <v>0</v>
      </c>
      <c r="AR201" s="21">
        <f>BRACT_Geom!$S$30</f>
        <v>0</v>
      </c>
      <c r="AS201" s="57">
        <f>BRACT_Geom!$R$31</f>
        <v>0</v>
      </c>
      <c r="AT201" s="21">
        <f>BRACT_Geom!$S$31</f>
        <v>0</v>
      </c>
      <c r="AU201" s="57">
        <f>BRACT_Geom!$R$32</f>
        <v>0</v>
      </c>
      <c r="AV201" s="21">
        <f>BRACT_Geom!$S$32</f>
        <v>0</v>
      </c>
      <c r="AW201" s="57">
        <f>BRACT_Geom!$R$33</f>
        <v>0</v>
      </c>
      <c r="AX201" s="21">
        <f>BRACT_Geom!$S$33</f>
        <v>0</v>
      </c>
      <c r="AY201" s="57">
        <f>BRACT_Geom!$R$34</f>
        <v>0</v>
      </c>
      <c r="AZ201" s="21">
        <f>BRACT_Geom!$S$34</f>
        <v>0</v>
      </c>
      <c r="BA201" s="57">
        <f>BRACT_Geom!$R$35</f>
        <v>0</v>
      </c>
      <c r="BB201" s="21">
        <f>BRACT_Geom!$S$35</f>
        <v>0</v>
      </c>
      <c r="BC201" s="57">
        <f>BRACT_Geom!$R$36</f>
        <v>0</v>
      </c>
      <c r="BD201" s="21">
        <f>BRACT_Geom!$S$36</f>
        <v>0</v>
      </c>
      <c r="BE201" s="57">
        <f>BRACT_Geom!$R$37</f>
        <v>0</v>
      </c>
      <c r="BF201" s="21">
        <f>BRACT_Geom!$S$37</f>
        <v>0</v>
      </c>
      <c r="BG201" s="52" t="s">
        <v>69</v>
      </c>
      <c r="BH201" s="16"/>
    </row>
    <row r="202" spans="1:60">
      <c r="A202" s="20"/>
      <c r="B202" s="11" t="s">
        <v>238</v>
      </c>
      <c r="C202" s="213" t="s">
        <v>239</v>
      </c>
      <c r="D202" s="33" t="s">
        <v>12</v>
      </c>
      <c r="E202" s="9" t="s">
        <v>3</v>
      </c>
      <c r="F202" s="40" t="s">
        <v>6</v>
      </c>
      <c r="G202" s="46">
        <f>BRACT_Geom!$V$9</f>
        <v>1</v>
      </c>
      <c r="H202" s="72">
        <f>BRACT_Geom!$V$10</f>
        <v>5</v>
      </c>
      <c r="I202" s="57">
        <f>BRACT_Geom!$U$13</f>
        <v>0</v>
      </c>
      <c r="J202" s="21">
        <f>BRACT_Geom!$V$13</f>
        <v>0</v>
      </c>
      <c r="K202" s="57">
        <f>BRACT_Geom!$U$14</f>
        <v>25</v>
      </c>
      <c r="L202" s="21">
        <f>BRACT_Geom!$V$14</f>
        <v>2</v>
      </c>
      <c r="M202" s="57">
        <f>BRACT_Geom!$U$15</f>
        <v>50</v>
      </c>
      <c r="N202" s="21">
        <f>BRACT_Geom!$V$15</f>
        <v>4</v>
      </c>
      <c r="O202" s="57">
        <f>BRACT_Geom!$U$16</f>
        <v>75</v>
      </c>
      <c r="P202" s="21">
        <f>BRACT_Geom!$V$16</f>
        <v>6</v>
      </c>
      <c r="Q202" s="57">
        <f>BRACT_Geom!$U$17</f>
        <v>100</v>
      </c>
      <c r="R202" s="21">
        <f>BRACT_Geom!$V$17</f>
        <v>8</v>
      </c>
      <c r="S202" s="57">
        <f>BRACT_Geom!$U$18</f>
        <v>0</v>
      </c>
      <c r="T202" s="21">
        <f>BRACT_Geom!$V$18</f>
        <v>0</v>
      </c>
      <c r="U202" s="57">
        <f>BRACT_Geom!$U$19</f>
        <v>0</v>
      </c>
      <c r="V202" s="21">
        <f>BRACT_Geom!$V$19</f>
        <v>0</v>
      </c>
      <c r="W202" s="57">
        <f>BRACT_Geom!$U$20</f>
        <v>0</v>
      </c>
      <c r="X202" s="21">
        <f>BRACT_Geom!$V$20</f>
        <v>0</v>
      </c>
      <c r="Y202" s="57">
        <f>BRACT_Geom!$U$21</f>
        <v>0</v>
      </c>
      <c r="Z202" s="21">
        <f>BRACT_Geom!$V$21</f>
        <v>0</v>
      </c>
      <c r="AA202" s="57">
        <f>BRACT_Geom!$U$22</f>
        <v>0</v>
      </c>
      <c r="AB202" s="21">
        <f>BRACT_Geom!$V$22</f>
        <v>0</v>
      </c>
      <c r="AC202" s="57">
        <f>BRACT_Geom!$U$23</f>
        <v>0</v>
      </c>
      <c r="AD202" s="21">
        <f>BRACT_Geom!$V$23</f>
        <v>0</v>
      </c>
      <c r="AE202" s="57">
        <f>BRACT_Geom!$U$24</f>
        <v>0</v>
      </c>
      <c r="AF202" s="21">
        <f>BRACT_Geom!$V$24</f>
        <v>0</v>
      </c>
      <c r="AG202" s="57">
        <f>BRACT_Geom!$U$25</f>
        <v>0</v>
      </c>
      <c r="AH202" s="21">
        <f>BRACT_Geom!$V$25</f>
        <v>0</v>
      </c>
      <c r="AI202" s="57">
        <f>BRACT_Geom!$U$26</f>
        <v>0</v>
      </c>
      <c r="AJ202" s="21">
        <f>BRACT_Geom!$V$26</f>
        <v>0</v>
      </c>
      <c r="AK202" s="57">
        <f>BRACT_Geom!$U$27</f>
        <v>0</v>
      </c>
      <c r="AL202" s="21">
        <f>BRACT_Geom!$V$27</f>
        <v>0</v>
      </c>
      <c r="AM202" s="57">
        <f>BRACT_Geom!$U$28</f>
        <v>0</v>
      </c>
      <c r="AN202" s="21">
        <f>BRACT_Geom!$V$28</f>
        <v>0</v>
      </c>
      <c r="AO202" s="57">
        <f>BRACT_Geom!$U$29</f>
        <v>0</v>
      </c>
      <c r="AP202" s="21">
        <f>BRACT_Geom!$V$29</f>
        <v>0</v>
      </c>
      <c r="AQ202" s="57">
        <f>BRACT_Geom!$U$30</f>
        <v>0</v>
      </c>
      <c r="AR202" s="21">
        <f>BRACT_Geom!$V$30</f>
        <v>0</v>
      </c>
      <c r="AS202" s="57">
        <f>BRACT_Geom!$U$31</f>
        <v>0</v>
      </c>
      <c r="AT202" s="21">
        <f>BRACT_Geom!$V$31</f>
        <v>0</v>
      </c>
      <c r="AU202" s="57">
        <f>BRACT_Geom!$U$32</f>
        <v>0</v>
      </c>
      <c r="AV202" s="21">
        <f>BRACT_Geom!$V$32</f>
        <v>0</v>
      </c>
      <c r="AW202" s="57">
        <f>BRACT_Geom!$U$33</f>
        <v>0</v>
      </c>
      <c r="AX202" s="21">
        <f>BRACT_Geom!$V$33</f>
        <v>0</v>
      </c>
      <c r="AY202" s="57">
        <f>BRACT_Geom!$U$34</f>
        <v>0</v>
      </c>
      <c r="AZ202" s="21">
        <f>BRACT_Geom!$V$34</f>
        <v>0</v>
      </c>
      <c r="BA202" s="57">
        <f>BRACT_Geom!$U$35</f>
        <v>0</v>
      </c>
      <c r="BB202" s="21">
        <f>BRACT_Geom!$V$35</f>
        <v>0</v>
      </c>
      <c r="BC202" s="57">
        <f>BRACT_Geom!$U$36</f>
        <v>0</v>
      </c>
      <c r="BD202" s="21">
        <f>BRACT_Geom!$V$36</f>
        <v>0</v>
      </c>
      <c r="BE202" s="57">
        <f>BRACT_Geom!$U$37</f>
        <v>0</v>
      </c>
      <c r="BF202" s="21">
        <f>BRACT_Geom!$V$37</f>
        <v>0</v>
      </c>
      <c r="BG202" s="52" t="s">
        <v>69</v>
      </c>
      <c r="BH202" s="16"/>
    </row>
    <row r="203" spans="1:60">
      <c r="A203" s="20"/>
      <c r="B203" s="11" t="s">
        <v>240</v>
      </c>
      <c r="C203" s="213" t="s">
        <v>453</v>
      </c>
      <c r="D203" s="33" t="s">
        <v>12</v>
      </c>
      <c r="E203" s="2" t="s">
        <v>3</v>
      </c>
      <c r="F203" s="40" t="s">
        <v>6</v>
      </c>
      <c r="G203" s="46">
        <f>BRACT_Geom!$X$9</f>
        <v>1</v>
      </c>
      <c r="H203" s="72">
        <f>BRACT_Geom!$X$10</f>
        <v>5</v>
      </c>
      <c r="I203" s="57">
        <f>BRACT_Geom!$W$13</f>
        <v>0</v>
      </c>
      <c r="J203" s="21">
        <f>BRACT_Geom!$X$13</f>
        <v>0</v>
      </c>
      <c r="K203" s="57">
        <f>BRACT_Geom!$W$14</f>
        <v>20</v>
      </c>
      <c r="L203" s="21">
        <f>BRACT_Geom!$X$14</f>
        <v>20</v>
      </c>
      <c r="M203" s="57">
        <f>BRACT_Geom!$W$15</f>
        <v>50</v>
      </c>
      <c r="N203" s="21">
        <f>BRACT_Geom!$X$15</f>
        <v>40</v>
      </c>
      <c r="O203" s="57">
        <f>BRACT_Geom!$W$16</f>
        <v>70</v>
      </c>
      <c r="P203" s="21">
        <f>BRACT_Geom!$X$16</f>
        <v>70</v>
      </c>
      <c r="Q203" s="57">
        <f>BRACT_Geom!$W$17</f>
        <v>100</v>
      </c>
      <c r="R203" s="21">
        <f>BRACT_Geom!$X$17</f>
        <v>90</v>
      </c>
      <c r="S203" s="57">
        <f>BRACT_Geom!$W$18</f>
        <v>0</v>
      </c>
      <c r="T203" s="21">
        <f>BRACT_Geom!$X$18</f>
        <v>0</v>
      </c>
      <c r="U203" s="57">
        <f>BRACT_Geom!$W$19</f>
        <v>0</v>
      </c>
      <c r="V203" s="21">
        <f>BRACT_Geom!$X$19</f>
        <v>0</v>
      </c>
      <c r="W203" s="57">
        <f>BRACT_Geom!$W$20</f>
        <v>0</v>
      </c>
      <c r="X203" s="21">
        <f>BRACT_Geom!$X$20</f>
        <v>0</v>
      </c>
      <c r="Y203" s="57">
        <f>BRACT_Geom!$W$21</f>
        <v>0</v>
      </c>
      <c r="Z203" s="21">
        <f>BRACT_Geom!$X$21</f>
        <v>0</v>
      </c>
      <c r="AA203" s="57">
        <f>BRACT_Geom!$W$22</f>
        <v>0</v>
      </c>
      <c r="AB203" s="21">
        <f>BRACT_Geom!$X$22</f>
        <v>0</v>
      </c>
      <c r="AC203" s="57">
        <f>BRACT_Geom!$W$23</f>
        <v>0</v>
      </c>
      <c r="AD203" s="21">
        <f>BRACT_Geom!$X$23</f>
        <v>0</v>
      </c>
      <c r="AE203" s="57">
        <f>BRACT_Geom!$W$24</f>
        <v>0</v>
      </c>
      <c r="AF203" s="21">
        <f>BRACT_Geom!$X$24</f>
        <v>0</v>
      </c>
      <c r="AG203" s="57">
        <f>BRACT_Geom!$W$25</f>
        <v>0</v>
      </c>
      <c r="AH203" s="21">
        <f>BRACT_Geom!$X$25</f>
        <v>0</v>
      </c>
      <c r="AI203" s="57">
        <f>BRACT_Geom!$W$26</f>
        <v>0</v>
      </c>
      <c r="AJ203" s="21">
        <f>BRACT_Geom!$X$26</f>
        <v>0</v>
      </c>
      <c r="AK203" s="57">
        <f>BRACT_Geom!$W$27</f>
        <v>0</v>
      </c>
      <c r="AL203" s="21">
        <f>BRACT_Geom!$X$27</f>
        <v>0</v>
      </c>
      <c r="AM203" s="57">
        <f>BRACT_Geom!$W$28</f>
        <v>0</v>
      </c>
      <c r="AN203" s="21">
        <f>BRACT_Geom!$X$28</f>
        <v>0</v>
      </c>
      <c r="AO203" s="57">
        <f>BRACT_Geom!$W$29</f>
        <v>0</v>
      </c>
      <c r="AP203" s="21">
        <f>BRACT_Geom!$X$29</f>
        <v>0</v>
      </c>
      <c r="AQ203" s="57">
        <f>BRACT_Geom!$W$30</f>
        <v>0</v>
      </c>
      <c r="AR203" s="21">
        <f>BRACT_Geom!$X$30</f>
        <v>0</v>
      </c>
      <c r="AS203" s="57">
        <f>BRACT_Geom!$W$31</f>
        <v>0</v>
      </c>
      <c r="AT203" s="21">
        <f>BRACT_Geom!$X$31</f>
        <v>0</v>
      </c>
      <c r="AU203" s="57">
        <f>BRACT_Geom!$W$32</f>
        <v>0</v>
      </c>
      <c r="AV203" s="21">
        <f>BRACT_Geom!$X$32</f>
        <v>0</v>
      </c>
      <c r="AW203" s="57">
        <f>BRACT_Geom!$W$33</f>
        <v>0</v>
      </c>
      <c r="AX203" s="21">
        <f>BRACT_Geom!$X$33</f>
        <v>0</v>
      </c>
      <c r="AY203" s="57">
        <f>BRACT_Geom!$W$34</f>
        <v>0</v>
      </c>
      <c r="AZ203" s="21">
        <f>BRACT_Geom!$X$34</f>
        <v>0</v>
      </c>
      <c r="BA203" s="57">
        <f>BRACT_Geom!$W$35</f>
        <v>0</v>
      </c>
      <c r="BB203" s="21">
        <f>BRACT_Geom!$X$35</f>
        <v>0</v>
      </c>
      <c r="BC203" s="57">
        <f>BRACT_Geom!$W$36</f>
        <v>0</v>
      </c>
      <c r="BD203" s="21">
        <f>BRACT_Geom!$X$36</f>
        <v>0</v>
      </c>
      <c r="BE203" s="57">
        <f>BRACT_Geom!$W$37</f>
        <v>0</v>
      </c>
      <c r="BF203" s="21">
        <f>BRACT_Geom!$X$37</f>
        <v>0</v>
      </c>
      <c r="BG203" s="52" t="s">
        <v>69</v>
      </c>
      <c r="BH203" s="16"/>
    </row>
    <row r="204" spans="1:60">
      <c r="A204" s="20"/>
      <c r="B204" s="11" t="s">
        <v>241</v>
      </c>
      <c r="C204" s="213" t="s">
        <v>242</v>
      </c>
      <c r="D204" s="33" t="s">
        <v>12</v>
      </c>
      <c r="E204" s="9" t="s">
        <v>3</v>
      </c>
      <c r="F204" s="40" t="s">
        <v>6</v>
      </c>
      <c r="G204" s="46">
        <f>BRACT_Geom!$Y$9</f>
        <v>1</v>
      </c>
      <c r="H204" s="72">
        <f>BRACT_Geom!$Y$10</f>
        <v>5</v>
      </c>
      <c r="I204" s="57">
        <f>BRACT_Geom!$W$13</f>
        <v>0</v>
      </c>
      <c r="J204" s="21">
        <f>BRACT_Geom!$Y$13</f>
        <v>0</v>
      </c>
      <c r="K204" s="57">
        <f>BRACT_Geom!$W$14</f>
        <v>20</v>
      </c>
      <c r="L204" s="21">
        <f>BRACT_Geom!$Y$14</f>
        <v>0.2</v>
      </c>
      <c r="M204" s="57">
        <f>BRACT_Geom!$W$15</f>
        <v>50</v>
      </c>
      <c r="N204" s="21">
        <f>BRACT_Geom!$Y$15</f>
        <v>0.4</v>
      </c>
      <c r="O204" s="57">
        <f>BRACT_Geom!$W$16</f>
        <v>70</v>
      </c>
      <c r="P204" s="21">
        <f>BRACT_Geom!$Y$16</f>
        <v>0.7</v>
      </c>
      <c r="Q204" s="57">
        <f>BRACT_Geom!$W$17</f>
        <v>100</v>
      </c>
      <c r="R204" s="21">
        <f>BRACT_Geom!$Y$17</f>
        <v>0.9</v>
      </c>
      <c r="S204" s="57">
        <f>BRACT_Geom!$W$18</f>
        <v>0</v>
      </c>
      <c r="T204" s="21">
        <f>BRACT_Geom!$Y$18</f>
        <v>0</v>
      </c>
      <c r="U204" s="57">
        <f>BRACT_Geom!$W$19</f>
        <v>0</v>
      </c>
      <c r="V204" s="21">
        <f>BRACT_Geom!$Y$19</f>
        <v>0</v>
      </c>
      <c r="W204" s="57">
        <f>BRACT_Geom!$W$20</f>
        <v>0</v>
      </c>
      <c r="X204" s="21">
        <f>BRACT_Geom!$Y$20</f>
        <v>0</v>
      </c>
      <c r="Y204" s="57">
        <f>BRACT_Geom!$W$21</f>
        <v>0</v>
      </c>
      <c r="Z204" s="21">
        <f>BRACT_Geom!$Y$21</f>
        <v>0</v>
      </c>
      <c r="AA204" s="57">
        <f>BRACT_Geom!$W$22</f>
        <v>0</v>
      </c>
      <c r="AB204" s="21">
        <f>BRACT_Geom!$Y$22</f>
        <v>0</v>
      </c>
      <c r="AC204" s="57">
        <f>BRACT_Geom!$W$23</f>
        <v>0</v>
      </c>
      <c r="AD204" s="21">
        <f>BRACT_Geom!$Y$23</f>
        <v>0</v>
      </c>
      <c r="AE204" s="57">
        <f>BRACT_Geom!$W$24</f>
        <v>0</v>
      </c>
      <c r="AF204" s="21">
        <f>BRACT_Geom!$Y$24</f>
        <v>0</v>
      </c>
      <c r="AG204" s="57">
        <f>BRACT_Geom!$W$25</f>
        <v>0</v>
      </c>
      <c r="AH204" s="21">
        <f>BRACT_Geom!$Y$25</f>
        <v>0</v>
      </c>
      <c r="AI204" s="57">
        <f>BRACT_Geom!$W$26</f>
        <v>0</v>
      </c>
      <c r="AJ204" s="21">
        <f>BRACT_Geom!$Y$26</f>
        <v>0</v>
      </c>
      <c r="AK204" s="57">
        <f>BRACT_Geom!$W$27</f>
        <v>0</v>
      </c>
      <c r="AL204" s="21">
        <f>BRACT_Geom!$Y$27</f>
        <v>0</v>
      </c>
      <c r="AM204" s="57">
        <f>BRACT_Geom!$W$28</f>
        <v>0</v>
      </c>
      <c r="AN204" s="21">
        <f>BRACT_Geom!$Y$28</f>
        <v>0</v>
      </c>
      <c r="AO204" s="57">
        <f>BRACT_Geom!$W$29</f>
        <v>0</v>
      </c>
      <c r="AP204" s="21">
        <f>BRACT_Geom!$Y$29</f>
        <v>0</v>
      </c>
      <c r="AQ204" s="57">
        <f>BRACT_Geom!$W$30</f>
        <v>0</v>
      </c>
      <c r="AR204" s="21">
        <f>BRACT_Geom!$Y$30</f>
        <v>0</v>
      </c>
      <c r="AS204" s="57">
        <f>BRACT_Geom!$W$31</f>
        <v>0</v>
      </c>
      <c r="AT204" s="21">
        <f>BRACT_Geom!$Y$31</f>
        <v>0</v>
      </c>
      <c r="AU204" s="57">
        <f>BRACT_Geom!$W$32</f>
        <v>0</v>
      </c>
      <c r="AV204" s="21">
        <f>BRACT_Geom!$Y$32</f>
        <v>0</v>
      </c>
      <c r="AW204" s="57">
        <f>BRACT_Geom!$W$33</f>
        <v>0</v>
      </c>
      <c r="AX204" s="21">
        <f>BRACT_Geom!$Y$33</f>
        <v>0</v>
      </c>
      <c r="AY204" s="57">
        <f>BRACT_Geom!$W$34</f>
        <v>0</v>
      </c>
      <c r="AZ204" s="21">
        <f>BRACT_Geom!$Y$34</f>
        <v>0</v>
      </c>
      <c r="BA204" s="57">
        <f>BRACT_Geom!$W$35</f>
        <v>0</v>
      </c>
      <c r="BB204" s="21">
        <f>BRACT_Geom!$Y$35</f>
        <v>0</v>
      </c>
      <c r="BC204" s="57">
        <f>BRACT_Geom!$W$36</f>
        <v>0</v>
      </c>
      <c r="BD204" s="21">
        <f>BRACT_Geom!$Y$36</f>
        <v>0</v>
      </c>
      <c r="BE204" s="57">
        <f>BRACT_Geom!$W$37</f>
        <v>0</v>
      </c>
      <c r="BF204" s="21">
        <f>BRACT_Geom!$Y$37</f>
        <v>0</v>
      </c>
      <c r="BG204" s="52" t="s">
        <v>69</v>
      </c>
      <c r="BH204" s="3"/>
    </row>
    <row r="205" spans="1:60">
      <c r="A205" s="20"/>
      <c r="B205" s="11" t="s">
        <v>243</v>
      </c>
      <c r="C205" s="213" t="s">
        <v>244</v>
      </c>
      <c r="D205" s="6" t="s">
        <v>61</v>
      </c>
      <c r="E205" s="2" t="s">
        <v>635</v>
      </c>
      <c r="F205" s="40" t="s">
        <v>7</v>
      </c>
      <c r="G205" s="46">
        <f>BRACT_Geom!$Z$9</f>
        <v>0</v>
      </c>
      <c r="H205" s="72">
        <f>BRACT_Geom!$Z$10</f>
        <v>1</v>
      </c>
      <c r="I205" s="54">
        <f>BRACT_Prod!$A$13</f>
        <v>1</v>
      </c>
      <c r="J205" s="76">
        <f>BRACT_Geom!$Z$13</f>
        <v>32</v>
      </c>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52" t="s">
        <v>69</v>
      </c>
      <c r="BH205" s="3"/>
    </row>
    <row r="206" spans="1:60">
      <c r="A206" s="20"/>
      <c r="B206" s="11" t="s">
        <v>247</v>
      </c>
      <c r="C206" s="213" t="s">
        <v>749</v>
      </c>
      <c r="D206" s="33" t="s">
        <v>12</v>
      </c>
      <c r="E206" s="9" t="s">
        <v>3</v>
      </c>
      <c r="F206" s="40" t="s">
        <v>6</v>
      </c>
      <c r="G206" s="46">
        <f>BRACT_Geom!$AC$9</f>
        <v>1</v>
      </c>
      <c r="H206" s="72">
        <f>BRACT_Geom!$AC$10</f>
        <v>3</v>
      </c>
      <c r="I206" s="57">
        <f>BRACT_Geom!$AB$13</f>
        <v>0</v>
      </c>
      <c r="J206" s="21">
        <f>BRACT_Geom!$AC$13</f>
        <v>0</v>
      </c>
      <c r="K206" s="57">
        <f>BRACT_Geom!$AB$14</f>
        <v>10</v>
      </c>
      <c r="L206" s="21">
        <f>BRACT_Geom!$AC$14</f>
        <v>10</v>
      </c>
      <c r="M206" s="57">
        <f>BRACT_Geom!$AB$15</f>
        <v>100</v>
      </c>
      <c r="N206" s="21">
        <f>BRACT_Geom!$AC$15</f>
        <v>45</v>
      </c>
      <c r="O206" s="57">
        <f>BRACT_Geom!$AB$16</f>
        <v>0</v>
      </c>
      <c r="P206" s="21">
        <f>BRACT_Geom!$AC$16</f>
        <v>0</v>
      </c>
      <c r="Q206" s="57">
        <f>BRACT_Geom!$AB$17</f>
        <v>0</v>
      </c>
      <c r="R206" s="21">
        <f>BRACT_Geom!$AC$17</f>
        <v>0</v>
      </c>
      <c r="S206" s="57">
        <f>BRACT_Geom!$AB$18</f>
        <v>0</v>
      </c>
      <c r="T206" s="21">
        <f>BRACT_Geom!$AC$18</f>
        <v>0</v>
      </c>
      <c r="U206" s="57">
        <f>BRACT_Geom!$AB$19</f>
        <v>0</v>
      </c>
      <c r="V206" s="21">
        <f>BRACT_Geom!$AC$19</f>
        <v>0</v>
      </c>
      <c r="W206" s="57">
        <f>BRACT_Geom!$AB$20</f>
        <v>0</v>
      </c>
      <c r="X206" s="21">
        <f>BRACT_Geom!$AC$20</f>
        <v>0</v>
      </c>
      <c r="Y206" s="57">
        <f>BRACT_Geom!$AB$21</f>
        <v>0</v>
      </c>
      <c r="Z206" s="21">
        <f>BRACT_Geom!$AC$21</f>
        <v>0</v>
      </c>
      <c r="AA206" s="57">
        <f>BRACT_Geom!$AB$22</f>
        <v>0</v>
      </c>
      <c r="AB206" s="21">
        <f>BRACT_Geom!$AC$22</f>
        <v>0</v>
      </c>
      <c r="AC206" s="57">
        <f>BRACT_Geom!$AB$23</f>
        <v>0</v>
      </c>
      <c r="AD206" s="21">
        <f>BRACT_Geom!$AC$23</f>
        <v>0</v>
      </c>
      <c r="AE206" s="57">
        <f>BRACT_Geom!$AB$24</f>
        <v>0</v>
      </c>
      <c r="AF206" s="21">
        <f>BRACT_Geom!$AC$24</f>
        <v>0</v>
      </c>
      <c r="AG206" s="57">
        <f>BRACT_Geom!$AB$25</f>
        <v>0</v>
      </c>
      <c r="AH206" s="21">
        <f>BRACT_Geom!$AC$25</f>
        <v>0</v>
      </c>
      <c r="AI206" s="57">
        <f>BRACT_Geom!$AB$26</f>
        <v>0</v>
      </c>
      <c r="AJ206" s="21">
        <f>BRACT_Geom!$AC$26</f>
        <v>0</v>
      </c>
      <c r="AK206" s="57">
        <f>BRACT_Geom!$AB$27</f>
        <v>0</v>
      </c>
      <c r="AL206" s="21">
        <f>BRACT_Geom!$AC$27</f>
        <v>0</v>
      </c>
      <c r="AM206" s="57">
        <f>BRACT_Geom!$AB$28</f>
        <v>0</v>
      </c>
      <c r="AN206" s="21">
        <f>BRACT_Geom!$AC$28</f>
        <v>0</v>
      </c>
      <c r="AO206" s="57">
        <f>BRACT_Geom!$AB$29</f>
        <v>0</v>
      </c>
      <c r="AP206" s="21">
        <f>BRACT_Geom!$AC$29</f>
        <v>0</v>
      </c>
      <c r="AQ206" s="57">
        <f>BRACT_Geom!$AB$30</f>
        <v>0</v>
      </c>
      <c r="AR206" s="21">
        <f>BRACT_Geom!$AC$30</f>
        <v>0</v>
      </c>
      <c r="AS206" s="57">
        <f>BRACT_Geom!$AB$31</f>
        <v>0</v>
      </c>
      <c r="AT206" s="21">
        <f>BRACT_Geom!$AC$31</f>
        <v>0</v>
      </c>
      <c r="AU206" s="57">
        <f>BRACT_Geom!$AB$32</f>
        <v>0</v>
      </c>
      <c r="AV206" s="21">
        <f>BRACT_Geom!$AC$32</f>
        <v>0</v>
      </c>
      <c r="AW206" s="57">
        <f>BRACT_Geom!$AB$33</f>
        <v>0</v>
      </c>
      <c r="AX206" s="21">
        <f>BRACT_Geom!$AC$33</f>
        <v>0</v>
      </c>
      <c r="AY206" s="57">
        <f>BRACT_Geom!$AB$34</f>
        <v>0</v>
      </c>
      <c r="AZ206" s="21">
        <f>BRACT_Geom!$AC$34</f>
        <v>0</v>
      </c>
      <c r="BA206" s="57">
        <f>BRACT_Geom!$AB$35</f>
        <v>0</v>
      </c>
      <c r="BB206" s="21">
        <f>BRACT_Geom!$AC$35</f>
        <v>0</v>
      </c>
      <c r="BC206" s="57">
        <f>BRACT_Geom!$AB$36</f>
        <v>0</v>
      </c>
      <c r="BD206" s="21">
        <f>BRACT_Geom!$AC$36</f>
        <v>0</v>
      </c>
      <c r="BE206" s="57">
        <f>BRACT_Geom!$AB$37</f>
        <v>0</v>
      </c>
      <c r="BF206" s="21">
        <f>BRACT_Geom!$AC$37</f>
        <v>0</v>
      </c>
      <c r="BG206" s="52" t="s">
        <v>69</v>
      </c>
      <c r="BH206" s="16"/>
    </row>
    <row r="207" spans="1:60">
      <c r="A207" s="20"/>
      <c r="B207" s="11" t="s">
        <v>248</v>
      </c>
      <c r="C207" s="213" t="s">
        <v>750</v>
      </c>
      <c r="D207" s="33" t="s">
        <v>12</v>
      </c>
      <c r="E207" s="9" t="s">
        <v>3</v>
      </c>
      <c r="F207" s="40" t="s">
        <v>6</v>
      </c>
      <c r="G207" s="46">
        <f>BRACT_Geom!$AD$9</f>
        <v>1</v>
      </c>
      <c r="H207" s="72">
        <f>BRACT_Geom!$AD$10</f>
        <v>3</v>
      </c>
      <c r="I207" s="57">
        <f>BRACT_Geom!$AB$13</f>
        <v>0</v>
      </c>
      <c r="J207" s="21">
        <f>BRACT_Geom!$AD$13</f>
        <v>0</v>
      </c>
      <c r="K207" s="57">
        <f>BRACT_Geom!$AB$14</f>
        <v>10</v>
      </c>
      <c r="L207" s="21">
        <f>BRACT_Geom!$AD$14</f>
        <v>1</v>
      </c>
      <c r="M207" s="57">
        <f>BRACT_Geom!$AB$15</f>
        <v>100</v>
      </c>
      <c r="N207" s="21">
        <f>BRACT_Geom!$AD$15</f>
        <v>0.45</v>
      </c>
      <c r="O207" s="57">
        <f>BRACT_Geom!$AB$16</f>
        <v>0</v>
      </c>
      <c r="P207" s="21">
        <f>BRACT_Geom!$AD$16</f>
        <v>0</v>
      </c>
      <c r="Q207" s="57">
        <f>BRACT_Geom!$AB$17</f>
        <v>0</v>
      </c>
      <c r="R207" s="21">
        <f>BRACT_Geom!$AD$17</f>
        <v>0</v>
      </c>
      <c r="S207" s="57">
        <f>BRACT_Geom!$AB$18</f>
        <v>0</v>
      </c>
      <c r="T207" s="21">
        <f>BRACT_Geom!$AD$18</f>
        <v>0</v>
      </c>
      <c r="U207" s="57">
        <f>BRACT_Geom!$AB$19</f>
        <v>0</v>
      </c>
      <c r="V207" s="21">
        <f>BRACT_Geom!$AD$19</f>
        <v>0</v>
      </c>
      <c r="W207" s="57">
        <f>BRACT_Geom!$AB$20</f>
        <v>0</v>
      </c>
      <c r="X207" s="21">
        <f>BRACT_Geom!$AD$20</f>
        <v>0</v>
      </c>
      <c r="Y207" s="57">
        <f>BRACT_Geom!$AB$21</f>
        <v>0</v>
      </c>
      <c r="Z207" s="21">
        <f>BRACT_Geom!$AD$21</f>
        <v>0</v>
      </c>
      <c r="AA207" s="57">
        <f>BRACT_Geom!$AB$22</f>
        <v>0</v>
      </c>
      <c r="AB207" s="21">
        <f>BRACT_Geom!$AD$22</f>
        <v>0</v>
      </c>
      <c r="AC207" s="57">
        <f>BRACT_Geom!$AB$23</f>
        <v>0</v>
      </c>
      <c r="AD207" s="21">
        <f>BRACT_Geom!$AD$23</f>
        <v>0</v>
      </c>
      <c r="AE207" s="57">
        <f>BRACT_Geom!$AB$24</f>
        <v>0</v>
      </c>
      <c r="AF207" s="21">
        <f>BRACT_Geom!$AD$24</f>
        <v>0</v>
      </c>
      <c r="AG207" s="57">
        <f>BRACT_Geom!$AB$25</f>
        <v>0</v>
      </c>
      <c r="AH207" s="21">
        <f>BRACT_Geom!$AD$25</f>
        <v>0</v>
      </c>
      <c r="AI207" s="57">
        <f>BRACT_Geom!$AB$26</f>
        <v>0</v>
      </c>
      <c r="AJ207" s="21">
        <f>BRACT_Geom!$AD$26</f>
        <v>0</v>
      </c>
      <c r="AK207" s="57">
        <f>BRACT_Geom!$AB$27</f>
        <v>0</v>
      </c>
      <c r="AL207" s="21">
        <f>BRACT_Geom!$AD$27</f>
        <v>0</v>
      </c>
      <c r="AM207" s="57">
        <f>BRACT_Geom!$AB$28</f>
        <v>0</v>
      </c>
      <c r="AN207" s="21">
        <f>BRACT_Geom!$AD$28</f>
        <v>0</v>
      </c>
      <c r="AO207" s="57">
        <f>BRACT_Geom!$AB$29</f>
        <v>0</v>
      </c>
      <c r="AP207" s="21">
        <f>BRACT_Geom!$AD$29</f>
        <v>0</v>
      </c>
      <c r="AQ207" s="57">
        <f>BRACT_Geom!$AB$30</f>
        <v>0</v>
      </c>
      <c r="AR207" s="21">
        <f>BRACT_Geom!$AD$30</f>
        <v>0</v>
      </c>
      <c r="AS207" s="57">
        <f>BRACT_Geom!$AB$31</f>
        <v>0</v>
      </c>
      <c r="AT207" s="21">
        <f>BRACT_Geom!$AD$31</f>
        <v>0</v>
      </c>
      <c r="AU207" s="57">
        <f>BRACT_Geom!$AB$32</f>
        <v>0</v>
      </c>
      <c r="AV207" s="21">
        <f>BRACT_Geom!$AD$32</f>
        <v>0</v>
      </c>
      <c r="AW207" s="57">
        <f>BRACT_Geom!$AB$33</f>
        <v>0</v>
      </c>
      <c r="AX207" s="21">
        <f>BRACT_Geom!$AD$33</f>
        <v>0</v>
      </c>
      <c r="AY207" s="57">
        <f>BRACT_Geom!$AB$34</f>
        <v>0</v>
      </c>
      <c r="AZ207" s="21">
        <f>BRACT_Geom!$AD$34</f>
        <v>0</v>
      </c>
      <c r="BA207" s="57">
        <f>BRACT_Geom!$AB$35</f>
        <v>0</v>
      </c>
      <c r="BB207" s="21">
        <f>BRACT_Geom!$AD$35</f>
        <v>0</v>
      </c>
      <c r="BC207" s="57">
        <f>BRACT_Geom!$AB$36</f>
        <v>0</v>
      </c>
      <c r="BD207" s="21">
        <f>BRACT_Geom!$AD$36</f>
        <v>0</v>
      </c>
      <c r="BE207" s="57">
        <f>BRACT_Geom!$AB$37</f>
        <v>0</v>
      </c>
      <c r="BF207" s="21">
        <f>BRACT_Geom!$AD$37</f>
        <v>0</v>
      </c>
      <c r="BG207" s="52" t="s">
        <v>69</v>
      </c>
      <c r="BH207" s="16"/>
    </row>
    <row r="208" spans="1:60">
      <c r="A208" s="20"/>
      <c r="B208" s="11" t="s">
        <v>682</v>
      </c>
      <c r="C208" s="213" t="s">
        <v>974</v>
      </c>
      <c r="D208" s="69" t="s">
        <v>12</v>
      </c>
      <c r="E208" s="2" t="s">
        <v>9</v>
      </c>
      <c r="F208" s="40" t="s">
        <v>304</v>
      </c>
      <c r="G208" s="46">
        <f>BRACT_Geom!$AF$9</f>
        <v>1</v>
      </c>
      <c r="H208" s="72">
        <f>BRACT_Geom!$AF$10</f>
        <v>2</v>
      </c>
      <c r="I208" s="76">
        <f>BRACT_Geom!$AE$13</f>
        <v>1</v>
      </c>
      <c r="J208" s="264">
        <f>BRACT_Geom!$AF$13</f>
        <v>0.1</v>
      </c>
      <c r="K208" s="76">
        <f>BRACT_Geom!$AE$14</f>
        <v>32</v>
      </c>
      <c r="L208" s="264">
        <f>BRACT_Geom!$AF$14</f>
        <v>1</v>
      </c>
      <c r="M208" s="76">
        <f>BRACT_Geom!$AE$15</f>
        <v>0</v>
      </c>
      <c r="N208" s="264">
        <f>BRACT_Geom!$AF$15</f>
        <v>0</v>
      </c>
      <c r="O208" s="76">
        <f>BRACT_Geom!$AE$16</f>
        <v>0</v>
      </c>
      <c r="P208" s="264">
        <f>BRACT_Geom!$AF$16</f>
        <v>0</v>
      </c>
      <c r="Q208" s="76">
        <f>BRACT_Geom!$AE$17</f>
        <v>0</v>
      </c>
      <c r="R208" s="264">
        <f>BRACT_Geom!$AF$17</f>
        <v>0</v>
      </c>
      <c r="S208" s="76">
        <f>BRACT_Geom!$AE$18</f>
        <v>0</v>
      </c>
      <c r="T208" s="264">
        <f>BRACT_Geom!$AF$18</f>
        <v>0</v>
      </c>
      <c r="U208" s="76">
        <f>BRACT_Geom!$AE$19</f>
        <v>0</v>
      </c>
      <c r="V208" s="264">
        <f>BRACT_Geom!$AF$19</f>
        <v>0</v>
      </c>
      <c r="W208" s="76">
        <f>BRACT_Geom!$AE$20</f>
        <v>0</v>
      </c>
      <c r="X208" s="264">
        <f>BRACT_Geom!$AF$20</f>
        <v>0</v>
      </c>
      <c r="Y208" s="76">
        <f>BRACT_Geom!$AE$21</f>
        <v>0</v>
      </c>
      <c r="Z208" s="264">
        <f>BRACT_Geom!$AF$21</f>
        <v>0</v>
      </c>
      <c r="AA208" s="76">
        <f>BRACT_Geom!$AE$22</f>
        <v>0</v>
      </c>
      <c r="AB208" s="264">
        <f>BRACT_Geom!$AF$22</f>
        <v>0</v>
      </c>
      <c r="AC208" s="76">
        <f>BRACT_Geom!$AE$23</f>
        <v>0</v>
      </c>
      <c r="AD208" s="264">
        <f>BRACT_Geom!$AF$23</f>
        <v>0</v>
      </c>
      <c r="AE208" s="76">
        <f>BRACT_Geom!$AE$24</f>
        <v>0</v>
      </c>
      <c r="AF208" s="264">
        <f>BRACT_Geom!$AF$24</f>
        <v>0</v>
      </c>
      <c r="AG208" s="76">
        <f>BRACT_Geom!$AE$25</f>
        <v>0</v>
      </c>
      <c r="AH208" s="264">
        <f>BRACT_Geom!$AF$25</f>
        <v>0</v>
      </c>
      <c r="AI208" s="76">
        <f>BRACT_Geom!$AE$26</f>
        <v>0</v>
      </c>
      <c r="AJ208" s="264">
        <f>BRACT_Geom!$AF$26</f>
        <v>0</v>
      </c>
      <c r="AK208" s="76">
        <f>BRACT_Geom!$AE$27</f>
        <v>0</v>
      </c>
      <c r="AL208" s="264">
        <f>BRACT_Geom!$AF$27</f>
        <v>0</v>
      </c>
      <c r="AM208" s="76">
        <f>BRACT_Geom!$AE$28</f>
        <v>0</v>
      </c>
      <c r="AN208" s="264">
        <f>BRACT_Geom!$AF$28</f>
        <v>0</v>
      </c>
      <c r="AO208" s="76">
        <f>BRACT_Geom!$AE$29</f>
        <v>0</v>
      </c>
      <c r="AP208" s="264">
        <f>BRACT_Geom!$AF$29</f>
        <v>0</v>
      </c>
      <c r="AQ208" s="76">
        <f>BRACT_Geom!$AE$30</f>
        <v>0</v>
      </c>
      <c r="AR208" s="264">
        <f>BRACT_Geom!$AF$30</f>
        <v>0</v>
      </c>
      <c r="AS208" s="76">
        <f>BRACT_Geom!$AE$31</f>
        <v>0</v>
      </c>
      <c r="AT208" s="264">
        <f>BRACT_Geom!$AF$31</f>
        <v>0</v>
      </c>
      <c r="AU208" s="76">
        <f>BRACT_Geom!$AE$32</f>
        <v>0</v>
      </c>
      <c r="AV208" s="264">
        <f>BRACT_Geom!$AF$32</f>
        <v>0</v>
      </c>
      <c r="AW208" s="76">
        <f>BRACT_Geom!$AE$33</f>
        <v>0</v>
      </c>
      <c r="AX208" s="264">
        <f>BRACT_Geom!$AF$33</f>
        <v>0</v>
      </c>
      <c r="AY208" s="76">
        <f>BRACT_Geom!$AE$34</f>
        <v>0</v>
      </c>
      <c r="AZ208" s="264">
        <f>BRACT_Geom!$AF$34</f>
        <v>0</v>
      </c>
      <c r="BA208" s="76">
        <f>BRACT_Geom!$AE$35</f>
        <v>0</v>
      </c>
      <c r="BB208" s="264">
        <f>BRACT_Geom!$AF$35</f>
        <v>0</v>
      </c>
      <c r="BC208" s="76">
        <f>BRACT_Geom!$AE$36</f>
        <v>0</v>
      </c>
      <c r="BD208" s="264">
        <f>BRACT_Geom!$AF$36</f>
        <v>0</v>
      </c>
      <c r="BE208" s="76">
        <f>BRACT_Geom!$AE$37</f>
        <v>0</v>
      </c>
      <c r="BF208" s="264">
        <f>BRACT_Geom!$AF$37</f>
        <v>0</v>
      </c>
      <c r="BG208" s="52" t="s">
        <v>69</v>
      </c>
      <c r="BH208" s="16"/>
    </row>
    <row r="209" spans="1:60">
      <c r="A209" s="20"/>
      <c r="B209" s="11" t="s">
        <v>245</v>
      </c>
      <c r="C209" s="213" t="s">
        <v>751</v>
      </c>
      <c r="D209" s="33" t="s">
        <v>12</v>
      </c>
      <c r="E209" s="9" t="s">
        <v>3</v>
      </c>
      <c r="F209" s="40" t="s">
        <v>6</v>
      </c>
      <c r="G209" s="46">
        <f>BRACT_Geom!$AI$9</f>
        <v>1</v>
      </c>
      <c r="H209" s="72">
        <f>BRACT_Geom!$AI$10</f>
        <v>3</v>
      </c>
      <c r="I209" s="57">
        <f>BRACT_Geom!$AH$13</f>
        <v>0</v>
      </c>
      <c r="J209" s="21">
        <f>BRACT_Geom!$AI$13</f>
        <v>0</v>
      </c>
      <c r="K209" s="57">
        <f>BRACT_Geom!$AH$14</f>
        <v>10</v>
      </c>
      <c r="L209" s="21">
        <f>BRACT_Geom!$AI$14</f>
        <v>20</v>
      </c>
      <c r="M209" s="57">
        <f>BRACT_Geom!$AH$15</f>
        <v>100</v>
      </c>
      <c r="N209" s="21">
        <f>BRACT_Geom!$AI$15</f>
        <v>40</v>
      </c>
      <c r="O209" s="57">
        <f>BRACT_Geom!$AH$16</f>
        <v>0</v>
      </c>
      <c r="P209" s="21">
        <f>BRACT_Geom!$AI$16</f>
        <v>0</v>
      </c>
      <c r="Q209" s="57">
        <f>BRACT_Geom!$AH$17</f>
        <v>0</v>
      </c>
      <c r="R209" s="21">
        <f>BRACT_Geom!$AI$17</f>
        <v>0</v>
      </c>
      <c r="S209" s="57">
        <f>BRACT_Geom!$AH$18</f>
        <v>0</v>
      </c>
      <c r="T209" s="21">
        <f>BRACT_Geom!$AI$18</f>
        <v>0</v>
      </c>
      <c r="U209" s="57">
        <f>BRACT_Geom!$AH$19</f>
        <v>0</v>
      </c>
      <c r="V209" s="21">
        <f>BRACT_Geom!$AI$19</f>
        <v>0</v>
      </c>
      <c r="W209" s="57">
        <f>BRACT_Geom!$AH$20</f>
        <v>0</v>
      </c>
      <c r="X209" s="21">
        <f>BRACT_Geom!$AI$20</f>
        <v>0</v>
      </c>
      <c r="Y209" s="57">
        <f>BRACT_Geom!$AH$21</f>
        <v>0</v>
      </c>
      <c r="Z209" s="21">
        <f>BRACT_Geom!$AI$21</f>
        <v>0</v>
      </c>
      <c r="AA209" s="57">
        <f>BRACT_Geom!$AH$22</f>
        <v>0</v>
      </c>
      <c r="AB209" s="21">
        <f>BRACT_Geom!$AI$22</f>
        <v>0</v>
      </c>
      <c r="AC209" s="57">
        <f>BRACT_Geom!$AH$23</f>
        <v>0</v>
      </c>
      <c r="AD209" s="21">
        <f>BRACT_Geom!$AI$23</f>
        <v>0</v>
      </c>
      <c r="AE209" s="57">
        <f>BRACT_Geom!$AH$24</f>
        <v>0</v>
      </c>
      <c r="AF209" s="21">
        <f>BRACT_Geom!$AI$24</f>
        <v>0</v>
      </c>
      <c r="AG209" s="57">
        <f>BRACT_Geom!$AH$25</f>
        <v>0</v>
      </c>
      <c r="AH209" s="21">
        <f>BRACT_Geom!$AI$25</f>
        <v>0</v>
      </c>
      <c r="AI209" s="57">
        <f>BRACT_Geom!$AH$26</f>
        <v>0</v>
      </c>
      <c r="AJ209" s="21">
        <f>BRACT_Geom!$AI$26</f>
        <v>0</v>
      </c>
      <c r="AK209" s="57">
        <f>BRACT_Geom!$AH$27</f>
        <v>0</v>
      </c>
      <c r="AL209" s="21">
        <f>BRACT_Geom!$AI$27</f>
        <v>0</v>
      </c>
      <c r="AM209" s="57">
        <f>BRACT_Geom!$AH$28</f>
        <v>0</v>
      </c>
      <c r="AN209" s="21">
        <f>BRACT_Geom!$AI$28</f>
        <v>0</v>
      </c>
      <c r="AO209" s="57">
        <f>BRACT_Geom!$AH$29</f>
        <v>0</v>
      </c>
      <c r="AP209" s="21">
        <f>BRACT_Geom!$AI$29</f>
        <v>0</v>
      </c>
      <c r="AQ209" s="57">
        <f>BRACT_Geom!$AH$30</f>
        <v>0</v>
      </c>
      <c r="AR209" s="21">
        <f>BRACT_Geom!$AI$30</f>
        <v>0</v>
      </c>
      <c r="AS209" s="57">
        <f>BRACT_Geom!$AH$31</f>
        <v>0</v>
      </c>
      <c r="AT209" s="21">
        <f>BRACT_Geom!$AI$31</f>
        <v>0</v>
      </c>
      <c r="AU209" s="57">
        <f>BRACT_Geom!$AH$32</f>
        <v>0</v>
      </c>
      <c r="AV209" s="21">
        <f>BRACT_Geom!$AI$32</f>
        <v>0</v>
      </c>
      <c r="AW209" s="57">
        <f>BRACT_Geom!$AH$33</f>
        <v>0</v>
      </c>
      <c r="AX209" s="21">
        <f>BRACT_Geom!$AI$33</f>
        <v>0</v>
      </c>
      <c r="AY209" s="57">
        <f>BRACT_Geom!$AH$34</f>
        <v>0</v>
      </c>
      <c r="AZ209" s="21">
        <f>BRACT_Geom!$AI$34</f>
        <v>0</v>
      </c>
      <c r="BA209" s="57">
        <f>BRACT_Geom!$AH$35</f>
        <v>0</v>
      </c>
      <c r="BB209" s="21">
        <f>BRACT_Geom!$AI$35</f>
        <v>0</v>
      </c>
      <c r="BC209" s="57">
        <f>BRACT_Geom!$AH$36</f>
        <v>0</v>
      </c>
      <c r="BD209" s="21">
        <f>BRACT_Geom!$AI$36</f>
        <v>0</v>
      </c>
      <c r="BE209" s="57">
        <f>BRACT_Geom!$AH$37</f>
        <v>0</v>
      </c>
      <c r="BF209" s="21">
        <f>BRACT_Geom!$AI$37</f>
        <v>0</v>
      </c>
      <c r="BG209" s="52" t="s">
        <v>69</v>
      </c>
      <c r="BH209" s="16"/>
    </row>
    <row r="210" spans="1:60">
      <c r="A210" s="20"/>
      <c r="B210" s="11" t="s">
        <v>246</v>
      </c>
      <c r="C210" s="213" t="s">
        <v>752</v>
      </c>
      <c r="D210" s="33" t="s">
        <v>12</v>
      </c>
      <c r="E210" s="9" t="s">
        <v>3</v>
      </c>
      <c r="F210" s="40" t="s">
        <v>6</v>
      </c>
      <c r="G210" s="46">
        <f>BRACT_Geom!$AJ$9</f>
        <v>1</v>
      </c>
      <c r="H210" s="72">
        <f>BRACT_Geom!$AJ$10</f>
        <v>3</v>
      </c>
      <c r="I210" s="57">
        <f>BRACT_Geom!$AH$13</f>
        <v>0</v>
      </c>
      <c r="J210" s="21">
        <f>BRACT_Geom!$AJ$13</f>
        <v>0</v>
      </c>
      <c r="K210" s="57">
        <f>BRACT_Geom!$AH$14</f>
        <v>10</v>
      </c>
      <c r="L210" s="21">
        <f>BRACT_Geom!$AJ$14</f>
        <v>2</v>
      </c>
      <c r="M210" s="57">
        <f>BRACT_Geom!$AH$15</f>
        <v>100</v>
      </c>
      <c r="N210" s="21">
        <f>BRACT_Geom!$AJ$15</f>
        <v>4</v>
      </c>
      <c r="O210" s="57">
        <f>BRACT_Geom!$AH$16</f>
        <v>0</v>
      </c>
      <c r="P210" s="21">
        <f>BRACT_Geom!$AJ$16</f>
        <v>0</v>
      </c>
      <c r="Q210" s="57">
        <f>BRACT_Geom!$AH$17</f>
        <v>0</v>
      </c>
      <c r="R210" s="21">
        <f>BRACT_Geom!$AJ$17</f>
        <v>0</v>
      </c>
      <c r="S210" s="57">
        <f>BRACT_Geom!$AH$18</f>
        <v>0</v>
      </c>
      <c r="T210" s="21">
        <f>BRACT_Geom!$AJ$18</f>
        <v>0</v>
      </c>
      <c r="U210" s="57">
        <f>BRACT_Geom!$AH$19</f>
        <v>0</v>
      </c>
      <c r="V210" s="21">
        <f>BRACT_Geom!$AJ$19</f>
        <v>0</v>
      </c>
      <c r="W210" s="57">
        <f>BRACT_Geom!$AH$20</f>
        <v>0</v>
      </c>
      <c r="X210" s="21">
        <f>BRACT_Geom!$AJ$20</f>
        <v>0</v>
      </c>
      <c r="Y210" s="57">
        <f>BRACT_Geom!$AH$21</f>
        <v>0</v>
      </c>
      <c r="Z210" s="21">
        <f>BRACT_Geom!$AJ$21</f>
        <v>0</v>
      </c>
      <c r="AA210" s="57">
        <f>BRACT_Geom!$AH$22</f>
        <v>0</v>
      </c>
      <c r="AB210" s="21">
        <f>BRACT_Geom!$AJ$22</f>
        <v>0</v>
      </c>
      <c r="AC210" s="57">
        <f>BRACT_Geom!$AH$23</f>
        <v>0</v>
      </c>
      <c r="AD210" s="21">
        <f>BRACT_Geom!$AJ$23</f>
        <v>0</v>
      </c>
      <c r="AE210" s="57">
        <f>BRACT_Geom!$AH$24</f>
        <v>0</v>
      </c>
      <c r="AF210" s="21">
        <f>BRACT_Geom!$AJ$24</f>
        <v>0</v>
      </c>
      <c r="AG210" s="57">
        <f>BRACT_Geom!$AH$25</f>
        <v>0</v>
      </c>
      <c r="AH210" s="21">
        <f>BRACT_Geom!$AJ$25</f>
        <v>0</v>
      </c>
      <c r="AI210" s="57">
        <f>BRACT_Geom!$AH$26</f>
        <v>0</v>
      </c>
      <c r="AJ210" s="21">
        <f>BRACT_Geom!$AJ$26</f>
        <v>0</v>
      </c>
      <c r="AK210" s="57">
        <f>BRACT_Geom!$AH$27</f>
        <v>0</v>
      </c>
      <c r="AL210" s="21">
        <f>BRACT_Geom!$AJ$27</f>
        <v>0</v>
      </c>
      <c r="AM210" s="57">
        <f>BRACT_Geom!$AH$28</f>
        <v>0</v>
      </c>
      <c r="AN210" s="21">
        <f>BRACT_Geom!$AJ$28</f>
        <v>0</v>
      </c>
      <c r="AO210" s="57">
        <f>BRACT_Geom!$AH$29</f>
        <v>0</v>
      </c>
      <c r="AP210" s="21">
        <f>BRACT_Geom!$AJ$29</f>
        <v>0</v>
      </c>
      <c r="AQ210" s="57">
        <f>BRACT_Geom!$AH$30</f>
        <v>0</v>
      </c>
      <c r="AR210" s="21">
        <f>BRACT_Geom!$AJ$30</f>
        <v>0</v>
      </c>
      <c r="AS210" s="57">
        <f>BRACT_Geom!$AH$31</f>
        <v>0</v>
      </c>
      <c r="AT210" s="21">
        <f>BRACT_Geom!$AJ$31</f>
        <v>0</v>
      </c>
      <c r="AU210" s="57">
        <f>BRACT_Geom!$AH$32</f>
        <v>0</v>
      </c>
      <c r="AV210" s="21">
        <f>BRACT_Geom!$AJ$32</f>
        <v>0</v>
      </c>
      <c r="AW210" s="57">
        <f>BRACT_Geom!$AH$33</f>
        <v>0</v>
      </c>
      <c r="AX210" s="21">
        <f>BRACT_Geom!$AJ$33</f>
        <v>0</v>
      </c>
      <c r="AY210" s="57">
        <f>BRACT_Geom!$AH$34</f>
        <v>0</v>
      </c>
      <c r="AZ210" s="21">
        <f>BRACT_Geom!$AJ$34</f>
        <v>0</v>
      </c>
      <c r="BA210" s="57">
        <f>BRACT_Geom!$AH$35</f>
        <v>0</v>
      </c>
      <c r="BB210" s="21">
        <f>BRACT_Geom!$AJ$35</f>
        <v>0</v>
      </c>
      <c r="BC210" s="57">
        <f>BRACT_Geom!$AH$36</f>
        <v>0</v>
      </c>
      <c r="BD210" s="21">
        <f>BRACT_Geom!$AJ$36</f>
        <v>0</v>
      </c>
      <c r="BE210" s="57">
        <f>BRACT_Geom!$AH$37</f>
        <v>0</v>
      </c>
      <c r="BF210" s="21">
        <f>BRACT_Geom!$AJ$37</f>
        <v>0</v>
      </c>
      <c r="BG210" s="52" t="s">
        <v>69</v>
      </c>
      <c r="BH210" s="16"/>
    </row>
    <row r="211" spans="1:60">
      <c r="A211" s="20"/>
      <c r="B211" s="11" t="s">
        <v>796</v>
      </c>
      <c r="C211" s="213" t="s">
        <v>975</v>
      </c>
      <c r="D211" s="69" t="s">
        <v>12</v>
      </c>
      <c r="E211" s="2" t="s">
        <v>9</v>
      </c>
      <c r="F211" s="40" t="s">
        <v>304</v>
      </c>
      <c r="G211" s="46">
        <f>BRACT_Geom!$AL$9</f>
        <v>1</v>
      </c>
      <c r="H211" s="72">
        <f>BRACT_Geom!$AL$10</f>
        <v>2</v>
      </c>
      <c r="I211" s="76">
        <f>BRACT_Geom!$AK$13</f>
        <v>1</v>
      </c>
      <c r="J211" s="264">
        <f>BRACT_Geom!$AL$13</f>
        <v>0.1</v>
      </c>
      <c r="K211" s="76">
        <f>BRACT_Geom!$AK$14</f>
        <v>32</v>
      </c>
      <c r="L211" s="264">
        <f>BRACT_Geom!$AL$14</f>
        <v>1</v>
      </c>
      <c r="M211" s="76">
        <f>BRACT_Geom!$AK$15</f>
        <v>0</v>
      </c>
      <c r="N211" s="264">
        <f>BRACT_Geom!$AL$15</f>
        <v>0</v>
      </c>
      <c r="O211" s="76">
        <f>BRACT_Geom!$AK$16</f>
        <v>0</v>
      </c>
      <c r="P211" s="264">
        <f>BRACT_Geom!$AL$16</f>
        <v>0</v>
      </c>
      <c r="Q211" s="76">
        <f>BRACT_Geom!$AK$17</f>
        <v>0</v>
      </c>
      <c r="R211" s="264">
        <f>BRACT_Geom!$AL$17</f>
        <v>0</v>
      </c>
      <c r="S211" s="76">
        <f>BRACT_Geom!$AK$18</f>
        <v>0</v>
      </c>
      <c r="T211" s="264">
        <f>BRACT_Geom!$AL$18</f>
        <v>0</v>
      </c>
      <c r="U211" s="76">
        <f>BRACT_Geom!$AK$19</f>
        <v>0</v>
      </c>
      <c r="V211" s="264">
        <f>BRACT_Geom!$AL$19</f>
        <v>0</v>
      </c>
      <c r="W211" s="76">
        <f>BRACT_Geom!$AK$20</f>
        <v>0</v>
      </c>
      <c r="X211" s="264">
        <f>BRACT_Geom!$AL$20</f>
        <v>0</v>
      </c>
      <c r="Y211" s="76">
        <f>BRACT_Geom!$AK$21</f>
        <v>0</v>
      </c>
      <c r="Z211" s="264">
        <f>BRACT_Geom!$AL$21</f>
        <v>0</v>
      </c>
      <c r="AA211" s="76">
        <f>BRACT_Geom!$AK$22</f>
        <v>0</v>
      </c>
      <c r="AB211" s="264">
        <f>BRACT_Geom!$AL$22</f>
        <v>0</v>
      </c>
      <c r="AC211" s="76">
        <f>BRACT_Geom!$AK$23</f>
        <v>0</v>
      </c>
      <c r="AD211" s="264">
        <f>BRACT_Geom!$AL$23</f>
        <v>0</v>
      </c>
      <c r="AE211" s="76">
        <f>BRACT_Geom!$AK$24</f>
        <v>0</v>
      </c>
      <c r="AF211" s="264">
        <f>BRACT_Geom!$AL$24</f>
        <v>0</v>
      </c>
      <c r="AG211" s="76">
        <f>BRACT_Geom!$AK$25</f>
        <v>0</v>
      </c>
      <c r="AH211" s="264">
        <f>BRACT_Geom!$AL$25</f>
        <v>0</v>
      </c>
      <c r="AI211" s="76">
        <f>BRACT_Geom!$AK$26</f>
        <v>0</v>
      </c>
      <c r="AJ211" s="264">
        <f>BRACT_Geom!$AL$26</f>
        <v>0</v>
      </c>
      <c r="AK211" s="76">
        <f>BRACT_Geom!$AK$27</f>
        <v>0</v>
      </c>
      <c r="AL211" s="264">
        <f>BRACT_Geom!$AL$27</f>
        <v>0</v>
      </c>
      <c r="AM211" s="76">
        <f>BRACT_Geom!$AK$28</f>
        <v>0</v>
      </c>
      <c r="AN211" s="264">
        <f>BRACT_Geom!$AL$28</f>
        <v>0</v>
      </c>
      <c r="AO211" s="76">
        <f>BRACT_Geom!$AK$29</f>
        <v>0</v>
      </c>
      <c r="AP211" s="264">
        <f>BRACT_Geom!$AL$29</f>
        <v>0</v>
      </c>
      <c r="AQ211" s="76">
        <f>BRACT_Geom!$AK$30</f>
        <v>0</v>
      </c>
      <c r="AR211" s="264">
        <f>BRACT_Geom!$AL$30</f>
        <v>0</v>
      </c>
      <c r="AS211" s="76">
        <f>BRACT_Geom!$AK$31</f>
        <v>0</v>
      </c>
      <c r="AT211" s="264">
        <f>BRACT_Geom!$AL$31</f>
        <v>0</v>
      </c>
      <c r="AU211" s="76">
        <f>BRACT_Geom!$AK$32</f>
        <v>0</v>
      </c>
      <c r="AV211" s="264">
        <f>BRACT_Geom!$AL$32</f>
        <v>0</v>
      </c>
      <c r="AW211" s="76">
        <f>BRACT_Geom!$AK$33</f>
        <v>0</v>
      </c>
      <c r="AX211" s="264">
        <f>BRACT_Geom!$AL$33</f>
        <v>0</v>
      </c>
      <c r="AY211" s="76">
        <f>BRACT_Geom!$AK$34</f>
        <v>0</v>
      </c>
      <c r="AZ211" s="264">
        <f>BRACT_Geom!$AL$34</f>
        <v>0</v>
      </c>
      <c r="BA211" s="76">
        <f>BRACT_Geom!$AK$35</f>
        <v>0</v>
      </c>
      <c r="BB211" s="264">
        <f>BRACT_Geom!$AL$35</f>
        <v>0</v>
      </c>
      <c r="BC211" s="76">
        <f>BRACT_Geom!$AK$36</f>
        <v>0</v>
      </c>
      <c r="BD211" s="264">
        <f>BRACT_Geom!$AL$36</f>
        <v>0</v>
      </c>
      <c r="BE211" s="76">
        <f>BRACT_Geom!$AK$37</f>
        <v>0</v>
      </c>
      <c r="BF211" s="264">
        <f>BRACT_Geom!$AL$37</f>
        <v>0</v>
      </c>
      <c r="BG211" s="52" t="s">
        <v>69</v>
      </c>
    </row>
    <row r="212" spans="1:60" s="65" customFormat="1" ht="18.75">
      <c r="A212" s="21" t="s">
        <v>69</v>
      </c>
      <c r="B212" s="61"/>
      <c r="C212" s="62" t="s">
        <v>581</v>
      </c>
      <c r="D212" s="62"/>
      <c r="E212" s="62"/>
      <c r="F212" s="62"/>
      <c r="G212" s="61"/>
      <c r="H212" s="67"/>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52" t="s">
        <v>69</v>
      </c>
      <c r="BH212" s="64"/>
    </row>
    <row r="213" spans="1:60">
      <c r="A213" s="20"/>
      <c r="B213" s="11" t="s">
        <v>835</v>
      </c>
      <c r="C213" s="213" t="s">
        <v>964</v>
      </c>
      <c r="D213" s="7" t="s">
        <v>12</v>
      </c>
      <c r="E213" s="9" t="s">
        <v>4</v>
      </c>
      <c r="F213" s="40" t="s">
        <v>11</v>
      </c>
      <c r="G213" s="46">
        <f>SPIKELET_Prod!$D$9</f>
        <v>0</v>
      </c>
      <c r="H213" s="72">
        <f>SPIKELET_Prod!$D$10</f>
        <v>3</v>
      </c>
      <c r="I213" s="56">
        <f>SPIKELET_Prod!$C$13</f>
        <v>1</v>
      </c>
      <c r="J213" s="21">
        <f>SPIKELET_Prod!$D$13</f>
        <v>60</v>
      </c>
      <c r="K213" s="56">
        <f>SPIKELET_Prod!$C$14</f>
        <v>100</v>
      </c>
      <c r="L213" s="21">
        <f>SPIKELET_Prod!$D$14</f>
        <v>70</v>
      </c>
      <c r="M213" s="56">
        <f>SPIKELET_Prod!$C$15</f>
        <v>200</v>
      </c>
      <c r="N213" s="21">
        <f>SPIKELET_Prod!$D$15</f>
        <v>80</v>
      </c>
      <c r="O213" s="56">
        <f>SPIKELET_Prod!$C$16</f>
        <v>0</v>
      </c>
      <c r="P213" s="21">
        <f>SPIKELET_Prod!$D$16</f>
        <v>0</v>
      </c>
      <c r="Q213" s="56">
        <f>SPIKELET_Prod!$C$17</f>
        <v>0</v>
      </c>
      <c r="R213" s="21">
        <f>SPIKELET_Prod!$D$17</f>
        <v>0</v>
      </c>
      <c r="S213" s="56">
        <f>SPIKELET_Prod!$C$18</f>
        <v>0</v>
      </c>
      <c r="T213" s="21">
        <f>SPIKELET_Prod!$D$18</f>
        <v>0</v>
      </c>
      <c r="U213" s="56">
        <f>SPIKELET_Prod!$C$19</f>
        <v>0</v>
      </c>
      <c r="V213" s="21">
        <f>SPIKELET_Prod!$D$19</f>
        <v>0</v>
      </c>
      <c r="W213" s="56">
        <f>SPIKELET_Prod!$C$20</f>
        <v>0</v>
      </c>
      <c r="X213" s="21">
        <f>SPIKELET_Prod!$D$20</f>
        <v>0</v>
      </c>
      <c r="Y213" s="56">
        <f>SPIKELET_Prod!$C$21</f>
        <v>0</v>
      </c>
      <c r="Z213" s="21">
        <f>SPIKELET_Prod!$D$21</f>
        <v>0</v>
      </c>
      <c r="AA213" s="56">
        <f>SPIKELET_Prod!$C$22</f>
        <v>0</v>
      </c>
      <c r="AB213" s="21">
        <f>SPIKELET_Prod!$D$22</f>
        <v>0</v>
      </c>
      <c r="AC213" s="56">
        <f>SPIKELET_Prod!$C$23</f>
        <v>0</v>
      </c>
      <c r="AD213" s="21">
        <f>SPIKELET_Prod!$D$23</f>
        <v>0</v>
      </c>
      <c r="AE213" s="56">
        <f>SPIKELET_Prod!$C$24</f>
        <v>0</v>
      </c>
      <c r="AF213" s="21">
        <f>SPIKELET_Prod!$D$24</f>
        <v>0</v>
      </c>
      <c r="AG213" s="56">
        <f>SPIKELET_Prod!$C$25</f>
        <v>0</v>
      </c>
      <c r="AH213" s="21">
        <f>SPIKELET_Prod!$D$25</f>
        <v>0</v>
      </c>
      <c r="AI213" s="56">
        <f>SPIKELET_Prod!$C$26</f>
        <v>0</v>
      </c>
      <c r="AJ213" s="21">
        <f>SPIKELET_Prod!$D$26</f>
        <v>0</v>
      </c>
      <c r="AK213" s="56">
        <f>SPIKELET_Prod!$C$27</f>
        <v>0</v>
      </c>
      <c r="AL213" s="21">
        <f>SPIKELET_Prod!$D$27</f>
        <v>0</v>
      </c>
      <c r="AM213" s="56">
        <f>SPIKELET_Prod!$C$28</f>
        <v>0</v>
      </c>
      <c r="AN213" s="21">
        <f>SPIKELET_Prod!$D$28</f>
        <v>0</v>
      </c>
      <c r="AO213" s="56">
        <f>SPIKELET_Prod!$C$29</f>
        <v>0</v>
      </c>
      <c r="AP213" s="21">
        <f>SPIKELET_Prod!$D$29</f>
        <v>0</v>
      </c>
      <c r="AQ213" s="56">
        <f>SPIKELET_Prod!$C$30</f>
        <v>0</v>
      </c>
      <c r="AR213" s="21">
        <f>SPIKELET_Prod!$D$30</f>
        <v>0</v>
      </c>
      <c r="AS213" s="56">
        <f>SPIKELET_Prod!$C$31</f>
        <v>0</v>
      </c>
      <c r="AT213" s="21">
        <f>SPIKELET_Prod!$D$31</f>
        <v>0</v>
      </c>
      <c r="AU213" s="56">
        <f>SPIKELET_Prod!$C$32</f>
        <v>0</v>
      </c>
      <c r="AV213" s="21">
        <f>SPIKELET_Prod!$D$32</f>
        <v>0</v>
      </c>
      <c r="AW213" s="56">
        <f>SPIKELET_Prod!$C$33</f>
        <v>0</v>
      </c>
      <c r="AX213" s="21">
        <f>SPIKELET_Prod!$D$33</f>
        <v>0</v>
      </c>
      <c r="AY213" s="56">
        <f>SPIKELET_Prod!$C$34</f>
        <v>0</v>
      </c>
      <c r="AZ213" s="21">
        <f>SPIKELET_Prod!$D$34</f>
        <v>0</v>
      </c>
      <c r="BA213" s="56">
        <f>SPIKELET_Prod!$C$35</f>
        <v>0</v>
      </c>
      <c r="BB213" s="21">
        <f>SPIKELET_Prod!$D$35</f>
        <v>0</v>
      </c>
      <c r="BC213" s="56">
        <f>SPIKELET_Prod!$C$36</f>
        <v>0</v>
      </c>
      <c r="BD213" s="21">
        <f>SPIKELET_Prod!$D$36</f>
        <v>0</v>
      </c>
      <c r="BE213" s="56">
        <f>SPIKELET_Prod!$C$37</f>
        <v>0</v>
      </c>
      <c r="BF213" s="21">
        <f>SPIKELET_Prod!$D$37</f>
        <v>0</v>
      </c>
      <c r="BG213" s="52" t="s">
        <v>69</v>
      </c>
      <c r="BH213" s="16"/>
    </row>
    <row r="214" spans="1:60">
      <c r="A214" s="20"/>
      <c r="B214" s="11" t="s">
        <v>838</v>
      </c>
      <c r="C214" s="213" t="s">
        <v>965</v>
      </c>
      <c r="D214" s="7" t="s">
        <v>12</v>
      </c>
      <c r="E214" s="9" t="s">
        <v>4</v>
      </c>
      <c r="F214" s="40" t="s">
        <v>11</v>
      </c>
      <c r="G214" s="46">
        <f>SPIKELET_Prod!$E$9</f>
        <v>0</v>
      </c>
      <c r="H214" s="72">
        <f>SPIKELET_Prod!$E$10</f>
        <v>3</v>
      </c>
      <c r="I214" s="56">
        <f>SPIKELET_Prod!$C$13</f>
        <v>1</v>
      </c>
      <c r="J214" s="21">
        <f>SPIKELET_Prod!$E$13</f>
        <v>6</v>
      </c>
      <c r="K214" s="56">
        <f>SPIKELET_Prod!$C$14</f>
        <v>100</v>
      </c>
      <c r="L214" s="21">
        <f>SPIKELET_Prod!$E$14</f>
        <v>7</v>
      </c>
      <c r="M214" s="56">
        <f>SPIKELET_Prod!$C$15</f>
        <v>200</v>
      </c>
      <c r="N214" s="21">
        <f>SPIKELET_Prod!$E$15</f>
        <v>8</v>
      </c>
      <c r="O214" s="56">
        <f>SPIKELET_Prod!$C$16</f>
        <v>0</v>
      </c>
      <c r="P214" s="21">
        <f>SPIKELET_Prod!$E$16</f>
        <v>0</v>
      </c>
      <c r="Q214" s="56">
        <f>SPIKELET_Prod!$C$17</f>
        <v>0</v>
      </c>
      <c r="R214" s="21">
        <f>SPIKELET_Prod!$E$17</f>
        <v>0</v>
      </c>
      <c r="S214" s="56">
        <f>SPIKELET_Prod!$C$18</f>
        <v>0</v>
      </c>
      <c r="T214" s="21">
        <f>SPIKELET_Prod!$E$18</f>
        <v>0</v>
      </c>
      <c r="U214" s="56">
        <f>SPIKELET_Prod!$C$19</f>
        <v>0</v>
      </c>
      <c r="V214" s="21">
        <f>SPIKELET_Prod!$E$19</f>
        <v>0</v>
      </c>
      <c r="W214" s="56">
        <f>SPIKELET_Prod!$C$20</f>
        <v>0</v>
      </c>
      <c r="X214" s="21">
        <f>SPIKELET_Prod!$E$20</f>
        <v>0</v>
      </c>
      <c r="Y214" s="56">
        <f>SPIKELET_Prod!$C$21</f>
        <v>0</v>
      </c>
      <c r="Z214" s="21">
        <f>SPIKELET_Prod!$E$21</f>
        <v>0</v>
      </c>
      <c r="AA214" s="56">
        <f>SPIKELET_Prod!$C$22</f>
        <v>0</v>
      </c>
      <c r="AB214" s="21">
        <f>SPIKELET_Prod!$E$22</f>
        <v>0</v>
      </c>
      <c r="AC214" s="56">
        <f>SPIKELET_Prod!$C$23</f>
        <v>0</v>
      </c>
      <c r="AD214" s="21">
        <f>SPIKELET_Prod!$E$23</f>
        <v>0</v>
      </c>
      <c r="AE214" s="56">
        <f>SPIKELET_Prod!$C$24</f>
        <v>0</v>
      </c>
      <c r="AF214" s="21">
        <f>SPIKELET_Prod!$E$24</f>
        <v>0</v>
      </c>
      <c r="AG214" s="56">
        <f>SPIKELET_Prod!$C$25</f>
        <v>0</v>
      </c>
      <c r="AH214" s="21">
        <f>SPIKELET_Prod!$E$25</f>
        <v>0</v>
      </c>
      <c r="AI214" s="56">
        <f>SPIKELET_Prod!$C$26</f>
        <v>0</v>
      </c>
      <c r="AJ214" s="21">
        <f>SPIKELET_Prod!$E$26</f>
        <v>0</v>
      </c>
      <c r="AK214" s="56">
        <f>SPIKELET_Prod!$C$27</f>
        <v>0</v>
      </c>
      <c r="AL214" s="21">
        <f>SPIKELET_Prod!$E$27</f>
        <v>0</v>
      </c>
      <c r="AM214" s="56">
        <f>SPIKELET_Prod!$C$28</f>
        <v>0</v>
      </c>
      <c r="AN214" s="21">
        <f>SPIKELET_Prod!$E$28</f>
        <v>0</v>
      </c>
      <c r="AO214" s="56">
        <f>SPIKELET_Prod!$C$29</f>
        <v>0</v>
      </c>
      <c r="AP214" s="21">
        <f>SPIKELET_Prod!$E$29</f>
        <v>0</v>
      </c>
      <c r="AQ214" s="56">
        <f>SPIKELET_Prod!$C$30</f>
        <v>0</v>
      </c>
      <c r="AR214" s="21">
        <f>SPIKELET_Prod!$E$30</f>
        <v>0</v>
      </c>
      <c r="AS214" s="56">
        <f>SPIKELET_Prod!$C$31</f>
        <v>0</v>
      </c>
      <c r="AT214" s="21">
        <f>SPIKELET_Prod!$E$31</f>
        <v>0</v>
      </c>
      <c r="AU214" s="56">
        <f>SPIKELET_Prod!$C$32</f>
        <v>0</v>
      </c>
      <c r="AV214" s="21">
        <f>SPIKELET_Prod!$E$32</f>
        <v>0</v>
      </c>
      <c r="AW214" s="56">
        <f>SPIKELET_Prod!$C$33</f>
        <v>0</v>
      </c>
      <c r="AX214" s="21">
        <f>SPIKELET_Prod!$E$33</f>
        <v>0</v>
      </c>
      <c r="AY214" s="56">
        <f>SPIKELET_Prod!$C$34</f>
        <v>0</v>
      </c>
      <c r="AZ214" s="21">
        <f>SPIKELET_Prod!$E$34</f>
        <v>0</v>
      </c>
      <c r="BA214" s="56">
        <f>SPIKELET_Prod!$C$35</f>
        <v>0</v>
      </c>
      <c r="BB214" s="21">
        <f>SPIKELET_Prod!$E$35</f>
        <v>0</v>
      </c>
      <c r="BC214" s="56">
        <f>SPIKELET_Prod!$C$36</f>
        <v>0</v>
      </c>
      <c r="BD214" s="21">
        <f>SPIKELET_Prod!$E$36</f>
        <v>0</v>
      </c>
      <c r="BE214" s="56">
        <f>SPIKELET_Prod!$C$37</f>
        <v>0</v>
      </c>
      <c r="BF214" s="21">
        <f>SPIKELET_Prod!$E$37</f>
        <v>0</v>
      </c>
      <c r="BG214" s="52"/>
      <c r="BH214" s="16"/>
    </row>
    <row r="215" spans="1:60">
      <c r="A215" s="20"/>
      <c r="B215" s="11" t="s">
        <v>866</v>
      </c>
      <c r="C215" s="213" t="s">
        <v>966</v>
      </c>
      <c r="D215" s="69" t="s">
        <v>12</v>
      </c>
      <c r="E215" s="2" t="s">
        <v>9</v>
      </c>
      <c r="F215" s="40" t="s">
        <v>304</v>
      </c>
      <c r="G215" s="46">
        <f>SPIKELET_Prod!$G$9</f>
        <v>1</v>
      </c>
      <c r="H215" s="72">
        <f>SPIKELET_Prod!$G$10</f>
        <v>3</v>
      </c>
      <c r="I215" s="76">
        <f>SPIKELET_Prod!$F$13</f>
        <v>1</v>
      </c>
      <c r="J215" s="264">
        <f>SPIKELET_Prod!$G$13</f>
        <v>0.6</v>
      </c>
      <c r="K215" s="76">
        <f>SPIKELET_Prod!$F$14</f>
        <v>13</v>
      </c>
      <c r="L215" s="264">
        <f>SPIKELET_Prod!$G$14</f>
        <v>0.8</v>
      </c>
      <c r="M215" s="76">
        <f>SPIKELET_Prod!$F$15</f>
        <v>17</v>
      </c>
      <c r="N215" s="264">
        <f>SPIKELET_Prod!$G$15</f>
        <v>0.9</v>
      </c>
      <c r="O215" s="76">
        <f>SPIKELET_Prod!$F$16</f>
        <v>32</v>
      </c>
      <c r="P215" s="264">
        <f>SPIKELET_Prod!$G$16</f>
        <v>1</v>
      </c>
      <c r="Q215" s="76">
        <f>SPIKELET_Prod!$F$17</f>
        <v>0</v>
      </c>
      <c r="R215" s="264">
        <f>SPIKELET_Prod!$G$17</f>
        <v>0</v>
      </c>
      <c r="S215" s="76">
        <f>SPIKELET_Prod!$F$18</f>
        <v>0</v>
      </c>
      <c r="T215" s="264">
        <f>SPIKELET_Prod!$G$18</f>
        <v>0</v>
      </c>
      <c r="U215" s="76">
        <f>SPIKELET_Prod!$F$19</f>
        <v>0</v>
      </c>
      <c r="V215" s="264">
        <f>SPIKELET_Prod!$G$19</f>
        <v>0</v>
      </c>
      <c r="W215" s="76">
        <f>SPIKELET_Prod!$F$20</f>
        <v>0</v>
      </c>
      <c r="X215" s="264">
        <f>SPIKELET_Prod!$G$20</f>
        <v>0</v>
      </c>
      <c r="Y215" s="76">
        <f>SPIKELET_Prod!$F$21</f>
        <v>0</v>
      </c>
      <c r="Z215" s="264">
        <f>SPIKELET_Prod!$G$21</f>
        <v>0</v>
      </c>
      <c r="AA215" s="76">
        <f>SPIKELET_Prod!$F$22</f>
        <v>0</v>
      </c>
      <c r="AB215" s="264">
        <f>SPIKELET_Prod!$G$22</f>
        <v>0</v>
      </c>
      <c r="AC215" s="76">
        <f>SPIKELET_Prod!$F$23</f>
        <v>0</v>
      </c>
      <c r="AD215" s="264">
        <f>SPIKELET_Prod!$G$23</f>
        <v>0</v>
      </c>
      <c r="AE215" s="76">
        <f>SPIKELET_Prod!$F$24</f>
        <v>0</v>
      </c>
      <c r="AF215" s="264">
        <f>SPIKELET_Prod!$G$24</f>
        <v>0</v>
      </c>
      <c r="AG215" s="76">
        <f>SPIKELET_Prod!$F$25</f>
        <v>0</v>
      </c>
      <c r="AH215" s="264">
        <f>SPIKELET_Prod!$G$25</f>
        <v>0</v>
      </c>
      <c r="AI215" s="76">
        <f>SPIKELET_Prod!$F$26</f>
        <v>0</v>
      </c>
      <c r="AJ215" s="264">
        <f>SPIKELET_Prod!$G$26</f>
        <v>0</v>
      </c>
      <c r="AK215" s="76">
        <f>SPIKELET_Prod!$F$27</f>
        <v>0</v>
      </c>
      <c r="AL215" s="264">
        <f>SPIKELET_Prod!$G$27</f>
        <v>0</v>
      </c>
      <c r="AM215" s="76">
        <f>SPIKELET_Prod!$F$28</f>
        <v>0</v>
      </c>
      <c r="AN215" s="264">
        <f>SPIKELET_Prod!$G$28</f>
        <v>0</v>
      </c>
      <c r="AO215" s="76">
        <f>SPIKELET_Prod!$F$29</f>
        <v>0</v>
      </c>
      <c r="AP215" s="264">
        <f>SPIKELET_Prod!$G$29</f>
        <v>0</v>
      </c>
      <c r="AQ215" s="76">
        <f>SPIKELET_Prod!$F$30</f>
        <v>0</v>
      </c>
      <c r="AR215" s="264">
        <f>SPIKELET_Prod!$G$30</f>
        <v>0</v>
      </c>
      <c r="AS215" s="76">
        <f>SPIKELET_Prod!$F$31</f>
        <v>0</v>
      </c>
      <c r="AT215" s="264">
        <f>SPIKELET_Prod!$G$31</f>
        <v>0</v>
      </c>
      <c r="AU215" s="76">
        <f>SPIKELET_Prod!$F$32</f>
        <v>0</v>
      </c>
      <c r="AV215" s="264">
        <f>SPIKELET_Prod!$G$32</f>
        <v>0</v>
      </c>
      <c r="AW215" s="76">
        <f>SPIKELET_Prod!$F$33</f>
        <v>0</v>
      </c>
      <c r="AX215" s="264">
        <f>SPIKELET_Prod!$G$33</f>
        <v>0</v>
      </c>
      <c r="AY215" s="76">
        <f>SPIKELET_Prod!$F$34</f>
        <v>0</v>
      </c>
      <c r="AZ215" s="264">
        <f>SPIKELET_Prod!$G$34</f>
        <v>0</v>
      </c>
      <c r="BA215" s="76">
        <f>SPIKELET_Prod!$F$35</f>
        <v>0</v>
      </c>
      <c r="BB215" s="264">
        <f>SPIKELET_Prod!$G$35</f>
        <v>0</v>
      </c>
      <c r="BC215" s="76">
        <f>SPIKELET_Prod!$F$36</f>
        <v>0</v>
      </c>
      <c r="BD215" s="264">
        <f>SPIKELET_Prod!$G$36</f>
        <v>0</v>
      </c>
      <c r="BE215" s="76">
        <f>SPIKELET_Prod!$F$37</f>
        <v>0</v>
      </c>
      <c r="BF215" s="264">
        <f>SPIKELET_Prod!$G$37</f>
        <v>0</v>
      </c>
      <c r="BG215" s="52" t="s">
        <v>69</v>
      </c>
      <c r="BH215" s="16"/>
    </row>
    <row r="216" spans="1:60">
      <c r="A216" s="20"/>
      <c r="B216" s="11" t="s">
        <v>834</v>
      </c>
      <c r="C216" s="213" t="s">
        <v>967</v>
      </c>
      <c r="D216" s="7" t="s">
        <v>12</v>
      </c>
      <c r="E216" s="9" t="s">
        <v>4</v>
      </c>
      <c r="F216" s="40" t="s">
        <v>11</v>
      </c>
      <c r="G216" s="46">
        <f>SPIKELET_Prod!$I$9</f>
        <v>0</v>
      </c>
      <c r="H216" s="72">
        <f>SPIKELET_Prod!$I$10</f>
        <v>3</v>
      </c>
      <c r="I216" s="56">
        <f>SPIKELET_Prod!$C$13</f>
        <v>1</v>
      </c>
      <c r="J216" s="21">
        <f>SPIKELET_Prod!$I$13</f>
        <v>40</v>
      </c>
      <c r="K216" s="56">
        <f>SPIKELET_Prod!$C$14</f>
        <v>100</v>
      </c>
      <c r="L216" s="21">
        <f>SPIKELET_Prod!$I$14</f>
        <v>30</v>
      </c>
      <c r="M216" s="56">
        <f>SPIKELET_Prod!$C$15</f>
        <v>200</v>
      </c>
      <c r="N216" s="21">
        <f>SPIKELET_Prod!$I$15</f>
        <v>20</v>
      </c>
      <c r="O216" s="56">
        <f>SPIKELET_Prod!$C$16</f>
        <v>0</v>
      </c>
      <c r="P216" s="21">
        <f>SPIKELET_Prod!$I$16</f>
        <v>0</v>
      </c>
      <c r="Q216" s="56">
        <f>SPIKELET_Prod!$C$17</f>
        <v>0</v>
      </c>
      <c r="R216" s="21">
        <f>SPIKELET_Prod!$I$17</f>
        <v>0</v>
      </c>
      <c r="S216" s="56">
        <f>SPIKELET_Prod!$C$18</f>
        <v>0</v>
      </c>
      <c r="T216" s="21">
        <f>SPIKELET_Prod!$I$18</f>
        <v>0</v>
      </c>
      <c r="U216" s="56">
        <f>SPIKELET_Prod!$C$19</f>
        <v>0</v>
      </c>
      <c r="V216" s="21">
        <f>SPIKELET_Prod!$I$19</f>
        <v>0</v>
      </c>
      <c r="W216" s="56">
        <f>SPIKELET_Prod!$C$20</f>
        <v>0</v>
      </c>
      <c r="X216" s="21">
        <f>SPIKELET_Prod!$I$20</f>
        <v>0</v>
      </c>
      <c r="Y216" s="56">
        <f>SPIKELET_Prod!$C$21</f>
        <v>0</v>
      </c>
      <c r="Z216" s="21">
        <f>SPIKELET_Prod!$I$21</f>
        <v>0</v>
      </c>
      <c r="AA216" s="56">
        <f>SPIKELET_Prod!$C$22</f>
        <v>0</v>
      </c>
      <c r="AB216" s="21">
        <f>SPIKELET_Prod!$I$22</f>
        <v>0</v>
      </c>
      <c r="AC216" s="56">
        <f>SPIKELET_Prod!$C$23</f>
        <v>0</v>
      </c>
      <c r="AD216" s="21">
        <f>SPIKELET_Prod!$I$23</f>
        <v>0</v>
      </c>
      <c r="AE216" s="56">
        <f>SPIKELET_Prod!$C$24</f>
        <v>0</v>
      </c>
      <c r="AF216" s="21">
        <f>SPIKELET_Prod!$I$24</f>
        <v>0</v>
      </c>
      <c r="AG216" s="56">
        <f>SPIKELET_Prod!$C$25</f>
        <v>0</v>
      </c>
      <c r="AH216" s="21">
        <f>SPIKELET_Prod!$I$25</f>
        <v>0</v>
      </c>
      <c r="AI216" s="56">
        <f>SPIKELET_Prod!$C$26</f>
        <v>0</v>
      </c>
      <c r="AJ216" s="21">
        <f>SPIKELET_Prod!$I$26</f>
        <v>0</v>
      </c>
      <c r="AK216" s="56">
        <f>SPIKELET_Prod!$C$27</f>
        <v>0</v>
      </c>
      <c r="AL216" s="21">
        <f>SPIKELET_Prod!$I$27</f>
        <v>0</v>
      </c>
      <c r="AM216" s="56">
        <f>SPIKELET_Prod!$C$28</f>
        <v>0</v>
      </c>
      <c r="AN216" s="21">
        <f>SPIKELET_Prod!$I$28</f>
        <v>0</v>
      </c>
      <c r="AO216" s="56">
        <f>SPIKELET_Prod!$C$29</f>
        <v>0</v>
      </c>
      <c r="AP216" s="21">
        <f>SPIKELET_Prod!$I$29</f>
        <v>0</v>
      </c>
      <c r="AQ216" s="56">
        <f>SPIKELET_Prod!$C$30</f>
        <v>0</v>
      </c>
      <c r="AR216" s="21">
        <f>SPIKELET_Prod!$I$30</f>
        <v>0</v>
      </c>
      <c r="AS216" s="56">
        <f>SPIKELET_Prod!$C$31</f>
        <v>0</v>
      </c>
      <c r="AT216" s="21">
        <f>SPIKELET_Prod!$I$31</f>
        <v>0</v>
      </c>
      <c r="AU216" s="56">
        <f>SPIKELET_Prod!$C$32</f>
        <v>0</v>
      </c>
      <c r="AV216" s="21">
        <f>SPIKELET_Prod!$I$32</f>
        <v>0</v>
      </c>
      <c r="AW216" s="56">
        <f>SPIKELET_Prod!$C$33</f>
        <v>0</v>
      </c>
      <c r="AX216" s="21">
        <f>SPIKELET_Prod!$I$33</f>
        <v>0</v>
      </c>
      <c r="AY216" s="56">
        <f>SPIKELET_Prod!$C$34</f>
        <v>0</v>
      </c>
      <c r="AZ216" s="21">
        <f>SPIKELET_Prod!$I$34</f>
        <v>0</v>
      </c>
      <c r="BA216" s="56">
        <f>SPIKELET_Prod!$C$35</f>
        <v>0</v>
      </c>
      <c r="BB216" s="21">
        <f>SPIKELET_Prod!$I$35</f>
        <v>0</v>
      </c>
      <c r="BC216" s="56">
        <f>SPIKELET_Prod!$C$36</f>
        <v>0</v>
      </c>
      <c r="BD216" s="21">
        <f>SPIKELET_Prod!$I$36</f>
        <v>0</v>
      </c>
      <c r="BE216" s="56">
        <f>SPIKELET_Prod!$C$37</f>
        <v>0</v>
      </c>
      <c r="BF216" s="21">
        <f>SPIKELET_Prod!$I$37</f>
        <v>0</v>
      </c>
      <c r="BG216" s="52" t="s">
        <v>69</v>
      </c>
      <c r="BH216" s="16"/>
    </row>
    <row r="217" spans="1:60">
      <c r="A217" s="20"/>
      <c r="B217" s="11" t="s">
        <v>836</v>
      </c>
      <c r="C217" s="213" t="s">
        <v>968</v>
      </c>
      <c r="D217" s="7" t="s">
        <v>12</v>
      </c>
      <c r="E217" s="9" t="s">
        <v>4</v>
      </c>
      <c r="F217" s="40" t="s">
        <v>11</v>
      </c>
      <c r="G217" s="46">
        <f>SPIKELET_Prod!$J$9</f>
        <v>0</v>
      </c>
      <c r="H217" s="72">
        <f>SPIKELET_Prod!$J$10</f>
        <v>3</v>
      </c>
      <c r="I217" s="56">
        <f>SPIKELET_Prod!$C$13</f>
        <v>1</v>
      </c>
      <c r="J217" s="21">
        <f>SPIKELET_Prod!$J$13</f>
        <v>4</v>
      </c>
      <c r="K217" s="56">
        <f>SPIKELET_Prod!$C$14</f>
        <v>100</v>
      </c>
      <c r="L217" s="21">
        <f>SPIKELET_Prod!$J$14</f>
        <v>3</v>
      </c>
      <c r="M217" s="56">
        <f>SPIKELET_Prod!$C$15</f>
        <v>200</v>
      </c>
      <c r="N217" s="21">
        <f>SPIKELET_Prod!$J$15</f>
        <v>2</v>
      </c>
      <c r="O217" s="56">
        <f>SPIKELET_Prod!$C$16</f>
        <v>0</v>
      </c>
      <c r="P217" s="21">
        <f>SPIKELET_Prod!$J$16</f>
        <v>0</v>
      </c>
      <c r="Q217" s="56">
        <f>SPIKELET_Prod!$C$17</f>
        <v>0</v>
      </c>
      <c r="R217" s="21">
        <f>SPIKELET_Prod!$J$17</f>
        <v>0</v>
      </c>
      <c r="S217" s="56">
        <f>SPIKELET_Prod!$C$18</f>
        <v>0</v>
      </c>
      <c r="T217" s="21">
        <f>SPIKELET_Prod!$J$18</f>
        <v>0</v>
      </c>
      <c r="U217" s="56">
        <f>SPIKELET_Prod!$C$19</f>
        <v>0</v>
      </c>
      <c r="V217" s="21">
        <f>SPIKELET_Prod!$J$19</f>
        <v>0</v>
      </c>
      <c r="W217" s="56">
        <f>SPIKELET_Prod!$C$20</f>
        <v>0</v>
      </c>
      <c r="X217" s="21">
        <f>SPIKELET_Prod!$J$20</f>
        <v>0</v>
      </c>
      <c r="Y217" s="56">
        <f>SPIKELET_Prod!$C$21</f>
        <v>0</v>
      </c>
      <c r="Z217" s="21">
        <f>SPIKELET_Prod!$J$21</f>
        <v>0</v>
      </c>
      <c r="AA217" s="56">
        <f>SPIKELET_Prod!$C$22</f>
        <v>0</v>
      </c>
      <c r="AB217" s="21">
        <f>SPIKELET_Prod!$J$22</f>
        <v>0</v>
      </c>
      <c r="AC217" s="56">
        <f>SPIKELET_Prod!$C$23</f>
        <v>0</v>
      </c>
      <c r="AD217" s="21">
        <f>SPIKELET_Prod!$J$23</f>
        <v>0</v>
      </c>
      <c r="AE217" s="56">
        <f>SPIKELET_Prod!$C$24</f>
        <v>0</v>
      </c>
      <c r="AF217" s="21">
        <f>SPIKELET_Prod!$J$24</f>
        <v>0</v>
      </c>
      <c r="AG217" s="56">
        <f>SPIKELET_Prod!$C$25</f>
        <v>0</v>
      </c>
      <c r="AH217" s="21">
        <f>SPIKELET_Prod!$J$25</f>
        <v>0</v>
      </c>
      <c r="AI217" s="56">
        <f>SPIKELET_Prod!$C$26</f>
        <v>0</v>
      </c>
      <c r="AJ217" s="21">
        <f>SPIKELET_Prod!$J$26</f>
        <v>0</v>
      </c>
      <c r="AK217" s="56">
        <f>SPIKELET_Prod!$C$27</f>
        <v>0</v>
      </c>
      <c r="AL217" s="21">
        <f>SPIKELET_Prod!$J$27</f>
        <v>0</v>
      </c>
      <c r="AM217" s="56">
        <f>SPIKELET_Prod!$C$28</f>
        <v>0</v>
      </c>
      <c r="AN217" s="21">
        <f>SPIKELET_Prod!$J$28</f>
        <v>0</v>
      </c>
      <c r="AO217" s="56">
        <f>SPIKELET_Prod!$C$29</f>
        <v>0</v>
      </c>
      <c r="AP217" s="21">
        <f>SPIKELET_Prod!$J$29</f>
        <v>0</v>
      </c>
      <c r="AQ217" s="56">
        <f>SPIKELET_Prod!$C$30</f>
        <v>0</v>
      </c>
      <c r="AR217" s="21">
        <f>SPIKELET_Prod!$J$30</f>
        <v>0</v>
      </c>
      <c r="AS217" s="56">
        <f>SPIKELET_Prod!$C$31</f>
        <v>0</v>
      </c>
      <c r="AT217" s="21">
        <f>SPIKELET_Prod!$J$31</f>
        <v>0</v>
      </c>
      <c r="AU217" s="56">
        <f>SPIKELET_Prod!$C$32</f>
        <v>0</v>
      </c>
      <c r="AV217" s="21">
        <f>SPIKELET_Prod!$J$32</f>
        <v>0</v>
      </c>
      <c r="AW217" s="56">
        <f>SPIKELET_Prod!$C$33</f>
        <v>0</v>
      </c>
      <c r="AX217" s="21">
        <f>SPIKELET_Prod!$J$33</f>
        <v>0</v>
      </c>
      <c r="AY217" s="56">
        <f>SPIKELET_Prod!$C$34</f>
        <v>0</v>
      </c>
      <c r="AZ217" s="21">
        <f>SPIKELET_Prod!$J$34</f>
        <v>0</v>
      </c>
      <c r="BA217" s="56">
        <f>SPIKELET_Prod!$C$35</f>
        <v>0</v>
      </c>
      <c r="BB217" s="21">
        <f>SPIKELET_Prod!$J$35</f>
        <v>0</v>
      </c>
      <c r="BC217" s="56">
        <f>SPIKELET_Prod!$C$36</f>
        <v>0</v>
      </c>
      <c r="BD217" s="21">
        <f>SPIKELET_Prod!$J$36</f>
        <v>0</v>
      </c>
      <c r="BE217" s="56">
        <f>SPIKELET_Prod!$C$37</f>
        <v>0</v>
      </c>
      <c r="BF217" s="21">
        <f>SPIKELET_Prod!$J$37</f>
        <v>0</v>
      </c>
      <c r="BG217" s="52" t="s">
        <v>69</v>
      </c>
      <c r="BH217" s="16"/>
    </row>
    <row r="218" spans="1:60">
      <c r="A218" s="20"/>
      <c r="B218" s="11" t="s">
        <v>837</v>
      </c>
      <c r="C218" s="213" t="s">
        <v>969</v>
      </c>
      <c r="D218" s="69" t="s">
        <v>12</v>
      </c>
      <c r="E218" s="2" t="s">
        <v>9</v>
      </c>
      <c r="F218" s="40" t="s">
        <v>304</v>
      </c>
      <c r="G218" s="46">
        <f>SPIKELET_Prod!$L$9</f>
        <v>1</v>
      </c>
      <c r="H218" s="72">
        <f>SPIKELET_Prod!$L$10</f>
        <v>4</v>
      </c>
      <c r="I218" s="76">
        <f>SPIKELET_Prod!$K$13</f>
        <v>1</v>
      </c>
      <c r="J218" s="264">
        <f>SPIKELET_Prod!$L$13</f>
        <v>0.6</v>
      </c>
      <c r="K218" s="76">
        <f>SPIKELET_Prod!$K$14</f>
        <v>13</v>
      </c>
      <c r="L218" s="264">
        <f>SPIKELET_Prod!$L$14</f>
        <v>0.8</v>
      </c>
      <c r="M218" s="76">
        <f>SPIKELET_Prod!$K$15</f>
        <v>17</v>
      </c>
      <c r="N218" s="264">
        <f>SPIKELET_Prod!$L$15</f>
        <v>0.9</v>
      </c>
      <c r="O218" s="76">
        <f>SPIKELET_Prod!$K$16</f>
        <v>32</v>
      </c>
      <c r="P218" s="264">
        <f>SPIKELET_Prod!$L$16</f>
        <v>1</v>
      </c>
      <c r="Q218" s="76">
        <f>SPIKELET_Prod!$K$17</f>
        <v>0</v>
      </c>
      <c r="R218" s="264">
        <f>SPIKELET_Prod!$L$17</f>
        <v>0</v>
      </c>
      <c r="S218" s="76">
        <f>SPIKELET_Prod!$K$18</f>
        <v>0</v>
      </c>
      <c r="T218" s="264">
        <f>SPIKELET_Prod!$L$18</f>
        <v>0</v>
      </c>
      <c r="U218" s="76">
        <f>SPIKELET_Prod!$K$19</f>
        <v>0</v>
      </c>
      <c r="V218" s="264">
        <f>SPIKELET_Prod!$L$19</f>
        <v>0</v>
      </c>
      <c r="W218" s="76">
        <f>SPIKELET_Prod!$K$20</f>
        <v>0</v>
      </c>
      <c r="X218" s="264">
        <f>SPIKELET_Prod!$L$20</f>
        <v>0</v>
      </c>
      <c r="Y218" s="76">
        <f>SPIKELET_Prod!$K$21</f>
        <v>0</v>
      </c>
      <c r="Z218" s="264">
        <f>SPIKELET_Prod!$L$21</f>
        <v>0</v>
      </c>
      <c r="AA218" s="76">
        <f>SPIKELET_Prod!$K$22</f>
        <v>0</v>
      </c>
      <c r="AB218" s="264">
        <f>SPIKELET_Prod!$L$22</f>
        <v>0</v>
      </c>
      <c r="AC218" s="76">
        <f>SPIKELET_Prod!$K$23</f>
        <v>0</v>
      </c>
      <c r="AD218" s="264">
        <f>SPIKELET_Prod!$L$23</f>
        <v>0</v>
      </c>
      <c r="AE218" s="76">
        <f>SPIKELET_Prod!$K$24</f>
        <v>0</v>
      </c>
      <c r="AF218" s="264">
        <f>SPIKELET_Prod!$L$24</f>
        <v>0</v>
      </c>
      <c r="AG218" s="76">
        <f>SPIKELET_Prod!$K$25</f>
        <v>0</v>
      </c>
      <c r="AH218" s="264">
        <f>SPIKELET_Prod!$L$25</f>
        <v>0</v>
      </c>
      <c r="AI218" s="76">
        <f>SPIKELET_Prod!$K$26</f>
        <v>0</v>
      </c>
      <c r="AJ218" s="264">
        <f>SPIKELET_Prod!$L$26</f>
        <v>0</v>
      </c>
      <c r="AK218" s="76">
        <f>SPIKELET_Prod!$K$27</f>
        <v>0</v>
      </c>
      <c r="AL218" s="264">
        <f>SPIKELET_Prod!$L$27</f>
        <v>0</v>
      </c>
      <c r="AM218" s="76">
        <f>SPIKELET_Prod!$K$28</f>
        <v>0</v>
      </c>
      <c r="AN218" s="264">
        <f>SPIKELET_Prod!$L$28</f>
        <v>0</v>
      </c>
      <c r="AO218" s="76">
        <f>SPIKELET_Prod!$K$29</f>
        <v>0</v>
      </c>
      <c r="AP218" s="264">
        <f>SPIKELET_Prod!$L$29</f>
        <v>0</v>
      </c>
      <c r="AQ218" s="76">
        <f>SPIKELET_Prod!$K$30</f>
        <v>0</v>
      </c>
      <c r="AR218" s="264">
        <f>SPIKELET_Prod!$L$30</f>
        <v>0</v>
      </c>
      <c r="AS218" s="76">
        <f>SPIKELET_Prod!$K$31</f>
        <v>0</v>
      </c>
      <c r="AT218" s="264">
        <f>SPIKELET_Prod!$L$31</f>
        <v>0</v>
      </c>
      <c r="AU218" s="76">
        <f>SPIKELET_Prod!$K$32</f>
        <v>0</v>
      </c>
      <c r="AV218" s="264">
        <f>SPIKELET_Prod!$L$32</f>
        <v>0</v>
      </c>
      <c r="AW218" s="76">
        <f>SPIKELET_Prod!$K$33</f>
        <v>0</v>
      </c>
      <c r="AX218" s="264">
        <f>SPIKELET_Prod!$L$33</f>
        <v>0</v>
      </c>
      <c r="AY218" s="76">
        <f>SPIKELET_Prod!$K$34</f>
        <v>0</v>
      </c>
      <c r="AZ218" s="264">
        <f>SPIKELET_Prod!$L$34</f>
        <v>0</v>
      </c>
      <c r="BA218" s="76">
        <f>SPIKELET_Prod!$K$35</f>
        <v>0</v>
      </c>
      <c r="BB218" s="264">
        <f>SPIKELET_Prod!$L$35</f>
        <v>0</v>
      </c>
      <c r="BC218" s="76">
        <f>SPIKELET_Prod!$K$36</f>
        <v>0</v>
      </c>
      <c r="BD218" s="264">
        <f>SPIKELET_Prod!$L$36</f>
        <v>0</v>
      </c>
      <c r="BE218" s="76">
        <f>SPIKELET_Prod!$K$37</f>
        <v>0</v>
      </c>
      <c r="BF218" s="264">
        <f>SPIKELET_Prod!$L$37</f>
        <v>0</v>
      </c>
      <c r="BG218" s="52" t="s">
        <v>69</v>
      </c>
      <c r="BH218" s="16"/>
    </row>
    <row r="219" spans="1:60">
      <c r="A219" s="20"/>
      <c r="B219" s="10" t="s">
        <v>36</v>
      </c>
      <c r="C219" s="213" t="s">
        <v>970</v>
      </c>
      <c r="D219" s="15" t="s">
        <v>12</v>
      </c>
      <c r="E219" s="9" t="s">
        <v>0</v>
      </c>
      <c r="F219" s="40" t="s">
        <v>7</v>
      </c>
      <c r="G219" s="46">
        <f>SPIKELET_Prod!$Q$9</f>
        <v>1</v>
      </c>
      <c r="H219" s="72">
        <f>SPIKELET_Prod!$Q$10</f>
        <v>3</v>
      </c>
      <c r="I219" s="58">
        <f>SPIKELET_Prod!$P$13</f>
        <v>0</v>
      </c>
      <c r="J219" s="21">
        <f>SPIKELET_Prod!$Q$13</f>
        <v>0</v>
      </c>
      <c r="K219" s="58">
        <f>SPIKELET_Prod!$P$14</f>
        <v>70</v>
      </c>
      <c r="L219" s="21">
        <f>SPIKELET_Prod!$Q$14</f>
        <v>3</v>
      </c>
      <c r="M219" s="58">
        <f>SPIKELET_Prod!$P$15</f>
        <v>100</v>
      </c>
      <c r="N219" s="21">
        <f>SPIKELET_Prod!$Q$15</f>
        <v>3</v>
      </c>
      <c r="O219" s="58">
        <f>SPIKELET_Prod!$P$16</f>
        <v>0</v>
      </c>
      <c r="P219" s="21">
        <f>SPIKELET_Prod!$Q$16</f>
        <v>0</v>
      </c>
      <c r="Q219" s="58">
        <f>SPIKELET_Prod!$P$17</f>
        <v>0</v>
      </c>
      <c r="R219" s="21">
        <f>SPIKELET_Prod!$Q$17</f>
        <v>0</v>
      </c>
      <c r="S219" s="58">
        <f>SPIKELET_Prod!$P$18</f>
        <v>0</v>
      </c>
      <c r="T219" s="21">
        <f>SPIKELET_Prod!$Q$18</f>
        <v>0</v>
      </c>
      <c r="U219" s="58">
        <f>SPIKELET_Prod!$P$19</f>
        <v>0</v>
      </c>
      <c r="V219" s="21">
        <f>SPIKELET_Prod!$Q$19</f>
        <v>0</v>
      </c>
      <c r="W219" s="58">
        <f>SPIKELET_Prod!$P$20</f>
        <v>0</v>
      </c>
      <c r="X219" s="21">
        <f>SPIKELET_Prod!$Q$20</f>
        <v>0</v>
      </c>
      <c r="Y219" s="58">
        <f>SPIKELET_Prod!$P$21</f>
        <v>0</v>
      </c>
      <c r="Z219" s="21">
        <f>SPIKELET_Prod!$Q$21</f>
        <v>0</v>
      </c>
      <c r="AA219" s="58">
        <f>SPIKELET_Prod!$P$22</f>
        <v>0</v>
      </c>
      <c r="AB219" s="21">
        <f>SPIKELET_Prod!$Q$22</f>
        <v>0</v>
      </c>
      <c r="AC219" s="58">
        <f>SPIKELET_Prod!$P$23</f>
        <v>0</v>
      </c>
      <c r="AD219" s="21">
        <f>SPIKELET_Prod!$Q$23</f>
        <v>0</v>
      </c>
      <c r="AE219" s="58">
        <f>SPIKELET_Prod!$P$24</f>
        <v>0</v>
      </c>
      <c r="AF219" s="21">
        <f>SPIKELET_Prod!$Q$24</f>
        <v>0</v>
      </c>
      <c r="AG219" s="58">
        <f>SPIKELET_Prod!$P$25</f>
        <v>0</v>
      </c>
      <c r="AH219" s="21">
        <f>SPIKELET_Prod!$Q$25</f>
        <v>0</v>
      </c>
      <c r="AI219" s="58">
        <f>SPIKELET_Prod!$P$26</f>
        <v>0</v>
      </c>
      <c r="AJ219" s="21">
        <f>SPIKELET_Prod!$Q$26</f>
        <v>0</v>
      </c>
      <c r="AK219" s="58">
        <f>SPIKELET_Prod!$P$27</f>
        <v>0</v>
      </c>
      <c r="AL219" s="21">
        <f>SPIKELET_Prod!$Q$27</f>
        <v>0</v>
      </c>
      <c r="AM219" s="58">
        <f>SPIKELET_Prod!$P$28</f>
        <v>0</v>
      </c>
      <c r="AN219" s="21">
        <f>SPIKELET_Prod!$Q$28</f>
        <v>0</v>
      </c>
      <c r="AO219" s="58">
        <f>SPIKELET_Prod!$P$29</f>
        <v>0</v>
      </c>
      <c r="AP219" s="21">
        <f>SPIKELET_Prod!$Q$29</f>
        <v>0</v>
      </c>
      <c r="AQ219" s="58">
        <f>SPIKELET_Prod!$P$30</f>
        <v>0</v>
      </c>
      <c r="AR219" s="21">
        <f>SPIKELET_Prod!$Q$30</f>
        <v>0</v>
      </c>
      <c r="AS219" s="58">
        <f>SPIKELET_Prod!$P$31</f>
        <v>0</v>
      </c>
      <c r="AT219" s="21">
        <f>SPIKELET_Prod!$Q$31</f>
        <v>0</v>
      </c>
      <c r="AU219" s="58">
        <f>SPIKELET_Prod!$P$32</f>
        <v>0</v>
      </c>
      <c r="AV219" s="21">
        <f>SPIKELET_Prod!$Q$32</f>
        <v>0</v>
      </c>
      <c r="AW219" s="58">
        <f>SPIKELET_Prod!$P$33</f>
        <v>0</v>
      </c>
      <c r="AX219" s="21">
        <f>SPIKELET_Prod!$Q$33</f>
        <v>0</v>
      </c>
      <c r="AY219" s="58">
        <f>SPIKELET_Prod!$P$34</f>
        <v>0</v>
      </c>
      <c r="AZ219" s="21">
        <f>SPIKELET_Prod!$Q$34</f>
        <v>0</v>
      </c>
      <c r="BA219" s="58">
        <f>SPIKELET_Prod!$P$35</f>
        <v>0</v>
      </c>
      <c r="BB219" s="21">
        <f>SPIKELET_Prod!$Q$35</f>
        <v>0</v>
      </c>
      <c r="BC219" s="58">
        <f>SPIKELET_Prod!$P$36</f>
        <v>0</v>
      </c>
      <c r="BD219" s="21">
        <f>SPIKELET_Prod!$Q$36</f>
        <v>0</v>
      </c>
      <c r="BE219" s="58">
        <f>SPIKELET_Prod!$P$37</f>
        <v>0</v>
      </c>
      <c r="BF219" s="21">
        <f>SPIKELET_Prod!$Q$37</f>
        <v>0</v>
      </c>
      <c r="BG219" s="52" t="s">
        <v>69</v>
      </c>
      <c r="BH219" s="16"/>
    </row>
    <row r="220" spans="1:60">
      <c r="A220" s="20"/>
      <c r="B220" s="11" t="s">
        <v>37</v>
      </c>
      <c r="C220" s="213" t="s">
        <v>971</v>
      </c>
      <c r="D220" s="15" t="s">
        <v>12</v>
      </c>
      <c r="E220" s="9" t="s">
        <v>0</v>
      </c>
      <c r="F220" s="40" t="s">
        <v>7</v>
      </c>
      <c r="G220" s="46">
        <f>SPIKELET_Prod!$R$9</f>
        <v>1</v>
      </c>
      <c r="H220" s="72">
        <f>SPIKELET_Prod!$R$10</f>
        <v>3</v>
      </c>
      <c r="I220" s="58">
        <f>SPIKELET_Prod!$P$13</f>
        <v>0</v>
      </c>
      <c r="J220" s="21">
        <f>SPIKELET_Prod!$R$13</f>
        <v>0</v>
      </c>
      <c r="K220" s="58">
        <f>SPIKELET_Prod!$P$14</f>
        <v>70</v>
      </c>
      <c r="L220" s="21">
        <f>SPIKELET_Prod!$R$14</f>
        <v>0.3</v>
      </c>
      <c r="M220" s="58">
        <f>SPIKELET_Prod!$P$15</f>
        <v>100</v>
      </c>
      <c r="N220" s="21">
        <f>SPIKELET_Prod!$R$15</f>
        <v>0.3</v>
      </c>
      <c r="O220" s="58">
        <f>SPIKELET_Prod!$P$16</f>
        <v>0</v>
      </c>
      <c r="P220" s="21">
        <f>SPIKELET_Prod!$R$16</f>
        <v>0</v>
      </c>
      <c r="Q220" s="58">
        <f>SPIKELET_Prod!$P$17</f>
        <v>0</v>
      </c>
      <c r="R220" s="21">
        <f>SPIKELET_Prod!$R$17</f>
        <v>0</v>
      </c>
      <c r="S220" s="58">
        <f>SPIKELET_Prod!$P$18</f>
        <v>0</v>
      </c>
      <c r="T220" s="21">
        <f>SPIKELET_Prod!$R$18</f>
        <v>0</v>
      </c>
      <c r="U220" s="58">
        <f>SPIKELET_Prod!$P$19</f>
        <v>0</v>
      </c>
      <c r="V220" s="21">
        <f>SPIKELET_Prod!$R$19</f>
        <v>0</v>
      </c>
      <c r="W220" s="58">
        <f>SPIKELET_Prod!$P$20</f>
        <v>0</v>
      </c>
      <c r="X220" s="21">
        <f>SPIKELET_Prod!$R$20</f>
        <v>0</v>
      </c>
      <c r="Y220" s="58">
        <f>SPIKELET_Prod!$P$21</f>
        <v>0</v>
      </c>
      <c r="Z220" s="21">
        <f>SPIKELET_Prod!$R$21</f>
        <v>0</v>
      </c>
      <c r="AA220" s="58">
        <f>SPIKELET_Prod!$P$22</f>
        <v>0</v>
      </c>
      <c r="AB220" s="21">
        <f>SPIKELET_Prod!$R$22</f>
        <v>0</v>
      </c>
      <c r="AC220" s="58">
        <f>SPIKELET_Prod!$P$23</f>
        <v>0</v>
      </c>
      <c r="AD220" s="21">
        <f>SPIKELET_Prod!$R$23</f>
        <v>0</v>
      </c>
      <c r="AE220" s="58">
        <f>SPIKELET_Prod!$P$24</f>
        <v>0</v>
      </c>
      <c r="AF220" s="21">
        <f>SPIKELET_Prod!$R$24</f>
        <v>0</v>
      </c>
      <c r="AG220" s="58">
        <f>SPIKELET_Prod!$P$25</f>
        <v>0</v>
      </c>
      <c r="AH220" s="21">
        <f>SPIKELET_Prod!$R$25</f>
        <v>0</v>
      </c>
      <c r="AI220" s="58">
        <f>SPIKELET_Prod!$P$26</f>
        <v>0</v>
      </c>
      <c r="AJ220" s="21">
        <f>SPIKELET_Prod!$R$26</f>
        <v>0</v>
      </c>
      <c r="AK220" s="58">
        <f>SPIKELET_Prod!$P$27</f>
        <v>0</v>
      </c>
      <c r="AL220" s="21">
        <f>SPIKELET_Prod!$R$27</f>
        <v>0</v>
      </c>
      <c r="AM220" s="58">
        <f>SPIKELET_Prod!$P$28</f>
        <v>0</v>
      </c>
      <c r="AN220" s="21">
        <f>SPIKELET_Prod!$R$28</f>
        <v>0</v>
      </c>
      <c r="AO220" s="58">
        <f>SPIKELET_Prod!$P$29</f>
        <v>0</v>
      </c>
      <c r="AP220" s="21">
        <f>SPIKELET_Prod!$R$29</f>
        <v>0</v>
      </c>
      <c r="AQ220" s="58">
        <f>SPIKELET_Prod!$P$30</f>
        <v>0</v>
      </c>
      <c r="AR220" s="21">
        <f>SPIKELET_Prod!$R$30</f>
        <v>0</v>
      </c>
      <c r="AS220" s="58">
        <f>SPIKELET_Prod!$P$31</f>
        <v>0</v>
      </c>
      <c r="AT220" s="21">
        <f>SPIKELET_Prod!$R$31</f>
        <v>0</v>
      </c>
      <c r="AU220" s="58">
        <f>SPIKELET_Prod!$P$32</f>
        <v>0</v>
      </c>
      <c r="AV220" s="21">
        <f>SPIKELET_Prod!$R$32</f>
        <v>0</v>
      </c>
      <c r="AW220" s="58">
        <f>SPIKELET_Prod!$P$33</f>
        <v>0</v>
      </c>
      <c r="AX220" s="21">
        <f>SPIKELET_Prod!$R$33</f>
        <v>0</v>
      </c>
      <c r="AY220" s="58">
        <f>SPIKELET_Prod!$P$34</f>
        <v>0</v>
      </c>
      <c r="AZ220" s="21">
        <f>SPIKELET_Prod!$R$34</f>
        <v>0</v>
      </c>
      <c r="BA220" s="58">
        <f>SPIKELET_Prod!$P$35</f>
        <v>0</v>
      </c>
      <c r="BB220" s="21">
        <f>SPIKELET_Prod!$R$35</f>
        <v>0</v>
      </c>
      <c r="BC220" s="58">
        <f>SPIKELET_Prod!$P$36</f>
        <v>0</v>
      </c>
      <c r="BD220" s="21">
        <f>SPIKELET_Prod!$R$36</f>
        <v>0</v>
      </c>
      <c r="BE220" s="58">
        <f>SPIKELET_Prod!$P$37</f>
        <v>0</v>
      </c>
      <c r="BF220" s="21">
        <f>SPIKELET_Prod!$R$37</f>
        <v>0</v>
      </c>
      <c r="BG220" s="52" t="s">
        <v>69</v>
      </c>
      <c r="BH220" s="16"/>
    </row>
    <row r="221" spans="1:60">
      <c r="A221" s="20"/>
      <c r="B221" s="11" t="s">
        <v>38</v>
      </c>
      <c r="C221" s="213" t="s">
        <v>972</v>
      </c>
      <c r="D221" s="15" t="s">
        <v>12</v>
      </c>
      <c r="E221" s="9" t="s">
        <v>0</v>
      </c>
      <c r="F221" s="40" t="s">
        <v>7</v>
      </c>
      <c r="G221" s="46">
        <f>SPIKELET_Prod!$S$9</f>
        <v>1</v>
      </c>
      <c r="H221" s="72">
        <f>SPIKELET_Prod!$S$10</f>
        <v>3</v>
      </c>
      <c r="I221" s="58">
        <f>SPIKELET_Prod!$P$13</f>
        <v>0</v>
      </c>
      <c r="J221" s="21">
        <f>SPIKELET_Prod!$S$13</f>
        <v>0</v>
      </c>
      <c r="K221" s="58">
        <f>SPIKELET_Prod!$P$14</f>
        <v>70</v>
      </c>
      <c r="L221" s="21">
        <f>SPIKELET_Prod!$S$14</f>
        <v>1</v>
      </c>
      <c r="M221" s="58">
        <f>SPIKELET_Prod!$P$15</f>
        <v>100</v>
      </c>
      <c r="N221" s="21">
        <f>SPIKELET_Prod!$S$15</f>
        <v>1</v>
      </c>
      <c r="O221" s="58">
        <f>SPIKELET_Prod!$P$16</f>
        <v>0</v>
      </c>
      <c r="P221" s="21">
        <f>SPIKELET_Prod!$S$16</f>
        <v>0</v>
      </c>
      <c r="Q221" s="58">
        <f>SPIKELET_Prod!$P$17</f>
        <v>0</v>
      </c>
      <c r="R221" s="21">
        <f>SPIKELET_Prod!$S$17</f>
        <v>0</v>
      </c>
      <c r="S221" s="58">
        <f>SPIKELET_Prod!$P$18</f>
        <v>0</v>
      </c>
      <c r="T221" s="21">
        <f>SPIKELET_Prod!$S$18</f>
        <v>0</v>
      </c>
      <c r="U221" s="58">
        <f>SPIKELET_Prod!$P$19</f>
        <v>0</v>
      </c>
      <c r="V221" s="21">
        <f>SPIKELET_Prod!$S$19</f>
        <v>0</v>
      </c>
      <c r="W221" s="58">
        <f>SPIKELET_Prod!$P$20</f>
        <v>0</v>
      </c>
      <c r="X221" s="21">
        <f>SPIKELET_Prod!$S$20</f>
        <v>0</v>
      </c>
      <c r="Y221" s="58">
        <f>SPIKELET_Prod!$P$21</f>
        <v>0</v>
      </c>
      <c r="Z221" s="21">
        <f>SPIKELET_Prod!$S$21</f>
        <v>0</v>
      </c>
      <c r="AA221" s="58">
        <f>SPIKELET_Prod!$P$22</f>
        <v>0</v>
      </c>
      <c r="AB221" s="21">
        <f>SPIKELET_Prod!$S$22</f>
        <v>0</v>
      </c>
      <c r="AC221" s="58">
        <f>SPIKELET_Prod!$P$23</f>
        <v>0</v>
      </c>
      <c r="AD221" s="21">
        <f>SPIKELET_Prod!$S$23</f>
        <v>0</v>
      </c>
      <c r="AE221" s="58">
        <f>SPIKELET_Prod!$P$24</f>
        <v>0</v>
      </c>
      <c r="AF221" s="21">
        <f>SPIKELET_Prod!$S$24</f>
        <v>0</v>
      </c>
      <c r="AG221" s="58">
        <f>SPIKELET_Prod!$P$25</f>
        <v>0</v>
      </c>
      <c r="AH221" s="21">
        <f>SPIKELET_Prod!$S$25</f>
        <v>0</v>
      </c>
      <c r="AI221" s="58">
        <f>SPIKELET_Prod!$P$26</f>
        <v>0</v>
      </c>
      <c r="AJ221" s="21">
        <f>SPIKELET_Prod!$S$26</f>
        <v>0</v>
      </c>
      <c r="AK221" s="58">
        <f>SPIKELET_Prod!$P$27</f>
        <v>0</v>
      </c>
      <c r="AL221" s="21">
        <f>SPIKELET_Prod!$S$27</f>
        <v>0</v>
      </c>
      <c r="AM221" s="58">
        <f>SPIKELET_Prod!$P$28</f>
        <v>0</v>
      </c>
      <c r="AN221" s="21">
        <f>SPIKELET_Prod!$S$28</f>
        <v>0</v>
      </c>
      <c r="AO221" s="58">
        <f>SPIKELET_Prod!$P$29</f>
        <v>0</v>
      </c>
      <c r="AP221" s="21">
        <f>SPIKELET_Prod!$S$29</f>
        <v>0</v>
      </c>
      <c r="AQ221" s="58">
        <f>SPIKELET_Prod!$P$30</f>
        <v>0</v>
      </c>
      <c r="AR221" s="21">
        <f>SPIKELET_Prod!$S$30</f>
        <v>0</v>
      </c>
      <c r="AS221" s="58">
        <f>SPIKELET_Prod!$P$31</f>
        <v>0</v>
      </c>
      <c r="AT221" s="21">
        <f>SPIKELET_Prod!$S$31</f>
        <v>0</v>
      </c>
      <c r="AU221" s="58">
        <f>SPIKELET_Prod!$P$32</f>
        <v>0</v>
      </c>
      <c r="AV221" s="21">
        <f>SPIKELET_Prod!$S$32</f>
        <v>0</v>
      </c>
      <c r="AW221" s="58">
        <f>SPIKELET_Prod!$P$33</f>
        <v>0</v>
      </c>
      <c r="AX221" s="21">
        <f>SPIKELET_Prod!$S$33</f>
        <v>0</v>
      </c>
      <c r="AY221" s="58">
        <f>SPIKELET_Prod!$P$34</f>
        <v>0</v>
      </c>
      <c r="AZ221" s="21">
        <f>SPIKELET_Prod!$S$34</f>
        <v>0</v>
      </c>
      <c r="BA221" s="58">
        <f>SPIKELET_Prod!$P$35</f>
        <v>0</v>
      </c>
      <c r="BB221" s="21">
        <f>SPIKELET_Prod!$S$35</f>
        <v>0</v>
      </c>
      <c r="BC221" s="58">
        <f>SPIKELET_Prod!$P$36</f>
        <v>0</v>
      </c>
      <c r="BD221" s="21">
        <f>SPIKELET_Prod!$S$36</f>
        <v>0</v>
      </c>
      <c r="BE221" s="58">
        <f>SPIKELET_Prod!$P$37</f>
        <v>0</v>
      </c>
      <c r="BF221" s="21">
        <f>SPIKELET_Prod!$S$37</f>
        <v>0</v>
      </c>
      <c r="BG221" s="52" t="s">
        <v>69</v>
      </c>
      <c r="BH221" s="16"/>
    </row>
    <row r="222" spans="1:60">
      <c r="A222" s="20"/>
      <c r="B222" s="11" t="s">
        <v>39</v>
      </c>
      <c r="C222" s="213" t="s">
        <v>973</v>
      </c>
      <c r="D222" s="15" t="s">
        <v>12</v>
      </c>
      <c r="E222" s="9" t="s">
        <v>0</v>
      </c>
      <c r="F222" s="40" t="s">
        <v>7</v>
      </c>
      <c r="G222" s="46">
        <f>SPIKELET_Prod!$T$9</f>
        <v>1</v>
      </c>
      <c r="H222" s="72">
        <f>SPIKELET_Prod!$T$10</f>
        <v>3</v>
      </c>
      <c r="I222" s="58">
        <f>SPIKELET_Prod!$P$13</f>
        <v>0</v>
      </c>
      <c r="J222" s="21">
        <f>SPIKELET_Prod!$T$13</f>
        <v>0</v>
      </c>
      <c r="K222" s="58">
        <f>SPIKELET_Prod!$P$14</f>
        <v>70</v>
      </c>
      <c r="L222" s="21">
        <f>SPIKELET_Prod!$T$14</f>
        <v>0.1</v>
      </c>
      <c r="M222" s="58">
        <f>SPIKELET_Prod!$P$15</f>
        <v>100</v>
      </c>
      <c r="N222" s="21">
        <f>SPIKELET_Prod!$T$15</f>
        <v>0.1</v>
      </c>
      <c r="O222" s="58">
        <f>SPIKELET_Prod!$P$16</f>
        <v>0</v>
      </c>
      <c r="P222" s="21">
        <f>SPIKELET_Prod!$T$16</f>
        <v>0</v>
      </c>
      <c r="Q222" s="58">
        <f>SPIKELET_Prod!$P$17</f>
        <v>0</v>
      </c>
      <c r="R222" s="21">
        <f>SPIKELET_Prod!$T$17</f>
        <v>0</v>
      </c>
      <c r="S222" s="58">
        <f>SPIKELET_Prod!$P$18</f>
        <v>0</v>
      </c>
      <c r="T222" s="21">
        <f>SPIKELET_Prod!$T$18</f>
        <v>0</v>
      </c>
      <c r="U222" s="58">
        <f>SPIKELET_Prod!$P$19</f>
        <v>0</v>
      </c>
      <c r="V222" s="21">
        <f>SPIKELET_Prod!$T$19</f>
        <v>0</v>
      </c>
      <c r="W222" s="58">
        <f>SPIKELET_Prod!$P$20</f>
        <v>0</v>
      </c>
      <c r="X222" s="21">
        <f>SPIKELET_Prod!$T$20</f>
        <v>0</v>
      </c>
      <c r="Y222" s="58">
        <f>SPIKELET_Prod!$P$21</f>
        <v>0</v>
      </c>
      <c r="Z222" s="21">
        <f>SPIKELET_Prod!$T$21</f>
        <v>0</v>
      </c>
      <c r="AA222" s="58">
        <f>SPIKELET_Prod!$P$22</f>
        <v>0</v>
      </c>
      <c r="AB222" s="21">
        <f>SPIKELET_Prod!$T$22</f>
        <v>0</v>
      </c>
      <c r="AC222" s="58">
        <f>SPIKELET_Prod!$P$23</f>
        <v>0</v>
      </c>
      <c r="AD222" s="21">
        <f>SPIKELET_Prod!$T$23</f>
        <v>0</v>
      </c>
      <c r="AE222" s="58">
        <f>SPIKELET_Prod!$P$24</f>
        <v>0</v>
      </c>
      <c r="AF222" s="21">
        <f>SPIKELET_Prod!$T$24</f>
        <v>0</v>
      </c>
      <c r="AG222" s="58">
        <f>SPIKELET_Prod!$P$25</f>
        <v>0</v>
      </c>
      <c r="AH222" s="21">
        <f>SPIKELET_Prod!$T$25</f>
        <v>0</v>
      </c>
      <c r="AI222" s="58">
        <f>SPIKELET_Prod!$P$26</f>
        <v>0</v>
      </c>
      <c r="AJ222" s="21">
        <f>SPIKELET_Prod!$T$26</f>
        <v>0</v>
      </c>
      <c r="AK222" s="58">
        <f>SPIKELET_Prod!$P$27</f>
        <v>0</v>
      </c>
      <c r="AL222" s="21">
        <f>SPIKELET_Prod!$T$27</f>
        <v>0</v>
      </c>
      <c r="AM222" s="58">
        <f>SPIKELET_Prod!$P$28</f>
        <v>0</v>
      </c>
      <c r="AN222" s="21">
        <f>SPIKELET_Prod!$T$28</f>
        <v>0</v>
      </c>
      <c r="AO222" s="58">
        <f>SPIKELET_Prod!$P$29</f>
        <v>0</v>
      </c>
      <c r="AP222" s="21">
        <f>SPIKELET_Prod!$T$29</f>
        <v>0</v>
      </c>
      <c r="AQ222" s="58">
        <f>SPIKELET_Prod!$P$30</f>
        <v>0</v>
      </c>
      <c r="AR222" s="21">
        <f>SPIKELET_Prod!$T$30</f>
        <v>0</v>
      </c>
      <c r="AS222" s="58">
        <f>SPIKELET_Prod!$P$31</f>
        <v>0</v>
      </c>
      <c r="AT222" s="21">
        <f>SPIKELET_Prod!$T$31</f>
        <v>0</v>
      </c>
      <c r="AU222" s="58">
        <f>SPIKELET_Prod!$P$32</f>
        <v>0</v>
      </c>
      <c r="AV222" s="21">
        <f>SPIKELET_Prod!$T$32</f>
        <v>0</v>
      </c>
      <c r="AW222" s="58">
        <f>SPIKELET_Prod!$P$33</f>
        <v>0</v>
      </c>
      <c r="AX222" s="21">
        <f>SPIKELET_Prod!$T$33</f>
        <v>0</v>
      </c>
      <c r="AY222" s="58">
        <f>SPIKELET_Prod!$P$34</f>
        <v>0</v>
      </c>
      <c r="AZ222" s="21">
        <f>SPIKELET_Prod!$T$34</f>
        <v>0</v>
      </c>
      <c r="BA222" s="58">
        <f>SPIKELET_Prod!$P$35</f>
        <v>0</v>
      </c>
      <c r="BB222" s="21">
        <f>SPIKELET_Prod!$T$35</f>
        <v>0</v>
      </c>
      <c r="BC222" s="58">
        <f>SPIKELET_Prod!$P$36</f>
        <v>0</v>
      </c>
      <c r="BD222" s="21">
        <f>SPIKELET_Prod!$T$36</f>
        <v>0</v>
      </c>
      <c r="BE222" s="58">
        <f>SPIKELET_Prod!$P$37</f>
        <v>0</v>
      </c>
      <c r="BF222" s="21">
        <f>SPIKELET_Prod!$T$37</f>
        <v>0</v>
      </c>
      <c r="BG222" s="52" t="s">
        <v>69</v>
      </c>
      <c r="BH222" s="16"/>
    </row>
    <row r="223" spans="1:60">
      <c r="A223" s="20"/>
      <c r="B223" s="11" t="s">
        <v>103</v>
      </c>
      <c r="C223" s="2" t="s">
        <v>102</v>
      </c>
      <c r="D223" s="15" t="s">
        <v>12</v>
      </c>
      <c r="E223" s="2" t="s">
        <v>2</v>
      </c>
      <c r="F223" s="40" t="s">
        <v>7</v>
      </c>
      <c r="G223" s="46">
        <f>SPIKELET_Prod!$Y$9</f>
        <v>1</v>
      </c>
      <c r="H223" s="72">
        <f>SPIKELET_Prod!$Y$10</f>
        <v>3</v>
      </c>
      <c r="I223" s="58">
        <f>SPIKELET_Prod!$X$13</f>
        <v>0</v>
      </c>
      <c r="J223" s="21">
        <f>SPIKELET_Prod!$Y$13</f>
        <v>0</v>
      </c>
      <c r="K223" s="58">
        <f>SPIKELET_Prod!$X$14</f>
        <v>70</v>
      </c>
      <c r="L223" s="21">
        <f>SPIKELET_Prod!$Y$14</f>
        <v>5</v>
      </c>
      <c r="M223" s="58">
        <f>SPIKELET_Prod!$X$15</f>
        <v>100</v>
      </c>
      <c r="N223" s="21">
        <f>SPIKELET_Prod!$Y$15</f>
        <v>2</v>
      </c>
      <c r="O223" s="58">
        <f>SPIKELET_Prod!$X$16</f>
        <v>0</v>
      </c>
      <c r="P223" s="21">
        <f>SPIKELET_Prod!$Y$16</f>
        <v>0</v>
      </c>
      <c r="Q223" s="58">
        <f>SPIKELET_Prod!$X$17</f>
        <v>0</v>
      </c>
      <c r="R223" s="21">
        <f>SPIKELET_Prod!$Y$17</f>
        <v>0</v>
      </c>
      <c r="S223" s="58">
        <f>SPIKELET_Prod!$X$18</f>
        <v>0</v>
      </c>
      <c r="T223" s="21">
        <f>SPIKELET_Prod!$Y$18</f>
        <v>0</v>
      </c>
      <c r="U223" s="58">
        <f>SPIKELET_Prod!$X$19</f>
        <v>0</v>
      </c>
      <c r="V223" s="21">
        <f>SPIKELET_Prod!$Y$19</f>
        <v>0</v>
      </c>
      <c r="W223" s="58">
        <f>SPIKELET_Prod!$X$20</f>
        <v>0</v>
      </c>
      <c r="X223" s="21">
        <f>SPIKELET_Prod!$Y$20</f>
        <v>0</v>
      </c>
      <c r="Y223" s="58">
        <f>SPIKELET_Prod!$X$21</f>
        <v>0</v>
      </c>
      <c r="Z223" s="21">
        <f>SPIKELET_Prod!$Y$21</f>
        <v>0</v>
      </c>
      <c r="AA223" s="58">
        <f>SPIKELET_Prod!$X$22</f>
        <v>0</v>
      </c>
      <c r="AB223" s="21">
        <f>SPIKELET_Prod!$Y$22</f>
        <v>0</v>
      </c>
      <c r="AC223" s="58">
        <f>SPIKELET_Prod!$X$23</f>
        <v>0</v>
      </c>
      <c r="AD223" s="21">
        <f>SPIKELET_Prod!$Y$23</f>
        <v>0</v>
      </c>
      <c r="AE223" s="58">
        <f>SPIKELET_Prod!$X$24</f>
        <v>0</v>
      </c>
      <c r="AF223" s="21">
        <f>SPIKELET_Prod!$Y$24</f>
        <v>0</v>
      </c>
      <c r="AG223" s="58">
        <f>SPIKELET_Prod!$X$25</f>
        <v>0</v>
      </c>
      <c r="AH223" s="21">
        <f>SPIKELET_Prod!$Y$25</f>
        <v>0</v>
      </c>
      <c r="AI223" s="58">
        <f>SPIKELET_Prod!$X$26</f>
        <v>0</v>
      </c>
      <c r="AJ223" s="21">
        <f>SPIKELET_Prod!$Y$26</f>
        <v>0</v>
      </c>
      <c r="AK223" s="58">
        <f>SPIKELET_Prod!$X$27</f>
        <v>0</v>
      </c>
      <c r="AL223" s="21">
        <f>SPIKELET_Prod!$Y$27</f>
        <v>0</v>
      </c>
      <c r="AM223" s="58">
        <f>SPIKELET_Prod!$X$28</f>
        <v>0</v>
      </c>
      <c r="AN223" s="21">
        <f>SPIKELET_Prod!$Y$28</f>
        <v>0</v>
      </c>
      <c r="AO223" s="58">
        <f>SPIKELET_Prod!$X$29</f>
        <v>0</v>
      </c>
      <c r="AP223" s="21">
        <f>SPIKELET_Prod!$Y$29</f>
        <v>0</v>
      </c>
      <c r="AQ223" s="58">
        <f>SPIKELET_Prod!$X$30</f>
        <v>0</v>
      </c>
      <c r="AR223" s="21">
        <f>SPIKELET_Prod!$Y$30</f>
        <v>0</v>
      </c>
      <c r="AS223" s="58">
        <f>SPIKELET_Prod!$X$31</f>
        <v>0</v>
      </c>
      <c r="AT223" s="21">
        <f>SPIKELET_Prod!$Y$31</f>
        <v>0</v>
      </c>
      <c r="AU223" s="58">
        <f>SPIKELET_Prod!$X$32</f>
        <v>0</v>
      </c>
      <c r="AV223" s="21">
        <f>SPIKELET_Prod!$Y$32</f>
        <v>0</v>
      </c>
      <c r="AW223" s="58">
        <f>SPIKELET_Prod!$X$33</f>
        <v>0</v>
      </c>
      <c r="AX223" s="21">
        <f>SPIKELET_Prod!$Y$33</f>
        <v>0</v>
      </c>
      <c r="AY223" s="58">
        <f>SPIKELET_Prod!$X$34</f>
        <v>0</v>
      </c>
      <c r="AZ223" s="21">
        <f>SPIKELET_Prod!$Y$34</f>
        <v>0</v>
      </c>
      <c r="BA223" s="58">
        <f>SPIKELET_Prod!$X$35</f>
        <v>0</v>
      </c>
      <c r="BB223" s="21">
        <f>SPIKELET_Prod!$Y$35</f>
        <v>0</v>
      </c>
      <c r="BC223" s="58">
        <f>SPIKELET_Prod!$X$36</f>
        <v>0</v>
      </c>
      <c r="BD223" s="21">
        <f>SPIKELET_Prod!$Y$36</f>
        <v>0</v>
      </c>
      <c r="BE223" s="58">
        <f>SPIKELET_Prod!$X$37</f>
        <v>0</v>
      </c>
      <c r="BF223" s="21">
        <f>SPIKELET_Prod!$Y$37</f>
        <v>0</v>
      </c>
      <c r="BG223" s="52" t="s">
        <v>69</v>
      </c>
      <c r="BH223" s="16"/>
    </row>
    <row r="224" spans="1:60">
      <c r="A224" s="20"/>
      <c r="B224" s="11" t="s">
        <v>104</v>
      </c>
      <c r="C224" s="2" t="s">
        <v>105</v>
      </c>
      <c r="D224" s="15" t="s">
        <v>12</v>
      </c>
      <c r="E224" s="2" t="s">
        <v>2</v>
      </c>
      <c r="F224" s="40" t="s">
        <v>7</v>
      </c>
      <c r="G224" s="46">
        <f>SPIKELET_Prod!$Z$9</f>
        <v>1</v>
      </c>
      <c r="H224" s="72">
        <f>SPIKELET_Prod!$Z$10</f>
        <v>3</v>
      </c>
      <c r="I224" s="58">
        <f>SPIKELET_Prod!$X$13</f>
        <v>0</v>
      </c>
      <c r="J224" s="21">
        <f>SPIKELET_Prod!$Z$13</f>
        <v>0</v>
      </c>
      <c r="K224" s="58">
        <f>SPIKELET_Prod!$X$14</f>
        <v>70</v>
      </c>
      <c r="L224" s="21">
        <f>SPIKELET_Prod!$Z$14</f>
        <v>0.5</v>
      </c>
      <c r="M224" s="58">
        <f>SPIKELET_Prod!$X$15</f>
        <v>100</v>
      </c>
      <c r="N224" s="21">
        <f>SPIKELET_Prod!$Z$15</f>
        <v>0.2</v>
      </c>
      <c r="O224" s="58">
        <f>SPIKELET_Prod!$X$16</f>
        <v>0</v>
      </c>
      <c r="P224" s="21">
        <f>SPIKELET_Prod!$Z$16</f>
        <v>0</v>
      </c>
      <c r="Q224" s="58">
        <f>SPIKELET_Prod!$X$17</f>
        <v>0</v>
      </c>
      <c r="R224" s="21">
        <f>SPIKELET_Prod!$Z$17</f>
        <v>0</v>
      </c>
      <c r="S224" s="58">
        <f>SPIKELET_Prod!$X$18</f>
        <v>0</v>
      </c>
      <c r="T224" s="21">
        <f>SPIKELET_Prod!$Z$18</f>
        <v>0</v>
      </c>
      <c r="U224" s="58">
        <f>SPIKELET_Prod!$X$19</f>
        <v>0</v>
      </c>
      <c r="V224" s="21">
        <f>SPIKELET_Prod!$Z$19</f>
        <v>0</v>
      </c>
      <c r="W224" s="58">
        <f>SPIKELET_Prod!$X$20</f>
        <v>0</v>
      </c>
      <c r="X224" s="21">
        <f>SPIKELET_Prod!$Z$20</f>
        <v>0</v>
      </c>
      <c r="Y224" s="58">
        <f>SPIKELET_Prod!$X$21</f>
        <v>0</v>
      </c>
      <c r="Z224" s="21">
        <f>SPIKELET_Prod!$Z$21</f>
        <v>0</v>
      </c>
      <c r="AA224" s="58">
        <f>SPIKELET_Prod!$X$22</f>
        <v>0</v>
      </c>
      <c r="AB224" s="21">
        <f>SPIKELET_Prod!$Z$22</f>
        <v>0</v>
      </c>
      <c r="AC224" s="58">
        <f>SPIKELET_Prod!$X$23</f>
        <v>0</v>
      </c>
      <c r="AD224" s="21">
        <f>SPIKELET_Prod!$Z$23</f>
        <v>0</v>
      </c>
      <c r="AE224" s="58">
        <f>SPIKELET_Prod!$X$24</f>
        <v>0</v>
      </c>
      <c r="AF224" s="21">
        <f>SPIKELET_Prod!$Z$24</f>
        <v>0</v>
      </c>
      <c r="AG224" s="58">
        <f>SPIKELET_Prod!$X$25</f>
        <v>0</v>
      </c>
      <c r="AH224" s="21">
        <f>SPIKELET_Prod!$Z$25</f>
        <v>0</v>
      </c>
      <c r="AI224" s="58">
        <f>SPIKELET_Prod!$X$26</f>
        <v>0</v>
      </c>
      <c r="AJ224" s="21">
        <f>SPIKELET_Prod!$Z$26</f>
        <v>0</v>
      </c>
      <c r="AK224" s="58">
        <f>SPIKELET_Prod!$X$27</f>
        <v>0</v>
      </c>
      <c r="AL224" s="21">
        <f>SPIKELET_Prod!$Z$27</f>
        <v>0</v>
      </c>
      <c r="AM224" s="58">
        <f>SPIKELET_Prod!$X$28</f>
        <v>0</v>
      </c>
      <c r="AN224" s="21">
        <f>SPIKELET_Prod!$Z$28</f>
        <v>0</v>
      </c>
      <c r="AO224" s="58">
        <f>SPIKELET_Prod!$X$29</f>
        <v>0</v>
      </c>
      <c r="AP224" s="21">
        <f>SPIKELET_Prod!$Z$29</f>
        <v>0</v>
      </c>
      <c r="AQ224" s="58">
        <f>SPIKELET_Prod!$X$30</f>
        <v>0</v>
      </c>
      <c r="AR224" s="21">
        <f>SPIKELET_Prod!$Z$30</f>
        <v>0</v>
      </c>
      <c r="AS224" s="58">
        <f>SPIKELET_Prod!$X$31</f>
        <v>0</v>
      </c>
      <c r="AT224" s="21">
        <f>SPIKELET_Prod!$Z$31</f>
        <v>0</v>
      </c>
      <c r="AU224" s="58">
        <f>SPIKELET_Prod!$X$32</f>
        <v>0</v>
      </c>
      <c r="AV224" s="21">
        <f>SPIKELET_Prod!$Z$32</f>
        <v>0</v>
      </c>
      <c r="AW224" s="58">
        <f>SPIKELET_Prod!$X$33</f>
        <v>0</v>
      </c>
      <c r="AX224" s="21">
        <f>SPIKELET_Prod!$Z$33</f>
        <v>0</v>
      </c>
      <c r="AY224" s="58">
        <f>SPIKELET_Prod!$X$34</f>
        <v>0</v>
      </c>
      <c r="AZ224" s="21">
        <f>SPIKELET_Prod!$Z$34</f>
        <v>0</v>
      </c>
      <c r="BA224" s="58">
        <f>SPIKELET_Prod!$X$35</f>
        <v>0</v>
      </c>
      <c r="BB224" s="21">
        <f>SPIKELET_Prod!$Z$35</f>
        <v>0</v>
      </c>
      <c r="BC224" s="58">
        <f>SPIKELET_Prod!$X$36</f>
        <v>0</v>
      </c>
      <c r="BD224" s="21">
        <f>SPIKELET_Prod!$Z$36</f>
        <v>0</v>
      </c>
      <c r="BE224" s="58">
        <f>SPIKELET_Prod!$X$37</f>
        <v>0</v>
      </c>
      <c r="BF224" s="21">
        <f>SPIKELET_Prod!$Z$37</f>
        <v>0</v>
      </c>
      <c r="BG224" s="52" t="s">
        <v>69</v>
      </c>
      <c r="BH224" s="16"/>
    </row>
    <row r="225" spans="1:60">
      <c r="A225" s="20"/>
      <c r="B225" s="10" t="s">
        <v>51</v>
      </c>
      <c r="C225" s="2" t="s">
        <v>357</v>
      </c>
      <c r="D225" s="15" t="s">
        <v>12</v>
      </c>
      <c r="E225" s="9" t="s">
        <v>3</v>
      </c>
      <c r="F225" s="40" t="s">
        <v>6</v>
      </c>
      <c r="G225" s="46">
        <f>SPIKELET_Prod!$AC$9</f>
        <v>1</v>
      </c>
      <c r="H225" s="72">
        <f>SPIKELET_Prod!$AC$10</f>
        <v>4</v>
      </c>
      <c r="I225" s="58">
        <f>SPIKELET_Prod!$AB$13</f>
        <v>0</v>
      </c>
      <c r="J225" s="21">
        <f>SPIKELET_Prod!$AC$13</f>
        <v>0</v>
      </c>
      <c r="K225" s="58">
        <f>SPIKELET_Prod!$AB$14</f>
        <v>70</v>
      </c>
      <c r="L225" s="21">
        <f>SPIKELET_Prod!$AC$14</f>
        <v>80</v>
      </c>
      <c r="M225" s="58">
        <f>SPIKELET_Prod!$AB$15</f>
        <v>80</v>
      </c>
      <c r="N225" s="21">
        <f>SPIKELET_Prod!$AC$15</f>
        <v>100</v>
      </c>
      <c r="O225" s="58">
        <f>SPIKELET_Prod!$AB$16</f>
        <v>90</v>
      </c>
      <c r="P225" s="21">
        <f>SPIKELET_Prod!$AC$16</f>
        <v>120</v>
      </c>
      <c r="Q225" s="58">
        <f>SPIKELET_Prod!$AB$17</f>
        <v>0</v>
      </c>
      <c r="R225" s="21">
        <f>SPIKELET_Prod!$AC$17</f>
        <v>0</v>
      </c>
      <c r="S225" s="58">
        <f>SPIKELET_Prod!$AB$18</f>
        <v>0</v>
      </c>
      <c r="T225" s="21">
        <f>SPIKELET_Prod!$AC$18</f>
        <v>0</v>
      </c>
      <c r="U225" s="58">
        <f>SPIKELET_Prod!$AB$19</f>
        <v>0</v>
      </c>
      <c r="V225" s="21">
        <f>SPIKELET_Prod!$AC$19</f>
        <v>0</v>
      </c>
      <c r="W225" s="58">
        <f>SPIKELET_Prod!$AB$20</f>
        <v>0</v>
      </c>
      <c r="X225" s="21">
        <f>SPIKELET_Prod!$AC$20</f>
        <v>0</v>
      </c>
      <c r="Y225" s="58">
        <f>SPIKELET_Prod!$AB$21</f>
        <v>0</v>
      </c>
      <c r="Z225" s="21">
        <f>SPIKELET_Prod!$AC$21</f>
        <v>0</v>
      </c>
      <c r="AA225" s="58">
        <f>SPIKELET_Prod!$AB$22</f>
        <v>0</v>
      </c>
      <c r="AB225" s="21">
        <f>SPIKELET_Prod!$AC$22</f>
        <v>0</v>
      </c>
      <c r="AC225" s="58">
        <f>SPIKELET_Prod!$AB$23</f>
        <v>0</v>
      </c>
      <c r="AD225" s="21">
        <f>SPIKELET_Prod!$AC$23</f>
        <v>0</v>
      </c>
      <c r="AE225" s="58">
        <f>SPIKELET_Prod!$AB$24</f>
        <v>0</v>
      </c>
      <c r="AF225" s="21">
        <f>SPIKELET_Prod!$AC$24</f>
        <v>0</v>
      </c>
      <c r="AG225" s="58">
        <f>SPIKELET_Prod!$AB$25</f>
        <v>0</v>
      </c>
      <c r="AH225" s="21">
        <f>SPIKELET_Prod!$AC$25</f>
        <v>0</v>
      </c>
      <c r="AI225" s="58">
        <f>SPIKELET_Prod!$AB$26</f>
        <v>0</v>
      </c>
      <c r="AJ225" s="21">
        <f>SPIKELET_Prod!$AC$26</f>
        <v>0</v>
      </c>
      <c r="AK225" s="58">
        <f>SPIKELET_Prod!$AB$27</f>
        <v>0</v>
      </c>
      <c r="AL225" s="21">
        <f>SPIKELET_Prod!$AC$27</f>
        <v>0</v>
      </c>
      <c r="AM225" s="58">
        <f>SPIKELET_Prod!$AB$28</f>
        <v>0</v>
      </c>
      <c r="AN225" s="21">
        <f>SPIKELET_Prod!$AC$28</f>
        <v>0</v>
      </c>
      <c r="AO225" s="58">
        <f>SPIKELET_Prod!$AB$29</f>
        <v>0</v>
      </c>
      <c r="AP225" s="21">
        <f>SPIKELET_Prod!$AC$29</f>
        <v>0</v>
      </c>
      <c r="AQ225" s="58">
        <f>SPIKELET_Prod!$AB$30</f>
        <v>0</v>
      </c>
      <c r="AR225" s="21">
        <f>SPIKELET_Prod!$AC$30</f>
        <v>0</v>
      </c>
      <c r="AS225" s="58">
        <f>SPIKELET_Prod!$AB$31</f>
        <v>0</v>
      </c>
      <c r="AT225" s="21">
        <f>SPIKELET_Prod!$AC$31</f>
        <v>0</v>
      </c>
      <c r="AU225" s="58">
        <f>SPIKELET_Prod!$AB$32</f>
        <v>0</v>
      </c>
      <c r="AV225" s="21">
        <f>SPIKELET_Prod!$AC$32</f>
        <v>0</v>
      </c>
      <c r="AW225" s="58">
        <f>SPIKELET_Prod!$AB$33</f>
        <v>0</v>
      </c>
      <c r="AX225" s="21">
        <f>SPIKELET_Prod!$AC$33</f>
        <v>0</v>
      </c>
      <c r="AY225" s="58">
        <f>SPIKELET_Prod!$AB$34</f>
        <v>0</v>
      </c>
      <c r="AZ225" s="21">
        <f>SPIKELET_Prod!$AC$34</f>
        <v>0</v>
      </c>
      <c r="BA225" s="58">
        <f>SPIKELET_Prod!$AB$35</f>
        <v>0</v>
      </c>
      <c r="BB225" s="21">
        <f>SPIKELET_Prod!$AC$35</f>
        <v>0</v>
      </c>
      <c r="BC225" s="58">
        <f>SPIKELET_Prod!$AB$36</f>
        <v>0</v>
      </c>
      <c r="BD225" s="21">
        <f>SPIKELET_Prod!$AC$36</f>
        <v>0</v>
      </c>
      <c r="BE225" s="58">
        <f>SPIKELET_Prod!$AB$37</f>
        <v>0</v>
      </c>
      <c r="BF225" s="21">
        <f>SPIKELET_Prod!$AC$37</f>
        <v>0</v>
      </c>
      <c r="BG225" s="52" t="s">
        <v>69</v>
      </c>
      <c r="BH225" s="16"/>
    </row>
    <row r="226" spans="1:60">
      <c r="A226" s="20"/>
      <c r="B226" s="11" t="s">
        <v>52</v>
      </c>
      <c r="C226" s="2" t="s">
        <v>53</v>
      </c>
      <c r="D226" s="15" t="s">
        <v>12</v>
      </c>
      <c r="E226" s="9" t="s">
        <v>3</v>
      </c>
      <c r="F226" s="40" t="s">
        <v>6</v>
      </c>
      <c r="G226" s="46">
        <f>SPIKELET_Prod!$AD$9</f>
        <v>1</v>
      </c>
      <c r="H226" s="72">
        <f>SPIKELET_Prod!$AD$10</f>
        <v>4</v>
      </c>
      <c r="I226" s="58">
        <f>SPIKELET_Prod!$AB$13</f>
        <v>0</v>
      </c>
      <c r="J226" s="21">
        <f>SPIKELET_Prod!$AD$13</f>
        <v>0</v>
      </c>
      <c r="K226" s="58">
        <f>SPIKELET_Prod!$AB$14</f>
        <v>70</v>
      </c>
      <c r="L226" s="21">
        <f>SPIKELET_Prod!$AD$14</f>
        <v>8</v>
      </c>
      <c r="M226" s="58">
        <f>SPIKELET_Prod!$AB$15</f>
        <v>80</v>
      </c>
      <c r="N226" s="21">
        <f>SPIKELET_Prod!$AD$15</f>
        <v>10</v>
      </c>
      <c r="O226" s="58">
        <f>SPIKELET_Prod!$AB$16</f>
        <v>90</v>
      </c>
      <c r="P226" s="21">
        <f>SPIKELET_Prod!$AD$16</f>
        <v>12</v>
      </c>
      <c r="Q226" s="58">
        <f>SPIKELET_Prod!$AB$17</f>
        <v>0</v>
      </c>
      <c r="R226" s="21">
        <f>SPIKELET_Prod!$AD$17</f>
        <v>0</v>
      </c>
      <c r="S226" s="58">
        <f>SPIKELET_Prod!$AB$18</f>
        <v>0</v>
      </c>
      <c r="T226" s="21">
        <f>SPIKELET_Prod!$AD$18</f>
        <v>0</v>
      </c>
      <c r="U226" s="58">
        <f>SPIKELET_Prod!$AB$19</f>
        <v>0</v>
      </c>
      <c r="V226" s="21">
        <f>SPIKELET_Prod!$AD$19</f>
        <v>0</v>
      </c>
      <c r="W226" s="58">
        <f>SPIKELET_Prod!$AB$20</f>
        <v>0</v>
      </c>
      <c r="X226" s="21">
        <f>SPIKELET_Prod!$AD$20</f>
        <v>0</v>
      </c>
      <c r="Y226" s="58">
        <f>SPIKELET_Prod!$AB$21</f>
        <v>0</v>
      </c>
      <c r="Z226" s="21">
        <f>SPIKELET_Prod!$AD$21</f>
        <v>0</v>
      </c>
      <c r="AA226" s="58">
        <f>SPIKELET_Prod!$AB$22</f>
        <v>0</v>
      </c>
      <c r="AB226" s="21">
        <f>SPIKELET_Prod!$AD$22</f>
        <v>0</v>
      </c>
      <c r="AC226" s="58">
        <f>SPIKELET_Prod!$AB$23</f>
        <v>0</v>
      </c>
      <c r="AD226" s="21">
        <f>SPIKELET_Prod!$AD$23</f>
        <v>0</v>
      </c>
      <c r="AE226" s="58">
        <f>SPIKELET_Prod!$AB$24</f>
        <v>0</v>
      </c>
      <c r="AF226" s="21">
        <f>SPIKELET_Prod!$AD$24</f>
        <v>0</v>
      </c>
      <c r="AG226" s="58">
        <f>SPIKELET_Prod!$AB$25</f>
        <v>0</v>
      </c>
      <c r="AH226" s="21">
        <f>SPIKELET_Prod!$AD$25</f>
        <v>0</v>
      </c>
      <c r="AI226" s="58">
        <f>SPIKELET_Prod!$AB$26</f>
        <v>0</v>
      </c>
      <c r="AJ226" s="21">
        <f>SPIKELET_Prod!$AD$26</f>
        <v>0</v>
      </c>
      <c r="AK226" s="58">
        <f>SPIKELET_Prod!$AB$27</f>
        <v>0</v>
      </c>
      <c r="AL226" s="21">
        <f>SPIKELET_Prod!$AD$27</f>
        <v>0</v>
      </c>
      <c r="AM226" s="58">
        <f>SPIKELET_Prod!$AB$28</f>
        <v>0</v>
      </c>
      <c r="AN226" s="21">
        <f>SPIKELET_Prod!$AD$28</f>
        <v>0</v>
      </c>
      <c r="AO226" s="58">
        <f>SPIKELET_Prod!$AB$29</f>
        <v>0</v>
      </c>
      <c r="AP226" s="21">
        <f>SPIKELET_Prod!$AD$29</f>
        <v>0</v>
      </c>
      <c r="AQ226" s="58">
        <f>SPIKELET_Prod!$AB$30</f>
        <v>0</v>
      </c>
      <c r="AR226" s="21">
        <f>SPIKELET_Prod!$AD$30</f>
        <v>0</v>
      </c>
      <c r="AS226" s="58">
        <f>SPIKELET_Prod!$AB$31</f>
        <v>0</v>
      </c>
      <c r="AT226" s="21">
        <f>SPIKELET_Prod!$AD$31</f>
        <v>0</v>
      </c>
      <c r="AU226" s="58">
        <f>SPIKELET_Prod!$AB$32</f>
        <v>0</v>
      </c>
      <c r="AV226" s="21">
        <f>SPIKELET_Prod!$AD$32</f>
        <v>0</v>
      </c>
      <c r="AW226" s="58">
        <f>SPIKELET_Prod!$AB$33</f>
        <v>0</v>
      </c>
      <c r="AX226" s="21">
        <f>SPIKELET_Prod!$AD$33</f>
        <v>0</v>
      </c>
      <c r="AY226" s="58">
        <f>SPIKELET_Prod!$AB$34</f>
        <v>0</v>
      </c>
      <c r="AZ226" s="21">
        <f>SPIKELET_Prod!$AD$34</f>
        <v>0</v>
      </c>
      <c r="BA226" s="58">
        <f>SPIKELET_Prod!$AB$35</f>
        <v>0</v>
      </c>
      <c r="BB226" s="21">
        <f>SPIKELET_Prod!$AD$35</f>
        <v>0</v>
      </c>
      <c r="BC226" s="58">
        <f>SPIKELET_Prod!$AB$36</f>
        <v>0</v>
      </c>
      <c r="BD226" s="21">
        <f>SPIKELET_Prod!$AD$36</f>
        <v>0</v>
      </c>
      <c r="BE226" s="58">
        <f>SPIKELET_Prod!$AB$37</f>
        <v>0</v>
      </c>
      <c r="BF226" s="21">
        <f>SPIKELET_Prod!$AD$37</f>
        <v>0</v>
      </c>
      <c r="BG226" s="52" t="s">
        <v>69</v>
      </c>
      <c r="BH226" s="16"/>
    </row>
    <row r="227" spans="1:60">
      <c r="A227" s="20"/>
      <c r="B227" s="10" t="s">
        <v>40</v>
      </c>
      <c r="C227" s="213" t="s">
        <v>753</v>
      </c>
      <c r="D227" s="15" t="s">
        <v>12</v>
      </c>
      <c r="E227" s="2" t="s">
        <v>3</v>
      </c>
      <c r="F227" s="40" t="s">
        <v>6</v>
      </c>
      <c r="G227" s="46">
        <f>SPIKELET_Prod!$AG$9</f>
        <v>1</v>
      </c>
      <c r="H227" s="72">
        <f>SPIKELET_Prod!$AG$10</f>
        <v>3</v>
      </c>
      <c r="I227" s="58">
        <f>SPIKELET_Prod!$AF$13</f>
        <v>0</v>
      </c>
      <c r="J227" s="21">
        <f>SPIKELET_Prod!$AG$13</f>
        <v>0</v>
      </c>
      <c r="K227" s="58">
        <f>SPIKELET_Prod!$AF$14</f>
        <v>70</v>
      </c>
      <c r="L227" s="21">
        <f>SPIKELET_Prod!$AG$14</f>
        <v>20</v>
      </c>
      <c r="M227" s="58">
        <f>SPIKELET_Prod!$AF$15</f>
        <v>100</v>
      </c>
      <c r="N227" s="21">
        <f>SPIKELET_Prod!$AG$15</f>
        <v>10</v>
      </c>
      <c r="O227" s="58">
        <f>SPIKELET_Prod!$AF$16</f>
        <v>0</v>
      </c>
      <c r="P227" s="21">
        <f>SPIKELET_Prod!$AG$16</f>
        <v>0</v>
      </c>
      <c r="Q227" s="58">
        <f>SPIKELET_Prod!$AF$17</f>
        <v>0</v>
      </c>
      <c r="R227" s="21">
        <f>SPIKELET_Prod!$AG$17</f>
        <v>0</v>
      </c>
      <c r="S227" s="58">
        <f>SPIKELET_Prod!$AF$18</f>
        <v>0</v>
      </c>
      <c r="T227" s="21">
        <f>SPIKELET_Prod!$AG$18</f>
        <v>0</v>
      </c>
      <c r="U227" s="58">
        <f>SPIKELET_Prod!$AF$19</f>
        <v>0</v>
      </c>
      <c r="V227" s="21">
        <f>SPIKELET_Prod!$AG$19</f>
        <v>0</v>
      </c>
      <c r="W227" s="58">
        <f>SPIKELET_Prod!$AF$20</f>
        <v>0</v>
      </c>
      <c r="X227" s="21">
        <f>SPIKELET_Prod!$AG$20</f>
        <v>0</v>
      </c>
      <c r="Y227" s="58">
        <f>SPIKELET_Prod!$AF$21</f>
        <v>0</v>
      </c>
      <c r="Z227" s="21">
        <f>SPIKELET_Prod!$AG$21</f>
        <v>0</v>
      </c>
      <c r="AA227" s="58">
        <f>SPIKELET_Prod!$AF$22</f>
        <v>0</v>
      </c>
      <c r="AB227" s="21">
        <f>SPIKELET_Prod!$AG$22</f>
        <v>0</v>
      </c>
      <c r="AC227" s="58">
        <f>SPIKELET_Prod!$AF$23</f>
        <v>0</v>
      </c>
      <c r="AD227" s="21">
        <f>SPIKELET_Prod!$AG$23</f>
        <v>0</v>
      </c>
      <c r="AE227" s="58">
        <f>SPIKELET_Prod!$AF$24</f>
        <v>0</v>
      </c>
      <c r="AF227" s="21">
        <f>SPIKELET_Prod!$AG$24</f>
        <v>0</v>
      </c>
      <c r="AG227" s="58">
        <f>SPIKELET_Prod!$AF$25</f>
        <v>0</v>
      </c>
      <c r="AH227" s="21">
        <f>SPIKELET_Prod!$AG$25</f>
        <v>0</v>
      </c>
      <c r="AI227" s="58">
        <f>SPIKELET_Prod!$AF$26</f>
        <v>0</v>
      </c>
      <c r="AJ227" s="21">
        <f>SPIKELET_Prod!$AG$26</f>
        <v>0</v>
      </c>
      <c r="AK227" s="58">
        <f>SPIKELET_Prod!$AF$27</f>
        <v>0</v>
      </c>
      <c r="AL227" s="21">
        <f>SPIKELET_Prod!$AG$27</f>
        <v>0</v>
      </c>
      <c r="AM227" s="58">
        <f>SPIKELET_Prod!$AF$28</f>
        <v>0</v>
      </c>
      <c r="AN227" s="21">
        <f>SPIKELET_Prod!$AG$28</f>
        <v>0</v>
      </c>
      <c r="AO227" s="58">
        <f>SPIKELET_Prod!$AF$29</f>
        <v>0</v>
      </c>
      <c r="AP227" s="21">
        <f>SPIKELET_Prod!$AG$29</f>
        <v>0</v>
      </c>
      <c r="AQ227" s="58">
        <f>SPIKELET_Prod!$AF$30</f>
        <v>0</v>
      </c>
      <c r="AR227" s="21">
        <f>SPIKELET_Prod!$AG$30</f>
        <v>0</v>
      </c>
      <c r="AS227" s="58">
        <f>SPIKELET_Prod!$AF$31</f>
        <v>0</v>
      </c>
      <c r="AT227" s="21">
        <f>SPIKELET_Prod!$AG$31</f>
        <v>0</v>
      </c>
      <c r="AU227" s="58">
        <f>SPIKELET_Prod!$AF$32</f>
        <v>0</v>
      </c>
      <c r="AV227" s="21">
        <f>SPIKELET_Prod!$AG$32</f>
        <v>0</v>
      </c>
      <c r="AW227" s="58">
        <f>SPIKELET_Prod!$AF$33</f>
        <v>0</v>
      </c>
      <c r="AX227" s="21">
        <f>SPIKELET_Prod!$AG$33</f>
        <v>0</v>
      </c>
      <c r="AY227" s="58">
        <f>SPIKELET_Prod!$AF$34</f>
        <v>0</v>
      </c>
      <c r="AZ227" s="21">
        <f>SPIKELET_Prod!$AG$34</f>
        <v>0</v>
      </c>
      <c r="BA227" s="58">
        <f>SPIKELET_Prod!$AF$35</f>
        <v>0</v>
      </c>
      <c r="BB227" s="21">
        <f>SPIKELET_Prod!$AG$35</f>
        <v>0</v>
      </c>
      <c r="BC227" s="58">
        <f>SPIKELET_Prod!$AF$36</f>
        <v>0</v>
      </c>
      <c r="BD227" s="21">
        <f>SPIKELET_Prod!$AG$36</f>
        <v>0</v>
      </c>
      <c r="BE227" s="58">
        <f>SPIKELET_Prod!$AF$37</f>
        <v>0</v>
      </c>
      <c r="BF227" s="21">
        <f>SPIKELET_Prod!$AG$37</f>
        <v>0</v>
      </c>
      <c r="BG227" s="52" t="s">
        <v>69</v>
      </c>
      <c r="BH227" s="16"/>
    </row>
    <row r="228" spans="1:60">
      <c r="A228" s="20"/>
      <c r="B228" s="11" t="s">
        <v>41</v>
      </c>
      <c r="C228" s="213" t="s">
        <v>754</v>
      </c>
      <c r="D228" s="15" t="s">
        <v>12</v>
      </c>
      <c r="E228" s="9" t="s">
        <v>3</v>
      </c>
      <c r="F228" s="40" t="s">
        <v>6</v>
      </c>
      <c r="G228" s="46">
        <f>SPIKELET_Prod!$AH$9</f>
        <v>1</v>
      </c>
      <c r="H228" s="72">
        <f>SPIKELET_Prod!$AH$10</f>
        <v>3</v>
      </c>
      <c r="I228" s="58">
        <f>SPIKELET_Prod!$AF$13</f>
        <v>0</v>
      </c>
      <c r="J228" s="21">
        <f>SPIKELET_Prod!$AH$13</f>
        <v>0</v>
      </c>
      <c r="K228" s="58">
        <f>SPIKELET_Prod!$AF$14</f>
        <v>70</v>
      </c>
      <c r="L228" s="21">
        <f>SPIKELET_Prod!$AH$14</f>
        <v>2</v>
      </c>
      <c r="M228" s="58">
        <f>SPIKELET_Prod!$AF$15</f>
        <v>100</v>
      </c>
      <c r="N228" s="21">
        <f>SPIKELET_Prod!$AH$15</f>
        <v>1</v>
      </c>
      <c r="O228" s="58">
        <f>SPIKELET_Prod!$AF$16</f>
        <v>0</v>
      </c>
      <c r="P228" s="21">
        <f>SPIKELET_Prod!$AH$16</f>
        <v>0</v>
      </c>
      <c r="Q228" s="58">
        <f>SPIKELET_Prod!$AF$17</f>
        <v>0</v>
      </c>
      <c r="R228" s="21">
        <f>SPIKELET_Prod!$AH$17</f>
        <v>0</v>
      </c>
      <c r="S228" s="58">
        <f>SPIKELET_Prod!$AF$18</f>
        <v>0</v>
      </c>
      <c r="T228" s="21">
        <f>SPIKELET_Prod!$AH$18</f>
        <v>0</v>
      </c>
      <c r="U228" s="58">
        <f>SPIKELET_Prod!$AF$19</f>
        <v>0</v>
      </c>
      <c r="V228" s="21">
        <f>SPIKELET_Prod!$AH$19</f>
        <v>0</v>
      </c>
      <c r="W228" s="58">
        <f>SPIKELET_Prod!$AF$20</f>
        <v>0</v>
      </c>
      <c r="X228" s="21">
        <f>SPIKELET_Prod!$AH$20</f>
        <v>0</v>
      </c>
      <c r="Y228" s="58">
        <f>SPIKELET_Prod!$AF$21</f>
        <v>0</v>
      </c>
      <c r="Z228" s="21">
        <f>SPIKELET_Prod!$AH$21</f>
        <v>0</v>
      </c>
      <c r="AA228" s="58">
        <f>SPIKELET_Prod!$AF$22</f>
        <v>0</v>
      </c>
      <c r="AB228" s="21">
        <f>SPIKELET_Prod!$AH$22</f>
        <v>0</v>
      </c>
      <c r="AC228" s="58">
        <f>SPIKELET_Prod!$AF$23</f>
        <v>0</v>
      </c>
      <c r="AD228" s="21">
        <f>SPIKELET_Prod!$AH$23</f>
        <v>0</v>
      </c>
      <c r="AE228" s="58">
        <f>SPIKELET_Prod!$AF$24</f>
        <v>0</v>
      </c>
      <c r="AF228" s="21">
        <f>SPIKELET_Prod!$AH$24</f>
        <v>0</v>
      </c>
      <c r="AG228" s="58">
        <f>SPIKELET_Prod!$AF$25</f>
        <v>0</v>
      </c>
      <c r="AH228" s="21">
        <f>SPIKELET_Prod!$AH$25</f>
        <v>0</v>
      </c>
      <c r="AI228" s="58">
        <f>SPIKELET_Prod!$AF$26</f>
        <v>0</v>
      </c>
      <c r="AJ228" s="21">
        <f>SPIKELET_Prod!$AH$26</f>
        <v>0</v>
      </c>
      <c r="AK228" s="58">
        <f>SPIKELET_Prod!$AF$27</f>
        <v>0</v>
      </c>
      <c r="AL228" s="21">
        <f>SPIKELET_Prod!$AH$27</f>
        <v>0</v>
      </c>
      <c r="AM228" s="58">
        <f>SPIKELET_Prod!$AF$28</f>
        <v>0</v>
      </c>
      <c r="AN228" s="21">
        <f>SPIKELET_Prod!$AH$28</f>
        <v>0</v>
      </c>
      <c r="AO228" s="58">
        <f>SPIKELET_Prod!$AF$29</f>
        <v>0</v>
      </c>
      <c r="AP228" s="21">
        <f>SPIKELET_Prod!$AH$29</f>
        <v>0</v>
      </c>
      <c r="AQ228" s="58">
        <f>SPIKELET_Prod!$AF$30</f>
        <v>0</v>
      </c>
      <c r="AR228" s="21">
        <f>SPIKELET_Prod!$AH$30</f>
        <v>0</v>
      </c>
      <c r="AS228" s="58">
        <f>SPIKELET_Prod!$AF$31</f>
        <v>0</v>
      </c>
      <c r="AT228" s="21">
        <f>SPIKELET_Prod!$AH$31</f>
        <v>0</v>
      </c>
      <c r="AU228" s="58">
        <f>SPIKELET_Prod!$AF$32</f>
        <v>0</v>
      </c>
      <c r="AV228" s="21">
        <f>SPIKELET_Prod!$AH$32</f>
        <v>0</v>
      </c>
      <c r="AW228" s="58">
        <f>SPIKELET_Prod!$AF$33</f>
        <v>0</v>
      </c>
      <c r="AX228" s="21">
        <f>SPIKELET_Prod!$AH$33</f>
        <v>0</v>
      </c>
      <c r="AY228" s="58">
        <f>SPIKELET_Prod!$AF$34</f>
        <v>0</v>
      </c>
      <c r="AZ228" s="21">
        <f>SPIKELET_Prod!$AH$34</f>
        <v>0</v>
      </c>
      <c r="BA228" s="58">
        <f>SPIKELET_Prod!$AF$35</f>
        <v>0</v>
      </c>
      <c r="BB228" s="21">
        <f>SPIKELET_Prod!$AH$35</f>
        <v>0</v>
      </c>
      <c r="BC228" s="58">
        <f>SPIKELET_Prod!$AF$36</f>
        <v>0</v>
      </c>
      <c r="BD228" s="21">
        <f>SPIKELET_Prod!$AH$36</f>
        <v>0</v>
      </c>
      <c r="BE228" s="58">
        <f>SPIKELET_Prod!$AF$37</f>
        <v>0</v>
      </c>
      <c r="BF228" s="21">
        <f>SPIKELET_Prod!$AH$37</f>
        <v>0</v>
      </c>
      <c r="BG228" s="52" t="s">
        <v>69</v>
      </c>
      <c r="BH228" s="16"/>
    </row>
    <row r="229" spans="1:60">
      <c r="A229" s="20"/>
      <c r="B229" s="11" t="s">
        <v>683</v>
      </c>
      <c r="C229" s="213" t="s">
        <v>959</v>
      </c>
      <c r="D229" s="69" t="s">
        <v>12</v>
      </c>
      <c r="E229" s="2" t="s">
        <v>9</v>
      </c>
      <c r="F229" s="40" t="s">
        <v>304</v>
      </c>
      <c r="G229" s="46">
        <f>SPIKELET_Prod!$AJ$9</f>
        <v>1</v>
      </c>
      <c r="H229" s="72">
        <f>SPIKELET_Prod!$AJ$10</f>
        <v>3</v>
      </c>
      <c r="I229" s="76">
        <f>SPIKELET_Prod!$AI$13</f>
        <v>1</v>
      </c>
      <c r="J229" s="21">
        <f>SPIKELET_Prod!$AJ$13</f>
        <v>0.5</v>
      </c>
      <c r="K229" s="76">
        <f>SPIKELET_Prod!$AI$14</f>
        <v>13</v>
      </c>
      <c r="L229" s="21">
        <f>SPIKELET_Prod!$AJ$14</f>
        <v>0.5</v>
      </c>
      <c r="M229" s="76">
        <f>SPIKELET_Prod!$AI$15</f>
        <v>17</v>
      </c>
      <c r="N229" s="21">
        <f>SPIKELET_Prod!$AJ$15</f>
        <v>1</v>
      </c>
      <c r="O229" s="76">
        <f>SPIKELET_Prod!$AI$16</f>
        <v>0</v>
      </c>
      <c r="P229" s="21">
        <f>SPIKELET_Prod!$AJ$16</f>
        <v>0</v>
      </c>
      <c r="Q229" s="76">
        <f>SPIKELET_Prod!$AI$17</f>
        <v>0</v>
      </c>
      <c r="R229" s="21">
        <f>SPIKELET_Prod!$AJ$17</f>
        <v>0</v>
      </c>
      <c r="S229" s="76">
        <f>SPIKELET_Prod!$AI$18</f>
        <v>0</v>
      </c>
      <c r="T229" s="21">
        <f>SPIKELET_Prod!$AJ$18</f>
        <v>0</v>
      </c>
      <c r="U229" s="76">
        <f>SPIKELET_Prod!$AI$19</f>
        <v>0</v>
      </c>
      <c r="V229" s="21">
        <f>SPIKELET_Prod!$AJ$19</f>
        <v>0</v>
      </c>
      <c r="W229" s="76">
        <f>SPIKELET_Prod!$AI$20</f>
        <v>0</v>
      </c>
      <c r="X229" s="21">
        <f>SPIKELET_Prod!$AJ$20</f>
        <v>0</v>
      </c>
      <c r="Y229" s="76">
        <f>SPIKELET_Prod!$AI$21</f>
        <v>0</v>
      </c>
      <c r="Z229" s="21">
        <f>SPIKELET_Prod!$AJ$21</f>
        <v>0</v>
      </c>
      <c r="AA229" s="76">
        <f>SPIKELET_Prod!$AI$22</f>
        <v>0</v>
      </c>
      <c r="AB229" s="21">
        <f>SPIKELET_Prod!$AJ$22</f>
        <v>0</v>
      </c>
      <c r="AC229" s="76">
        <f>SPIKELET_Prod!$AI$23</f>
        <v>0</v>
      </c>
      <c r="AD229" s="21">
        <f>SPIKELET_Prod!$AJ$23</f>
        <v>0</v>
      </c>
      <c r="AE229" s="76">
        <f>SPIKELET_Prod!$AI$24</f>
        <v>0</v>
      </c>
      <c r="AF229" s="21">
        <f>SPIKELET_Prod!$AJ$24</f>
        <v>0</v>
      </c>
      <c r="AG229" s="76">
        <f>SPIKELET_Prod!$AI$25</f>
        <v>0</v>
      </c>
      <c r="AH229" s="21">
        <f>SPIKELET_Prod!$AJ$25</f>
        <v>0</v>
      </c>
      <c r="AI229" s="76">
        <f>SPIKELET_Prod!$AI$26</f>
        <v>0</v>
      </c>
      <c r="AJ229" s="21">
        <f>SPIKELET_Prod!$AJ$26</f>
        <v>0</v>
      </c>
      <c r="AK229" s="76">
        <f>SPIKELET_Prod!$AI$27</f>
        <v>0</v>
      </c>
      <c r="AL229" s="21">
        <f>SPIKELET_Prod!$AJ$27</f>
        <v>0</v>
      </c>
      <c r="AM229" s="76">
        <f>SPIKELET_Prod!$AI$28</f>
        <v>0</v>
      </c>
      <c r="AN229" s="21">
        <f>SPIKELET_Prod!$AJ$28</f>
        <v>0</v>
      </c>
      <c r="AO229" s="76">
        <f>SPIKELET_Prod!$AI$29</f>
        <v>0</v>
      </c>
      <c r="AP229" s="21">
        <f>SPIKELET_Prod!$AJ$29</f>
        <v>0</v>
      </c>
      <c r="AQ229" s="76">
        <f>SPIKELET_Prod!$AI$30</f>
        <v>0</v>
      </c>
      <c r="AR229" s="21">
        <f>SPIKELET_Prod!$AJ$30</f>
        <v>0</v>
      </c>
      <c r="AS229" s="76">
        <f>SPIKELET_Prod!$AI$31</f>
        <v>0</v>
      </c>
      <c r="AT229" s="21">
        <f>SPIKELET_Prod!$AJ$31</f>
        <v>0</v>
      </c>
      <c r="AU229" s="76">
        <f>SPIKELET_Prod!$AI$32</f>
        <v>0</v>
      </c>
      <c r="AV229" s="21">
        <f>SPIKELET_Prod!$AJ$32</f>
        <v>0</v>
      </c>
      <c r="AW229" s="76">
        <f>SPIKELET_Prod!$AI$33</f>
        <v>0</v>
      </c>
      <c r="AX229" s="21">
        <f>SPIKELET_Prod!$AJ$33</f>
        <v>0</v>
      </c>
      <c r="AY229" s="76">
        <f>SPIKELET_Prod!$AI$34</f>
        <v>0</v>
      </c>
      <c r="AZ229" s="21">
        <f>SPIKELET_Prod!$AJ$34</f>
        <v>0</v>
      </c>
      <c r="BA229" s="76">
        <f>SPIKELET_Prod!$AI$35</f>
        <v>0</v>
      </c>
      <c r="BB229" s="21">
        <f>SPIKELET_Prod!$AJ$35</f>
        <v>0</v>
      </c>
      <c r="BC229" s="76">
        <f>SPIKELET_Prod!$AI$36</f>
        <v>0</v>
      </c>
      <c r="BD229" s="21">
        <f>SPIKELET_Prod!$AJ$36</f>
        <v>0</v>
      </c>
      <c r="BE229" s="76">
        <f>SPIKELET_Prod!$AI$37</f>
        <v>0</v>
      </c>
      <c r="BF229" s="21">
        <f>SPIKELET_Prod!$AJ$37</f>
        <v>0</v>
      </c>
      <c r="BG229" s="52" t="s">
        <v>69</v>
      </c>
    </row>
    <row r="230" spans="1:60">
      <c r="A230" s="20"/>
      <c r="B230" s="10" t="s">
        <v>250</v>
      </c>
      <c r="C230" s="213" t="s">
        <v>960</v>
      </c>
      <c r="D230" s="15" t="s">
        <v>12</v>
      </c>
      <c r="E230" s="9" t="s">
        <v>3</v>
      </c>
      <c r="F230" s="40" t="s">
        <v>308</v>
      </c>
      <c r="G230" s="46">
        <f>SPIKELET_Prod!$AM$9</f>
        <v>1</v>
      </c>
      <c r="H230" s="72">
        <f>SPIKELET_Prod!$AM$10</f>
        <v>3</v>
      </c>
      <c r="I230" s="58">
        <f>SPIKELET_Prod!$AL$13</f>
        <v>0</v>
      </c>
      <c r="J230" s="21">
        <f>SPIKELET_Prod!$AM$13</f>
        <v>0</v>
      </c>
      <c r="K230" s="58">
        <f>SPIKELET_Prod!$AL$14</f>
        <v>70</v>
      </c>
      <c r="L230" s="21">
        <f>SPIKELET_Prod!$AM$14</f>
        <v>30</v>
      </c>
      <c r="M230" s="58">
        <f>SPIKELET_Prod!$AL$15</f>
        <v>100</v>
      </c>
      <c r="N230" s="21">
        <f>SPIKELET_Prod!$AM$15</f>
        <v>10</v>
      </c>
      <c r="O230" s="58">
        <f>SPIKELET_Prod!$AL$16</f>
        <v>0</v>
      </c>
      <c r="P230" s="21">
        <f>SPIKELET_Prod!$AM$16</f>
        <v>0</v>
      </c>
      <c r="Q230" s="58">
        <f>SPIKELET_Prod!$AL$17</f>
        <v>0</v>
      </c>
      <c r="R230" s="21">
        <f>SPIKELET_Prod!$AM$17</f>
        <v>0</v>
      </c>
      <c r="S230" s="58">
        <f>SPIKELET_Prod!$AL$18</f>
        <v>0</v>
      </c>
      <c r="T230" s="21">
        <f>SPIKELET_Prod!$AM$18</f>
        <v>0</v>
      </c>
      <c r="U230" s="58">
        <f>SPIKELET_Prod!$AL$19</f>
        <v>0</v>
      </c>
      <c r="V230" s="21">
        <f>SPIKELET_Prod!$AM$19</f>
        <v>0</v>
      </c>
      <c r="W230" s="58">
        <f>SPIKELET_Prod!$AL$20</f>
        <v>0</v>
      </c>
      <c r="X230" s="21">
        <f>SPIKELET_Prod!$AM$20</f>
        <v>0</v>
      </c>
      <c r="Y230" s="58">
        <f>SPIKELET_Prod!$AL$21</f>
        <v>0</v>
      </c>
      <c r="Z230" s="21">
        <f>SPIKELET_Prod!$AM$21</f>
        <v>0</v>
      </c>
      <c r="AA230" s="58">
        <f>SPIKELET_Prod!$AL$22</f>
        <v>0</v>
      </c>
      <c r="AB230" s="21">
        <f>SPIKELET_Prod!$AM$22</f>
        <v>0</v>
      </c>
      <c r="AC230" s="58">
        <f>SPIKELET_Prod!$AL$23</f>
        <v>0</v>
      </c>
      <c r="AD230" s="21">
        <f>SPIKELET_Prod!$AM$23</f>
        <v>0</v>
      </c>
      <c r="AE230" s="58">
        <f>SPIKELET_Prod!$AL$24</f>
        <v>0</v>
      </c>
      <c r="AF230" s="21">
        <f>SPIKELET_Prod!$AM$24</f>
        <v>0</v>
      </c>
      <c r="AG230" s="58">
        <f>SPIKELET_Prod!$AL$25</f>
        <v>0</v>
      </c>
      <c r="AH230" s="21">
        <f>SPIKELET_Prod!$AM$25</f>
        <v>0</v>
      </c>
      <c r="AI230" s="58">
        <f>SPIKELET_Prod!$AL$26</f>
        <v>0</v>
      </c>
      <c r="AJ230" s="21">
        <f>SPIKELET_Prod!$AM$26</f>
        <v>0</v>
      </c>
      <c r="AK230" s="58">
        <f>SPIKELET_Prod!$AL$27</f>
        <v>0</v>
      </c>
      <c r="AL230" s="21">
        <f>SPIKELET_Prod!$AM$27</f>
        <v>0</v>
      </c>
      <c r="AM230" s="58">
        <f>SPIKELET_Prod!$AL$28</f>
        <v>0</v>
      </c>
      <c r="AN230" s="21">
        <f>SPIKELET_Prod!$AM$28</f>
        <v>0</v>
      </c>
      <c r="AO230" s="58">
        <f>SPIKELET_Prod!$AL$29</f>
        <v>0</v>
      </c>
      <c r="AP230" s="21">
        <f>SPIKELET_Prod!$AM$29</f>
        <v>0</v>
      </c>
      <c r="AQ230" s="58">
        <f>SPIKELET_Prod!$AL$30</f>
        <v>0</v>
      </c>
      <c r="AR230" s="21">
        <f>SPIKELET_Prod!$AM$30</f>
        <v>0</v>
      </c>
      <c r="AS230" s="58">
        <f>SPIKELET_Prod!$AL$31</f>
        <v>0</v>
      </c>
      <c r="AT230" s="21">
        <f>SPIKELET_Prod!$AM$31</f>
        <v>0</v>
      </c>
      <c r="AU230" s="58">
        <f>SPIKELET_Prod!$AL$32</f>
        <v>0</v>
      </c>
      <c r="AV230" s="21">
        <f>SPIKELET_Prod!$AM$32</f>
        <v>0</v>
      </c>
      <c r="AW230" s="58">
        <f>SPIKELET_Prod!$AL$33</f>
        <v>0</v>
      </c>
      <c r="AX230" s="21">
        <f>SPIKELET_Prod!$AM$33</f>
        <v>0</v>
      </c>
      <c r="AY230" s="58">
        <f>SPIKELET_Prod!$AL$34</f>
        <v>0</v>
      </c>
      <c r="AZ230" s="21">
        <f>SPIKELET_Prod!$AM$34</f>
        <v>0</v>
      </c>
      <c r="BA230" s="58">
        <f>SPIKELET_Prod!$AL$35</f>
        <v>0</v>
      </c>
      <c r="BB230" s="21">
        <f>SPIKELET_Prod!$AM$35</f>
        <v>0</v>
      </c>
      <c r="BC230" s="58">
        <f>SPIKELET_Prod!$AL$36</f>
        <v>0</v>
      </c>
      <c r="BD230" s="21">
        <f>SPIKELET_Prod!$AM$36</f>
        <v>0</v>
      </c>
      <c r="BE230" s="58">
        <f>SPIKELET_Prod!$AL$37</f>
        <v>0</v>
      </c>
      <c r="BF230" s="21">
        <f>SPIKELET_Prod!$AM$37</f>
        <v>0</v>
      </c>
      <c r="BG230" s="52" t="s">
        <v>69</v>
      </c>
      <c r="BH230" s="16"/>
    </row>
    <row r="231" spans="1:60">
      <c r="A231" s="20"/>
      <c r="B231" s="11" t="s">
        <v>251</v>
      </c>
      <c r="C231" s="213" t="s">
        <v>961</v>
      </c>
      <c r="D231" s="15" t="s">
        <v>12</v>
      </c>
      <c r="E231" s="9" t="s">
        <v>3</v>
      </c>
      <c r="F231" s="40" t="s">
        <v>308</v>
      </c>
      <c r="G231" s="46">
        <f>SPIKELET_Prod!$AN$9</f>
        <v>1</v>
      </c>
      <c r="H231" s="72">
        <f>SPIKELET_Prod!$AN$10</f>
        <v>3</v>
      </c>
      <c r="I231" s="58">
        <f>SPIKELET_Prod!$AL$13</f>
        <v>0</v>
      </c>
      <c r="J231" s="21">
        <f>SPIKELET_Prod!$AN$13</f>
        <v>0</v>
      </c>
      <c r="K231" s="58">
        <f>SPIKELET_Prod!$AL$14</f>
        <v>70</v>
      </c>
      <c r="L231" s="21">
        <f>SPIKELET_Prod!$AN$14</f>
        <v>3</v>
      </c>
      <c r="M231" s="58">
        <f>SPIKELET_Prod!$AL$15</f>
        <v>100</v>
      </c>
      <c r="N231" s="21">
        <f>SPIKELET_Prod!$AN$15</f>
        <v>1</v>
      </c>
      <c r="O231" s="58">
        <f>SPIKELET_Prod!$AL$16</f>
        <v>0</v>
      </c>
      <c r="P231" s="21">
        <f>SPIKELET_Prod!$AN$16</f>
        <v>0</v>
      </c>
      <c r="Q231" s="58">
        <f>SPIKELET_Prod!$AL$17</f>
        <v>0</v>
      </c>
      <c r="R231" s="21">
        <f>SPIKELET_Prod!$AN$17</f>
        <v>0</v>
      </c>
      <c r="S231" s="58">
        <f>SPIKELET_Prod!$AL$18</f>
        <v>0</v>
      </c>
      <c r="T231" s="21">
        <f>SPIKELET_Prod!$AN$18</f>
        <v>0</v>
      </c>
      <c r="U231" s="58">
        <f>SPIKELET_Prod!$AL$19</f>
        <v>0</v>
      </c>
      <c r="V231" s="21">
        <f>SPIKELET_Prod!$AN$19</f>
        <v>0</v>
      </c>
      <c r="W231" s="58">
        <f>SPIKELET_Prod!$AL$20</f>
        <v>0</v>
      </c>
      <c r="X231" s="21">
        <f>SPIKELET_Prod!$AN$20</f>
        <v>0</v>
      </c>
      <c r="Y231" s="58">
        <f>SPIKELET_Prod!$AL$21</f>
        <v>0</v>
      </c>
      <c r="Z231" s="21">
        <f>SPIKELET_Prod!$AN$21</f>
        <v>0</v>
      </c>
      <c r="AA231" s="58">
        <f>SPIKELET_Prod!$AL$22</f>
        <v>0</v>
      </c>
      <c r="AB231" s="21">
        <f>SPIKELET_Prod!$AN$22</f>
        <v>0</v>
      </c>
      <c r="AC231" s="58">
        <f>SPIKELET_Prod!$AL$23</f>
        <v>0</v>
      </c>
      <c r="AD231" s="21">
        <f>SPIKELET_Prod!$AN$23</f>
        <v>0</v>
      </c>
      <c r="AE231" s="58">
        <f>SPIKELET_Prod!$AL$24</f>
        <v>0</v>
      </c>
      <c r="AF231" s="21">
        <f>SPIKELET_Prod!$AN$24</f>
        <v>0</v>
      </c>
      <c r="AG231" s="58">
        <f>SPIKELET_Prod!$AL$25</f>
        <v>0</v>
      </c>
      <c r="AH231" s="21">
        <f>SPIKELET_Prod!$AN$25</f>
        <v>0</v>
      </c>
      <c r="AI231" s="58">
        <f>SPIKELET_Prod!$AL$26</f>
        <v>0</v>
      </c>
      <c r="AJ231" s="21">
        <f>SPIKELET_Prod!$AN$26</f>
        <v>0</v>
      </c>
      <c r="AK231" s="58">
        <f>SPIKELET_Prod!$AL$27</f>
        <v>0</v>
      </c>
      <c r="AL231" s="21">
        <f>SPIKELET_Prod!$AN$27</f>
        <v>0</v>
      </c>
      <c r="AM231" s="58">
        <f>SPIKELET_Prod!$AL$28</f>
        <v>0</v>
      </c>
      <c r="AN231" s="21">
        <f>SPIKELET_Prod!$AN$28</f>
        <v>0</v>
      </c>
      <c r="AO231" s="58">
        <f>SPIKELET_Prod!$AL$29</f>
        <v>0</v>
      </c>
      <c r="AP231" s="21">
        <f>SPIKELET_Prod!$AN$29</f>
        <v>0</v>
      </c>
      <c r="AQ231" s="58">
        <f>SPIKELET_Prod!$AL$30</f>
        <v>0</v>
      </c>
      <c r="AR231" s="21">
        <f>SPIKELET_Prod!$AN$30</f>
        <v>0</v>
      </c>
      <c r="AS231" s="58">
        <f>SPIKELET_Prod!$AL$31</f>
        <v>0</v>
      </c>
      <c r="AT231" s="21">
        <f>SPIKELET_Prod!$AN$31</f>
        <v>0</v>
      </c>
      <c r="AU231" s="58">
        <f>SPIKELET_Prod!$AL$32</f>
        <v>0</v>
      </c>
      <c r="AV231" s="21">
        <f>SPIKELET_Prod!$AN$32</f>
        <v>0</v>
      </c>
      <c r="AW231" s="58">
        <f>SPIKELET_Prod!$AL$33</f>
        <v>0</v>
      </c>
      <c r="AX231" s="21">
        <f>SPIKELET_Prod!$AN$33</f>
        <v>0</v>
      </c>
      <c r="AY231" s="58">
        <f>SPIKELET_Prod!$AL$34</f>
        <v>0</v>
      </c>
      <c r="AZ231" s="21">
        <f>SPIKELET_Prod!$AN$34</f>
        <v>0</v>
      </c>
      <c r="BA231" s="58">
        <f>SPIKELET_Prod!$AL$35</f>
        <v>0</v>
      </c>
      <c r="BB231" s="21">
        <f>SPIKELET_Prod!$AN$35</f>
        <v>0</v>
      </c>
      <c r="BC231" s="58">
        <f>SPIKELET_Prod!$AL$36</f>
        <v>0</v>
      </c>
      <c r="BD231" s="21">
        <f>SPIKELET_Prod!$AN$36</f>
        <v>0</v>
      </c>
      <c r="BE231" s="58">
        <f>SPIKELET_Prod!$AL$37</f>
        <v>0</v>
      </c>
      <c r="BF231" s="21">
        <f>SPIKELET_Prod!$AN$37</f>
        <v>0</v>
      </c>
      <c r="BG231" s="52" t="s">
        <v>69</v>
      </c>
      <c r="BH231" s="16"/>
    </row>
    <row r="232" spans="1:60">
      <c r="A232" s="20"/>
      <c r="B232" s="11" t="s">
        <v>298</v>
      </c>
      <c r="C232" s="213" t="s">
        <v>962</v>
      </c>
      <c r="D232" s="15" t="s">
        <v>12</v>
      </c>
      <c r="E232" s="9" t="s">
        <v>3</v>
      </c>
      <c r="F232" s="40" t="s">
        <v>6</v>
      </c>
      <c r="G232" s="46">
        <f>SPIKELET_Prod!$AO$9</f>
        <v>1</v>
      </c>
      <c r="H232" s="72">
        <f>SPIKELET_Prod!$AO$10</f>
        <v>3</v>
      </c>
      <c r="I232" s="58">
        <f>SPIKELET_Prod!$AL$13</f>
        <v>0</v>
      </c>
      <c r="J232" s="21">
        <f>SPIKELET_Prod!$AO$13</f>
        <v>0</v>
      </c>
      <c r="K232" s="58">
        <f>SPIKELET_Prod!$AL$14</f>
        <v>70</v>
      </c>
      <c r="L232" s="21">
        <f>SPIKELET_Prod!$AO$14</f>
        <v>40</v>
      </c>
      <c r="M232" s="58">
        <f>SPIKELET_Prod!$AL$15</f>
        <v>100</v>
      </c>
      <c r="N232" s="21">
        <f>SPIKELET_Prod!$AO$15</f>
        <v>20</v>
      </c>
      <c r="O232" s="58">
        <f>SPIKELET_Prod!$AL$16</f>
        <v>0</v>
      </c>
      <c r="P232" s="21">
        <f>SPIKELET_Prod!$AO$16</f>
        <v>0</v>
      </c>
      <c r="Q232" s="58">
        <f>SPIKELET_Prod!$AL$17</f>
        <v>0</v>
      </c>
      <c r="R232" s="21">
        <f>SPIKELET_Prod!$AO$17</f>
        <v>0</v>
      </c>
      <c r="S232" s="58">
        <f>SPIKELET_Prod!$AL$18</f>
        <v>0</v>
      </c>
      <c r="T232" s="21">
        <f>SPIKELET_Prod!$AO$18</f>
        <v>0</v>
      </c>
      <c r="U232" s="58">
        <f>SPIKELET_Prod!$AL$19</f>
        <v>0</v>
      </c>
      <c r="V232" s="21">
        <f>SPIKELET_Prod!$AO$19</f>
        <v>0</v>
      </c>
      <c r="W232" s="58">
        <f>SPIKELET_Prod!$AL$20</f>
        <v>0</v>
      </c>
      <c r="X232" s="21">
        <f>SPIKELET_Prod!$AO$20</f>
        <v>0</v>
      </c>
      <c r="Y232" s="58">
        <f>SPIKELET_Prod!$AL$21</f>
        <v>0</v>
      </c>
      <c r="Z232" s="21">
        <f>SPIKELET_Prod!$AO$21</f>
        <v>0</v>
      </c>
      <c r="AA232" s="58">
        <f>SPIKELET_Prod!$AL$22</f>
        <v>0</v>
      </c>
      <c r="AB232" s="21">
        <f>SPIKELET_Prod!$AO$22</f>
        <v>0</v>
      </c>
      <c r="AC232" s="58">
        <f>SPIKELET_Prod!$AL$23</f>
        <v>0</v>
      </c>
      <c r="AD232" s="21">
        <f>SPIKELET_Prod!$AO$23</f>
        <v>0</v>
      </c>
      <c r="AE232" s="58">
        <f>SPIKELET_Prod!$AL$24</f>
        <v>0</v>
      </c>
      <c r="AF232" s="21">
        <f>SPIKELET_Prod!$AO$24</f>
        <v>0</v>
      </c>
      <c r="AG232" s="58">
        <f>SPIKELET_Prod!$AL$25</f>
        <v>0</v>
      </c>
      <c r="AH232" s="21">
        <f>SPIKELET_Prod!$AO$25</f>
        <v>0</v>
      </c>
      <c r="AI232" s="58">
        <f>SPIKELET_Prod!$AL$26</f>
        <v>0</v>
      </c>
      <c r="AJ232" s="21">
        <f>SPIKELET_Prod!$AO$26</f>
        <v>0</v>
      </c>
      <c r="AK232" s="58">
        <f>SPIKELET_Prod!$AL$27</f>
        <v>0</v>
      </c>
      <c r="AL232" s="21">
        <f>SPIKELET_Prod!$AO$27</f>
        <v>0</v>
      </c>
      <c r="AM232" s="58">
        <f>SPIKELET_Prod!$AL$28</f>
        <v>0</v>
      </c>
      <c r="AN232" s="21">
        <f>SPIKELET_Prod!$AO$28</f>
        <v>0</v>
      </c>
      <c r="AO232" s="58">
        <f>SPIKELET_Prod!$AL$29</f>
        <v>0</v>
      </c>
      <c r="AP232" s="21">
        <f>SPIKELET_Prod!$AO$29</f>
        <v>0</v>
      </c>
      <c r="AQ232" s="58">
        <f>SPIKELET_Prod!$AL$30</f>
        <v>0</v>
      </c>
      <c r="AR232" s="21">
        <f>SPIKELET_Prod!$AO$30</f>
        <v>0</v>
      </c>
      <c r="AS232" s="58">
        <f>SPIKELET_Prod!$AL$31</f>
        <v>0</v>
      </c>
      <c r="AT232" s="21">
        <f>SPIKELET_Prod!$AO$31</f>
        <v>0</v>
      </c>
      <c r="AU232" s="58">
        <f>SPIKELET_Prod!$AL$32</f>
        <v>0</v>
      </c>
      <c r="AV232" s="21">
        <f>SPIKELET_Prod!$AO$32</f>
        <v>0</v>
      </c>
      <c r="AW232" s="58">
        <f>SPIKELET_Prod!$AL$33</f>
        <v>0</v>
      </c>
      <c r="AX232" s="21">
        <f>SPIKELET_Prod!$AO$33</f>
        <v>0</v>
      </c>
      <c r="AY232" s="58">
        <f>SPIKELET_Prod!$AL$34</f>
        <v>0</v>
      </c>
      <c r="AZ232" s="21">
        <f>SPIKELET_Prod!$AO$34</f>
        <v>0</v>
      </c>
      <c r="BA232" s="58">
        <f>SPIKELET_Prod!$AL$35</f>
        <v>0</v>
      </c>
      <c r="BB232" s="21">
        <f>SPIKELET_Prod!$AO$35</f>
        <v>0</v>
      </c>
      <c r="BC232" s="58">
        <f>SPIKELET_Prod!$AL$36</f>
        <v>0</v>
      </c>
      <c r="BD232" s="21">
        <f>SPIKELET_Prod!$AO$36</f>
        <v>0</v>
      </c>
      <c r="BE232" s="58">
        <f>SPIKELET_Prod!$AL$37</f>
        <v>0</v>
      </c>
      <c r="BF232" s="21">
        <f>SPIKELET_Prod!$AO$37</f>
        <v>0</v>
      </c>
      <c r="BG232" s="52" t="s">
        <v>69</v>
      </c>
      <c r="BH232" s="16"/>
    </row>
    <row r="233" spans="1:60">
      <c r="A233" s="20"/>
      <c r="B233" s="11" t="s">
        <v>299</v>
      </c>
      <c r="C233" s="213" t="s">
        <v>963</v>
      </c>
      <c r="D233" s="15" t="s">
        <v>12</v>
      </c>
      <c r="E233" s="9" t="s">
        <v>3</v>
      </c>
      <c r="F233" s="40" t="s">
        <v>6</v>
      </c>
      <c r="G233" s="46">
        <f>SPIKELET_Prod!$AP$9</f>
        <v>1</v>
      </c>
      <c r="H233" s="72">
        <f>SPIKELET_Prod!$AP$10</f>
        <v>3</v>
      </c>
      <c r="I233" s="58">
        <f>SPIKELET_Prod!$AL$13</f>
        <v>0</v>
      </c>
      <c r="J233" s="21">
        <f>SPIKELET_Prod!$AP$13</f>
        <v>0</v>
      </c>
      <c r="K233" s="58">
        <f>SPIKELET_Prod!$AL$14</f>
        <v>70</v>
      </c>
      <c r="L233" s="21">
        <f>SPIKELET_Prod!$AP$14</f>
        <v>4</v>
      </c>
      <c r="M233" s="58">
        <f>SPIKELET_Prod!$AL$15</f>
        <v>100</v>
      </c>
      <c r="N233" s="21">
        <f>SPIKELET_Prod!$AP$15</f>
        <v>2</v>
      </c>
      <c r="O233" s="58">
        <f>SPIKELET_Prod!$AL$16</f>
        <v>0</v>
      </c>
      <c r="P233" s="21">
        <f>SPIKELET_Prod!$AP$16</f>
        <v>0</v>
      </c>
      <c r="Q233" s="58">
        <f>SPIKELET_Prod!$AL$17</f>
        <v>0</v>
      </c>
      <c r="R233" s="21">
        <f>SPIKELET_Prod!$AP$17</f>
        <v>0</v>
      </c>
      <c r="S233" s="58">
        <f>SPIKELET_Prod!$AL$18</f>
        <v>0</v>
      </c>
      <c r="T233" s="21">
        <f>SPIKELET_Prod!$AP$18</f>
        <v>0</v>
      </c>
      <c r="U233" s="58">
        <f>SPIKELET_Prod!$AL$19</f>
        <v>0</v>
      </c>
      <c r="V233" s="21">
        <f>SPIKELET_Prod!$AP$19</f>
        <v>0</v>
      </c>
      <c r="W233" s="58">
        <f>SPIKELET_Prod!$AL$20</f>
        <v>0</v>
      </c>
      <c r="X233" s="21">
        <f>SPIKELET_Prod!$AP$20</f>
        <v>0</v>
      </c>
      <c r="Y233" s="58">
        <f>SPIKELET_Prod!$AL$21</f>
        <v>0</v>
      </c>
      <c r="Z233" s="21">
        <f>SPIKELET_Prod!$AP$21</f>
        <v>0</v>
      </c>
      <c r="AA233" s="58">
        <f>SPIKELET_Prod!$AL$22</f>
        <v>0</v>
      </c>
      <c r="AB233" s="21">
        <f>SPIKELET_Prod!$AP$22</f>
        <v>0</v>
      </c>
      <c r="AC233" s="58">
        <f>SPIKELET_Prod!$AL$23</f>
        <v>0</v>
      </c>
      <c r="AD233" s="21">
        <f>SPIKELET_Prod!$AP$23</f>
        <v>0</v>
      </c>
      <c r="AE233" s="58">
        <f>SPIKELET_Prod!$AL$24</f>
        <v>0</v>
      </c>
      <c r="AF233" s="21">
        <f>SPIKELET_Prod!$AP$24</f>
        <v>0</v>
      </c>
      <c r="AG233" s="58">
        <f>SPIKELET_Prod!$AL$25</f>
        <v>0</v>
      </c>
      <c r="AH233" s="21">
        <f>SPIKELET_Prod!$AP$25</f>
        <v>0</v>
      </c>
      <c r="AI233" s="58">
        <f>SPIKELET_Prod!$AL$26</f>
        <v>0</v>
      </c>
      <c r="AJ233" s="21">
        <f>SPIKELET_Prod!$AP$26</f>
        <v>0</v>
      </c>
      <c r="AK233" s="58">
        <f>SPIKELET_Prod!$AL$27</f>
        <v>0</v>
      </c>
      <c r="AL233" s="21">
        <f>SPIKELET_Prod!$AP$27</f>
        <v>0</v>
      </c>
      <c r="AM233" s="58">
        <f>SPIKELET_Prod!$AL$28</f>
        <v>0</v>
      </c>
      <c r="AN233" s="21">
        <f>SPIKELET_Prod!$AP$28</f>
        <v>0</v>
      </c>
      <c r="AO233" s="58">
        <f>SPIKELET_Prod!$AL$29</f>
        <v>0</v>
      </c>
      <c r="AP233" s="21">
        <f>SPIKELET_Prod!$AP$29</f>
        <v>0</v>
      </c>
      <c r="AQ233" s="58">
        <f>SPIKELET_Prod!$AL$30</f>
        <v>0</v>
      </c>
      <c r="AR233" s="21">
        <f>SPIKELET_Prod!$AP$30</f>
        <v>0</v>
      </c>
      <c r="AS233" s="58">
        <f>SPIKELET_Prod!$AL$31</f>
        <v>0</v>
      </c>
      <c r="AT233" s="21">
        <f>SPIKELET_Prod!$AP$31</f>
        <v>0</v>
      </c>
      <c r="AU233" s="58">
        <f>SPIKELET_Prod!$AL$32</f>
        <v>0</v>
      </c>
      <c r="AV233" s="21">
        <f>SPIKELET_Prod!$AP$32</f>
        <v>0</v>
      </c>
      <c r="AW233" s="58">
        <f>SPIKELET_Prod!$AL$33</f>
        <v>0</v>
      </c>
      <c r="AX233" s="21">
        <f>SPIKELET_Prod!$AP$33</f>
        <v>0</v>
      </c>
      <c r="AY233" s="58">
        <f>SPIKELET_Prod!$AL$34</f>
        <v>0</v>
      </c>
      <c r="AZ233" s="21">
        <f>SPIKELET_Prod!$AP$34</f>
        <v>0</v>
      </c>
      <c r="BA233" s="58">
        <f>SPIKELET_Prod!$AL$35</f>
        <v>0</v>
      </c>
      <c r="BB233" s="21">
        <f>SPIKELET_Prod!$AP$35</f>
        <v>0</v>
      </c>
      <c r="BC233" s="58">
        <f>SPIKELET_Prod!$AL$36</f>
        <v>0</v>
      </c>
      <c r="BD233" s="21">
        <f>SPIKELET_Prod!$AP$36</f>
        <v>0</v>
      </c>
      <c r="BE233" s="58">
        <f>SPIKELET_Prod!$AL$37</f>
        <v>0</v>
      </c>
      <c r="BF233" s="21">
        <f>SPIKELET_Prod!$AP$37</f>
        <v>0</v>
      </c>
      <c r="BG233" s="52" t="s">
        <v>69</v>
      </c>
      <c r="BH233" s="16"/>
    </row>
    <row r="234" spans="1:60">
      <c r="A234" s="20"/>
      <c r="B234" s="11" t="s">
        <v>684</v>
      </c>
      <c r="C234" s="213" t="s">
        <v>958</v>
      </c>
      <c r="D234" s="69" t="s">
        <v>12</v>
      </c>
      <c r="E234" s="2" t="s">
        <v>9</v>
      </c>
      <c r="F234" s="40" t="s">
        <v>304</v>
      </c>
      <c r="G234" s="46">
        <f>SPIKELET_Prod!$AR$9</f>
        <v>1</v>
      </c>
      <c r="H234" s="72">
        <f>SPIKELET_Prod!$AR$10</f>
        <v>3</v>
      </c>
      <c r="I234" s="76">
        <f>SPIKELET_Prod!$AQ$13</f>
        <v>1</v>
      </c>
      <c r="J234" s="21">
        <f>SPIKELET_Prod!$AR$13</f>
        <v>0.1</v>
      </c>
      <c r="K234" s="76">
        <f>SPIKELET_Prod!$AQ$14</f>
        <v>13</v>
      </c>
      <c r="L234" s="21">
        <f>SPIKELET_Prod!$AR$14</f>
        <v>0.3</v>
      </c>
      <c r="M234" s="76">
        <f>SPIKELET_Prod!$AQ$15</f>
        <v>17</v>
      </c>
      <c r="N234" s="21">
        <f>SPIKELET_Prod!$AR$15</f>
        <v>1</v>
      </c>
      <c r="O234" s="76">
        <f>SPIKELET_Prod!$AQ$16</f>
        <v>0</v>
      </c>
      <c r="P234" s="21">
        <f>SPIKELET_Prod!$AR$16</f>
        <v>0</v>
      </c>
      <c r="Q234" s="76">
        <f>SPIKELET_Prod!$AQ$17</f>
        <v>0</v>
      </c>
      <c r="R234" s="21">
        <f>SPIKELET_Prod!$AR$17</f>
        <v>0</v>
      </c>
      <c r="S234" s="76">
        <f>SPIKELET_Prod!$AQ$18</f>
        <v>0</v>
      </c>
      <c r="T234" s="21">
        <f>SPIKELET_Prod!$AR$18</f>
        <v>0</v>
      </c>
      <c r="U234" s="76">
        <f>SPIKELET_Prod!$AQ$19</f>
        <v>0</v>
      </c>
      <c r="V234" s="21">
        <f>SPIKELET_Prod!$AR$19</f>
        <v>0</v>
      </c>
      <c r="W234" s="76">
        <f>SPIKELET_Prod!$AQ$20</f>
        <v>0</v>
      </c>
      <c r="X234" s="21">
        <f>SPIKELET_Prod!$AR$20</f>
        <v>0</v>
      </c>
      <c r="Y234" s="76">
        <f>SPIKELET_Prod!$AQ$21</f>
        <v>0</v>
      </c>
      <c r="Z234" s="21">
        <f>SPIKELET_Prod!$AR$21</f>
        <v>0</v>
      </c>
      <c r="AA234" s="76">
        <f>SPIKELET_Prod!$AQ$22</f>
        <v>0</v>
      </c>
      <c r="AB234" s="21">
        <f>SPIKELET_Prod!$AR$22</f>
        <v>0</v>
      </c>
      <c r="AC234" s="76">
        <f>SPIKELET_Prod!$AQ$23</f>
        <v>0</v>
      </c>
      <c r="AD234" s="21">
        <f>SPIKELET_Prod!$AR$23</f>
        <v>0</v>
      </c>
      <c r="AE234" s="76">
        <f>SPIKELET_Prod!$AQ$24</f>
        <v>0</v>
      </c>
      <c r="AF234" s="21">
        <f>SPIKELET_Prod!$AR$24</f>
        <v>0</v>
      </c>
      <c r="AG234" s="76">
        <f>SPIKELET_Prod!$AQ$25</f>
        <v>0</v>
      </c>
      <c r="AH234" s="21">
        <f>SPIKELET_Prod!$AR$25</f>
        <v>0</v>
      </c>
      <c r="AI234" s="76">
        <f>SPIKELET_Prod!$AQ$26</f>
        <v>0</v>
      </c>
      <c r="AJ234" s="21">
        <f>SPIKELET_Prod!$AR$26</f>
        <v>0</v>
      </c>
      <c r="AK234" s="76">
        <f>SPIKELET_Prod!$AQ$27</f>
        <v>0</v>
      </c>
      <c r="AL234" s="21">
        <f>SPIKELET_Prod!$AR$27</f>
        <v>0</v>
      </c>
      <c r="AM234" s="76">
        <f>SPIKELET_Prod!$AQ$28</f>
        <v>0</v>
      </c>
      <c r="AN234" s="21">
        <f>SPIKELET_Prod!$AR$28</f>
        <v>0</v>
      </c>
      <c r="AO234" s="76">
        <f>SPIKELET_Prod!$AQ$29</f>
        <v>0</v>
      </c>
      <c r="AP234" s="21">
        <f>SPIKELET_Prod!$AR$29</f>
        <v>0</v>
      </c>
      <c r="AQ234" s="76">
        <f>SPIKELET_Prod!$AQ$30</f>
        <v>0</v>
      </c>
      <c r="AR234" s="21">
        <f>SPIKELET_Prod!$AR$30</f>
        <v>0</v>
      </c>
      <c r="AS234" s="76">
        <f>SPIKELET_Prod!$AQ$31</f>
        <v>0</v>
      </c>
      <c r="AT234" s="21">
        <f>SPIKELET_Prod!$AR$31</f>
        <v>0</v>
      </c>
      <c r="AU234" s="76">
        <f>SPIKELET_Prod!$AQ$32</f>
        <v>0</v>
      </c>
      <c r="AV234" s="21">
        <f>SPIKELET_Prod!$AR$32</f>
        <v>0</v>
      </c>
      <c r="AW234" s="76">
        <f>SPIKELET_Prod!$AQ$33</f>
        <v>0</v>
      </c>
      <c r="AX234" s="21">
        <f>SPIKELET_Prod!$AR$33</f>
        <v>0</v>
      </c>
      <c r="AY234" s="76">
        <f>SPIKELET_Prod!$AQ$34</f>
        <v>0</v>
      </c>
      <c r="AZ234" s="21">
        <f>SPIKELET_Prod!$AR$34</f>
        <v>0</v>
      </c>
      <c r="BA234" s="76">
        <f>SPIKELET_Prod!$AQ$35</f>
        <v>0</v>
      </c>
      <c r="BB234" s="21">
        <f>SPIKELET_Prod!$AR$35</f>
        <v>0</v>
      </c>
      <c r="BC234" s="76">
        <f>SPIKELET_Prod!$AQ$36</f>
        <v>0</v>
      </c>
      <c r="BD234" s="21">
        <f>SPIKELET_Prod!$AR$36</f>
        <v>0</v>
      </c>
      <c r="BE234" s="76">
        <f>SPIKELET_Prod!$AQ$37</f>
        <v>0</v>
      </c>
      <c r="BF234" s="21">
        <f>SPIKELET_Prod!$AR$37</f>
        <v>0</v>
      </c>
      <c r="BG234" s="52" t="s">
        <v>69</v>
      </c>
    </row>
    <row r="235" spans="1:60" s="65" customFormat="1" ht="18.75">
      <c r="A235" s="21" t="s">
        <v>69</v>
      </c>
      <c r="B235" s="61"/>
      <c r="C235" s="62" t="s">
        <v>582</v>
      </c>
      <c r="D235" s="62"/>
      <c r="E235" s="62"/>
      <c r="F235" s="62"/>
      <c r="G235" s="61"/>
      <c r="H235" s="67"/>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52" t="s">
        <v>69</v>
      </c>
      <c r="BH235" s="64"/>
    </row>
    <row r="236" spans="1:60">
      <c r="A236" s="20"/>
      <c r="B236" s="10" t="s">
        <v>42</v>
      </c>
      <c r="C236" s="213" t="s">
        <v>686</v>
      </c>
      <c r="D236" s="7" t="s">
        <v>12</v>
      </c>
      <c r="E236" s="9" t="s">
        <v>0</v>
      </c>
      <c r="F236" s="40" t="s">
        <v>7</v>
      </c>
      <c r="G236" s="46">
        <f>SPIKELET_Geom!$D$9</f>
        <v>1</v>
      </c>
      <c r="H236" s="72">
        <f>SPIKELET_Geom!$D$10</f>
        <v>3</v>
      </c>
      <c r="I236" s="56">
        <f>SPIKELET_Geom!$C$13</f>
        <v>1</v>
      </c>
      <c r="J236" s="21">
        <f>SPIKELET_Geom!$D$13</f>
        <v>30</v>
      </c>
      <c r="K236" s="56">
        <f>SPIKELET_Geom!$C$14</f>
        <v>100</v>
      </c>
      <c r="L236" s="21">
        <f>SPIKELET_Geom!$D$14</f>
        <v>40</v>
      </c>
      <c r="M236" s="56">
        <f>SPIKELET_Geom!$C$15</f>
        <v>200</v>
      </c>
      <c r="N236" s="21">
        <f>SPIKELET_Geom!$D$15</f>
        <v>80</v>
      </c>
      <c r="O236" s="56">
        <f>SPIKELET_Geom!$C$16</f>
        <v>0</v>
      </c>
      <c r="P236" s="21">
        <f>SPIKELET_Geom!$D$16</f>
        <v>0</v>
      </c>
      <c r="Q236" s="56">
        <f>SPIKELET_Geom!$C$17</f>
        <v>0</v>
      </c>
      <c r="R236" s="21">
        <f>SPIKELET_Geom!$D$17</f>
        <v>0</v>
      </c>
      <c r="S236" s="56">
        <f>SPIKELET_Geom!$C$18</f>
        <v>0</v>
      </c>
      <c r="T236" s="21">
        <f>SPIKELET_Geom!$D$18</f>
        <v>0</v>
      </c>
      <c r="U236" s="56">
        <f>SPIKELET_Geom!$C$19</f>
        <v>0</v>
      </c>
      <c r="V236" s="21">
        <f>SPIKELET_Geom!$D$19</f>
        <v>0</v>
      </c>
      <c r="W236" s="56">
        <f>SPIKELET_Geom!$C$20</f>
        <v>0</v>
      </c>
      <c r="X236" s="21">
        <f>SPIKELET_Geom!$D$20</f>
        <v>0</v>
      </c>
      <c r="Y236" s="56">
        <f>SPIKELET_Geom!$C$21</f>
        <v>0</v>
      </c>
      <c r="Z236" s="21">
        <f>SPIKELET_Geom!$D$21</f>
        <v>0</v>
      </c>
      <c r="AA236" s="56">
        <f>SPIKELET_Geom!$C$22</f>
        <v>0</v>
      </c>
      <c r="AB236" s="21">
        <f>SPIKELET_Geom!$D$22</f>
        <v>0</v>
      </c>
      <c r="AC236" s="56">
        <f>SPIKELET_Geom!$C$23</f>
        <v>0</v>
      </c>
      <c r="AD236" s="21">
        <f>SPIKELET_Geom!$D$23</f>
        <v>0</v>
      </c>
      <c r="AE236" s="56">
        <f>SPIKELET_Geom!$C$24</f>
        <v>0</v>
      </c>
      <c r="AF236" s="21">
        <f>SPIKELET_Geom!$D$24</f>
        <v>0</v>
      </c>
      <c r="AG236" s="56">
        <f>SPIKELET_Geom!$C$25</f>
        <v>0</v>
      </c>
      <c r="AH236" s="21">
        <f>SPIKELET_Geom!$D$25</f>
        <v>0</v>
      </c>
      <c r="AI236" s="56">
        <f>SPIKELET_Geom!$C$26</f>
        <v>0</v>
      </c>
      <c r="AJ236" s="21">
        <f>SPIKELET_Geom!$D$26</f>
        <v>0</v>
      </c>
      <c r="AK236" s="56">
        <f>SPIKELET_Geom!$C$27</f>
        <v>0</v>
      </c>
      <c r="AL236" s="21">
        <f>SPIKELET_Geom!$D$27</f>
        <v>0</v>
      </c>
      <c r="AM236" s="56">
        <f>SPIKELET_Geom!$C$28</f>
        <v>0</v>
      </c>
      <c r="AN236" s="21">
        <f>SPIKELET_Geom!$D$28</f>
        <v>0</v>
      </c>
      <c r="AO236" s="56">
        <f>SPIKELET_Geom!$C$29</f>
        <v>0</v>
      </c>
      <c r="AP236" s="21">
        <f>SPIKELET_Geom!$D$29</f>
        <v>0</v>
      </c>
      <c r="AQ236" s="56">
        <f>SPIKELET_Geom!$C$30</f>
        <v>0</v>
      </c>
      <c r="AR236" s="21">
        <f>SPIKELET_Geom!$D$30</f>
        <v>0</v>
      </c>
      <c r="AS236" s="56">
        <f>SPIKELET_Geom!$C$31</f>
        <v>0</v>
      </c>
      <c r="AT236" s="21">
        <f>SPIKELET_Geom!$D$31</f>
        <v>0</v>
      </c>
      <c r="AU236" s="56">
        <f>SPIKELET_Geom!$C$32</f>
        <v>0</v>
      </c>
      <c r="AV236" s="21">
        <f>SPIKELET_Geom!$D$32</f>
        <v>0</v>
      </c>
      <c r="AW236" s="56">
        <f>SPIKELET_Geom!$C$33</f>
        <v>0</v>
      </c>
      <c r="AX236" s="21">
        <f>SPIKELET_Geom!$D$33</f>
        <v>0</v>
      </c>
      <c r="AY236" s="56">
        <f>SPIKELET_Geom!$C$34</f>
        <v>0</v>
      </c>
      <c r="AZ236" s="21">
        <f>SPIKELET_Geom!$D$34</f>
        <v>0</v>
      </c>
      <c r="BA236" s="56">
        <f>SPIKELET_Geom!$C$35</f>
        <v>0</v>
      </c>
      <c r="BB236" s="21">
        <f>SPIKELET_Geom!$D$35</f>
        <v>0</v>
      </c>
      <c r="BC236" s="56">
        <f>SPIKELET_Geom!$C$36</f>
        <v>0</v>
      </c>
      <c r="BD236" s="21">
        <f>SPIKELET_Geom!$D$36</f>
        <v>0</v>
      </c>
      <c r="BE236" s="56">
        <f>SPIKELET_Geom!$C$37</f>
        <v>0</v>
      </c>
      <c r="BF236" s="21">
        <f>SPIKELET_Geom!$D$37</f>
        <v>0</v>
      </c>
      <c r="BG236" s="52" t="s">
        <v>69</v>
      </c>
      <c r="BH236" s="16"/>
    </row>
    <row r="237" spans="1:60">
      <c r="A237" s="20"/>
      <c r="B237" s="11" t="s">
        <v>45</v>
      </c>
      <c r="C237" s="213" t="s">
        <v>119</v>
      </c>
      <c r="D237" s="15" t="s">
        <v>12</v>
      </c>
      <c r="E237" s="9" t="s">
        <v>9</v>
      </c>
      <c r="F237" s="40" t="s">
        <v>8</v>
      </c>
      <c r="G237" s="46">
        <f>SPIKELET_Geom!$F$9</f>
        <v>1</v>
      </c>
      <c r="H237" s="72">
        <f>SPIKELET_Geom!$F$10</f>
        <v>3</v>
      </c>
      <c r="I237" s="58">
        <f>SPIKELET_Geom!$E$13</f>
        <v>0</v>
      </c>
      <c r="J237" s="21">
        <f>SPIKELET_Geom!$F$13</f>
        <v>0</v>
      </c>
      <c r="K237" s="58">
        <f>SPIKELET_Geom!$E$14</f>
        <v>70</v>
      </c>
      <c r="L237" s="21">
        <f>SPIKELET_Geom!$F$14</f>
        <v>1</v>
      </c>
      <c r="M237" s="58">
        <f>SPIKELET_Geom!$E$15</f>
        <v>100</v>
      </c>
      <c r="N237" s="21">
        <f>SPIKELET_Geom!$F$15</f>
        <v>0.2</v>
      </c>
      <c r="O237" s="58">
        <f>SPIKELET_Geom!$E$16</f>
        <v>0</v>
      </c>
      <c r="P237" s="21">
        <f>SPIKELET_Geom!$F$16</f>
        <v>0</v>
      </c>
      <c r="Q237" s="58">
        <f>SPIKELET_Geom!$E$17</f>
        <v>0</v>
      </c>
      <c r="R237" s="21">
        <f>SPIKELET_Geom!$F$17</f>
        <v>0</v>
      </c>
      <c r="S237" s="58">
        <f>SPIKELET_Geom!$E$18</f>
        <v>0</v>
      </c>
      <c r="T237" s="21">
        <f>SPIKELET_Geom!$F$18</f>
        <v>0</v>
      </c>
      <c r="U237" s="58">
        <f>SPIKELET_Geom!$E$19</f>
        <v>0</v>
      </c>
      <c r="V237" s="21">
        <f>SPIKELET_Geom!$F$19</f>
        <v>0</v>
      </c>
      <c r="W237" s="58">
        <f>SPIKELET_Geom!$E$20</f>
        <v>0</v>
      </c>
      <c r="X237" s="21">
        <f>SPIKELET_Geom!$F$20</f>
        <v>0</v>
      </c>
      <c r="Y237" s="58">
        <f>SPIKELET_Geom!$E$21</f>
        <v>0</v>
      </c>
      <c r="Z237" s="21">
        <f>SPIKELET_Geom!$F$21</f>
        <v>0</v>
      </c>
      <c r="AA237" s="58">
        <f>SPIKELET_Geom!$E$22</f>
        <v>0</v>
      </c>
      <c r="AB237" s="21">
        <f>SPIKELET_Geom!$F$22</f>
        <v>0</v>
      </c>
      <c r="AC237" s="58">
        <f>SPIKELET_Geom!$E$23</f>
        <v>0</v>
      </c>
      <c r="AD237" s="21">
        <f>SPIKELET_Geom!$F$23</f>
        <v>0</v>
      </c>
      <c r="AE237" s="58">
        <f>SPIKELET_Geom!$E$24</f>
        <v>0</v>
      </c>
      <c r="AF237" s="21">
        <f>SPIKELET_Geom!$F$24</f>
        <v>0</v>
      </c>
      <c r="AG237" s="58">
        <f>SPIKELET_Geom!$E$25</f>
        <v>0</v>
      </c>
      <c r="AH237" s="21">
        <f>SPIKELET_Geom!$F$25</f>
        <v>0</v>
      </c>
      <c r="AI237" s="58">
        <f>SPIKELET_Geom!$E$26</f>
        <v>0</v>
      </c>
      <c r="AJ237" s="21">
        <f>SPIKELET_Geom!$F$26</f>
        <v>0</v>
      </c>
      <c r="AK237" s="58">
        <f>SPIKELET_Geom!$E$27</f>
        <v>0</v>
      </c>
      <c r="AL237" s="21">
        <f>SPIKELET_Geom!$F$27</f>
        <v>0</v>
      </c>
      <c r="AM237" s="58">
        <f>SPIKELET_Geom!$E$28</f>
        <v>0</v>
      </c>
      <c r="AN237" s="21">
        <f>SPIKELET_Geom!$F$28</f>
        <v>0</v>
      </c>
      <c r="AO237" s="58">
        <f>SPIKELET_Geom!$E$29</f>
        <v>0</v>
      </c>
      <c r="AP237" s="21">
        <f>SPIKELET_Geom!$F$29</f>
        <v>0</v>
      </c>
      <c r="AQ237" s="58">
        <f>SPIKELET_Geom!$E$30</f>
        <v>0</v>
      </c>
      <c r="AR237" s="21">
        <f>SPIKELET_Geom!$F$30</f>
        <v>0</v>
      </c>
      <c r="AS237" s="58">
        <f>SPIKELET_Geom!$E$31</f>
        <v>0</v>
      </c>
      <c r="AT237" s="21">
        <f>SPIKELET_Geom!$F$31</f>
        <v>0</v>
      </c>
      <c r="AU237" s="58">
        <f>SPIKELET_Geom!$E$32</f>
        <v>0</v>
      </c>
      <c r="AV237" s="21">
        <f>SPIKELET_Geom!$F$32</f>
        <v>0</v>
      </c>
      <c r="AW237" s="58">
        <f>SPIKELET_Geom!$E$33</f>
        <v>0</v>
      </c>
      <c r="AX237" s="21">
        <f>SPIKELET_Geom!$F$33</f>
        <v>0</v>
      </c>
      <c r="AY237" s="58">
        <f>SPIKELET_Geom!$E$34</f>
        <v>0</v>
      </c>
      <c r="AZ237" s="21">
        <f>SPIKELET_Geom!$F$34</f>
        <v>0</v>
      </c>
      <c r="BA237" s="58">
        <f>SPIKELET_Geom!$E$35</f>
        <v>0</v>
      </c>
      <c r="BB237" s="21">
        <f>SPIKELET_Geom!$F$35</f>
        <v>0</v>
      </c>
      <c r="BC237" s="58">
        <f>SPIKELET_Geom!$E$36</f>
        <v>0</v>
      </c>
      <c r="BD237" s="21">
        <f>SPIKELET_Geom!$F$36</f>
        <v>0</v>
      </c>
      <c r="BE237" s="58">
        <f>SPIKELET_Geom!$E$37</f>
        <v>0</v>
      </c>
      <c r="BF237" s="21">
        <f>SPIKELET_Geom!$F$37</f>
        <v>0</v>
      </c>
      <c r="BG237" s="52" t="s">
        <v>69</v>
      </c>
      <c r="BH237" s="16"/>
    </row>
    <row r="238" spans="1:60">
      <c r="A238" s="20"/>
      <c r="B238" s="11" t="s">
        <v>46</v>
      </c>
      <c r="C238" s="213" t="s">
        <v>43</v>
      </c>
      <c r="D238" s="15" t="s">
        <v>12</v>
      </c>
      <c r="E238" s="9" t="s">
        <v>0</v>
      </c>
      <c r="F238" s="40" t="s">
        <v>7</v>
      </c>
      <c r="G238" s="46">
        <f>SPIKELET_Geom!$G$9</f>
        <v>1</v>
      </c>
      <c r="H238" s="72">
        <f>SPIKELET_Geom!$G$10</f>
        <v>3</v>
      </c>
      <c r="I238" s="58">
        <f>SPIKELET_Geom!$E$13</f>
        <v>0</v>
      </c>
      <c r="J238" s="21">
        <f>SPIKELET_Geom!$G$13</f>
        <v>0</v>
      </c>
      <c r="K238" s="58">
        <f>SPIKELET_Geom!$E$14</f>
        <v>70</v>
      </c>
      <c r="L238" s="21">
        <f>SPIKELET_Geom!$G$14</f>
        <v>0.1</v>
      </c>
      <c r="M238" s="58">
        <f>SPIKELET_Geom!$E$15</f>
        <v>100</v>
      </c>
      <c r="N238" s="21">
        <f>SPIKELET_Geom!$G$15</f>
        <v>0.02</v>
      </c>
      <c r="O238" s="58">
        <f>SPIKELET_Geom!$E$16</f>
        <v>0</v>
      </c>
      <c r="P238" s="21">
        <f>SPIKELET_Geom!$G$16</f>
        <v>0</v>
      </c>
      <c r="Q238" s="58">
        <f>SPIKELET_Geom!$E$17</f>
        <v>0</v>
      </c>
      <c r="R238" s="21">
        <f>SPIKELET_Geom!$G$17</f>
        <v>0</v>
      </c>
      <c r="S238" s="58">
        <f>SPIKELET_Geom!$E$18</f>
        <v>0</v>
      </c>
      <c r="T238" s="21">
        <f>SPIKELET_Geom!$G$18</f>
        <v>0</v>
      </c>
      <c r="U238" s="58">
        <f>SPIKELET_Geom!$E$19</f>
        <v>0</v>
      </c>
      <c r="V238" s="21">
        <f>SPIKELET_Geom!$G$19</f>
        <v>0</v>
      </c>
      <c r="W238" s="58">
        <f>SPIKELET_Geom!$E$20</f>
        <v>0</v>
      </c>
      <c r="X238" s="21">
        <f>SPIKELET_Geom!$G$20</f>
        <v>0</v>
      </c>
      <c r="Y238" s="58">
        <f>SPIKELET_Geom!$E$21</f>
        <v>0</v>
      </c>
      <c r="Z238" s="21">
        <f>SPIKELET_Geom!$G$21</f>
        <v>0</v>
      </c>
      <c r="AA238" s="58">
        <f>SPIKELET_Geom!$E$22</f>
        <v>0</v>
      </c>
      <c r="AB238" s="21">
        <f>SPIKELET_Geom!$G$22</f>
        <v>0</v>
      </c>
      <c r="AC238" s="58">
        <f>SPIKELET_Geom!$E$23</f>
        <v>0</v>
      </c>
      <c r="AD238" s="21">
        <f>SPIKELET_Geom!$G$23</f>
        <v>0</v>
      </c>
      <c r="AE238" s="58">
        <f>SPIKELET_Geom!$E$24</f>
        <v>0</v>
      </c>
      <c r="AF238" s="21">
        <f>SPIKELET_Geom!$G$24</f>
        <v>0</v>
      </c>
      <c r="AG238" s="58">
        <f>SPIKELET_Geom!$E$25</f>
        <v>0</v>
      </c>
      <c r="AH238" s="21">
        <f>SPIKELET_Geom!$G$25</f>
        <v>0</v>
      </c>
      <c r="AI238" s="58">
        <f>SPIKELET_Geom!$E$26</f>
        <v>0</v>
      </c>
      <c r="AJ238" s="21">
        <f>SPIKELET_Geom!$G$26</f>
        <v>0</v>
      </c>
      <c r="AK238" s="58">
        <f>SPIKELET_Geom!$E$27</f>
        <v>0</v>
      </c>
      <c r="AL238" s="21">
        <f>SPIKELET_Geom!$G$27</f>
        <v>0</v>
      </c>
      <c r="AM238" s="58">
        <f>SPIKELET_Geom!$E$28</f>
        <v>0</v>
      </c>
      <c r="AN238" s="21">
        <f>SPIKELET_Geom!$G$28</f>
        <v>0</v>
      </c>
      <c r="AO238" s="58">
        <f>SPIKELET_Geom!$E$29</f>
        <v>0</v>
      </c>
      <c r="AP238" s="21">
        <f>SPIKELET_Geom!$G$29</f>
        <v>0</v>
      </c>
      <c r="AQ238" s="58">
        <f>SPIKELET_Geom!$E$30</f>
        <v>0</v>
      </c>
      <c r="AR238" s="21">
        <f>SPIKELET_Geom!$G$30</f>
        <v>0</v>
      </c>
      <c r="AS238" s="58">
        <f>SPIKELET_Geom!$E$31</f>
        <v>0</v>
      </c>
      <c r="AT238" s="21">
        <f>SPIKELET_Geom!$G$31</f>
        <v>0</v>
      </c>
      <c r="AU238" s="58">
        <f>SPIKELET_Geom!$E$32</f>
        <v>0</v>
      </c>
      <c r="AV238" s="21">
        <f>SPIKELET_Geom!$G$32</f>
        <v>0</v>
      </c>
      <c r="AW238" s="58">
        <f>SPIKELET_Geom!$E$33</f>
        <v>0</v>
      </c>
      <c r="AX238" s="21">
        <f>SPIKELET_Geom!$G$33</f>
        <v>0</v>
      </c>
      <c r="AY238" s="58">
        <f>SPIKELET_Geom!$E$34</f>
        <v>0</v>
      </c>
      <c r="AZ238" s="21">
        <f>SPIKELET_Geom!$G$34</f>
        <v>0</v>
      </c>
      <c r="BA238" s="58">
        <f>SPIKELET_Geom!$E$35</f>
        <v>0</v>
      </c>
      <c r="BB238" s="21">
        <f>SPIKELET_Geom!$G$35</f>
        <v>0</v>
      </c>
      <c r="BC238" s="58">
        <f>SPIKELET_Geom!$E$36</f>
        <v>0</v>
      </c>
      <c r="BD238" s="21">
        <f>SPIKELET_Geom!$G$36</f>
        <v>0</v>
      </c>
      <c r="BE238" s="58">
        <f>SPIKELET_Geom!$E$37</f>
        <v>0</v>
      </c>
      <c r="BF238" s="21">
        <f>SPIKELET_Geom!$G$37</f>
        <v>0</v>
      </c>
      <c r="BG238" s="52" t="s">
        <v>69</v>
      </c>
      <c r="BH238" s="16"/>
    </row>
    <row r="239" spans="1:60">
      <c r="A239" s="20"/>
      <c r="B239" s="11" t="s">
        <v>685</v>
      </c>
      <c r="C239" s="213" t="s">
        <v>957</v>
      </c>
      <c r="D239" s="69" t="s">
        <v>12</v>
      </c>
      <c r="E239" s="2" t="s">
        <v>9</v>
      </c>
      <c r="F239" s="40" t="s">
        <v>304</v>
      </c>
      <c r="G239" s="46">
        <f>SPIKELET_Geom!$I$9</f>
        <v>1</v>
      </c>
      <c r="H239" s="72">
        <f>SPIKELET_Geom!$I$10</f>
        <v>4</v>
      </c>
      <c r="I239" s="76">
        <f>SPIKELET_Geom!$H$13</f>
        <v>1</v>
      </c>
      <c r="J239" s="21">
        <f>SPIKELET_Geom!$I$13</f>
        <v>0.5</v>
      </c>
      <c r="K239" s="76">
        <f>SPIKELET_Geom!$H$14</f>
        <v>13</v>
      </c>
      <c r="L239" s="21">
        <f>SPIKELET_Geom!$I$14</f>
        <v>0.8</v>
      </c>
      <c r="M239" s="76">
        <f>SPIKELET_Geom!$H$15</f>
        <v>17</v>
      </c>
      <c r="N239" s="21">
        <f>SPIKELET_Geom!$I$15</f>
        <v>0.9</v>
      </c>
      <c r="O239" s="76">
        <f>SPIKELET_Geom!$H$16</f>
        <v>32</v>
      </c>
      <c r="P239" s="21">
        <f>SPIKELET_Geom!$I$16</f>
        <v>1</v>
      </c>
      <c r="Q239" s="76">
        <f>SPIKELET_Geom!$H$17</f>
        <v>0</v>
      </c>
      <c r="R239" s="21">
        <f>SPIKELET_Geom!$I$17</f>
        <v>0</v>
      </c>
      <c r="S239" s="76">
        <f>SPIKELET_Geom!$H$18</f>
        <v>0</v>
      </c>
      <c r="T239" s="21">
        <f>SPIKELET_Geom!$I$18</f>
        <v>0</v>
      </c>
      <c r="U239" s="76">
        <f>SPIKELET_Geom!$H$19</f>
        <v>0</v>
      </c>
      <c r="V239" s="21">
        <f>SPIKELET_Geom!$I$19</f>
        <v>0</v>
      </c>
      <c r="W239" s="76">
        <f>SPIKELET_Geom!$H$20</f>
        <v>0</v>
      </c>
      <c r="X239" s="21">
        <f>SPIKELET_Geom!$I$20</f>
        <v>0</v>
      </c>
      <c r="Y239" s="76">
        <f>SPIKELET_Geom!$H$21</f>
        <v>0</v>
      </c>
      <c r="Z239" s="21">
        <f>SPIKELET_Geom!$I$21</f>
        <v>0</v>
      </c>
      <c r="AA239" s="76">
        <f>SPIKELET_Geom!$H$22</f>
        <v>0</v>
      </c>
      <c r="AB239" s="21">
        <f>SPIKELET_Geom!$I$22</f>
        <v>0</v>
      </c>
      <c r="AC239" s="76">
        <f>SPIKELET_Geom!$H$23</f>
        <v>0</v>
      </c>
      <c r="AD239" s="21">
        <f>SPIKELET_Geom!$I$23</f>
        <v>0</v>
      </c>
      <c r="AE239" s="76">
        <f>SPIKELET_Geom!$H$24</f>
        <v>0</v>
      </c>
      <c r="AF239" s="21">
        <f>SPIKELET_Geom!$I$24</f>
        <v>0</v>
      </c>
      <c r="AG239" s="76">
        <f>SPIKELET_Geom!$H$25</f>
        <v>0</v>
      </c>
      <c r="AH239" s="21">
        <f>SPIKELET_Geom!$I$25</f>
        <v>0</v>
      </c>
      <c r="AI239" s="76">
        <f>SPIKELET_Geom!$H$26</f>
        <v>0</v>
      </c>
      <c r="AJ239" s="21">
        <f>SPIKELET_Geom!$I$26</f>
        <v>0</v>
      </c>
      <c r="AK239" s="76">
        <f>SPIKELET_Geom!$H$27</f>
        <v>0</v>
      </c>
      <c r="AL239" s="21">
        <f>SPIKELET_Geom!$I$27</f>
        <v>0</v>
      </c>
      <c r="AM239" s="76">
        <f>SPIKELET_Geom!$H$28</f>
        <v>0</v>
      </c>
      <c r="AN239" s="21">
        <f>SPIKELET_Geom!$I$28</f>
        <v>0</v>
      </c>
      <c r="AO239" s="76">
        <f>SPIKELET_Geom!$H$29</f>
        <v>0</v>
      </c>
      <c r="AP239" s="21">
        <f>SPIKELET_Geom!$I$29</f>
        <v>0</v>
      </c>
      <c r="AQ239" s="76">
        <f>SPIKELET_Geom!$H$30</f>
        <v>0</v>
      </c>
      <c r="AR239" s="21">
        <f>SPIKELET_Geom!$I$30</f>
        <v>0</v>
      </c>
      <c r="AS239" s="76">
        <f>SPIKELET_Geom!$H$31</f>
        <v>0</v>
      </c>
      <c r="AT239" s="21">
        <f>SPIKELET_Geom!$I$31</f>
        <v>0</v>
      </c>
      <c r="AU239" s="76">
        <f>SPIKELET_Geom!$H$32</f>
        <v>0</v>
      </c>
      <c r="AV239" s="21">
        <f>SPIKELET_Geom!$I$32</f>
        <v>0</v>
      </c>
      <c r="AW239" s="76">
        <f>SPIKELET_Geom!$H$33</f>
        <v>0</v>
      </c>
      <c r="AX239" s="21">
        <f>SPIKELET_Geom!$I$33</f>
        <v>0</v>
      </c>
      <c r="AY239" s="76">
        <f>SPIKELET_Geom!$H$34</f>
        <v>0</v>
      </c>
      <c r="AZ239" s="21">
        <f>SPIKELET_Geom!$I$34</f>
        <v>0</v>
      </c>
      <c r="BA239" s="76">
        <f>SPIKELET_Geom!$H$35</f>
        <v>0</v>
      </c>
      <c r="BB239" s="21">
        <f>SPIKELET_Geom!$I$35</f>
        <v>0</v>
      </c>
      <c r="BC239" s="76">
        <f>SPIKELET_Geom!$H$36</f>
        <v>0</v>
      </c>
      <c r="BD239" s="21">
        <f>SPIKELET_Geom!$I$36</f>
        <v>0</v>
      </c>
      <c r="BE239" s="76">
        <f>SPIKELET_Geom!$H$37</f>
        <v>0</v>
      </c>
      <c r="BF239" s="21">
        <f>SPIKELET_Geom!$I$37</f>
        <v>0</v>
      </c>
      <c r="BG239" s="52" t="s">
        <v>69</v>
      </c>
      <c r="BH239" s="16"/>
    </row>
    <row r="240" spans="1:60">
      <c r="A240" s="20"/>
      <c r="B240" s="10" t="s">
        <v>44</v>
      </c>
      <c r="C240" s="2" t="s">
        <v>756</v>
      </c>
      <c r="D240" s="7" t="s">
        <v>12</v>
      </c>
      <c r="E240" s="9" t="s">
        <v>0</v>
      </c>
      <c r="F240" s="40" t="s">
        <v>7</v>
      </c>
      <c r="G240" s="46">
        <f>SPIKELET_Geom!$L$9</f>
        <v>1</v>
      </c>
      <c r="H240" s="72">
        <f>SPIKELET_Geom!$L$10</f>
        <v>2</v>
      </c>
      <c r="I240" s="56">
        <f>SPIKELET_Geom!$K$13</f>
        <v>1</v>
      </c>
      <c r="J240" s="21">
        <f>SPIKELET_Geom!$L$13</f>
        <v>0.2</v>
      </c>
      <c r="K240" s="56">
        <f>SPIKELET_Geom!$K$14</f>
        <v>200</v>
      </c>
      <c r="L240" s="21">
        <f>SPIKELET_Geom!$L$14</f>
        <v>1</v>
      </c>
      <c r="M240" s="56">
        <f>SPIKELET_Geom!$K$15</f>
        <v>0</v>
      </c>
      <c r="N240" s="21">
        <f>SPIKELET_Geom!$L$15</f>
        <v>0</v>
      </c>
      <c r="O240" s="56">
        <f>SPIKELET_Geom!$K$16</f>
        <v>0</v>
      </c>
      <c r="P240" s="21">
        <f>SPIKELET_Geom!$L$16</f>
        <v>0</v>
      </c>
      <c r="Q240" s="56">
        <f>SPIKELET_Geom!$K$17</f>
        <v>0</v>
      </c>
      <c r="R240" s="21">
        <f>SPIKELET_Geom!$L$17</f>
        <v>0</v>
      </c>
      <c r="S240" s="56">
        <f>SPIKELET_Geom!$K$18</f>
        <v>0</v>
      </c>
      <c r="T240" s="21">
        <f>SPIKELET_Geom!$L$18</f>
        <v>0</v>
      </c>
      <c r="U240" s="56">
        <f>SPIKELET_Geom!$K$19</f>
        <v>0</v>
      </c>
      <c r="V240" s="21">
        <f>SPIKELET_Geom!$L$19</f>
        <v>0</v>
      </c>
      <c r="W240" s="56">
        <f>SPIKELET_Geom!$K$20</f>
        <v>0</v>
      </c>
      <c r="X240" s="21">
        <f>SPIKELET_Geom!$L$20</f>
        <v>0</v>
      </c>
      <c r="Y240" s="56">
        <f>SPIKELET_Geom!$K$21</f>
        <v>0</v>
      </c>
      <c r="Z240" s="21">
        <f>SPIKELET_Geom!$L$21</f>
        <v>0</v>
      </c>
      <c r="AA240" s="56">
        <f>SPIKELET_Geom!$K$22</f>
        <v>0</v>
      </c>
      <c r="AB240" s="21">
        <f>SPIKELET_Geom!$L$22</f>
        <v>0</v>
      </c>
      <c r="AC240" s="56">
        <f>SPIKELET_Geom!$K$23</f>
        <v>0</v>
      </c>
      <c r="AD240" s="21">
        <f>SPIKELET_Geom!$L$23</f>
        <v>0</v>
      </c>
      <c r="AE240" s="56">
        <f>SPIKELET_Geom!$K$24</f>
        <v>0</v>
      </c>
      <c r="AF240" s="21">
        <f>SPIKELET_Geom!$L$24</f>
        <v>0</v>
      </c>
      <c r="AG240" s="56">
        <f>SPIKELET_Geom!$K$25</f>
        <v>0</v>
      </c>
      <c r="AH240" s="21">
        <f>SPIKELET_Geom!$L$25</f>
        <v>0</v>
      </c>
      <c r="AI240" s="56">
        <f>SPIKELET_Geom!$K$26</f>
        <v>0</v>
      </c>
      <c r="AJ240" s="21">
        <f>SPIKELET_Geom!$L$26</f>
        <v>0</v>
      </c>
      <c r="AK240" s="56">
        <f>SPIKELET_Geom!$K$27</f>
        <v>0</v>
      </c>
      <c r="AL240" s="21">
        <f>SPIKELET_Geom!$L$27</f>
        <v>0</v>
      </c>
      <c r="AM240" s="56">
        <f>SPIKELET_Geom!$K$28</f>
        <v>0</v>
      </c>
      <c r="AN240" s="21">
        <f>SPIKELET_Geom!$L$28</f>
        <v>0</v>
      </c>
      <c r="AO240" s="56">
        <f>SPIKELET_Geom!$K$29</f>
        <v>0</v>
      </c>
      <c r="AP240" s="21">
        <f>SPIKELET_Geom!$L$29</f>
        <v>0</v>
      </c>
      <c r="AQ240" s="56">
        <f>SPIKELET_Geom!$K$30</f>
        <v>0</v>
      </c>
      <c r="AR240" s="21">
        <f>SPIKELET_Geom!$L$30</f>
        <v>0</v>
      </c>
      <c r="AS240" s="56">
        <f>SPIKELET_Geom!$K$31</f>
        <v>0</v>
      </c>
      <c r="AT240" s="21">
        <f>SPIKELET_Geom!$L$31</f>
        <v>0</v>
      </c>
      <c r="AU240" s="56">
        <f>SPIKELET_Geom!$K$32</f>
        <v>0</v>
      </c>
      <c r="AV240" s="21">
        <f>SPIKELET_Geom!$L$32</f>
        <v>0</v>
      </c>
      <c r="AW240" s="56">
        <f>SPIKELET_Geom!$K$33</f>
        <v>0</v>
      </c>
      <c r="AX240" s="21">
        <f>SPIKELET_Geom!$L$33</f>
        <v>0</v>
      </c>
      <c r="AY240" s="56">
        <f>SPIKELET_Geom!$K$34</f>
        <v>0</v>
      </c>
      <c r="AZ240" s="21">
        <f>SPIKELET_Geom!$L$34</f>
        <v>0</v>
      </c>
      <c r="BA240" s="56">
        <f>SPIKELET_Geom!$K$35</f>
        <v>0</v>
      </c>
      <c r="BB240" s="21">
        <f>SPIKELET_Geom!$L$35</f>
        <v>0</v>
      </c>
      <c r="BC240" s="56">
        <f>SPIKELET_Geom!$K$36</f>
        <v>0</v>
      </c>
      <c r="BD240" s="21">
        <f>SPIKELET_Geom!$L$36</f>
        <v>0</v>
      </c>
      <c r="BE240" s="56">
        <f>SPIKELET_Geom!$K$37</f>
        <v>0</v>
      </c>
      <c r="BF240" s="21">
        <f>SPIKELET_Geom!$L$37</f>
        <v>0</v>
      </c>
      <c r="BG240" s="52" t="s">
        <v>69</v>
      </c>
      <c r="BH240" s="16"/>
    </row>
    <row r="241" spans="1:60">
      <c r="A241" s="20"/>
      <c r="B241" s="11" t="s">
        <v>48</v>
      </c>
      <c r="C241" s="2" t="s">
        <v>120</v>
      </c>
      <c r="D241" s="15" t="s">
        <v>12</v>
      </c>
      <c r="E241" s="9" t="s">
        <v>9</v>
      </c>
      <c r="F241" s="40" t="s">
        <v>8</v>
      </c>
      <c r="G241" s="46">
        <f>SPIKELET_Geom!$N$9</f>
        <v>1</v>
      </c>
      <c r="H241" s="72">
        <f>SPIKELET_Geom!$N$10</f>
        <v>3</v>
      </c>
      <c r="I241" s="58">
        <f>SPIKELET_Geom!$M$13</f>
        <v>0</v>
      </c>
      <c r="J241" s="21">
        <f>SPIKELET_Geom!$N$13</f>
        <v>1</v>
      </c>
      <c r="K241" s="58">
        <f>SPIKELET_Geom!$M$14</f>
        <v>70</v>
      </c>
      <c r="L241" s="21">
        <f>SPIKELET_Geom!$N$14</f>
        <v>1</v>
      </c>
      <c r="M241" s="58">
        <f>SPIKELET_Geom!$M$15</f>
        <v>100</v>
      </c>
      <c r="N241" s="21">
        <f>SPIKELET_Geom!$N$15</f>
        <v>0.5</v>
      </c>
      <c r="O241" s="58">
        <f>SPIKELET_Geom!$M$16</f>
        <v>0</v>
      </c>
      <c r="P241" s="21">
        <f>SPIKELET_Geom!$N$16</f>
        <v>0</v>
      </c>
      <c r="Q241" s="58">
        <f>SPIKELET_Geom!$M$17</f>
        <v>0</v>
      </c>
      <c r="R241" s="21">
        <f>SPIKELET_Geom!$N$17</f>
        <v>0</v>
      </c>
      <c r="S241" s="58">
        <f>SPIKELET_Geom!$M$18</f>
        <v>0</v>
      </c>
      <c r="T241" s="21">
        <f>SPIKELET_Geom!$N$18</f>
        <v>0</v>
      </c>
      <c r="U241" s="58">
        <f>SPIKELET_Geom!$M$19</f>
        <v>0</v>
      </c>
      <c r="V241" s="21">
        <f>SPIKELET_Geom!$N$19</f>
        <v>0</v>
      </c>
      <c r="W241" s="58">
        <f>SPIKELET_Geom!$M$20</f>
        <v>0</v>
      </c>
      <c r="X241" s="21">
        <f>SPIKELET_Geom!$N$20</f>
        <v>0</v>
      </c>
      <c r="Y241" s="58">
        <f>SPIKELET_Geom!$M$21</f>
        <v>0</v>
      </c>
      <c r="Z241" s="21">
        <f>SPIKELET_Geom!$N$21</f>
        <v>0</v>
      </c>
      <c r="AA241" s="58">
        <f>SPIKELET_Geom!$M$22</f>
        <v>0</v>
      </c>
      <c r="AB241" s="21">
        <f>SPIKELET_Geom!$N$22</f>
        <v>0</v>
      </c>
      <c r="AC241" s="58">
        <f>SPIKELET_Geom!$M$23</f>
        <v>0</v>
      </c>
      <c r="AD241" s="21">
        <f>SPIKELET_Geom!$N$23</f>
        <v>0</v>
      </c>
      <c r="AE241" s="58">
        <f>SPIKELET_Geom!$M$24</f>
        <v>0</v>
      </c>
      <c r="AF241" s="21">
        <f>SPIKELET_Geom!$N$24</f>
        <v>0</v>
      </c>
      <c r="AG241" s="58">
        <f>SPIKELET_Geom!$M$25</f>
        <v>0</v>
      </c>
      <c r="AH241" s="21">
        <f>SPIKELET_Geom!$N$25</f>
        <v>0</v>
      </c>
      <c r="AI241" s="58">
        <f>SPIKELET_Geom!$M$26</f>
        <v>0</v>
      </c>
      <c r="AJ241" s="21">
        <f>SPIKELET_Geom!$N$26</f>
        <v>0</v>
      </c>
      <c r="AK241" s="58">
        <f>SPIKELET_Geom!$M$27</f>
        <v>0</v>
      </c>
      <c r="AL241" s="21">
        <f>SPIKELET_Geom!$N$27</f>
        <v>0</v>
      </c>
      <c r="AM241" s="58">
        <f>SPIKELET_Geom!$M$28</f>
        <v>0</v>
      </c>
      <c r="AN241" s="21">
        <f>SPIKELET_Geom!$N$28</f>
        <v>0</v>
      </c>
      <c r="AO241" s="58">
        <f>SPIKELET_Geom!$M$29</f>
        <v>0</v>
      </c>
      <c r="AP241" s="21">
        <f>SPIKELET_Geom!$N$29</f>
        <v>0</v>
      </c>
      <c r="AQ241" s="58">
        <f>SPIKELET_Geom!$M$30</f>
        <v>0</v>
      </c>
      <c r="AR241" s="21">
        <f>SPIKELET_Geom!$N$30</f>
        <v>0</v>
      </c>
      <c r="AS241" s="58">
        <f>SPIKELET_Geom!$M$31</f>
        <v>0</v>
      </c>
      <c r="AT241" s="21">
        <f>SPIKELET_Geom!$N$31</f>
        <v>0</v>
      </c>
      <c r="AU241" s="58">
        <f>SPIKELET_Geom!$M$32</f>
        <v>0</v>
      </c>
      <c r="AV241" s="21">
        <f>SPIKELET_Geom!$N$32</f>
        <v>0</v>
      </c>
      <c r="AW241" s="58">
        <f>SPIKELET_Geom!$M$33</f>
        <v>0</v>
      </c>
      <c r="AX241" s="21">
        <f>SPIKELET_Geom!$N$33</f>
        <v>0</v>
      </c>
      <c r="AY241" s="58">
        <f>SPIKELET_Geom!$M$34</f>
        <v>0</v>
      </c>
      <c r="AZ241" s="21">
        <f>SPIKELET_Geom!$N$34</f>
        <v>0</v>
      </c>
      <c r="BA241" s="58">
        <f>SPIKELET_Geom!$M$35</f>
        <v>0</v>
      </c>
      <c r="BB241" s="21">
        <f>SPIKELET_Geom!$N$35</f>
        <v>0</v>
      </c>
      <c r="BC241" s="58">
        <f>SPIKELET_Geom!$M$36</f>
        <v>0</v>
      </c>
      <c r="BD241" s="21">
        <f>SPIKELET_Geom!$N$36</f>
        <v>0</v>
      </c>
      <c r="BE241" s="58">
        <f>SPIKELET_Geom!$M$37</f>
        <v>0</v>
      </c>
      <c r="BF241" s="21">
        <f>SPIKELET_Geom!$N$37</f>
        <v>0</v>
      </c>
      <c r="BG241" s="52" t="s">
        <v>69</v>
      </c>
      <c r="BH241" s="16"/>
    </row>
    <row r="242" spans="1:60">
      <c r="A242" s="20"/>
      <c r="B242" s="11" t="s">
        <v>49</v>
      </c>
      <c r="C242" s="2" t="s">
        <v>47</v>
      </c>
      <c r="D242" s="15" t="s">
        <v>12</v>
      </c>
      <c r="E242" s="9" t="s">
        <v>0</v>
      </c>
      <c r="F242" s="40" t="s">
        <v>7</v>
      </c>
      <c r="G242" s="46">
        <f>SPIKELET_Geom!$O$9</f>
        <v>1</v>
      </c>
      <c r="H242" s="72">
        <f>SPIKELET_Geom!$O$10</f>
        <v>3</v>
      </c>
      <c r="I242" s="58">
        <f>SPIKELET_Geom!$M$13</f>
        <v>0</v>
      </c>
      <c r="J242" s="21">
        <f>SPIKELET_Geom!$O$13</f>
        <v>0</v>
      </c>
      <c r="K242" s="58">
        <f>SPIKELET_Geom!$M$14</f>
        <v>70</v>
      </c>
      <c r="L242" s="21">
        <f>SPIKELET_Geom!$O$14</f>
        <v>0.1</v>
      </c>
      <c r="M242" s="58">
        <f>SPIKELET_Geom!$M$15</f>
        <v>100</v>
      </c>
      <c r="N242" s="21">
        <f>SPIKELET_Geom!$O$15</f>
        <v>0.05</v>
      </c>
      <c r="O242" s="58">
        <f>SPIKELET_Geom!$M$16</f>
        <v>0</v>
      </c>
      <c r="P242" s="21">
        <f>SPIKELET_Geom!$O$16</f>
        <v>0</v>
      </c>
      <c r="Q242" s="58">
        <f>SPIKELET_Geom!$M$17</f>
        <v>0</v>
      </c>
      <c r="R242" s="21">
        <f>SPIKELET_Geom!$O$17</f>
        <v>0</v>
      </c>
      <c r="S242" s="58">
        <f>SPIKELET_Geom!$M$18</f>
        <v>0</v>
      </c>
      <c r="T242" s="21">
        <f>SPIKELET_Geom!$O$18</f>
        <v>0</v>
      </c>
      <c r="U242" s="58">
        <f>SPIKELET_Geom!$M$19</f>
        <v>0</v>
      </c>
      <c r="V242" s="21">
        <f>SPIKELET_Geom!$O$19</f>
        <v>0</v>
      </c>
      <c r="W242" s="58">
        <f>SPIKELET_Geom!$M$20</f>
        <v>0</v>
      </c>
      <c r="X242" s="21">
        <f>SPIKELET_Geom!$O$20</f>
        <v>0</v>
      </c>
      <c r="Y242" s="58">
        <f>SPIKELET_Geom!$M$21</f>
        <v>0</v>
      </c>
      <c r="Z242" s="21">
        <f>SPIKELET_Geom!$O$21</f>
        <v>0</v>
      </c>
      <c r="AA242" s="58">
        <f>SPIKELET_Geom!$M$22</f>
        <v>0</v>
      </c>
      <c r="AB242" s="21">
        <f>SPIKELET_Geom!$O$22</f>
        <v>0</v>
      </c>
      <c r="AC242" s="58">
        <f>SPIKELET_Geom!$M$23</f>
        <v>0</v>
      </c>
      <c r="AD242" s="21">
        <f>SPIKELET_Geom!$O$23</f>
        <v>0</v>
      </c>
      <c r="AE242" s="58">
        <f>SPIKELET_Geom!$M$24</f>
        <v>0</v>
      </c>
      <c r="AF242" s="21">
        <f>SPIKELET_Geom!$O$24</f>
        <v>0</v>
      </c>
      <c r="AG242" s="58">
        <f>SPIKELET_Geom!$M$25</f>
        <v>0</v>
      </c>
      <c r="AH242" s="21">
        <f>SPIKELET_Geom!$O$25</f>
        <v>0</v>
      </c>
      <c r="AI242" s="58">
        <f>SPIKELET_Geom!$M$26</f>
        <v>0</v>
      </c>
      <c r="AJ242" s="21">
        <f>SPIKELET_Geom!$O$26</f>
        <v>0</v>
      </c>
      <c r="AK242" s="58">
        <f>SPIKELET_Geom!$M$27</f>
        <v>0</v>
      </c>
      <c r="AL242" s="21">
        <f>SPIKELET_Geom!$O$27</f>
        <v>0</v>
      </c>
      <c r="AM242" s="58">
        <f>SPIKELET_Geom!$M$28</f>
        <v>0</v>
      </c>
      <c r="AN242" s="21">
        <f>SPIKELET_Geom!$O$28</f>
        <v>0</v>
      </c>
      <c r="AO242" s="58">
        <f>SPIKELET_Geom!$M$29</f>
        <v>0</v>
      </c>
      <c r="AP242" s="21">
        <f>SPIKELET_Geom!$O$29</f>
        <v>0</v>
      </c>
      <c r="AQ242" s="58">
        <f>SPIKELET_Geom!$M$30</f>
        <v>0</v>
      </c>
      <c r="AR242" s="21">
        <f>SPIKELET_Geom!$O$30</f>
        <v>0</v>
      </c>
      <c r="AS242" s="58">
        <f>SPIKELET_Geom!$M$31</f>
        <v>0</v>
      </c>
      <c r="AT242" s="21">
        <f>SPIKELET_Geom!$O$31</f>
        <v>0</v>
      </c>
      <c r="AU242" s="58">
        <f>SPIKELET_Geom!$M$32</f>
        <v>0</v>
      </c>
      <c r="AV242" s="21">
        <f>SPIKELET_Geom!$O$32</f>
        <v>0</v>
      </c>
      <c r="AW242" s="58">
        <f>SPIKELET_Geom!$M$33</f>
        <v>0</v>
      </c>
      <c r="AX242" s="21">
        <f>SPIKELET_Geom!$O$33</f>
        <v>0</v>
      </c>
      <c r="AY242" s="58">
        <f>SPIKELET_Geom!$M$34</f>
        <v>0</v>
      </c>
      <c r="AZ242" s="21">
        <f>SPIKELET_Geom!$O$34</f>
        <v>0</v>
      </c>
      <c r="BA242" s="58">
        <f>SPIKELET_Geom!$M$35</f>
        <v>0</v>
      </c>
      <c r="BB242" s="21">
        <f>SPIKELET_Geom!$O$35</f>
        <v>0</v>
      </c>
      <c r="BC242" s="58">
        <f>SPIKELET_Geom!$M$36</f>
        <v>0</v>
      </c>
      <c r="BD242" s="21">
        <f>SPIKELET_Geom!$O$36</f>
        <v>0</v>
      </c>
      <c r="BE242" s="58">
        <f>SPIKELET_Geom!$M$37</f>
        <v>0</v>
      </c>
      <c r="BF242" s="21">
        <f>SPIKELET_Geom!$O$37</f>
        <v>0</v>
      </c>
      <c r="BG242" s="52" t="s">
        <v>69</v>
      </c>
      <c r="BH242" s="16"/>
    </row>
    <row r="243" spans="1:60">
      <c r="A243" s="20"/>
      <c r="B243" s="11" t="s">
        <v>50</v>
      </c>
      <c r="C243" s="2" t="s">
        <v>121</v>
      </c>
      <c r="D243" s="33" t="s">
        <v>12</v>
      </c>
      <c r="E243" s="9" t="s">
        <v>9</v>
      </c>
      <c r="F243" s="40" t="s">
        <v>8</v>
      </c>
      <c r="G243" s="46">
        <f>SPIKELET_Geom!$Q$9</f>
        <v>1</v>
      </c>
      <c r="H243" s="72">
        <f>SPIKELET_Geom!$Q$10</f>
        <v>2</v>
      </c>
      <c r="I243" s="57">
        <f>SPIKELET_Geom!$P$13</f>
        <v>0</v>
      </c>
      <c r="J243" s="21">
        <f>SPIKELET_Geom!$Q$13</f>
        <v>1</v>
      </c>
      <c r="K243" s="57">
        <f>SPIKELET_Geom!$P$14</f>
        <v>100</v>
      </c>
      <c r="L243" s="21">
        <f>SPIKELET_Geom!$Q$14</f>
        <v>0.2</v>
      </c>
      <c r="M243" s="57">
        <f>SPIKELET_Geom!$P$15</f>
        <v>0</v>
      </c>
      <c r="N243" s="21">
        <f>SPIKELET_Geom!$Q$15</f>
        <v>0</v>
      </c>
      <c r="O243" s="57">
        <f>SPIKELET_Geom!$P$16</f>
        <v>0</v>
      </c>
      <c r="P243" s="21">
        <f>SPIKELET_Geom!$Q$16</f>
        <v>0</v>
      </c>
      <c r="Q243" s="57">
        <f>SPIKELET_Geom!$P$17</f>
        <v>0</v>
      </c>
      <c r="R243" s="21">
        <f>SPIKELET_Geom!$Q$17</f>
        <v>0</v>
      </c>
      <c r="S243" s="57">
        <f>SPIKELET_Geom!$P$18</f>
        <v>0</v>
      </c>
      <c r="T243" s="21">
        <f>SPIKELET_Geom!$Q$18</f>
        <v>0</v>
      </c>
      <c r="U243" s="57">
        <f>SPIKELET_Geom!$P$19</f>
        <v>0</v>
      </c>
      <c r="V243" s="21">
        <f>SPIKELET_Geom!$Q$19</f>
        <v>0</v>
      </c>
      <c r="W243" s="57">
        <f>SPIKELET_Geom!$P$20</f>
        <v>0</v>
      </c>
      <c r="X243" s="21">
        <f>SPIKELET_Geom!$Q$20</f>
        <v>0</v>
      </c>
      <c r="Y243" s="57">
        <f>SPIKELET_Geom!$P$21</f>
        <v>0</v>
      </c>
      <c r="Z243" s="21">
        <f>SPIKELET_Geom!$Q$21</f>
        <v>0</v>
      </c>
      <c r="AA243" s="57">
        <f>SPIKELET_Geom!$P$22</f>
        <v>0</v>
      </c>
      <c r="AB243" s="21">
        <f>SPIKELET_Geom!$Q$22</f>
        <v>0</v>
      </c>
      <c r="AC243" s="57">
        <f>SPIKELET_Geom!$P$23</f>
        <v>0</v>
      </c>
      <c r="AD243" s="21">
        <f>SPIKELET_Geom!$Q$23</f>
        <v>0</v>
      </c>
      <c r="AE243" s="57">
        <f>SPIKELET_Geom!$P$24</f>
        <v>0</v>
      </c>
      <c r="AF243" s="21">
        <f>SPIKELET_Geom!$Q$24</f>
        <v>0</v>
      </c>
      <c r="AG243" s="57">
        <f>SPIKELET_Geom!$P$25</f>
        <v>0</v>
      </c>
      <c r="AH243" s="21">
        <f>SPIKELET_Geom!$Q$25</f>
        <v>0</v>
      </c>
      <c r="AI243" s="57">
        <f>SPIKELET_Geom!$P$26</f>
        <v>0</v>
      </c>
      <c r="AJ243" s="21">
        <f>SPIKELET_Geom!$Q$26</f>
        <v>0</v>
      </c>
      <c r="AK243" s="57">
        <f>SPIKELET_Geom!$P$27</f>
        <v>0</v>
      </c>
      <c r="AL243" s="21">
        <f>SPIKELET_Geom!$Q$27</f>
        <v>0</v>
      </c>
      <c r="AM243" s="57">
        <f>SPIKELET_Geom!$P$28</f>
        <v>0</v>
      </c>
      <c r="AN243" s="21">
        <f>SPIKELET_Geom!$Q$28</f>
        <v>0</v>
      </c>
      <c r="AO243" s="57">
        <f>SPIKELET_Geom!$P$29</f>
        <v>0</v>
      </c>
      <c r="AP243" s="21">
        <f>SPIKELET_Geom!$Q$29</f>
        <v>0</v>
      </c>
      <c r="AQ243" s="57">
        <f>SPIKELET_Geom!$P$30</f>
        <v>0</v>
      </c>
      <c r="AR243" s="21">
        <f>SPIKELET_Geom!$Q$30</f>
        <v>0</v>
      </c>
      <c r="AS243" s="57">
        <f>SPIKELET_Geom!$P$31</f>
        <v>0</v>
      </c>
      <c r="AT243" s="21">
        <f>SPIKELET_Geom!$Q$31</f>
        <v>0</v>
      </c>
      <c r="AU243" s="57">
        <f>SPIKELET_Geom!$P$32</f>
        <v>0</v>
      </c>
      <c r="AV243" s="21">
        <f>SPIKELET_Geom!$Q$32</f>
        <v>0</v>
      </c>
      <c r="AW243" s="57">
        <f>SPIKELET_Geom!$P$33</f>
        <v>0</v>
      </c>
      <c r="AX243" s="21">
        <f>SPIKELET_Geom!$Q$33</f>
        <v>0</v>
      </c>
      <c r="AY243" s="57">
        <f>SPIKELET_Geom!$P$34</f>
        <v>0</v>
      </c>
      <c r="AZ243" s="21">
        <f>SPIKELET_Geom!$Q$34</f>
        <v>0</v>
      </c>
      <c r="BA243" s="57">
        <f>SPIKELET_Geom!$P$35</f>
        <v>0</v>
      </c>
      <c r="BB243" s="21">
        <f>SPIKELET_Geom!$Q$35</f>
        <v>0</v>
      </c>
      <c r="BC243" s="57">
        <f>SPIKELET_Geom!$P$36</f>
        <v>0</v>
      </c>
      <c r="BD243" s="21">
        <f>SPIKELET_Geom!$Q$36</f>
        <v>0</v>
      </c>
      <c r="BE243" s="57">
        <f>SPIKELET_Geom!$P$37</f>
        <v>0</v>
      </c>
      <c r="BF243" s="21">
        <f>SPIKELET_Geom!$Q$37</f>
        <v>0</v>
      </c>
      <c r="BG243" s="52" t="s">
        <v>69</v>
      </c>
      <c r="BH243" s="16"/>
    </row>
    <row r="244" spans="1:60">
      <c r="A244" s="20"/>
      <c r="B244" s="11" t="s">
        <v>171</v>
      </c>
      <c r="C244" s="213" t="s">
        <v>757</v>
      </c>
      <c r="D244" s="15" t="s">
        <v>12</v>
      </c>
      <c r="E244" s="9" t="s">
        <v>443</v>
      </c>
      <c r="F244" s="40" t="s">
        <v>6</v>
      </c>
      <c r="G244" s="46">
        <f>SPIKELET_Geom!$T$9</f>
        <v>1</v>
      </c>
      <c r="H244" s="72">
        <f>SPIKELET_Geom!$T$10</f>
        <v>3</v>
      </c>
      <c r="I244" s="58">
        <f>SPIKELET_Geom!$S$13</f>
        <v>0</v>
      </c>
      <c r="J244" s="21">
        <f>SPIKELET_Geom!$T$13</f>
        <v>100</v>
      </c>
      <c r="K244" s="58">
        <f>SPIKELET_Geom!$S$14</f>
        <v>70</v>
      </c>
      <c r="L244" s="21">
        <f>SPIKELET_Geom!$T$14</f>
        <v>3000</v>
      </c>
      <c r="M244" s="58">
        <f>SPIKELET_Geom!$S$15</f>
        <v>100</v>
      </c>
      <c r="N244" s="21">
        <f>SPIKELET_Geom!$T$15</f>
        <v>3000</v>
      </c>
      <c r="O244" s="58">
        <f>SPIKELET_Geom!$S$16</f>
        <v>0</v>
      </c>
      <c r="P244" s="21">
        <f>SPIKELET_Geom!$T$16</f>
        <v>0</v>
      </c>
      <c r="Q244" s="58">
        <f>SPIKELET_Geom!$S$17</f>
        <v>0</v>
      </c>
      <c r="R244" s="21">
        <f>SPIKELET_Geom!$T$17</f>
        <v>0</v>
      </c>
      <c r="S244" s="58">
        <f>SPIKELET_Geom!$S$18</f>
        <v>0</v>
      </c>
      <c r="T244" s="21">
        <f>SPIKELET_Geom!$T$18</f>
        <v>0</v>
      </c>
      <c r="U244" s="58">
        <f>SPIKELET_Geom!$S$19</f>
        <v>0</v>
      </c>
      <c r="V244" s="21">
        <f>SPIKELET_Geom!$T$19</f>
        <v>0</v>
      </c>
      <c r="W244" s="58">
        <f>SPIKELET_Geom!$S$20</f>
        <v>0</v>
      </c>
      <c r="X244" s="21">
        <f>SPIKELET_Geom!$T$20</f>
        <v>0</v>
      </c>
      <c r="Y244" s="58">
        <f>SPIKELET_Geom!$S$21</f>
        <v>0</v>
      </c>
      <c r="Z244" s="21">
        <f>SPIKELET_Geom!$T$21</f>
        <v>0</v>
      </c>
      <c r="AA244" s="58">
        <f>SPIKELET_Geom!$S$22</f>
        <v>0</v>
      </c>
      <c r="AB244" s="21">
        <f>SPIKELET_Geom!$T$22</f>
        <v>0</v>
      </c>
      <c r="AC244" s="58">
        <f>SPIKELET_Geom!$S$23</f>
        <v>0</v>
      </c>
      <c r="AD244" s="21">
        <f>SPIKELET_Geom!$T$23</f>
        <v>0</v>
      </c>
      <c r="AE244" s="58">
        <f>SPIKELET_Geom!$S$24</f>
        <v>0</v>
      </c>
      <c r="AF244" s="21">
        <f>SPIKELET_Geom!$T$24</f>
        <v>0</v>
      </c>
      <c r="AG244" s="58">
        <f>SPIKELET_Geom!$S$25</f>
        <v>0</v>
      </c>
      <c r="AH244" s="21">
        <f>SPIKELET_Geom!$T$25</f>
        <v>0</v>
      </c>
      <c r="AI244" s="58">
        <f>SPIKELET_Geom!$S$26</f>
        <v>0</v>
      </c>
      <c r="AJ244" s="21">
        <f>SPIKELET_Geom!$T$26</f>
        <v>0</v>
      </c>
      <c r="AK244" s="58">
        <f>SPIKELET_Geom!$S$27</f>
        <v>0</v>
      </c>
      <c r="AL244" s="21">
        <f>SPIKELET_Geom!$T$27</f>
        <v>0</v>
      </c>
      <c r="AM244" s="58">
        <f>SPIKELET_Geom!$S$28</f>
        <v>0</v>
      </c>
      <c r="AN244" s="21">
        <f>SPIKELET_Geom!$T$28</f>
        <v>0</v>
      </c>
      <c r="AO244" s="58">
        <f>SPIKELET_Geom!$S$29</f>
        <v>0</v>
      </c>
      <c r="AP244" s="21">
        <f>SPIKELET_Geom!$T$29</f>
        <v>0</v>
      </c>
      <c r="AQ244" s="58">
        <f>SPIKELET_Geom!$S$30</f>
        <v>0</v>
      </c>
      <c r="AR244" s="21">
        <f>SPIKELET_Geom!$T$30</f>
        <v>0</v>
      </c>
      <c r="AS244" s="58">
        <f>SPIKELET_Geom!$S$31</f>
        <v>0</v>
      </c>
      <c r="AT244" s="21">
        <f>SPIKELET_Geom!$T$31</f>
        <v>0</v>
      </c>
      <c r="AU244" s="58">
        <f>SPIKELET_Geom!$S$32</f>
        <v>0</v>
      </c>
      <c r="AV244" s="21">
        <f>SPIKELET_Geom!$T$32</f>
        <v>0</v>
      </c>
      <c r="AW244" s="58">
        <f>SPIKELET_Geom!$S$33</f>
        <v>0</v>
      </c>
      <c r="AX244" s="21">
        <f>SPIKELET_Geom!$T$33</f>
        <v>0</v>
      </c>
      <c r="AY244" s="58">
        <f>SPIKELET_Geom!$S$34</f>
        <v>0</v>
      </c>
      <c r="AZ244" s="21">
        <f>SPIKELET_Geom!$T$34</f>
        <v>0</v>
      </c>
      <c r="BA244" s="58">
        <f>SPIKELET_Geom!$S$35</f>
        <v>0</v>
      </c>
      <c r="BB244" s="21">
        <f>SPIKELET_Geom!$T$35</f>
        <v>0</v>
      </c>
      <c r="BC244" s="58">
        <f>SPIKELET_Geom!$S$36</f>
        <v>0</v>
      </c>
      <c r="BD244" s="21">
        <f>SPIKELET_Geom!$T$36</f>
        <v>0</v>
      </c>
      <c r="BE244" s="58">
        <f>SPIKELET_Geom!$S$37</f>
        <v>0</v>
      </c>
      <c r="BF244" s="21">
        <f>SPIKELET_Geom!$T$37</f>
        <v>0</v>
      </c>
      <c r="BG244" s="52" t="s">
        <v>69</v>
      </c>
      <c r="BH244" s="16"/>
    </row>
    <row r="245" spans="1:60">
      <c r="A245" s="20"/>
      <c r="B245" s="11" t="s">
        <v>172</v>
      </c>
      <c r="C245" s="213" t="s">
        <v>758</v>
      </c>
      <c r="D245" s="15" t="s">
        <v>12</v>
      </c>
      <c r="E245" s="9" t="s">
        <v>443</v>
      </c>
      <c r="F245" s="40" t="s">
        <v>6</v>
      </c>
      <c r="G245" s="46">
        <f>SPIKELET_Geom!$U$9</f>
        <v>1</v>
      </c>
      <c r="H245" s="72">
        <f>SPIKELET_Geom!$U$10</f>
        <v>3</v>
      </c>
      <c r="I245" s="58">
        <f>SPIKELET_Geom!$S$13</f>
        <v>0</v>
      </c>
      <c r="J245" s="21">
        <f>SPIKELET_Geom!$U$13</f>
        <v>100</v>
      </c>
      <c r="K245" s="58">
        <f>SPIKELET_Geom!$S$14</f>
        <v>70</v>
      </c>
      <c r="L245" s="21">
        <f>SPIKELET_Geom!$U$14</f>
        <v>0</v>
      </c>
      <c r="M245" s="58">
        <f>SPIKELET_Geom!$S$15</f>
        <v>100</v>
      </c>
      <c r="N245" s="21">
        <f>SPIKELET_Geom!$U$15</f>
        <v>0</v>
      </c>
      <c r="O245" s="58">
        <f>SPIKELET_Geom!$S$16</f>
        <v>0</v>
      </c>
      <c r="P245" s="21">
        <f>SPIKELET_Geom!$U$16</f>
        <v>0</v>
      </c>
      <c r="Q245" s="58">
        <f>SPIKELET_Geom!$S$17</f>
        <v>0</v>
      </c>
      <c r="R245" s="21">
        <f>SPIKELET_Geom!$U$17</f>
        <v>0</v>
      </c>
      <c r="S245" s="58">
        <f>SPIKELET_Geom!$S$18</f>
        <v>0</v>
      </c>
      <c r="T245" s="21">
        <f>SPIKELET_Geom!$U$18</f>
        <v>0</v>
      </c>
      <c r="U245" s="58">
        <f>SPIKELET_Geom!$S$19</f>
        <v>0</v>
      </c>
      <c r="V245" s="21">
        <f>SPIKELET_Geom!$U$19</f>
        <v>0</v>
      </c>
      <c r="W245" s="58">
        <f>SPIKELET_Geom!$S$20</f>
        <v>0</v>
      </c>
      <c r="X245" s="21">
        <f>SPIKELET_Geom!$U$20</f>
        <v>0</v>
      </c>
      <c r="Y245" s="58">
        <f>SPIKELET_Geom!$S$21</f>
        <v>0</v>
      </c>
      <c r="Z245" s="21">
        <f>SPIKELET_Geom!$U$21</f>
        <v>0</v>
      </c>
      <c r="AA245" s="58">
        <f>SPIKELET_Geom!$S$22</f>
        <v>0</v>
      </c>
      <c r="AB245" s="21">
        <f>SPIKELET_Geom!$U$22</f>
        <v>0</v>
      </c>
      <c r="AC245" s="58">
        <f>SPIKELET_Geom!$S$23</f>
        <v>0</v>
      </c>
      <c r="AD245" s="21">
        <f>SPIKELET_Geom!$U$23</f>
        <v>0</v>
      </c>
      <c r="AE245" s="58">
        <f>SPIKELET_Geom!$S$24</f>
        <v>0</v>
      </c>
      <c r="AF245" s="21">
        <f>SPIKELET_Geom!$U$24</f>
        <v>0</v>
      </c>
      <c r="AG245" s="58">
        <f>SPIKELET_Geom!$S$25</f>
        <v>0</v>
      </c>
      <c r="AH245" s="21">
        <f>SPIKELET_Geom!$U$25</f>
        <v>0</v>
      </c>
      <c r="AI245" s="58">
        <f>SPIKELET_Geom!$S$26</f>
        <v>0</v>
      </c>
      <c r="AJ245" s="21">
        <f>SPIKELET_Geom!$U$26</f>
        <v>0</v>
      </c>
      <c r="AK245" s="58">
        <f>SPIKELET_Geom!$S$27</f>
        <v>0</v>
      </c>
      <c r="AL245" s="21">
        <f>SPIKELET_Geom!$U$27</f>
        <v>0</v>
      </c>
      <c r="AM245" s="58">
        <f>SPIKELET_Geom!$S$28</f>
        <v>0</v>
      </c>
      <c r="AN245" s="21">
        <f>SPIKELET_Geom!$U$28</f>
        <v>0</v>
      </c>
      <c r="AO245" s="58">
        <f>SPIKELET_Geom!$S$29</f>
        <v>0</v>
      </c>
      <c r="AP245" s="21">
        <f>SPIKELET_Geom!$U$29</f>
        <v>0</v>
      </c>
      <c r="AQ245" s="58">
        <f>SPIKELET_Geom!$S$30</f>
        <v>0</v>
      </c>
      <c r="AR245" s="21">
        <f>SPIKELET_Geom!$U$30</f>
        <v>0</v>
      </c>
      <c r="AS245" s="58">
        <f>SPIKELET_Geom!$S$31</f>
        <v>0</v>
      </c>
      <c r="AT245" s="21">
        <f>SPIKELET_Geom!$U$31</f>
        <v>0</v>
      </c>
      <c r="AU245" s="58">
        <f>SPIKELET_Geom!$S$32</f>
        <v>0</v>
      </c>
      <c r="AV245" s="21">
        <f>SPIKELET_Geom!$U$32</f>
        <v>0</v>
      </c>
      <c r="AW245" s="58">
        <f>SPIKELET_Geom!$S$33</f>
        <v>0</v>
      </c>
      <c r="AX245" s="21">
        <f>SPIKELET_Geom!$U$33</f>
        <v>0</v>
      </c>
      <c r="AY245" s="58">
        <f>SPIKELET_Geom!$S$34</f>
        <v>0</v>
      </c>
      <c r="AZ245" s="21">
        <f>SPIKELET_Geom!$U$34</f>
        <v>0</v>
      </c>
      <c r="BA245" s="58">
        <f>SPIKELET_Geom!$S$35</f>
        <v>0</v>
      </c>
      <c r="BB245" s="21">
        <f>SPIKELET_Geom!$U$35</f>
        <v>0</v>
      </c>
      <c r="BC245" s="58">
        <f>SPIKELET_Geom!$S$36</f>
        <v>0</v>
      </c>
      <c r="BD245" s="21">
        <f>SPIKELET_Geom!$U$36</f>
        <v>0</v>
      </c>
      <c r="BE245" s="58">
        <f>SPIKELET_Geom!$S$37</f>
        <v>0</v>
      </c>
      <c r="BF245" s="21">
        <f>SPIKELET_Geom!$U$37</f>
        <v>0</v>
      </c>
      <c r="BG245" s="52" t="s">
        <v>69</v>
      </c>
      <c r="BH245" s="16"/>
    </row>
    <row r="246" spans="1:60">
      <c r="A246" s="20"/>
      <c r="B246" s="11" t="s">
        <v>173</v>
      </c>
      <c r="C246" s="213" t="s">
        <v>956</v>
      </c>
      <c r="D246" s="69" t="s">
        <v>12</v>
      </c>
      <c r="E246" s="2" t="s">
        <v>5</v>
      </c>
      <c r="F246" s="40" t="s">
        <v>7</v>
      </c>
      <c r="G246" s="46">
        <f>SPIKELET_Geom!$V$9</f>
        <v>1</v>
      </c>
      <c r="H246" s="72">
        <f>SPIKELET_Geom!$V$10</f>
        <v>3</v>
      </c>
      <c r="I246" s="76">
        <f>SPIKELET_Geom!$V$13</f>
        <v>1</v>
      </c>
      <c r="J246" s="21">
        <f>SPIKELET_Geom!$W$13</f>
        <v>2</v>
      </c>
      <c r="K246" s="76">
        <f>SPIKELET_Geom!$V$14</f>
        <v>13</v>
      </c>
      <c r="L246" s="21">
        <f>SPIKELET_Geom!$W$14</f>
        <v>2</v>
      </c>
      <c r="M246" s="76">
        <f>SPIKELET_Geom!$V$15</f>
        <v>20</v>
      </c>
      <c r="N246" s="21">
        <f>SPIKELET_Geom!$W$15</f>
        <v>1</v>
      </c>
      <c r="O246" s="76">
        <f>SPIKELET_Geom!$V$16</f>
        <v>0</v>
      </c>
      <c r="P246" s="21">
        <f>SPIKELET_Geom!$W$16</f>
        <v>0</v>
      </c>
      <c r="Q246" s="76">
        <f>SPIKELET_Geom!$V$17</f>
        <v>0</v>
      </c>
      <c r="R246" s="21">
        <f>SPIKELET_Geom!$W$17</f>
        <v>0</v>
      </c>
      <c r="S246" s="76">
        <f>SPIKELET_Geom!$V$18</f>
        <v>0</v>
      </c>
      <c r="T246" s="21">
        <f>SPIKELET_Geom!$W$18</f>
        <v>0</v>
      </c>
      <c r="U246" s="76">
        <f>SPIKELET_Geom!$V$19</f>
        <v>0</v>
      </c>
      <c r="V246" s="21">
        <f>SPIKELET_Geom!$W$19</f>
        <v>0</v>
      </c>
      <c r="W246" s="76">
        <f>SPIKELET_Geom!$V$20</f>
        <v>0</v>
      </c>
      <c r="X246" s="21">
        <f>SPIKELET_Geom!$W$20</f>
        <v>0</v>
      </c>
      <c r="Y246" s="76">
        <f>SPIKELET_Geom!$V$21</f>
        <v>0</v>
      </c>
      <c r="Z246" s="21">
        <f>SPIKELET_Geom!$W$21</f>
        <v>0</v>
      </c>
      <c r="AA246" s="76">
        <f>SPIKELET_Geom!$V$22</f>
        <v>0</v>
      </c>
      <c r="AB246" s="21">
        <f>SPIKELET_Geom!$W$22</f>
        <v>0</v>
      </c>
      <c r="AC246" s="76">
        <f>SPIKELET_Geom!$V$23</f>
        <v>0</v>
      </c>
      <c r="AD246" s="21">
        <f>SPIKELET_Geom!$W$23</f>
        <v>0</v>
      </c>
      <c r="AE246" s="76">
        <f>SPIKELET_Geom!$V$24</f>
        <v>0</v>
      </c>
      <c r="AF246" s="21">
        <f>SPIKELET_Geom!$W$24</f>
        <v>0</v>
      </c>
      <c r="AG246" s="76">
        <f>SPIKELET_Geom!$V$25</f>
        <v>0</v>
      </c>
      <c r="AH246" s="21">
        <f>SPIKELET_Geom!$W$25</f>
        <v>0</v>
      </c>
      <c r="AI246" s="76">
        <f>SPIKELET_Geom!$V$26</f>
        <v>0</v>
      </c>
      <c r="AJ246" s="21">
        <f>SPIKELET_Geom!$W$26</f>
        <v>0</v>
      </c>
      <c r="AK246" s="76">
        <f>SPIKELET_Geom!$V$27</f>
        <v>0</v>
      </c>
      <c r="AL246" s="21">
        <f>SPIKELET_Geom!$W$27</f>
        <v>0</v>
      </c>
      <c r="AM246" s="76">
        <f>SPIKELET_Geom!$V$28</f>
        <v>0</v>
      </c>
      <c r="AN246" s="21">
        <f>SPIKELET_Geom!$W$28</f>
        <v>0</v>
      </c>
      <c r="AO246" s="76">
        <f>SPIKELET_Geom!$V$29</f>
        <v>0</v>
      </c>
      <c r="AP246" s="21">
        <f>SPIKELET_Geom!$W$29</f>
        <v>0</v>
      </c>
      <c r="AQ246" s="76">
        <f>SPIKELET_Geom!$V$30</f>
        <v>0</v>
      </c>
      <c r="AR246" s="21">
        <f>SPIKELET_Geom!$W$30</f>
        <v>0</v>
      </c>
      <c r="AS246" s="76">
        <f>SPIKELET_Geom!$V$31</f>
        <v>0</v>
      </c>
      <c r="AT246" s="21">
        <f>SPIKELET_Geom!$W$31</f>
        <v>0</v>
      </c>
      <c r="AU246" s="76">
        <f>SPIKELET_Geom!$V$32</f>
        <v>0</v>
      </c>
      <c r="AV246" s="21">
        <f>SPIKELET_Geom!$W$32</f>
        <v>0</v>
      </c>
      <c r="AW246" s="76">
        <f>SPIKELET_Geom!$V$33</f>
        <v>0</v>
      </c>
      <c r="AX246" s="21">
        <f>SPIKELET_Geom!$W$33</f>
        <v>0</v>
      </c>
      <c r="AY246" s="76">
        <f>SPIKELET_Geom!$V$34</f>
        <v>0</v>
      </c>
      <c r="AZ246" s="21">
        <f>SPIKELET_Geom!$W$34</f>
        <v>0</v>
      </c>
      <c r="BA246" s="76">
        <f>SPIKELET_Geom!$V$35</f>
        <v>0</v>
      </c>
      <c r="BB246" s="21">
        <f>SPIKELET_Geom!$W$35</f>
        <v>0</v>
      </c>
      <c r="BC246" s="76">
        <f>SPIKELET_Geom!$V$36</f>
        <v>0</v>
      </c>
      <c r="BD246" s="21">
        <f>SPIKELET_Geom!$W$36</f>
        <v>0</v>
      </c>
      <c r="BE246" s="76">
        <f>SPIKELET_Geom!$V$37</f>
        <v>0</v>
      </c>
      <c r="BF246" s="21">
        <f>SPIKELET_Geom!$W$37</f>
        <v>0</v>
      </c>
      <c r="BG246" s="52" t="s">
        <v>69</v>
      </c>
      <c r="BH246" s="16"/>
    </row>
    <row r="247" spans="1:60">
      <c r="A247" s="20"/>
      <c r="B247" s="11" t="s">
        <v>416</v>
      </c>
      <c r="C247" s="2" t="s">
        <v>322</v>
      </c>
      <c r="D247" s="15" t="s">
        <v>12</v>
      </c>
      <c r="E247" s="9" t="s">
        <v>3</v>
      </c>
      <c r="F247" s="40" t="s">
        <v>6</v>
      </c>
      <c r="G247" s="46">
        <f>SPIKELET_Geom!$Z$9</f>
        <v>1</v>
      </c>
      <c r="H247" s="72">
        <f>SPIKELET_Geom!$Z$10</f>
        <v>2</v>
      </c>
      <c r="I247" s="58">
        <f>SPIKELET_Geom!$Y$13</f>
        <v>0</v>
      </c>
      <c r="J247" s="21">
        <f>SPIKELET_Geom!$Z$13</f>
        <v>3</v>
      </c>
      <c r="K247" s="58">
        <f>SPIKELET_Geom!$Y$14</f>
        <v>40</v>
      </c>
      <c r="L247" s="21">
        <f>SPIKELET_Geom!$Z$14</f>
        <v>10</v>
      </c>
      <c r="M247" s="58">
        <f>SPIKELET_Geom!$Y$15</f>
        <v>0</v>
      </c>
      <c r="N247" s="21">
        <f>SPIKELET_Geom!$Z$15</f>
        <v>0</v>
      </c>
      <c r="O247" s="58">
        <f>SPIKELET_Geom!$Y$16</f>
        <v>0</v>
      </c>
      <c r="P247" s="21">
        <f>SPIKELET_Geom!$Z$16</f>
        <v>0</v>
      </c>
      <c r="Q247" s="58">
        <f>SPIKELET_Geom!$Y$17</f>
        <v>0</v>
      </c>
      <c r="R247" s="21">
        <f>SPIKELET_Geom!$Z$17</f>
        <v>0</v>
      </c>
      <c r="S247" s="58">
        <f>SPIKELET_Geom!$Y$18</f>
        <v>0</v>
      </c>
      <c r="T247" s="21">
        <f>SPIKELET_Geom!$Z$18</f>
        <v>0</v>
      </c>
      <c r="U247" s="58">
        <f>SPIKELET_Geom!$Y$19</f>
        <v>0</v>
      </c>
      <c r="V247" s="21">
        <f>SPIKELET_Geom!$Z$19</f>
        <v>0</v>
      </c>
      <c r="W247" s="58">
        <f>SPIKELET_Geom!$Y$20</f>
        <v>0</v>
      </c>
      <c r="X247" s="21">
        <f>SPIKELET_Geom!$Z$20</f>
        <v>0</v>
      </c>
      <c r="Y247" s="58">
        <f>SPIKELET_Geom!$Y$21</f>
        <v>0</v>
      </c>
      <c r="Z247" s="21">
        <f>SPIKELET_Geom!$Z$21</f>
        <v>0</v>
      </c>
      <c r="AA247" s="58">
        <f>SPIKELET_Geom!$Y$22</f>
        <v>0</v>
      </c>
      <c r="AB247" s="21">
        <f>SPIKELET_Geom!$Z$22</f>
        <v>0</v>
      </c>
      <c r="AC247" s="58">
        <f>SPIKELET_Geom!$Y$23</f>
        <v>0</v>
      </c>
      <c r="AD247" s="21">
        <f>SPIKELET_Geom!$Z$23</f>
        <v>0</v>
      </c>
      <c r="AE247" s="58">
        <f>SPIKELET_Geom!$Y$24</f>
        <v>0</v>
      </c>
      <c r="AF247" s="21">
        <f>SPIKELET_Geom!$Z$24</f>
        <v>0</v>
      </c>
      <c r="AG247" s="58">
        <f>SPIKELET_Geom!$Y$25</f>
        <v>0</v>
      </c>
      <c r="AH247" s="21">
        <f>SPIKELET_Geom!$Z$25</f>
        <v>0</v>
      </c>
      <c r="AI247" s="58">
        <f>SPIKELET_Geom!$Y$26</f>
        <v>0</v>
      </c>
      <c r="AJ247" s="21">
        <f>SPIKELET_Geom!$Z$26</f>
        <v>0</v>
      </c>
      <c r="AK247" s="58">
        <f>SPIKELET_Geom!$Y$27</f>
        <v>0</v>
      </c>
      <c r="AL247" s="21">
        <f>SPIKELET_Geom!$Z$27</f>
        <v>0</v>
      </c>
      <c r="AM247" s="58">
        <f>SPIKELET_Geom!$Y$28</f>
        <v>0</v>
      </c>
      <c r="AN247" s="21">
        <f>SPIKELET_Geom!$Z$28</f>
        <v>0</v>
      </c>
      <c r="AO247" s="58">
        <f>SPIKELET_Geom!$Y$29</f>
        <v>0</v>
      </c>
      <c r="AP247" s="21">
        <f>SPIKELET_Geom!$Z$29</f>
        <v>0</v>
      </c>
      <c r="AQ247" s="58">
        <f>SPIKELET_Geom!$Y$30</f>
        <v>0</v>
      </c>
      <c r="AR247" s="21">
        <f>SPIKELET_Geom!$Z$30</f>
        <v>0</v>
      </c>
      <c r="AS247" s="58">
        <f>SPIKELET_Geom!$Y$31</f>
        <v>0</v>
      </c>
      <c r="AT247" s="21">
        <f>SPIKELET_Geom!$Z$31</f>
        <v>0</v>
      </c>
      <c r="AU247" s="58">
        <f>SPIKELET_Geom!$Y$32</f>
        <v>0</v>
      </c>
      <c r="AV247" s="21">
        <f>SPIKELET_Geom!$Z$32</f>
        <v>0</v>
      </c>
      <c r="AW247" s="58">
        <f>SPIKELET_Geom!$Y$33</f>
        <v>0</v>
      </c>
      <c r="AX247" s="21">
        <f>SPIKELET_Geom!$Z$33</f>
        <v>0</v>
      </c>
      <c r="AY247" s="58">
        <f>SPIKELET_Geom!$Y$34</f>
        <v>0</v>
      </c>
      <c r="AZ247" s="21">
        <f>SPIKELET_Geom!$Z$34</f>
        <v>0</v>
      </c>
      <c r="BA247" s="58">
        <f>SPIKELET_Geom!$Y$35</f>
        <v>0</v>
      </c>
      <c r="BB247" s="21">
        <f>SPIKELET_Geom!$Z$35</f>
        <v>0</v>
      </c>
      <c r="BC247" s="58">
        <f>SPIKELET_Geom!$Y$36</f>
        <v>0</v>
      </c>
      <c r="BD247" s="21">
        <f>SPIKELET_Geom!$Z$36</f>
        <v>0</v>
      </c>
      <c r="BE247" s="58">
        <f>SPIKELET_Geom!$Y$37</f>
        <v>0</v>
      </c>
      <c r="BF247" s="21">
        <f>SPIKELET_Geom!$Z$37</f>
        <v>0</v>
      </c>
      <c r="BG247" s="52" t="s">
        <v>69</v>
      </c>
      <c r="BH247" s="16"/>
    </row>
    <row r="248" spans="1:60">
      <c r="A248" s="20"/>
      <c r="B248" s="11" t="s">
        <v>417</v>
      </c>
      <c r="C248" s="2" t="s">
        <v>323</v>
      </c>
      <c r="D248" s="15" t="s">
        <v>12</v>
      </c>
      <c r="E248" s="9" t="s">
        <v>3</v>
      </c>
      <c r="F248" s="40" t="s">
        <v>6</v>
      </c>
      <c r="G248" s="46">
        <f>SPIKELET_Geom!$AA$9</f>
        <v>1</v>
      </c>
      <c r="H248" s="72">
        <f>SPIKELET_Geom!$AA$10</f>
        <v>2</v>
      </c>
      <c r="I248" s="58">
        <f>SPIKELET_Geom!$Y$13</f>
        <v>0</v>
      </c>
      <c r="J248" s="21">
        <f>SPIKELET_Geom!$AA$13</f>
        <v>0</v>
      </c>
      <c r="K248" s="58">
        <f>SPIKELET_Geom!$Y$14</f>
        <v>40</v>
      </c>
      <c r="L248" s="21">
        <f>SPIKELET_Geom!$AA$14</f>
        <v>0.5</v>
      </c>
      <c r="M248" s="58">
        <f>SPIKELET_Geom!$Y$15</f>
        <v>0</v>
      </c>
      <c r="N248" s="21">
        <f>SPIKELET_Geom!$AA$15</f>
        <v>0</v>
      </c>
      <c r="O248" s="58">
        <f>SPIKELET_Geom!$Y$16</f>
        <v>0</v>
      </c>
      <c r="P248" s="21">
        <f>SPIKELET_Geom!$AA$16</f>
        <v>0</v>
      </c>
      <c r="Q248" s="58">
        <f>SPIKELET_Geom!$Y$17</f>
        <v>0</v>
      </c>
      <c r="R248" s="21">
        <f>SPIKELET_Geom!$AA$17</f>
        <v>0</v>
      </c>
      <c r="S248" s="58">
        <f>SPIKELET_Geom!$Y$18</f>
        <v>0</v>
      </c>
      <c r="T248" s="21">
        <f>SPIKELET_Geom!$AA$18</f>
        <v>0</v>
      </c>
      <c r="U248" s="58">
        <f>SPIKELET_Geom!$Y$19</f>
        <v>0</v>
      </c>
      <c r="V248" s="21">
        <f>SPIKELET_Geom!$AA$19</f>
        <v>0</v>
      </c>
      <c r="W248" s="58">
        <f>SPIKELET_Geom!$Y$20</f>
        <v>0</v>
      </c>
      <c r="X248" s="21">
        <f>SPIKELET_Geom!$AA$20</f>
        <v>0</v>
      </c>
      <c r="Y248" s="58">
        <f>SPIKELET_Geom!$Y$21</f>
        <v>0</v>
      </c>
      <c r="Z248" s="21">
        <f>SPIKELET_Geom!$AA$21</f>
        <v>0</v>
      </c>
      <c r="AA248" s="58">
        <f>SPIKELET_Geom!$Y$22</f>
        <v>0</v>
      </c>
      <c r="AB248" s="21">
        <f>SPIKELET_Geom!$AA$22</f>
        <v>0</v>
      </c>
      <c r="AC248" s="58">
        <f>SPIKELET_Geom!$Y$23</f>
        <v>0</v>
      </c>
      <c r="AD248" s="21">
        <f>SPIKELET_Geom!$AA$23</f>
        <v>0</v>
      </c>
      <c r="AE248" s="58">
        <f>SPIKELET_Geom!$Y$24</f>
        <v>0</v>
      </c>
      <c r="AF248" s="21">
        <f>SPIKELET_Geom!$AA$24</f>
        <v>0</v>
      </c>
      <c r="AG248" s="58">
        <f>SPIKELET_Geom!$Y$25</f>
        <v>0</v>
      </c>
      <c r="AH248" s="21">
        <f>SPIKELET_Geom!$AA$25</f>
        <v>0</v>
      </c>
      <c r="AI248" s="58">
        <f>SPIKELET_Geom!$Y$26</f>
        <v>0</v>
      </c>
      <c r="AJ248" s="21">
        <f>SPIKELET_Geom!$AA$26</f>
        <v>0</v>
      </c>
      <c r="AK248" s="58">
        <f>SPIKELET_Geom!$Y$27</f>
        <v>0</v>
      </c>
      <c r="AL248" s="21">
        <f>SPIKELET_Geom!$AA$27</f>
        <v>0</v>
      </c>
      <c r="AM248" s="58">
        <f>SPIKELET_Geom!$Y$28</f>
        <v>0</v>
      </c>
      <c r="AN248" s="21">
        <f>SPIKELET_Geom!$AA$28</f>
        <v>0</v>
      </c>
      <c r="AO248" s="58">
        <f>SPIKELET_Geom!$Y$29</f>
        <v>0</v>
      </c>
      <c r="AP248" s="21">
        <f>SPIKELET_Geom!$AA$29</f>
        <v>0</v>
      </c>
      <c r="AQ248" s="58">
        <f>SPIKELET_Geom!$Y$30</f>
        <v>0</v>
      </c>
      <c r="AR248" s="21">
        <f>SPIKELET_Geom!$AA$30</f>
        <v>0</v>
      </c>
      <c r="AS248" s="58">
        <f>SPIKELET_Geom!$Y$31</f>
        <v>0</v>
      </c>
      <c r="AT248" s="21">
        <f>SPIKELET_Geom!$AA$31</f>
        <v>0</v>
      </c>
      <c r="AU248" s="58">
        <f>SPIKELET_Geom!$Y$32</f>
        <v>0</v>
      </c>
      <c r="AV248" s="21">
        <f>SPIKELET_Geom!$AA$32</f>
        <v>0</v>
      </c>
      <c r="AW248" s="58">
        <f>SPIKELET_Geom!$Y$33</f>
        <v>0</v>
      </c>
      <c r="AX248" s="21">
        <f>SPIKELET_Geom!$AA$33</f>
        <v>0</v>
      </c>
      <c r="AY248" s="58">
        <f>SPIKELET_Geom!$Y$34</f>
        <v>0</v>
      </c>
      <c r="AZ248" s="21">
        <f>SPIKELET_Geom!$AA$34</f>
        <v>0</v>
      </c>
      <c r="BA248" s="58">
        <f>SPIKELET_Geom!$Y$35</f>
        <v>0</v>
      </c>
      <c r="BB248" s="21">
        <f>SPIKELET_Geom!$AA$35</f>
        <v>0</v>
      </c>
      <c r="BC248" s="58">
        <f>SPIKELET_Geom!$Y$36</f>
        <v>0</v>
      </c>
      <c r="BD248" s="21">
        <f>SPIKELET_Geom!$AA$36</f>
        <v>0</v>
      </c>
      <c r="BE248" s="58">
        <f>SPIKELET_Geom!$Y$37</f>
        <v>0</v>
      </c>
      <c r="BF248" s="21">
        <f>SPIKELET_Geom!$AA$37</f>
        <v>0</v>
      </c>
      <c r="BG248" s="52" t="s">
        <v>69</v>
      </c>
      <c r="BH248" s="16"/>
    </row>
    <row r="249" spans="1:60" ht="18.75">
      <c r="A249" s="21" t="s">
        <v>69</v>
      </c>
      <c r="B249" s="36"/>
      <c r="C249" s="62" t="s">
        <v>687</v>
      </c>
      <c r="D249" s="37"/>
      <c r="E249" s="37"/>
      <c r="F249" s="37"/>
      <c r="G249" s="37"/>
      <c r="H249" s="68"/>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2" t="s">
        <v>69</v>
      </c>
      <c r="BH249" s="16"/>
    </row>
    <row r="250" spans="1:60">
      <c r="A250" s="20"/>
      <c r="B250" s="11" t="s">
        <v>421</v>
      </c>
      <c r="C250" s="2" t="s">
        <v>598</v>
      </c>
      <c r="D250" s="15" t="s">
        <v>12</v>
      </c>
      <c r="E250" s="9" t="s">
        <v>4</v>
      </c>
      <c r="F250" s="40" t="s">
        <v>11</v>
      </c>
      <c r="G250" s="46">
        <f>FEMALE_FLOWER_Prod!$D$9</f>
        <v>1</v>
      </c>
      <c r="H250" s="72">
        <f>FEMALE_FLOWER_Prod!$D$10</f>
        <v>3</v>
      </c>
      <c r="I250" s="58">
        <f>FEMALE_FLOWER_Prod!$C$13</f>
        <v>0</v>
      </c>
      <c r="J250" s="26">
        <f>FEMALE_FLOWER_Prod!$D$13</f>
        <v>60</v>
      </c>
      <c r="K250" s="58">
        <f>FEMALE_FLOWER_Prod!$C$14</f>
        <v>70</v>
      </c>
      <c r="L250" s="26">
        <f>FEMALE_FLOWER_Prod!$D$14</f>
        <v>20</v>
      </c>
      <c r="M250" s="58">
        <f>FEMALE_FLOWER_Prod!$C$15</f>
        <v>100</v>
      </c>
      <c r="N250" s="26">
        <f>FEMALE_FLOWER_Prod!$D$15</f>
        <v>40</v>
      </c>
      <c r="O250" s="58">
        <f>FEMALE_FLOWER_Prod!$C$16</f>
        <v>0</v>
      </c>
      <c r="P250" s="26">
        <f>FEMALE_FLOWER_Prod!$D$16</f>
        <v>0</v>
      </c>
      <c r="Q250" s="58">
        <f>FEMALE_FLOWER_Prod!$C$17</f>
        <v>0</v>
      </c>
      <c r="R250" s="26">
        <f>FEMALE_FLOWER_Prod!$D$17</f>
        <v>0</v>
      </c>
      <c r="S250" s="58">
        <f>FEMALE_FLOWER_Prod!$C$18</f>
        <v>0</v>
      </c>
      <c r="T250" s="26">
        <f>FEMALE_FLOWER_Prod!$D$18</f>
        <v>0</v>
      </c>
      <c r="U250" s="58">
        <f>FEMALE_FLOWER_Prod!$C$19</f>
        <v>0</v>
      </c>
      <c r="V250" s="26">
        <f>FEMALE_FLOWER_Prod!$D$19</f>
        <v>0</v>
      </c>
      <c r="W250" s="58">
        <f>FEMALE_FLOWER_Prod!$C$20</f>
        <v>0</v>
      </c>
      <c r="X250" s="26">
        <f>FEMALE_FLOWER_Prod!$D$20</f>
        <v>0</v>
      </c>
      <c r="Y250" s="58">
        <f>FEMALE_FLOWER_Prod!$C$21</f>
        <v>0</v>
      </c>
      <c r="Z250" s="26">
        <f>FEMALE_FLOWER_Prod!$D$21</f>
        <v>0</v>
      </c>
      <c r="AA250" s="58">
        <f>FEMALE_FLOWER_Prod!$C$22</f>
        <v>0</v>
      </c>
      <c r="AB250" s="26">
        <f>FEMALE_FLOWER_Prod!$D$22</f>
        <v>0</v>
      </c>
      <c r="AC250" s="58">
        <f>FEMALE_FLOWER_Prod!$C$23</f>
        <v>0</v>
      </c>
      <c r="AD250" s="26">
        <f>FEMALE_FLOWER_Prod!$D$23</f>
        <v>0</v>
      </c>
      <c r="AE250" s="58">
        <f>FEMALE_FLOWER_Prod!$C$24</f>
        <v>0</v>
      </c>
      <c r="AF250" s="26">
        <f>FEMALE_FLOWER_Prod!$D$24</f>
        <v>0</v>
      </c>
      <c r="AG250" s="58">
        <f>FEMALE_FLOWER_Prod!$C$25</f>
        <v>0</v>
      </c>
      <c r="AH250" s="26">
        <f>FEMALE_FLOWER_Prod!$D$25</f>
        <v>0</v>
      </c>
      <c r="AI250" s="58">
        <f>FEMALE_FLOWER_Prod!$C$26</f>
        <v>0</v>
      </c>
      <c r="AJ250" s="26">
        <f>FEMALE_FLOWER_Prod!$D$26</f>
        <v>0</v>
      </c>
      <c r="AK250" s="58">
        <f>FEMALE_FLOWER_Prod!$C$27</f>
        <v>0</v>
      </c>
      <c r="AL250" s="26">
        <f>FEMALE_FLOWER_Prod!$D$27</f>
        <v>0</v>
      </c>
      <c r="AM250" s="58">
        <f>FEMALE_FLOWER_Prod!$C$28</f>
        <v>0</v>
      </c>
      <c r="AN250" s="26">
        <f>FEMALE_FLOWER_Prod!$D$28</f>
        <v>0</v>
      </c>
      <c r="AO250" s="58">
        <f>FEMALE_FLOWER_Prod!$C$29</f>
        <v>0</v>
      </c>
      <c r="AP250" s="26">
        <f>FEMALE_FLOWER_Prod!$D$29</f>
        <v>0</v>
      </c>
      <c r="AQ250" s="58">
        <f>FEMALE_FLOWER_Prod!$C$30</f>
        <v>0</v>
      </c>
      <c r="AR250" s="26">
        <f>FEMALE_FLOWER_Prod!$D$30</f>
        <v>0</v>
      </c>
      <c r="AS250" s="58">
        <f>FEMALE_FLOWER_Prod!$C$31</f>
        <v>0</v>
      </c>
      <c r="AT250" s="26">
        <f>FEMALE_FLOWER_Prod!$D$31</f>
        <v>0</v>
      </c>
      <c r="AU250" s="58">
        <f>FEMALE_FLOWER_Prod!$C$32</f>
        <v>0</v>
      </c>
      <c r="AV250" s="26">
        <f>FEMALE_FLOWER_Prod!$D$32</f>
        <v>0</v>
      </c>
      <c r="AW250" s="58">
        <f>FEMALE_FLOWER_Prod!$C$33</f>
        <v>0</v>
      </c>
      <c r="AX250" s="26">
        <f>FEMALE_FLOWER_Prod!$D$33</f>
        <v>0</v>
      </c>
      <c r="AY250" s="58">
        <f>FEMALE_FLOWER_Prod!$C$34</f>
        <v>0</v>
      </c>
      <c r="AZ250" s="26">
        <f>FEMALE_FLOWER_Prod!$D$34</f>
        <v>0</v>
      </c>
      <c r="BA250" s="58">
        <f>FEMALE_FLOWER_Prod!$C$35</f>
        <v>0</v>
      </c>
      <c r="BB250" s="26">
        <f>FEMALE_FLOWER_Prod!$D$35</f>
        <v>0</v>
      </c>
      <c r="BC250" s="58">
        <f>FEMALE_FLOWER_Prod!$C$36</f>
        <v>0</v>
      </c>
      <c r="BD250" s="26">
        <f>FEMALE_FLOWER_Prod!$D$36</f>
        <v>0</v>
      </c>
      <c r="BE250" s="58">
        <f>FEMALE_FLOWER_Prod!$C$37</f>
        <v>0</v>
      </c>
      <c r="BF250" s="26">
        <f>FEMALE_FLOWER_Prod!$D$37</f>
        <v>0</v>
      </c>
      <c r="BG250" s="52" t="s">
        <v>69</v>
      </c>
      <c r="BH250" s="16"/>
    </row>
    <row r="251" spans="1:60">
      <c r="A251" s="20"/>
      <c r="B251" s="11" t="s">
        <v>420</v>
      </c>
      <c r="C251" s="2" t="s">
        <v>599</v>
      </c>
      <c r="D251" s="15" t="s">
        <v>12</v>
      </c>
      <c r="E251" s="9" t="s">
        <v>4</v>
      </c>
      <c r="F251" s="40" t="s">
        <v>11</v>
      </c>
      <c r="G251" s="46">
        <f>FEMALE_FLOWER_Prod!$E$9</f>
        <v>1</v>
      </c>
      <c r="H251" s="72">
        <f>FEMALE_FLOWER_Prod!$E$10</f>
        <v>3</v>
      </c>
      <c r="I251" s="58">
        <f>FEMALE_FLOWER_Prod!$C$13</f>
        <v>0</v>
      </c>
      <c r="J251" s="21">
        <f>FEMALE_FLOWER_Prod!$E$13</f>
        <v>6</v>
      </c>
      <c r="K251" s="58">
        <f>FEMALE_FLOWER_Prod!$C$14</f>
        <v>70</v>
      </c>
      <c r="L251" s="21">
        <f>FEMALE_FLOWER_Prod!$E$14</f>
        <v>6</v>
      </c>
      <c r="M251" s="58">
        <f>FEMALE_FLOWER_Prod!$C$15</f>
        <v>100</v>
      </c>
      <c r="N251" s="21">
        <f>FEMALE_FLOWER_Prod!$E$15</f>
        <v>4</v>
      </c>
      <c r="O251" s="58">
        <f>FEMALE_FLOWER_Prod!$C$16</f>
        <v>0</v>
      </c>
      <c r="P251" s="21">
        <f>FEMALE_FLOWER_Prod!$E$16</f>
        <v>0</v>
      </c>
      <c r="Q251" s="58">
        <f>FEMALE_FLOWER_Prod!$C$17</f>
        <v>0</v>
      </c>
      <c r="R251" s="21">
        <f>FEMALE_FLOWER_Prod!$E$17</f>
        <v>0</v>
      </c>
      <c r="S251" s="58">
        <f>FEMALE_FLOWER_Prod!$C$18</f>
        <v>0</v>
      </c>
      <c r="T251" s="21">
        <f>FEMALE_FLOWER_Prod!$E$18</f>
        <v>0</v>
      </c>
      <c r="U251" s="58">
        <f>FEMALE_FLOWER_Prod!$C$19</f>
        <v>0</v>
      </c>
      <c r="V251" s="21">
        <f>FEMALE_FLOWER_Prod!$E$19</f>
        <v>0</v>
      </c>
      <c r="W251" s="58">
        <f>FEMALE_FLOWER_Prod!$C$20</f>
        <v>0</v>
      </c>
      <c r="X251" s="21">
        <f>FEMALE_FLOWER_Prod!$E$20</f>
        <v>0</v>
      </c>
      <c r="Y251" s="58">
        <f>FEMALE_FLOWER_Prod!$C$21</f>
        <v>0</v>
      </c>
      <c r="Z251" s="21">
        <f>FEMALE_FLOWER_Prod!$E$21</f>
        <v>0</v>
      </c>
      <c r="AA251" s="58">
        <f>FEMALE_FLOWER_Prod!$C$22</f>
        <v>0</v>
      </c>
      <c r="AB251" s="21">
        <f>FEMALE_FLOWER_Prod!$E$22</f>
        <v>0</v>
      </c>
      <c r="AC251" s="58">
        <f>FEMALE_FLOWER_Prod!$C$23</f>
        <v>0</v>
      </c>
      <c r="AD251" s="21">
        <f>FEMALE_FLOWER_Prod!$E$23</f>
        <v>0</v>
      </c>
      <c r="AE251" s="58">
        <f>FEMALE_FLOWER_Prod!$C$24</f>
        <v>0</v>
      </c>
      <c r="AF251" s="21">
        <f>FEMALE_FLOWER_Prod!$E$24</f>
        <v>0</v>
      </c>
      <c r="AG251" s="58">
        <f>FEMALE_FLOWER_Prod!$C$25</f>
        <v>0</v>
      </c>
      <c r="AH251" s="21">
        <f>FEMALE_FLOWER_Prod!$E$25</f>
        <v>0</v>
      </c>
      <c r="AI251" s="58">
        <f>FEMALE_FLOWER_Prod!$C$26</f>
        <v>0</v>
      </c>
      <c r="AJ251" s="21">
        <f>FEMALE_FLOWER_Prod!$E$26</f>
        <v>0</v>
      </c>
      <c r="AK251" s="58">
        <f>FEMALE_FLOWER_Prod!$C$27</f>
        <v>0</v>
      </c>
      <c r="AL251" s="21">
        <f>FEMALE_FLOWER_Prod!$E$27</f>
        <v>0</v>
      </c>
      <c r="AM251" s="58">
        <f>FEMALE_FLOWER_Prod!$C$28</f>
        <v>0</v>
      </c>
      <c r="AN251" s="21">
        <f>FEMALE_FLOWER_Prod!$E$28</f>
        <v>0</v>
      </c>
      <c r="AO251" s="58">
        <f>FEMALE_FLOWER_Prod!$C$29</f>
        <v>0</v>
      </c>
      <c r="AP251" s="21">
        <f>FEMALE_FLOWER_Prod!$E$29</f>
        <v>0</v>
      </c>
      <c r="AQ251" s="58">
        <f>FEMALE_FLOWER_Prod!$C$30</f>
        <v>0</v>
      </c>
      <c r="AR251" s="21">
        <f>FEMALE_FLOWER_Prod!$E$30</f>
        <v>0</v>
      </c>
      <c r="AS251" s="58">
        <f>FEMALE_FLOWER_Prod!$C$31</f>
        <v>0</v>
      </c>
      <c r="AT251" s="21">
        <f>FEMALE_FLOWER_Prod!$E$31</f>
        <v>0</v>
      </c>
      <c r="AU251" s="58">
        <f>FEMALE_FLOWER_Prod!$C$32</f>
        <v>0</v>
      </c>
      <c r="AV251" s="21">
        <f>FEMALE_FLOWER_Prod!$E$32</f>
        <v>0</v>
      </c>
      <c r="AW251" s="58">
        <f>FEMALE_FLOWER_Prod!$C$33</f>
        <v>0</v>
      </c>
      <c r="AX251" s="21">
        <f>FEMALE_FLOWER_Prod!$E$33</f>
        <v>0</v>
      </c>
      <c r="AY251" s="58">
        <f>FEMALE_FLOWER_Prod!$C$34</f>
        <v>0</v>
      </c>
      <c r="AZ251" s="21">
        <f>FEMALE_FLOWER_Prod!$E$34</f>
        <v>0</v>
      </c>
      <c r="BA251" s="58">
        <f>FEMALE_FLOWER_Prod!$C$35</f>
        <v>0</v>
      </c>
      <c r="BB251" s="21">
        <f>FEMALE_FLOWER_Prod!$E$35</f>
        <v>0</v>
      </c>
      <c r="BC251" s="58">
        <f>FEMALE_FLOWER_Prod!$C$36</f>
        <v>0</v>
      </c>
      <c r="BD251" s="21">
        <f>FEMALE_FLOWER_Prod!$E$36</f>
        <v>0</v>
      </c>
      <c r="BE251" s="58">
        <f>FEMALE_FLOWER_Prod!$C$37</f>
        <v>0</v>
      </c>
      <c r="BF251" s="21">
        <f>FEMALE_FLOWER_Prod!$E$37</f>
        <v>0</v>
      </c>
      <c r="BG251" s="52" t="s">
        <v>69</v>
      </c>
      <c r="BH251" s="16"/>
    </row>
    <row r="252" spans="1:60">
      <c r="A252" s="20"/>
      <c r="B252" s="12" t="s">
        <v>382</v>
      </c>
      <c r="C252" s="2" t="s">
        <v>363</v>
      </c>
      <c r="D252" s="15" t="s">
        <v>12</v>
      </c>
      <c r="E252" s="9" t="s">
        <v>4</v>
      </c>
      <c r="F252" s="40" t="s">
        <v>11</v>
      </c>
      <c r="G252" s="46">
        <f>FEMALE_FLOWER_Prod!$H$9</f>
        <v>1</v>
      </c>
      <c r="H252" s="72">
        <f>FEMALE_FLOWER_Prod!$H$10</f>
        <v>3</v>
      </c>
      <c r="I252" s="58">
        <f>FEMALE_FLOWER_Prod!$G$13</f>
        <v>0</v>
      </c>
      <c r="J252" s="27">
        <f>FEMALE_FLOWER_Prod!$H$13</f>
        <v>100</v>
      </c>
      <c r="K252" s="58">
        <f>FEMALE_FLOWER_Prod!$G$14</f>
        <v>70</v>
      </c>
      <c r="L252" s="27">
        <f>FEMALE_FLOWER_Prod!$H$14</f>
        <v>50</v>
      </c>
      <c r="M252" s="58">
        <f>FEMALE_FLOWER_Prod!$G$15</f>
        <v>100</v>
      </c>
      <c r="N252" s="27">
        <f>FEMALE_FLOWER_Prod!$H$15</f>
        <v>25</v>
      </c>
      <c r="O252" s="58">
        <f>FEMALE_FLOWER_Prod!$G$16</f>
        <v>0</v>
      </c>
      <c r="P252" s="27">
        <f>FEMALE_FLOWER_Prod!$H$16</f>
        <v>0</v>
      </c>
      <c r="Q252" s="58">
        <f>FEMALE_FLOWER_Prod!$G$17</f>
        <v>0</v>
      </c>
      <c r="R252" s="27">
        <f>FEMALE_FLOWER_Prod!$H$17</f>
        <v>0</v>
      </c>
      <c r="S252" s="58">
        <f>FEMALE_FLOWER_Prod!$G$18</f>
        <v>0</v>
      </c>
      <c r="T252" s="27">
        <f>FEMALE_FLOWER_Prod!$H$18</f>
        <v>0</v>
      </c>
      <c r="U252" s="58">
        <f>FEMALE_FLOWER_Prod!$G$19</f>
        <v>0</v>
      </c>
      <c r="V252" s="27">
        <f>FEMALE_FLOWER_Prod!$H$19</f>
        <v>0</v>
      </c>
      <c r="W252" s="58">
        <f>FEMALE_FLOWER_Prod!$G$20</f>
        <v>0</v>
      </c>
      <c r="X252" s="27">
        <f>FEMALE_FLOWER_Prod!$H$20</f>
        <v>0</v>
      </c>
      <c r="Y252" s="58">
        <f>FEMALE_FLOWER_Prod!$G$21</f>
        <v>0</v>
      </c>
      <c r="Z252" s="27">
        <f>FEMALE_FLOWER_Prod!$H$21</f>
        <v>0</v>
      </c>
      <c r="AA252" s="58">
        <f>FEMALE_FLOWER_Prod!$G$22</f>
        <v>0</v>
      </c>
      <c r="AB252" s="27">
        <f>FEMALE_FLOWER_Prod!$H$22</f>
        <v>0</v>
      </c>
      <c r="AC252" s="58">
        <f>FEMALE_FLOWER_Prod!$G$23</f>
        <v>0</v>
      </c>
      <c r="AD252" s="27">
        <f>FEMALE_FLOWER_Prod!$H$23</f>
        <v>0</v>
      </c>
      <c r="AE252" s="58">
        <f>FEMALE_FLOWER_Prod!$G$24</f>
        <v>0</v>
      </c>
      <c r="AF252" s="27">
        <f>FEMALE_FLOWER_Prod!$H$24</f>
        <v>0</v>
      </c>
      <c r="AG252" s="58">
        <f>FEMALE_FLOWER_Prod!$G$25</f>
        <v>0</v>
      </c>
      <c r="AH252" s="27">
        <f>FEMALE_FLOWER_Prod!$H$25</f>
        <v>0</v>
      </c>
      <c r="AI252" s="58">
        <f>FEMALE_FLOWER_Prod!$G$26</f>
        <v>0</v>
      </c>
      <c r="AJ252" s="27">
        <f>FEMALE_FLOWER_Prod!$H$26</f>
        <v>0</v>
      </c>
      <c r="AK252" s="58">
        <f>FEMALE_FLOWER_Prod!$G$27</f>
        <v>0</v>
      </c>
      <c r="AL252" s="27">
        <f>FEMALE_FLOWER_Prod!$H$27</f>
        <v>0</v>
      </c>
      <c r="AM252" s="58">
        <f>FEMALE_FLOWER_Prod!$G$28</f>
        <v>0</v>
      </c>
      <c r="AN252" s="27">
        <f>FEMALE_FLOWER_Prod!$H$28</f>
        <v>0</v>
      </c>
      <c r="AO252" s="58">
        <f>FEMALE_FLOWER_Prod!$G$29</f>
        <v>0</v>
      </c>
      <c r="AP252" s="27">
        <f>FEMALE_FLOWER_Prod!$H$29</f>
        <v>0</v>
      </c>
      <c r="AQ252" s="58">
        <f>FEMALE_FLOWER_Prod!$G$30</f>
        <v>0</v>
      </c>
      <c r="AR252" s="27">
        <f>FEMALE_FLOWER_Prod!$H$30</f>
        <v>0</v>
      </c>
      <c r="AS252" s="58">
        <f>FEMALE_FLOWER_Prod!$G$31</f>
        <v>0</v>
      </c>
      <c r="AT252" s="27">
        <f>FEMALE_FLOWER_Prod!$H$31</f>
        <v>0</v>
      </c>
      <c r="AU252" s="58">
        <f>FEMALE_FLOWER_Prod!$G$32</f>
        <v>0</v>
      </c>
      <c r="AV252" s="27">
        <f>FEMALE_FLOWER_Prod!$H$32</f>
        <v>0</v>
      </c>
      <c r="AW252" s="58">
        <f>FEMALE_FLOWER_Prod!$G$33</f>
        <v>0</v>
      </c>
      <c r="AX252" s="27">
        <f>FEMALE_FLOWER_Prod!$H$33</f>
        <v>0</v>
      </c>
      <c r="AY252" s="58">
        <f>FEMALE_FLOWER_Prod!$G$34</f>
        <v>0</v>
      </c>
      <c r="AZ252" s="27">
        <f>FEMALE_FLOWER_Prod!$H$34</f>
        <v>0</v>
      </c>
      <c r="BA252" s="58">
        <f>FEMALE_FLOWER_Prod!$G$35</f>
        <v>0</v>
      </c>
      <c r="BB252" s="27">
        <f>FEMALE_FLOWER_Prod!$H$35</f>
        <v>0</v>
      </c>
      <c r="BC252" s="58">
        <f>FEMALE_FLOWER_Prod!$G$36</f>
        <v>0</v>
      </c>
      <c r="BD252" s="27">
        <f>FEMALE_FLOWER_Prod!$H$36</f>
        <v>0</v>
      </c>
      <c r="BE252" s="58">
        <f>FEMALE_FLOWER_Prod!$G$37</f>
        <v>0</v>
      </c>
      <c r="BF252" s="27">
        <f>FEMALE_FLOWER_Prod!$H$37</f>
        <v>0</v>
      </c>
      <c r="BG252" s="52" t="s">
        <v>69</v>
      </c>
      <c r="BH252" s="16"/>
    </row>
    <row r="253" spans="1:60">
      <c r="A253" s="20"/>
      <c r="B253" s="12" t="s">
        <v>383</v>
      </c>
      <c r="C253" s="2" t="s">
        <v>364</v>
      </c>
      <c r="D253" s="15" t="s">
        <v>12</v>
      </c>
      <c r="E253" s="9" t="s">
        <v>4</v>
      </c>
      <c r="F253" s="40" t="s">
        <v>11</v>
      </c>
      <c r="G253" s="46">
        <f>FEMALE_FLOWER_Prod!$I$9</f>
        <v>1</v>
      </c>
      <c r="H253" s="72">
        <f>FEMALE_FLOWER_Prod!$I$10</f>
        <v>3</v>
      </c>
      <c r="I253" s="58">
        <f>FEMALE_FLOWER_Prod!$G$13</f>
        <v>0</v>
      </c>
      <c r="J253" s="27">
        <f>FEMALE_FLOWER_Prod!$I$13</f>
        <v>0</v>
      </c>
      <c r="K253" s="58">
        <f>FEMALE_FLOWER_Prod!$G$14</f>
        <v>70</v>
      </c>
      <c r="L253" s="27">
        <f>FEMALE_FLOWER_Prod!$I$14</f>
        <v>50</v>
      </c>
      <c r="M253" s="58">
        <f>FEMALE_FLOWER_Prod!$G$15</f>
        <v>100</v>
      </c>
      <c r="N253" s="27">
        <f>FEMALE_FLOWER_Prod!$I$15</f>
        <v>50</v>
      </c>
      <c r="O253" s="58">
        <f>FEMALE_FLOWER_Prod!$G$16</f>
        <v>0</v>
      </c>
      <c r="P253" s="27">
        <f>FEMALE_FLOWER_Prod!$I$16</f>
        <v>0</v>
      </c>
      <c r="Q253" s="58">
        <f>FEMALE_FLOWER_Prod!$G$17</f>
        <v>0</v>
      </c>
      <c r="R253" s="27">
        <f>FEMALE_FLOWER_Prod!$I$17</f>
        <v>0</v>
      </c>
      <c r="S253" s="58">
        <f>FEMALE_FLOWER_Prod!$G$18</f>
        <v>0</v>
      </c>
      <c r="T253" s="27">
        <f>FEMALE_FLOWER_Prod!$I$18</f>
        <v>0</v>
      </c>
      <c r="U253" s="58">
        <f>FEMALE_FLOWER_Prod!$G$19</f>
        <v>0</v>
      </c>
      <c r="V253" s="27">
        <f>FEMALE_FLOWER_Prod!$I$19</f>
        <v>0</v>
      </c>
      <c r="W253" s="58">
        <f>FEMALE_FLOWER_Prod!$G$20</f>
        <v>0</v>
      </c>
      <c r="X253" s="27">
        <f>FEMALE_FLOWER_Prod!$I$20</f>
        <v>0</v>
      </c>
      <c r="Y253" s="58">
        <f>FEMALE_FLOWER_Prod!$G$21</f>
        <v>0</v>
      </c>
      <c r="Z253" s="27">
        <f>FEMALE_FLOWER_Prod!$I$21</f>
        <v>0</v>
      </c>
      <c r="AA253" s="58">
        <f>FEMALE_FLOWER_Prod!$G$22</f>
        <v>0</v>
      </c>
      <c r="AB253" s="27">
        <f>FEMALE_FLOWER_Prod!$I$22</f>
        <v>0</v>
      </c>
      <c r="AC253" s="58">
        <f>FEMALE_FLOWER_Prod!$G$23</f>
        <v>0</v>
      </c>
      <c r="AD253" s="27">
        <f>FEMALE_FLOWER_Prod!$I$23</f>
        <v>0</v>
      </c>
      <c r="AE253" s="58">
        <f>FEMALE_FLOWER_Prod!$G$24</f>
        <v>0</v>
      </c>
      <c r="AF253" s="27">
        <f>FEMALE_FLOWER_Prod!$I$24</f>
        <v>0</v>
      </c>
      <c r="AG253" s="58">
        <f>FEMALE_FLOWER_Prod!$G$25</f>
        <v>0</v>
      </c>
      <c r="AH253" s="27">
        <f>FEMALE_FLOWER_Prod!$I$25</f>
        <v>0</v>
      </c>
      <c r="AI253" s="58">
        <f>FEMALE_FLOWER_Prod!$G$26</f>
        <v>0</v>
      </c>
      <c r="AJ253" s="27">
        <f>FEMALE_FLOWER_Prod!$I$26</f>
        <v>0</v>
      </c>
      <c r="AK253" s="58">
        <f>FEMALE_FLOWER_Prod!$G$27</f>
        <v>0</v>
      </c>
      <c r="AL253" s="27">
        <f>FEMALE_FLOWER_Prod!$I$27</f>
        <v>0</v>
      </c>
      <c r="AM253" s="58">
        <f>FEMALE_FLOWER_Prod!$G$28</f>
        <v>0</v>
      </c>
      <c r="AN253" s="27">
        <f>FEMALE_FLOWER_Prod!$I$28</f>
        <v>0</v>
      </c>
      <c r="AO253" s="58">
        <f>FEMALE_FLOWER_Prod!$G$29</f>
        <v>0</v>
      </c>
      <c r="AP253" s="27">
        <f>FEMALE_FLOWER_Prod!$I$29</f>
        <v>0</v>
      </c>
      <c r="AQ253" s="58">
        <f>FEMALE_FLOWER_Prod!$G$30</f>
        <v>0</v>
      </c>
      <c r="AR253" s="27">
        <f>FEMALE_FLOWER_Prod!$I$30</f>
        <v>0</v>
      </c>
      <c r="AS253" s="58">
        <f>FEMALE_FLOWER_Prod!$G$31</f>
        <v>0</v>
      </c>
      <c r="AT253" s="27">
        <f>FEMALE_FLOWER_Prod!$I$31</f>
        <v>0</v>
      </c>
      <c r="AU253" s="58">
        <f>FEMALE_FLOWER_Prod!$G$32</f>
        <v>0</v>
      </c>
      <c r="AV253" s="27">
        <f>FEMALE_FLOWER_Prod!$I$32</f>
        <v>0</v>
      </c>
      <c r="AW253" s="58">
        <f>FEMALE_FLOWER_Prod!$G$33</f>
        <v>0</v>
      </c>
      <c r="AX253" s="27">
        <f>FEMALE_FLOWER_Prod!$I$33</f>
        <v>0</v>
      </c>
      <c r="AY253" s="58">
        <f>FEMALE_FLOWER_Prod!$G$34</f>
        <v>0</v>
      </c>
      <c r="AZ253" s="27">
        <f>FEMALE_FLOWER_Prod!$I$34</f>
        <v>0</v>
      </c>
      <c r="BA253" s="58">
        <f>FEMALE_FLOWER_Prod!$G$35</f>
        <v>0</v>
      </c>
      <c r="BB253" s="27">
        <f>FEMALE_FLOWER_Prod!$I$35</f>
        <v>0</v>
      </c>
      <c r="BC253" s="58">
        <f>FEMALE_FLOWER_Prod!$G$36</f>
        <v>0</v>
      </c>
      <c r="BD253" s="27">
        <f>FEMALE_FLOWER_Prod!$I$36</f>
        <v>0</v>
      </c>
      <c r="BE253" s="58">
        <f>FEMALE_FLOWER_Prod!$G$37</f>
        <v>0</v>
      </c>
      <c r="BF253" s="27">
        <f>FEMALE_FLOWER_Prod!$I$37</f>
        <v>0</v>
      </c>
      <c r="BG253" s="52" t="s">
        <v>69</v>
      </c>
      <c r="BH253" s="16"/>
    </row>
    <row r="254" spans="1:60">
      <c r="A254" s="20"/>
      <c r="B254" s="12" t="s">
        <v>384</v>
      </c>
      <c r="C254" s="2" t="s">
        <v>365</v>
      </c>
      <c r="D254" s="15" t="s">
        <v>12</v>
      </c>
      <c r="E254" s="9" t="s">
        <v>4</v>
      </c>
      <c r="F254" s="40" t="s">
        <v>11</v>
      </c>
      <c r="G254" s="46">
        <f>FEMALE_FLOWER_Prod!$J$9</f>
        <v>1</v>
      </c>
      <c r="H254" s="72">
        <f>FEMALE_FLOWER_Prod!$J$10</f>
        <v>3</v>
      </c>
      <c r="I254" s="58">
        <f>FEMALE_FLOWER_Prod!$G$13</f>
        <v>0</v>
      </c>
      <c r="J254" s="27">
        <f>FEMALE_FLOWER_Prod!$J$13</f>
        <v>0</v>
      </c>
      <c r="K254" s="58">
        <f>FEMALE_FLOWER_Prod!$G$14</f>
        <v>70</v>
      </c>
      <c r="L254" s="27">
        <f>FEMALE_FLOWER_Prod!$J$14</f>
        <v>0</v>
      </c>
      <c r="M254" s="58">
        <f>FEMALE_FLOWER_Prod!$G$15</f>
        <v>100</v>
      </c>
      <c r="N254" s="27">
        <f>FEMALE_FLOWER_Prod!$J$15</f>
        <v>25</v>
      </c>
      <c r="O254" s="58">
        <f>FEMALE_FLOWER_Prod!$G$16</f>
        <v>0</v>
      </c>
      <c r="P254" s="27">
        <f>FEMALE_FLOWER_Prod!$J$16</f>
        <v>0</v>
      </c>
      <c r="Q254" s="58">
        <f>FEMALE_FLOWER_Prod!$G$17</f>
        <v>0</v>
      </c>
      <c r="R254" s="27">
        <f>FEMALE_FLOWER_Prod!$J$17</f>
        <v>0</v>
      </c>
      <c r="S254" s="58">
        <f>FEMALE_FLOWER_Prod!$G$18</f>
        <v>0</v>
      </c>
      <c r="T254" s="27">
        <f>FEMALE_FLOWER_Prod!$J$18</f>
        <v>0</v>
      </c>
      <c r="U254" s="58">
        <f>FEMALE_FLOWER_Prod!$G$19</f>
        <v>0</v>
      </c>
      <c r="V254" s="27">
        <f>FEMALE_FLOWER_Prod!$J$19</f>
        <v>0</v>
      </c>
      <c r="W254" s="58">
        <f>FEMALE_FLOWER_Prod!$G$20</f>
        <v>0</v>
      </c>
      <c r="X254" s="27">
        <f>FEMALE_FLOWER_Prod!$J$20</f>
        <v>0</v>
      </c>
      <c r="Y254" s="58">
        <f>FEMALE_FLOWER_Prod!$G$21</f>
        <v>0</v>
      </c>
      <c r="Z254" s="27">
        <f>FEMALE_FLOWER_Prod!$J$21</f>
        <v>0</v>
      </c>
      <c r="AA254" s="58">
        <f>FEMALE_FLOWER_Prod!$G$22</f>
        <v>0</v>
      </c>
      <c r="AB254" s="27">
        <f>FEMALE_FLOWER_Prod!$J$22</f>
        <v>0</v>
      </c>
      <c r="AC254" s="58">
        <f>FEMALE_FLOWER_Prod!$G$23</f>
        <v>0</v>
      </c>
      <c r="AD254" s="27">
        <f>FEMALE_FLOWER_Prod!$J$23</f>
        <v>0</v>
      </c>
      <c r="AE254" s="58">
        <f>FEMALE_FLOWER_Prod!$G$24</f>
        <v>0</v>
      </c>
      <c r="AF254" s="27">
        <f>FEMALE_FLOWER_Prod!$J$24</f>
        <v>0</v>
      </c>
      <c r="AG254" s="58">
        <f>FEMALE_FLOWER_Prod!$G$25</f>
        <v>0</v>
      </c>
      <c r="AH254" s="27">
        <f>FEMALE_FLOWER_Prod!$J$25</f>
        <v>0</v>
      </c>
      <c r="AI254" s="58">
        <f>FEMALE_FLOWER_Prod!$G$26</f>
        <v>0</v>
      </c>
      <c r="AJ254" s="27">
        <f>FEMALE_FLOWER_Prod!$J$26</f>
        <v>0</v>
      </c>
      <c r="AK254" s="58">
        <f>FEMALE_FLOWER_Prod!$G$27</f>
        <v>0</v>
      </c>
      <c r="AL254" s="27">
        <f>FEMALE_FLOWER_Prod!$J$27</f>
        <v>0</v>
      </c>
      <c r="AM254" s="58">
        <f>FEMALE_FLOWER_Prod!$G$28</f>
        <v>0</v>
      </c>
      <c r="AN254" s="27">
        <f>FEMALE_FLOWER_Prod!$J$28</f>
        <v>0</v>
      </c>
      <c r="AO254" s="58">
        <f>FEMALE_FLOWER_Prod!$G$29</f>
        <v>0</v>
      </c>
      <c r="AP254" s="27">
        <f>FEMALE_FLOWER_Prod!$J$29</f>
        <v>0</v>
      </c>
      <c r="AQ254" s="58">
        <f>FEMALE_FLOWER_Prod!$G$30</f>
        <v>0</v>
      </c>
      <c r="AR254" s="27">
        <f>FEMALE_FLOWER_Prod!$J$30</f>
        <v>0</v>
      </c>
      <c r="AS254" s="58">
        <f>FEMALE_FLOWER_Prod!$G$31</f>
        <v>0</v>
      </c>
      <c r="AT254" s="27">
        <f>FEMALE_FLOWER_Prod!$J$31</f>
        <v>0</v>
      </c>
      <c r="AU254" s="58">
        <f>FEMALE_FLOWER_Prod!$G$32</f>
        <v>0</v>
      </c>
      <c r="AV254" s="27">
        <f>FEMALE_FLOWER_Prod!$J$32</f>
        <v>0</v>
      </c>
      <c r="AW254" s="58">
        <f>FEMALE_FLOWER_Prod!$G$33</f>
        <v>0</v>
      </c>
      <c r="AX254" s="27">
        <f>FEMALE_FLOWER_Prod!$J$33</f>
        <v>0</v>
      </c>
      <c r="AY254" s="58">
        <f>FEMALE_FLOWER_Prod!$G$34</f>
        <v>0</v>
      </c>
      <c r="AZ254" s="27">
        <f>FEMALE_FLOWER_Prod!$J$34</f>
        <v>0</v>
      </c>
      <c r="BA254" s="58">
        <f>FEMALE_FLOWER_Prod!$G$35</f>
        <v>0</v>
      </c>
      <c r="BB254" s="27">
        <f>FEMALE_FLOWER_Prod!$J$35</f>
        <v>0</v>
      </c>
      <c r="BC254" s="58">
        <f>FEMALE_FLOWER_Prod!$G$36</f>
        <v>0</v>
      </c>
      <c r="BD254" s="27">
        <f>FEMALE_FLOWER_Prod!$J$36</f>
        <v>0</v>
      </c>
      <c r="BE254" s="58">
        <f>FEMALE_FLOWER_Prod!$G$37</f>
        <v>0</v>
      </c>
      <c r="BF254" s="27">
        <f>FEMALE_FLOWER_Prod!$J$37</f>
        <v>0</v>
      </c>
      <c r="BG254" s="52" t="s">
        <v>69</v>
      </c>
      <c r="BH254" s="16"/>
    </row>
    <row r="255" spans="1:60">
      <c r="A255" s="20"/>
      <c r="B255" s="12" t="s">
        <v>385</v>
      </c>
      <c r="C255" s="2" t="s">
        <v>366</v>
      </c>
      <c r="D255" s="15" t="s">
        <v>12</v>
      </c>
      <c r="E255" s="9" t="s">
        <v>4</v>
      </c>
      <c r="F255" s="40" t="s">
        <v>11</v>
      </c>
      <c r="G255" s="46">
        <f>FEMALE_FLOWER_Prod!$K$9</f>
        <v>1</v>
      </c>
      <c r="H255" s="72">
        <f>FEMALE_FLOWER_Prod!$K$10</f>
        <v>3</v>
      </c>
      <c r="I255" s="58">
        <f>FEMALE_FLOWER_Prod!$G$13</f>
        <v>0</v>
      </c>
      <c r="J255" s="27">
        <f>FEMALE_FLOWER_Prod!$K$13</f>
        <v>0</v>
      </c>
      <c r="K255" s="58">
        <f>FEMALE_FLOWER_Prod!$G$14</f>
        <v>70</v>
      </c>
      <c r="L255" s="27">
        <f>FEMALE_FLOWER_Prod!$K$14</f>
        <v>0</v>
      </c>
      <c r="M255" s="58">
        <f>FEMALE_FLOWER_Prod!$G$15</f>
        <v>100</v>
      </c>
      <c r="N255" s="27">
        <f>FEMALE_FLOWER_Prod!$K$15</f>
        <v>0</v>
      </c>
      <c r="O255" s="58">
        <f>FEMALE_FLOWER_Prod!$G$16</f>
        <v>0</v>
      </c>
      <c r="P255" s="27">
        <f>FEMALE_FLOWER_Prod!$K$16</f>
        <v>0</v>
      </c>
      <c r="Q255" s="58">
        <f>FEMALE_FLOWER_Prod!$G$17</f>
        <v>0</v>
      </c>
      <c r="R255" s="27">
        <f>FEMALE_FLOWER_Prod!$K$17</f>
        <v>0</v>
      </c>
      <c r="S255" s="58">
        <f>FEMALE_FLOWER_Prod!$G$18</f>
        <v>0</v>
      </c>
      <c r="T255" s="27">
        <f>FEMALE_FLOWER_Prod!$K$18</f>
        <v>0</v>
      </c>
      <c r="U255" s="58">
        <f>FEMALE_FLOWER_Prod!$G$19</f>
        <v>0</v>
      </c>
      <c r="V255" s="27">
        <f>FEMALE_FLOWER_Prod!$K$19</f>
        <v>0</v>
      </c>
      <c r="W255" s="58">
        <f>FEMALE_FLOWER_Prod!$G$20</f>
        <v>0</v>
      </c>
      <c r="X255" s="27">
        <f>FEMALE_FLOWER_Prod!$K$20</f>
        <v>0</v>
      </c>
      <c r="Y255" s="58">
        <f>FEMALE_FLOWER_Prod!$G$21</f>
        <v>0</v>
      </c>
      <c r="Z255" s="27">
        <f>FEMALE_FLOWER_Prod!$K$21</f>
        <v>0</v>
      </c>
      <c r="AA255" s="58">
        <f>FEMALE_FLOWER_Prod!$G$22</f>
        <v>0</v>
      </c>
      <c r="AB255" s="27">
        <f>FEMALE_FLOWER_Prod!$K$22</f>
        <v>0</v>
      </c>
      <c r="AC255" s="58">
        <f>FEMALE_FLOWER_Prod!$G$23</f>
        <v>0</v>
      </c>
      <c r="AD255" s="27">
        <f>FEMALE_FLOWER_Prod!$K$23</f>
        <v>0</v>
      </c>
      <c r="AE255" s="58">
        <f>FEMALE_FLOWER_Prod!$G$24</f>
        <v>0</v>
      </c>
      <c r="AF255" s="27">
        <f>FEMALE_FLOWER_Prod!$K$24</f>
        <v>0</v>
      </c>
      <c r="AG255" s="58">
        <f>FEMALE_FLOWER_Prod!$G$25</f>
        <v>0</v>
      </c>
      <c r="AH255" s="27">
        <f>FEMALE_FLOWER_Prod!$K$25</f>
        <v>0</v>
      </c>
      <c r="AI255" s="58">
        <f>FEMALE_FLOWER_Prod!$G$26</f>
        <v>0</v>
      </c>
      <c r="AJ255" s="27">
        <f>FEMALE_FLOWER_Prod!$K$26</f>
        <v>0</v>
      </c>
      <c r="AK255" s="58">
        <f>FEMALE_FLOWER_Prod!$G$27</f>
        <v>0</v>
      </c>
      <c r="AL255" s="27">
        <f>FEMALE_FLOWER_Prod!$K$27</f>
        <v>0</v>
      </c>
      <c r="AM255" s="58">
        <f>FEMALE_FLOWER_Prod!$G$28</f>
        <v>0</v>
      </c>
      <c r="AN255" s="27">
        <f>FEMALE_FLOWER_Prod!$K$28</f>
        <v>0</v>
      </c>
      <c r="AO255" s="58">
        <f>FEMALE_FLOWER_Prod!$G$29</f>
        <v>0</v>
      </c>
      <c r="AP255" s="27">
        <f>FEMALE_FLOWER_Prod!$K$29</f>
        <v>0</v>
      </c>
      <c r="AQ255" s="58">
        <f>FEMALE_FLOWER_Prod!$G$30</f>
        <v>0</v>
      </c>
      <c r="AR255" s="27">
        <f>FEMALE_FLOWER_Prod!$K$30</f>
        <v>0</v>
      </c>
      <c r="AS255" s="58">
        <f>FEMALE_FLOWER_Prod!$G$31</f>
        <v>0</v>
      </c>
      <c r="AT255" s="27">
        <f>FEMALE_FLOWER_Prod!$K$31</f>
        <v>0</v>
      </c>
      <c r="AU255" s="58">
        <f>FEMALE_FLOWER_Prod!$G$32</f>
        <v>0</v>
      </c>
      <c r="AV255" s="27">
        <f>FEMALE_FLOWER_Prod!$K$32</f>
        <v>0</v>
      </c>
      <c r="AW255" s="58">
        <f>FEMALE_FLOWER_Prod!$G$33</f>
        <v>0</v>
      </c>
      <c r="AX255" s="27">
        <f>FEMALE_FLOWER_Prod!$K$33</f>
        <v>0</v>
      </c>
      <c r="AY255" s="58">
        <f>FEMALE_FLOWER_Prod!$G$34</f>
        <v>0</v>
      </c>
      <c r="AZ255" s="27">
        <f>FEMALE_FLOWER_Prod!$K$34</f>
        <v>0</v>
      </c>
      <c r="BA255" s="58">
        <f>FEMALE_FLOWER_Prod!$G$35</f>
        <v>0</v>
      </c>
      <c r="BB255" s="27">
        <f>FEMALE_FLOWER_Prod!$K$35</f>
        <v>0</v>
      </c>
      <c r="BC255" s="58">
        <f>FEMALE_FLOWER_Prod!$G$36</f>
        <v>0</v>
      </c>
      <c r="BD255" s="27">
        <f>FEMALE_FLOWER_Prod!$K$36</f>
        <v>0</v>
      </c>
      <c r="BE255" s="58">
        <f>FEMALE_FLOWER_Prod!$G$37</f>
        <v>0</v>
      </c>
      <c r="BF255" s="27">
        <f>FEMALE_FLOWER_Prod!$K$37</f>
        <v>0</v>
      </c>
      <c r="BG255" s="52" t="s">
        <v>69</v>
      </c>
      <c r="BH255" s="16"/>
    </row>
    <row r="256" spans="1:60">
      <c r="A256" s="20"/>
      <c r="B256" s="12" t="s">
        <v>386</v>
      </c>
      <c r="C256" s="213" t="s">
        <v>759</v>
      </c>
      <c r="D256" s="15" t="s">
        <v>12</v>
      </c>
      <c r="E256" s="9" t="s">
        <v>0</v>
      </c>
      <c r="F256" s="40" t="s">
        <v>7</v>
      </c>
      <c r="G256" s="46">
        <f>FEMALE_FLOWER_Prod!$N$9</f>
        <v>1</v>
      </c>
      <c r="H256" s="72">
        <f>FEMALE_FLOWER_Prod!$N$10</f>
        <v>3</v>
      </c>
      <c r="I256" s="58">
        <f>FEMALE_FLOWER_Prod!$M$13</f>
        <v>0</v>
      </c>
      <c r="J256" s="21">
        <f>FEMALE_FLOWER_Prod!$N$13</f>
        <v>1</v>
      </c>
      <c r="K256" s="58">
        <f>FEMALE_FLOWER_Prod!$M$14</f>
        <v>70</v>
      </c>
      <c r="L256" s="21">
        <f>FEMALE_FLOWER_Prod!$N$14</f>
        <v>2</v>
      </c>
      <c r="M256" s="58">
        <f>FEMALE_FLOWER_Prod!$M$15</f>
        <v>100</v>
      </c>
      <c r="N256" s="21">
        <f>FEMALE_FLOWER_Prod!$N$15</f>
        <v>1</v>
      </c>
      <c r="O256" s="58">
        <f>FEMALE_FLOWER_Prod!$M$16</f>
        <v>0</v>
      </c>
      <c r="P256" s="21">
        <f>FEMALE_FLOWER_Prod!$N$16</f>
        <v>0</v>
      </c>
      <c r="Q256" s="58">
        <f>FEMALE_FLOWER_Prod!$M$17</f>
        <v>0</v>
      </c>
      <c r="R256" s="21">
        <f>FEMALE_FLOWER_Prod!$N$17</f>
        <v>0</v>
      </c>
      <c r="S256" s="58">
        <f>FEMALE_FLOWER_Prod!$M$18</f>
        <v>0</v>
      </c>
      <c r="T256" s="21">
        <f>FEMALE_FLOWER_Prod!$N$18</f>
        <v>0</v>
      </c>
      <c r="U256" s="58">
        <f>FEMALE_FLOWER_Prod!$M$19</f>
        <v>0</v>
      </c>
      <c r="V256" s="21">
        <f>FEMALE_FLOWER_Prod!$N$19</f>
        <v>0</v>
      </c>
      <c r="W256" s="58">
        <f>FEMALE_FLOWER_Prod!$M$20</f>
        <v>0</v>
      </c>
      <c r="X256" s="21">
        <f>FEMALE_FLOWER_Prod!$N$20</f>
        <v>0</v>
      </c>
      <c r="Y256" s="58">
        <f>FEMALE_FLOWER_Prod!$M$21</f>
        <v>0</v>
      </c>
      <c r="Z256" s="21">
        <f>FEMALE_FLOWER_Prod!$N$21</f>
        <v>0</v>
      </c>
      <c r="AA256" s="58">
        <f>FEMALE_FLOWER_Prod!$M$22</f>
        <v>0</v>
      </c>
      <c r="AB256" s="21">
        <f>FEMALE_FLOWER_Prod!$N$22</f>
        <v>0</v>
      </c>
      <c r="AC256" s="58">
        <f>FEMALE_FLOWER_Prod!$M$23</f>
        <v>0</v>
      </c>
      <c r="AD256" s="21">
        <f>FEMALE_FLOWER_Prod!$N$23</f>
        <v>0</v>
      </c>
      <c r="AE256" s="58">
        <f>FEMALE_FLOWER_Prod!$M$24</f>
        <v>0</v>
      </c>
      <c r="AF256" s="21">
        <f>FEMALE_FLOWER_Prod!$N$24</f>
        <v>0</v>
      </c>
      <c r="AG256" s="58">
        <f>FEMALE_FLOWER_Prod!$M$25</f>
        <v>0</v>
      </c>
      <c r="AH256" s="21">
        <f>FEMALE_FLOWER_Prod!$N$25</f>
        <v>0</v>
      </c>
      <c r="AI256" s="58">
        <f>FEMALE_FLOWER_Prod!$M$26</f>
        <v>0</v>
      </c>
      <c r="AJ256" s="21">
        <f>FEMALE_FLOWER_Prod!$N$26</f>
        <v>0</v>
      </c>
      <c r="AK256" s="58">
        <f>FEMALE_FLOWER_Prod!$M$27</f>
        <v>0</v>
      </c>
      <c r="AL256" s="21">
        <f>FEMALE_FLOWER_Prod!$N$27</f>
        <v>0</v>
      </c>
      <c r="AM256" s="58">
        <f>FEMALE_FLOWER_Prod!$M$28</f>
        <v>0</v>
      </c>
      <c r="AN256" s="21">
        <f>FEMALE_FLOWER_Prod!$N$28</f>
        <v>0</v>
      </c>
      <c r="AO256" s="58">
        <f>FEMALE_FLOWER_Prod!$M$29</f>
        <v>0</v>
      </c>
      <c r="AP256" s="21">
        <f>FEMALE_FLOWER_Prod!$N$29</f>
        <v>0</v>
      </c>
      <c r="AQ256" s="58">
        <f>FEMALE_FLOWER_Prod!$M$30</f>
        <v>0</v>
      </c>
      <c r="AR256" s="21">
        <f>FEMALE_FLOWER_Prod!$N$30</f>
        <v>0</v>
      </c>
      <c r="AS256" s="58">
        <f>FEMALE_FLOWER_Prod!$M$31</f>
        <v>0</v>
      </c>
      <c r="AT256" s="21">
        <f>FEMALE_FLOWER_Prod!$N$31</f>
        <v>0</v>
      </c>
      <c r="AU256" s="58">
        <f>FEMALE_FLOWER_Prod!$M$32</f>
        <v>0</v>
      </c>
      <c r="AV256" s="21">
        <f>FEMALE_FLOWER_Prod!$N$32</f>
        <v>0</v>
      </c>
      <c r="AW256" s="58">
        <f>FEMALE_FLOWER_Prod!$M$33</f>
        <v>0</v>
      </c>
      <c r="AX256" s="21">
        <f>FEMALE_FLOWER_Prod!$N$33</f>
        <v>0</v>
      </c>
      <c r="AY256" s="58">
        <f>FEMALE_FLOWER_Prod!$M$34</f>
        <v>0</v>
      </c>
      <c r="AZ256" s="21">
        <f>FEMALE_FLOWER_Prod!$N$34</f>
        <v>0</v>
      </c>
      <c r="BA256" s="58">
        <f>FEMALE_FLOWER_Prod!$M$35</f>
        <v>0</v>
      </c>
      <c r="BB256" s="21">
        <f>FEMALE_FLOWER_Prod!$N$35</f>
        <v>0</v>
      </c>
      <c r="BC256" s="58">
        <f>FEMALE_FLOWER_Prod!$M$36</f>
        <v>0</v>
      </c>
      <c r="BD256" s="21">
        <f>FEMALE_FLOWER_Prod!$N$36</f>
        <v>0</v>
      </c>
      <c r="BE256" s="58">
        <f>FEMALE_FLOWER_Prod!$M$37</f>
        <v>0</v>
      </c>
      <c r="BF256" s="21">
        <f>FEMALE_FLOWER_Prod!$N$37</f>
        <v>0</v>
      </c>
      <c r="BG256" s="52" t="s">
        <v>69</v>
      </c>
      <c r="BH256" s="16"/>
    </row>
    <row r="257" spans="1:60">
      <c r="A257" s="20"/>
      <c r="B257" s="12" t="s">
        <v>387</v>
      </c>
      <c r="C257" s="213" t="s">
        <v>760</v>
      </c>
      <c r="D257" s="15" t="s">
        <v>12</v>
      </c>
      <c r="E257" s="9" t="s">
        <v>0</v>
      </c>
      <c r="F257" s="40" t="s">
        <v>7</v>
      </c>
      <c r="G257" s="46">
        <f>FEMALE_FLOWER_Prod!$O$9</f>
        <v>1</v>
      </c>
      <c r="H257" s="72">
        <f>FEMALE_FLOWER_Prod!$O$10</f>
        <v>3</v>
      </c>
      <c r="I257" s="58">
        <f>FEMALE_FLOWER_Prod!$M$13</f>
        <v>0</v>
      </c>
      <c r="J257" s="21">
        <f>FEMALE_FLOWER_Prod!$O$13</f>
        <v>0</v>
      </c>
      <c r="K257" s="58">
        <f>FEMALE_FLOWER_Prod!$M$14</f>
        <v>70</v>
      </c>
      <c r="L257" s="21">
        <f>FEMALE_FLOWER_Prod!$O$14</f>
        <v>0.2</v>
      </c>
      <c r="M257" s="58">
        <f>FEMALE_FLOWER_Prod!$M$15</f>
        <v>100</v>
      </c>
      <c r="N257" s="21">
        <f>FEMALE_FLOWER_Prod!$O$15</f>
        <v>0.1</v>
      </c>
      <c r="O257" s="58">
        <f>FEMALE_FLOWER_Prod!$M$16</f>
        <v>0</v>
      </c>
      <c r="P257" s="21">
        <f>FEMALE_FLOWER_Prod!$O$16</f>
        <v>0</v>
      </c>
      <c r="Q257" s="58">
        <f>FEMALE_FLOWER_Prod!$M$17</f>
        <v>0</v>
      </c>
      <c r="R257" s="21">
        <f>FEMALE_FLOWER_Prod!$O$17</f>
        <v>0</v>
      </c>
      <c r="S257" s="58">
        <f>FEMALE_FLOWER_Prod!$M$18</f>
        <v>0</v>
      </c>
      <c r="T257" s="21">
        <f>FEMALE_FLOWER_Prod!$O$18</f>
        <v>0</v>
      </c>
      <c r="U257" s="58">
        <f>FEMALE_FLOWER_Prod!$M$19</f>
        <v>0</v>
      </c>
      <c r="V257" s="21">
        <f>FEMALE_FLOWER_Prod!$O$19</f>
        <v>0</v>
      </c>
      <c r="W257" s="58">
        <f>FEMALE_FLOWER_Prod!$M$20</f>
        <v>0</v>
      </c>
      <c r="X257" s="21">
        <f>FEMALE_FLOWER_Prod!$O$20</f>
        <v>0</v>
      </c>
      <c r="Y257" s="58">
        <f>FEMALE_FLOWER_Prod!$M$21</f>
        <v>0</v>
      </c>
      <c r="Z257" s="21">
        <f>FEMALE_FLOWER_Prod!$O$21</f>
        <v>0</v>
      </c>
      <c r="AA257" s="58">
        <f>FEMALE_FLOWER_Prod!$M$22</f>
        <v>0</v>
      </c>
      <c r="AB257" s="21">
        <f>FEMALE_FLOWER_Prod!$O$22</f>
        <v>0</v>
      </c>
      <c r="AC257" s="58">
        <f>FEMALE_FLOWER_Prod!$M$23</f>
        <v>0</v>
      </c>
      <c r="AD257" s="21">
        <f>FEMALE_FLOWER_Prod!$O$23</f>
        <v>0</v>
      </c>
      <c r="AE257" s="58">
        <f>FEMALE_FLOWER_Prod!$M$24</f>
        <v>0</v>
      </c>
      <c r="AF257" s="21">
        <f>FEMALE_FLOWER_Prod!$O$24</f>
        <v>0</v>
      </c>
      <c r="AG257" s="58">
        <f>FEMALE_FLOWER_Prod!$M$25</f>
        <v>0</v>
      </c>
      <c r="AH257" s="21">
        <f>FEMALE_FLOWER_Prod!$O$25</f>
        <v>0</v>
      </c>
      <c r="AI257" s="58">
        <f>FEMALE_FLOWER_Prod!$M$26</f>
        <v>0</v>
      </c>
      <c r="AJ257" s="21">
        <f>FEMALE_FLOWER_Prod!$O$26</f>
        <v>0</v>
      </c>
      <c r="AK257" s="58">
        <f>FEMALE_FLOWER_Prod!$M$27</f>
        <v>0</v>
      </c>
      <c r="AL257" s="21">
        <f>FEMALE_FLOWER_Prod!$O$27</f>
        <v>0</v>
      </c>
      <c r="AM257" s="58">
        <f>FEMALE_FLOWER_Prod!$M$28</f>
        <v>0</v>
      </c>
      <c r="AN257" s="21">
        <f>FEMALE_FLOWER_Prod!$O$28</f>
        <v>0</v>
      </c>
      <c r="AO257" s="58">
        <f>FEMALE_FLOWER_Prod!$M$29</f>
        <v>0</v>
      </c>
      <c r="AP257" s="21">
        <f>FEMALE_FLOWER_Prod!$O$29</f>
        <v>0</v>
      </c>
      <c r="AQ257" s="58">
        <f>FEMALE_FLOWER_Prod!$M$30</f>
        <v>0</v>
      </c>
      <c r="AR257" s="21">
        <f>FEMALE_FLOWER_Prod!$O$30</f>
        <v>0</v>
      </c>
      <c r="AS257" s="58">
        <f>FEMALE_FLOWER_Prod!$M$31</f>
        <v>0</v>
      </c>
      <c r="AT257" s="21">
        <f>FEMALE_FLOWER_Prod!$O$31</f>
        <v>0</v>
      </c>
      <c r="AU257" s="58">
        <f>FEMALE_FLOWER_Prod!$M$32</f>
        <v>0</v>
      </c>
      <c r="AV257" s="21">
        <f>FEMALE_FLOWER_Prod!$O$32</f>
        <v>0</v>
      </c>
      <c r="AW257" s="58">
        <f>FEMALE_FLOWER_Prod!$M$33</f>
        <v>0</v>
      </c>
      <c r="AX257" s="21">
        <f>FEMALE_FLOWER_Prod!$O$33</f>
        <v>0</v>
      </c>
      <c r="AY257" s="58">
        <f>FEMALE_FLOWER_Prod!$M$34</f>
        <v>0</v>
      </c>
      <c r="AZ257" s="21">
        <f>FEMALE_FLOWER_Prod!$O$34</f>
        <v>0</v>
      </c>
      <c r="BA257" s="58">
        <f>FEMALE_FLOWER_Prod!$M$35</f>
        <v>0</v>
      </c>
      <c r="BB257" s="21">
        <f>FEMALE_FLOWER_Prod!$O$35</f>
        <v>0</v>
      </c>
      <c r="BC257" s="58">
        <f>FEMALE_FLOWER_Prod!$M$36</f>
        <v>0</v>
      </c>
      <c r="BD257" s="21">
        <f>FEMALE_FLOWER_Prod!$O$36</f>
        <v>0</v>
      </c>
      <c r="BE257" s="58">
        <f>FEMALE_FLOWER_Prod!$M$37</f>
        <v>0</v>
      </c>
      <c r="BF257" s="21">
        <f>FEMALE_FLOWER_Prod!$O$37</f>
        <v>0</v>
      </c>
      <c r="BG257" s="52" t="s">
        <v>69</v>
      </c>
      <c r="BH257" s="16"/>
    </row>
    <row r="258" spans="1:60">
      <c r="A258" s="20"/>
      <c r="B258" s="12" t="s">
        <v>388</v>
      </c>
      <c r="C258" s="213" t="s">
        <v>761</v>
      </c>
      <c r="D258" s="15" t="s">
        <v>12</v>
      </c>
      <c r="E258" s="9" t="s">
        <v>0</v>
      </c>
      <c r="F258" s="40" t="s">
        <v>7</v>
      </c>
      <c r="G258" s="46">
        <f>FEMALE_FLOWER_Prod!$P$9</f>
        <v>1</v>
      </c>
      <c r="H258" s="72">
        <f>FEMALE_FLOWER_Prod!$P$10</f>
        <v>3</v>
      </c>
      <c r="I258" s="58">
        <f>FEMALE_FLOWER_Prod!$M$13</f>
        <v>0</v>
      </c>
      <c r="J258" s="21">
        <f>FEMALE_FLOWER_Prod!$P$13</f>
        <v>1</v>
      </c>
      <c r="K258" s="58">
        <f>FEMALE_FLOWER_Prod!$M$14</f>
        <v>70</v>
      </c>
      <c r="L258" s="21">
        <f>FEMALE_FLOWER_Prod!$P$14</f>
        <v>1</v>
      </c>
      <c r="M258" s="58">
        <f>FEMALE_FLOWER_Prod!$M$15</f>
        <v>100</v>
      </c>
      <c r="N258" s="21">
        <f>FEMALE_FLOWER_Prod!$P$15</f>
        <v>0.3</v>
      </c>
      <c r="O258" s="58">
        <f>FEMALE_FLOWER_Prod!$M$16</f>
        <v>0</v>
      </c>
      <c r="P258" s="21">
        <f>FEMALE_FLOWER_Prod!$P$16</f>
        <v>0</v>
      </c>
      <c r="Q258" s="58">
        <f>FEMALE_FLOWER_Prod!$M$17</f>
        <v>0</v>
      </c>
      <c r="R258" s="21">
        <f>FEMALE_FLOWER_Prod!$P$17</f>
        <v>0</v>
      </c>
      <c r="S258" s="58">
        <f>FEMALE_FLOWER_Prod!$M$18</f>
        <v>0</v>
      </c>
      <c r="T258" s="21">
        <f>FEMALE_FLOWER_Prod!$P$18</f>
        <v>0</v>
      </c>
      <c r="U258" s="58">
        <f>FEMALE_FLOWER_Prod!$M$19</f>
        <v>0</v>
      </c>
      <c r="V258" s="21">
        <f>FEMALE_FLOWER_Prod!$P$19</f>
        <v>0</v>
      </c>
      <c r="W258" s="58">
        <f>FEMALE_FLOWER_Prod!$M$20</f>
        <v>0</v>
      </c>
      <c r="X258" s="21">
        <f>FEMALE_FLOWER_Prod!$P$20</f>
        <v>0</v>
      </c>
      <c r="Y258" s="58">
        <f>FEMALE_FLOWER_Prod!$M$21</f>
        <v>0</v>
      </c>
      <c r="Z258" s="21">
        <f>FEMALE_FLOWER_Prod!$P$21</f>
        <v>0</v>
      </c>
      <c r="AA258" s="58">
        <f>FEMALE_FLOWER_Prod!$M$22</f>
        <v>0</v>
      </c>
      <c r="AB258" s="21">
        <f>FEMALE_FLOWER_Prod!$P$22</f>
        <v>0</v>
      </c>
      <c r="AC258" s="58">
        <f>FEMALE_FLOWER_Prod!$M$23</f>
        <v>0</v>
      </c>
      <c r="AD258" s="21">
        <f>FEMALE_FLOWER_Prod!$P$23</f>
        <v>0</v>
      </c>
      <c r="AE258" s="58">
        <f>FEMALE_FLOWER_Prod!$M$24</f>
        <v>0</v>
      </c>
      <c r="AF258" s="21">
        <f>FEMALE_FLOWER_Prod!$P$24</f>
        <v>0</v>
      </c>
      <c r="AG258" s="58">
        <f>FEMALE_FLOWER_Prod!$M$25</f>
        <v>0</v>
      </c>
      <c r="AH258" s="21">
        <f>FEMALE_FLOWER_Prod!$P$25</f>
        <v>0</v>
      </c>
      <c r="AI258" s="58">
        <f>FEMALE_FLOWER_Prod!$M$26</f>
        <v>0</v>
      </c>
      <c r="AJ258" s="21">
        <f>FEMALE_FLOWER_Prod!$P$26</f>
        <v>0</v>
      </c>
      <c r="AK258" s="58">
        <f>FEMALE_FLOWER_Prod!$M$27</f>
        <v>0</v>
      </c>
      <c r="AL258" s="21">
        <f>FEMALE_FLOWER_Prod!$P$27</f>
        <v>0</v>
      </c>
      <c r="AM258" s="58">
        <f>FEMALE_FLOWER_Prod!$M$28</f>
        <v>0</v>
      </c>
      <c r="AN258" s="21">
        <f>FEMALE_FLOWER_Prod!$P$28</f>
        <v>0</v>
      </c>
      <c r="AO258" s="58">
        <f>FEMALE_FLOWER_Prod!$M$29</f>
        <v>0</v>
      </c>
      <c r="AP258" s="21">
        <f>FEMALE_FLOWER_Prod!$P$29</f>
        <v>0</v>
      </c>
      <c r="AQ258" s="58">
        <f>FEMALE_FLOWER_Prod!$M$30</f>
        <v>0</v>
      </c>
      <c r="AR258" s="21">
        <f>FEMALE_FLOWER_Prod!$P$30</f>
        <v>0</v>
      </c>
      <c r="AS258" s="58">
        <f>FEMALE_FLOWER_Prod!$M$31</f>
        <v>0</v>
      </c>
      <c r="AT258" s="21">
        <f>FEMALE_FLOWER_Prod!$P$31</f>
        <v>0</v>
      </c>
      <c r="AU258" s="58">
        <f>FEMALE_FLOWER_Prod!$M$32</f>
        <v>0</v>
      </c>
      <c r="AV258" s="21">
        <f>FEMALE_FLOWER_Prod!$P$32</f>
        <v>0</v>
      </c>
      <c r="AW258" s="58">
        <f>FEMALE_FLOWER_Prod!$M$33</f>
        <v>0</v>
      </c>
      <c r="AX258" s="21">
        <f>FEMALE_FLOWER_Prod!$P$33</f>
        <v>0</v>
      </c>
      <c r="AY258" s="58">
        <f>FEMALE_FLOWER_Prod!$M$34</f>
        <v>0</v>
      </c>
      <c r="AZ258" s="21">
        <f>FEMALE_FLOWER_Prod!$P$34</f>
        <v>0</v>
      </c>
      <c r="BA258" s="58">
        <f>FEMALE_FLOWER_Prod!$M$35</f>
        <v>0</v>
      </c>
      <c r="BB258" s="21">
        <f>FEMALE_FLOWER_Prod!$P$35</f>
        <v>0</v>
      </c>
      <c r="BC258" s="58">
        <f>FEMALE_FLOWER_Prod!$M$36</f>
        <v>0</v>
      </c>
      <c r="BD258" s="21">
        <f>FEMALE_FLOWER_Prod!$P$36</f>
        <v>0</v>
      </c>
      <c r="BE258" s="58">
        <f>FEMALE_FLOWER_Prod!$M$37</f>
        <v>0</v>
      </c>
      <c r="BF258" s="21">
        <f>FEMALE_FLOWER_Prod!$P$37</f>
        <v>0</v>
      </c>
      <c r="BG258" s="52" t="s">
        <v>69</v>
      </c>
      <c r="BH258" s="16"/>
    </row>
    <row r="259" spans="1:60">
      <c r="A259" s="20"/>
      <c r="B259" s="12" t="s">
        <v>389</v>
      </c>
      <c r="C259" s="213" t="s">
        <v>762</v>
      </c>
      <c r="D259" s="15" t="s">
        <v>12</v>
      </c>
      <c r="E259" s="9" t="s">
        <v>0</v>
      </c>
      <c r="F259" s="40" t="s">
        <v>7</v>
      </c>
      <c r="G259" s="46">
        <f>FEMALE_FLOWER_Prod!$Q$9</f>
        <v>1</v>
      </c>
      <c r="H259" s="72">
        <f>FEMALE_FLOWER_Prod!$Q$10</f>
        <v>3</v>
      </c>
      <c r="I259" s="58">
        <f>FEMALE_FLOWER_Prod!$M$13</f>
        <v>0</v>
      </c>
      <c r="J259" s="21">
        <f>FEMALE_FLOWER_Prod!$Q$13</f>
        <v>0</v>
      </c>
      <c r="K259" s="58">
        <f>FEMALE_FLOWER_Prod!$M$14</f>
        <v>70</v>
      </c>
      <c r="L259" s="21">
        <f>FEMALE_FLOWER_Prod!$Q$14</f>
        <v>0.1</v>
      </c>
      <c r="M259" s="58">
        <f>FEMALE_FLOWER_Prod!$M$15</f>
        <v>100</v>
      </c>
      <c r="N259" s="21">
        <f>FEMALE_FLOWER_Prod!$Q$15</f>
        <v>0.05</v>
      </c>
      <c r="O259" s="58">
        <f>FEMALE_FLOWER_Prod!$M$16</f>
        <v>0</v>
      </c>
      <c r="P259" s="21">
        <f>FEMALE_FLOWER_Prod!$Q$16</f>
        <v>0</v>
      </c>
      <c r="Q259" s="58">
        <f>FEMALE_FLOWER_Prod!$M$17</f>
        <v>0</v>
      </c>
      <c r="R259" s="21">
        <f>FEMALE_FLOWER_Prod!$Q$17</f>
        <v>0</v>
      </c>
      <c r="S259" s="58">
        <f>FEMALE_FLOWER_Prod!$M$18</f>
        <v>0</v>
      </c>
      <c r="T259" s="21">
        <f>FEMALE_FLOWER_Prod!$Q$18</f>
        <v>0</v>
      </c>
      <c r="U259" s="58">
        <f>FEMALE_FLOWER_Prod!$M$19</f>
        <v>0</v>
      </c>
      <c r="V259" s="21">
        <f>FEMALE_FLOWER_Prod!$Q$19</f>
        <v>0</v>
      </c>
      <c r="W259" s="58">
        <f>FEMALE_FLOWER_Prod!$M$20</f>
        <v>0</v>
      </c>
      <c r="X259" s="21">
        <f>FEMALE_FLOWER_Prod!$Q$20</f>
        <v>0</v>
      </c>
      <c r="Y259" s="58">
        <f>FEMALE_FLOWER_Prod!$M$21</f>
        <v>0</v>
      </c>
      <c r="Z259" s="21">
        <f>FEMALE_FLOWER_Prod!$Q$21</f>
        <v>0</v>
      </c>
      <c r="AA259" s="58">
        <f>FEMALE_FLOWER_Prod!$M$22</f>
        <v>0</v>
      </c>
      <c r="AB259" s="21">
        <f>FEMALE_FLOWER_Prod!$Q$22</f>
        <v>0</v>
      </c>
      <c r="AC259" s="58">
        <f>FEMALE_FLOWER_Prod!$M$23</f>
        <v>0</v>
      </c>
      <c r="AD259" s="21">
        <f>FEMALE_FLOWER_Prod!$Q$23</f>
        <v>0</v>
      </c>
      <c r="AE259" s="58">
        <f>FEMALE_FLOWER_Prod!$M$24</f>
        <v>0</v>
      </c>
      <c r="AF259" s="21">
        <f>FEMALE_FLOWER_Prod!$Q$24</f>
        <v>0</v>
      </c>
      <c r="AG259" s="58">
        <f>FEMALE_FLOWER_Prod!$M$25</f>
        <v>0</v>
      </c>
      <c r="AH259" s="21">
        <f>FEMALE_FLOWER_Prod!$Q$25</f>
        <v>0</v>
      </c>
      <c r="AI259" s="58">
        <f>FEMALE_FLOWER_Prod!$M$26</f>
        <v>0</v>
      </c>
      <c r="AJ259" s="21">
        <f>FEMALE_FLOWER_Prod!$Q$26</f>
        <v>0</v>
      </c>
      <c r="AK259" s="58">
        <f>FEMALE_FLOWER_Prod!$M$27</f>
        <v>0</v>
      </c>
      <c r="AL259" s="21">
        <f>FEMALE_FLOWER_Prod!$Q$27</f>
        <v>0</v>
      </c>
      <c r="AM259" s="58">
        <f>FEMALE_FLOWER_Prod!$M$28</f>
        <v>0</v>
      </c>
      <c r="AN259" s="21">
        <f>FEMALE_FLOWER_Prod!$Q$28</f>
        <v>0</v>
      </c>
      <c r="AO259" s="58">
        <f>FEMALE_FLOWER_Prod!$M$29</f>
        <v>0</v>
      </c>
      <c r="AP259" s="21">
        <f>FEMALE_FLOWER_Prod!$Q$29</f>
        <v>0</v>
      </c>
      <c r="AQ259" s="58">
        <f>FEMALE_FLOWER_Prod!$M$30</f>
        <v>0</v>
      </c>
      <c r="AR259" s="21">
        <f>FEMALE_FLOWER_Prod!$Q$30</f>
        <v>0</v>
      </c>
      <c r="AS259" s="58">
        <f>FEMALE_FLOWER_Prod!$M$31</f>
        <v>0</v>
      </c>
      <c r="AT259" s="21">
        <f>FEMALE_FLOWER_Prod!$Q$31</f>
        <v>0</v>
      </c>
      <c r="AU259" s="58">
        <f>FEMALE_FLOWER_Prod!$M$32</f>
        <v>0</v>
      </c>
      <c r="AV259" s="21">
        <f>FEMALE_FLOWER_Prod!$Q$32</f>
        <v>0</v>
      </c>
      <c r="AW259" s="58">
        <f>FEMALE_FLOWER_Prod!$M$33</f>
        <v>0</v>
      </c>
      <c r="AX259" s="21">
        <f>FEMALE_FLOWER_Prod!$Q$33</f>
        <v>0</v>
      </c>
      <c r="AY259" s="58">
        <f>FEMALE_FLOWER_Prod!$M$34</f>
        <v>0</v>
      </c>
      <c r="AZ259" s="21">
        <f>FEMALE_FLOWER_Prod!$Q$34</f>
        <v>0</v>
      </c>
      <c r="BA259" s="58">
        <f>FEMALE_FLOWER_Prod!$M$35</f>
        <v>0</v>
      </c>
      <c r="BB259" s="21">
        <f>FEMALE_FLOWER_Prod!$Q$35</f>
        <v>0</v>
      </c>
      <c r="BC259" s="58">
        <f>FEMALE_FLOWER_Prod!$M$36</f>
        <v>0</v>
      </c>
      <c r="BD259" s="21">
        <f>FEMALE_FLOWER_Prod!$Q$36</f>
        <v>0</v>
      </c>
      <c r="BE259" s="58">
        <f>FEMALE_FLOWER_Prod!$M$37</f>
        <v>0</v>
      </c>
      <c r="BF259" s="21">
        <f>FEMALE_FLOWER_Prod!$Q$37</f>
        <v>0</v>
      </c>
      <c r="BG259" s="52" t="s">
        <v>69</v>
      </c>
      <c r="BH259" s="16"/>
    </row>
    <row r="260" spans="1:60">
      <c r="A260" s="20"/>
      <c r="B260" s="10" t="s">
        <v>379</v>
      </c>
      <c r="C260" s="2" t="s">
        <v>763</v>
      </c>
      <c r="D260" s="15" t="s">
        <v>12</v>
      </c>
      <c r="E260" s="9" t="s">
        <v>3</v>
      </c>
      <c r="F260" s="40" t="s">
        <v>6</v>
      </c>
      <c r="G260" s="46">
        <f>FEMALE_FLOWER_Prod!$V$9</f>
        <v>1</v>
      </c>
      <c r="H260" s="72">
        <f>FEMALE_FLOWER_Prod!$V$10</f>
        <v>1</v>
      </c>
      <c r="I260" s="58">
        <f>FEMALE_FLOWER_Prod!$U$13</f>
        <v>0</v>
      </c>
      <c r="J260" s="21">
        <f>FEMALE_FLOWER_Prod!$V$13</f>
        <v>137</v>
      </c>
      <c r="K260" s="58">
        <f>FEMALE_FLOWER_Prod!$U$14</f>
        <v>0</v>
      </c>
      <c r="L260" s="21">
        <f>FEMALE_FLOWER_Prod!$V$14</f>
        <v>0</v>
      </c>
      <c r="M260" s="58">
        <f>FEMALE_FLOWER_Prod!$U$15</f>
        <v>0</v>
      </c>
      <c r="N260" s="21">
        <f>FEMALE_FLOWER_Prod!$V$15</f>
        <v>0</v>
      </c>
      <c r="O260" s="58">
        <f>FEMALE_FLOWER_Prod!$U$16</f>
        <v>0</v>
      </c>
      <c r="P260" s="21">
        <f>FEMALE_FLOWER_Prod!$V$16</f>
        <v>0</v>
      </c>
      <c r="Q260" s="58">
        <f>FEMALE_FLOWER_Prod!$U$17</f>
        <v>0</v>
      </c>
      <c r="R260" s="21">
        <f>FEMALE_FLOWER_Prod!$V$17</f>
        <v>0</v>
      </c>
      <c r="S260" s="58">
        <f>FEMALE_FLOWER_Prod!$U$18</f>
        <v>0</v>
      </c>
      <c r="T260" s="21">
        <f>FEMALE_FLOWER_Prod!$V$18</f>
        <v>0</v>
      </c>
      <c r="U260" s="58">
        <f>FEMALE_FLOWER_Prod!$U$19</f>
        <v>0</v>
      </c>
      <c r="V260" s="21">
        <f>FEMALE_FLOWER_Prod!$V$19</f>
        <v>0</v>
      </c>
      <c r="W260" s="58">
        <f>FEMALE_FLOWER_Prod!$U$20</f>
        <v>0</v>
      </c>
      <c r="X260" s="21">
        <f>FEMALE_FLOWER_Prod!$V$20</f>
        <v>0</v>
      </c>
      <c r="Y260" s="58">
        <f>FEMALE_FLOWER_Prod!$U$21</f>
        <v>0</v>
      </c>
      <c r="Z260" s="21">
        <f>FEMALE_FLOWER_Prod!$V$21</f>
        <v>0</v>
      </c>
      <c r="AA260" s="58">
        <f>FEMALE_FLOWER_Prod!$U$22</f>
        <v>0</v>
      </c>
      <c r="AB260" s="21">
        <f>FEMALE_FLOWER_Prod!$V$22</f>
        <v>0</v>
      </c>
      <c r="AC260" s="58">
        <f>FEMALE_FLOWER_Prod!$U$23</f>
        <v>0</v>
      </c>
      <c r="AD260" s="21">
        <f>FEMALE_FLOWER_Prod!$V$23</f>
        <v>0</v>
      </c>
      <c r="AE260" s="58">
        <f>FEMALE_FLOWER_Prod!$U$24</f>
        <v>0</v>
      </c>
      <c r="AF260" s="21">
        <f>FEMALE_FLOWER_Prod!$V$24</f>
        <v>0</v>
      </c>
      <c r="AG260" s="58">
        <f>FEMALE_FLOWER_Prod!$U$25</f>
        <v>0</v>
      </c>
      <c r="AH260" s="21">
        <f>FEMALE_FLOWER_Prod!$V$25</f>
        <v>0</v>
      </c>
      <c r="AI260" s="58">
        <f>FEMALE_FLOWER_Prod!$U$26</f>
        <v>0</v>
      </c>
      <c r="AJ260" s="21">
        <f>FEMALE_FLOWER_Prod!$V$26</f>
        <v>0</v>
      </c>
      <c r="AK260" s="58">
        <f>FEMALE_FLOWER_Prod!$U$27</f>
        <v>0</v>
      </c>
      <c r="AL260" s="21">
        <f>FEMALE_FLOWER_Prod!$V$27</f>
        <v>0</v>
      </c>
      <c r="AM260" s="58">
        <f>FEMALE_FLOWER_Prod!$U$28</f>
        <v>0</v>
      </c>
      <c r="AN260" s="21">
        <f>FEMALE_FLOWER_Prod!$V$28</f>
        <v>0</v>
      </c>
      <c r="AO260" s="58">
        <f>FEMALE_FLOWER_Prod!$U$29</f>
        <v>0</v>
      </c>
      <c r="AP260" s="21">
        <f>FEMALE_FLOWER_Prod!$V$29</f>
        <v>0</v>
      </c>
      <c r="AQ260" s="58">
        <f>FEMALE_FLOWER_Prod!$U$30</f>
        <v>0</v>
      </c>
      <c r="AR260" s="21">
        <f>FEMALE_FLOWER_Prod!$V$30</f>
        <v>0</v>
      </c>
      <c r="AS260" s="58">
        <f>FEMALE_FLOWER_Prod!$U$31</f>
        <v>0</v>
      </c>
      <c r="AT260" s="21">
        <f>FEMALE_FLOWER_Prod!$V$31</f>
        <v>0</v>
      </c>
      <c r="AU260" s="58">
        <f>FEMALE_FLOWER_Prod!$U$32</f>
        <v>0</v>
      </c>
      <c r="AV260" s="21">
        <f>FEMALE_FLOWER_Prod!$V$32</f>
        <v>0</v>
      </c>
      <c r="AW260" s="58">
        <f>FEMALE_FLOWER_Prod!$U$33</f>
        <v>0</v>
      </c>
      <c r="AX260" s="21">
        <f>FEMALE_FLOWER_Prod!$V$33</f>
        <v>0</v>
      </c>
      <c r="AY260" s="58">
        <f>FEMALE_FLOWER_Prod!$U$34</f>
        <v>0</v>
      </c>
      <c r="AZ260" s="21">
        <f>FEMALE_FLOWER_Prod!$V$34</f>
        <v>0</v>
      </c>
      <c r="BA260" s="58">
        <f>FEMALE_FLOWER_Prod!$U$35</f>
        <v>0</v>
      </c>
      <c r="BB260" s="21">
        <f>FEMALE_FLOWER_Prod!$V$35</f>
        <v>0</v>
      </c>
      <c r="BC260" s="58">
        <f>FEMALE_FLOWER_Prod!$U$36</f>
        <v>0</v>
      </c>
      <c r="BD260" s="21">
        <f>FEMALE_FLOWER_Prod!$V$36</f>
        <v>0</v>
      </c>
      <c r="BE260" s="58">
        <f>FEMALE_FLOWER_Prod!$U$37</f>
        <v>0</v>
      </c>
      <c r="BF260" s="21">
        <f>FEMALE_FLOWER_Prod!$V$37</f>
        <v>0</v>
      </c>
      <c r="BG260" s="52" t="s">
        <v>69</v>
      </c>
      <c r="BH260" s="16"/>
    </row>
    <row r="261" spans="1:60">
      <c r="A261" s="20"/>
      <c r="B261" s="11" t="s">
        <v>380</v>
      </c>
      <c r="C261" s="2" t="s">
        <v>381</v>
      </c>
      <c r="D261" s="15" t="s">
        <v>12</v>
      </c>
      <c r="E261" s="9" t="s">
        <v>3</v>
      </c>
      <c r="F261" s="40" t="s">
        <v>6</v>
      </c>
      <c r="G261" s="46">
        <f>FEMALE_FLOWER_Prod!$W$9</f>
        <v>1</v>
      </c>
      <c r="H261" s="72">
        <f>FEMALE_FLOWER_Prod!$W$10</f>
        <v>1</v>
      </c>
      <c r="I261" s="58">
        <f>FEMALE_FLOWER_Prod!$U$13</f>
        <v>0</v>
      </c>
      <c r="J261" s="21">
        <f>FEMALE_FLOWER_Prod!$W$13</f>
        <v>1.37</v>
      </c>
      <c r="K261" s="58">
        <f>FEMALE_FLOWER_Prod!$U$14</f>
        <v>0</v>
      </c>
      <c r="L261" s="21">
        <f>FEMALE_FLOWER_Prod!$W$14</f>
        <v>0</v>
      </c>
      <c r="M261" s="58">
        <f>FEMALE_FLOWER_Prod!$U$15</f>
        <v>0</v>
      </c>
      <c r="N261" s="21">
        <f>FEMALE_FLOWER_Prod!$W$15</f>
        <v>0</v>
      </c>
      <c r="O261" s="58">
        <f>FEMALE_FLOWER_Prod!$U$16</f>
        <v>0</v>
      </c>
      <c r="P261" s="21">
        <f>FEMALE_FLOWER_Prod!$W$16</f>
        <v>0</v>
      </c>
      <c r="Q261" s="58">
        <f>FEMALE_FLOWER_Prod!$U$17</f>
        <v>0</v>
      </c>
      <c r="R261" s="21">
        <f>FEMALE_FLOWER_Prod!$W$17</f>
        <v>0</v>
      </c>
      <c r="S261" s="58">
        <f>FEMALE_FLOWER_Prod!$U$18</f>
        <v>0</v>
      </c>
      <c r="T261" s="21">
        <f>FEMALE_FLOWER_Prod!$W$18</f>
        <v>0</v>
      </c>
      <c r="U261" s="58">
        <f>FEMALE_FLOWER_Prod!$U$19</f>
        <v>0</v>
      </c>
      <c r="V261" s="21">
        <f>FEMALE_FLOWER_Prod!$W$19</f>
        <v>0</v>
      </c>
      <c r="W261" s="58">
        <f>FEMALE_FLOWER_Prod!$U$20</f>
        <v>0</v>
      </c>
      <c r="X261" s="21">
        <f>FEMALE_FLOWER_Prod!$W$20</f>
        <v>0</v>
      </c>
      <c r="Y261" s="58">
        <f>FEMALE_FLOWER_Prod!$U$21</f>
        <v>0</v>
      </c>
      <c r="Z261" s="21">
        <f>FEMALE_FLOWER_Prod!$W$21</f>
        <v>0</v>
      </c>
      <c r="AA261" s="58">
        <f>FEMALE_FLOWER_Prod!$U$22</f>
        <v>0</v>
      </c>
      <c r="AB261" s="21">
        <f>FEMALE_FLOWER_Prod!$W$22</f>
        <v>0</v>
      </c>
      <c r="AC261" s="58">
        <f>FEMALE_FLOWER_Prod!$U$23</f>
        <v>0</v>
      </c>
      <c r="AD261" s="21">
        <f>FEMALE_FLOWER_Prod!$W$23</f>
        <v>0</v>
      </c>
      <c r="AE261" s="58">
        <f>FEMALE_FLOWER_Prod!$U$24</f>
        <v>0</v>
      </c>
      <c r="AF261" s="21">
        <f>FEMALE_FLOWER_Prod!$W$24</f>
        <v>0</v>
      </c>
      <c r="AG261" s="58">
        <f>FEMALE_FLOWER_Prod!$U$25</f>
        <v>0</v>
      </c>
      <c r="AH261" s="21">
        <f>FEMALE_FLOWER_Prod!$W$25</f>
        <v>0</v>
      </c>
      <c r="AI261" s="58">
        <f>FEMALE_FLOWER_Prod!$U$26</f>
        <v>0</v>
      </c>
      <c r="AJ261" s="21">
        <f>FEMALE_FLOWER_Prod!$W$26</f>
        <v>0</v>
      </c>
      <c r="AK261" s="58">
        <f>FEMALE_FLOWER_Prod!$U$27</f>
        <v>0</v>
      </c>
      <c r="AL261" s="21">
        <f>FEMALE_FLOWER_Prod!$W$27</f>
        <v>0</v>
      </c>
      <c r="AM261" s="58">
        <f>FEMALE_FLOWER_Prod!$U$28</f>
        <v>0</v>
      </c>
      <c r="AN261" s="21">
        <f>FEMALE_FLOWER_Prod!$W$28</f>
        <v>0</v>
      </c>
      <c r="AO261" s="58">
        <f>FEMALE_FLOWER_Prod!$U$29</f>
        <v>0</v>
      </c>
      <c r="AP261" s="21">
        <f>FEMALE_FLOWER_Prod!$W$29</f>
        <v>0</v>
      </c>
      <c r="AQ261" s="58">
        <f>FEMALE_FLOWER_Prod!$U$30</f>
        <v>0</v>
      </c>
      <c r="AR261" s="21">
        <f>FEMALE_FLOWER_Prod!$W$30</f>
        <v>0</v>
      </c>
      <c r="AS261" s="58">
        <f>FEMALE_FLOWER_Prod!$U$31</f>
        <v>0</v>
      </c>
      <c r="AT261" s="21">
        <f>FEMALE_FLOWER_Prod!$W$31</f>
        <v>0</v>
      </c>
      <c r="AU261" s="58">
        <f>FEMALE_FLOWER_Prod!$U$32</f>
        <v>0</v>
      </c>
      <c r="AV261" s="21">
        <f>FEMALE_FLOWER_Prod!$W$32</f>
        <v>0</v>
      </c>
      <c r="AW261" s="58">
        <f>FEMALE_FLOWER_Prod!$U$33</f>
        <v>0</v>
      </c>
      <c r="AX261" s="21">
        <f>FEMALE_FLOWER_Prod!$W$33</f>
        <v>0</v>
      </c>
      <c r="AY261" s="58">
        <f>FEMALE_FLOWER_Prod!$U$34</f>
        <v>0</v>
      </c>
      <c r="AZ261" s="21">
        <f>FEMALE_FLOWER_Prod!$W$34</f>
        <v>0</v>
      </c>
      <c r="BA261" s="58">
        <f>FEMALE_FLOWER_Prod!$U$35</f>
        <v>0</v>
      </c>
      <c r="BB261" s="21">
        <f>FEMALE_FLOWER_Prod!$W$35</f>
        <v>0</v>
      </c>
      <c r="BC261" s="58">
        <f>FEMALE_FLOWER_Prod!$U$36</f>
        <v>0</v>
      </c>
      <c r="BD261" s="21">
        <f>FEMALE_FLOWER_Prod!$W$36</f>
        <v>0</v>
      </c>
      <c r="BE261" s="58">
        <f>FEMALE_FLOWER_Prod!$U$37</f>
        <v>0</v>
      </c>
      <c r="BF261" s="21">
        <f>FEMALE_FLOWER_Prod!$W$37</f>
        <v>0</v>
      </c>
      <c r="BG261" s="52" t="s">
        <v>69</v>
      </c>
      <c r="BH261" s="16"/>
    </row>
    <row r="262" spans="1:60">
      <c r="A262" s="20"/>
      <c r="B262" s="11" t="s">
        <v>390</v>
      </c>
      <c r="C262" s="2" t="s">
        <v>396</v>
      </c>
      <c r="D262" s="15" t="s">
        <v>12</v>
      </c>
      <c r="E262" s="2" t="s">
        <v>3</v>
      </c>
      <c r="F262" s="40" t="s">
        <v>6</v>
      </c>
      <c r="G262" s="46">
        <f>FEMALE_FLOWER_Prod!$Z$9</f>
        <v>1</v>
      </c>
      <c r="H262" s="72">
        <f>FEMALE_FLOWER_Prod!$Z$10</f>
        <v>3</v>
      </c>
      <c r="I262" s="58">
        <f>FEMALE_FLOWER_Prod!$Y$13</f>
        <v>0</v>
      </c>
      <c r="J262" s="21">
        <f>FEMALE_FLOWER_Prod!$Z$13</f>
        <v>30</v>
      </c>
      <c r="K262" s="58">
        <f>FEMALE_FLOWER_Prod!$Y$14</f>
        <v>70</v>
      </c>
      <c r="L262" s="21">
        <f>FEMALE_FLOWER_Prod!$Z$14</f>
        <v>60</v>
      </c>
      <c r="M262" s="58">
        <f>FEMALE_FLOWER_Prod!$Y$15</f>
        <v>100</v>
      </c>
      <c r="N262" s="21">
        <f>FEMALE_FLOWER_Prod!$Z$15</f>
        <v>30</v>
      </c>
      <c r="O262" s="58">
        <f>FEMALE_FLOWER_Prod!$Y$16</f>
        <v>0</v>
      </c>
      <c r="P262" s="21">
        <f>FEMALE_FLOWER_Prod!$Z$16</f>
        <v>0</v>
      </c>
      <c r="Q262" s="58">
        <f>FEMALE_FLOWER_Prod!$Y$17</f>
        <v>0</v>
      </c>
      <c r="R262" s="21">
        <f>FEMALE_FLOWER_Prod!$Z$17</f>
        <v>0</v>
      </c>
      <c r="S262" s="58">
        <f>FEMALE_FLOWER_Prod!$Y$18</f>
        <v>0</v>
      </c>
      <c r="T262" s="21">
        <f>FEMALE_FLOWER_Prod!$Z$18</f>
        <v>0</v>
      </c>
      <c r="U262" s="58">
        <f>FEMALE_FLOWER_Prod!$Y$19</f>
        <v>0</v>
      </c>
      <c r="V262" s="21">
        <f>FEMALE_FLOWER_Prod!$Z$19</f>
        <v>0</v>
      </c>
      <c r="W262" s="58">
        <f>FEMALE_FLOWER_Prod!$Y$20</f>
        <v>0</v>
      </c>
      <c r="X262" s="21">
        <f>FEMALE_FLOWER_Prod!$Z$20</f>
        <v>0</v>
      </c>
      <c r="Y262" s="58">
        <f>FEMALE_FLOWER_Prod!$Y$21</f>
        <v>0</v>
      </c>
      <c r="Z262" s="21">
        <f>FEMALE_FLOWER_Prod!$Z$21</f>
        <v>0</v>
      </c>
      <c r="AA262" s="58">
        <f>FEMALE_FLOWER_Prod!$Y$22</f>
        <v>0</v>
      </c>
      <c r="AB262" s="21">
        <f>FEMALE_FLOWER_Prod!$Z$22</f>
        <v>0</v>
      </c>
      <c r="AC262" s="58">
        <f>FEMALE_FLOWER_Prod!$Y$23</f>
        <v>0</v>
      </c>
      <c r="AD262" s="21">
        <f>FEMALE_FLOWER_Prod!$Z$23</f>
        <v>0</v>
      </c>
      <c r="AE262" s="58">
        <f>FEMALE_FLOWER_Prod!$Y$24</f>
        <v>0</v>
      </c>
      <c r="AF262" s="21">
        <f>FEMALE_FLOWER_Prod!$Z$24</f>
        <v>0</v>
      </c>
      <c r="AG262" s="58">
        <f>FEMALE_FLOWER_Prod!$Y$25</f>
        <v>0</v>
      </c>
      <c r="AH262" s="21">
        <f>FEMALE_FLOWER_Prod!$Z$25</f>
        <v>0</v>
      </c>
      <c r="AI262" s="58">
        <f>FEMALE_FLOWER_Prod!$Y$26</f>
        <v>0</v>
      </c>
      <c r="AJ262" s="21">
        <f>FEMALE_FLOWER_Prod!$Z$26</f>
        <v>0</v>
      </c>
      <c r="AK262" s="58">
        <f>FEMALE_FLOWER_Prod!$Y$27</f>
        <v>0</v>
      </c>
      <c r="AL262" s="21">
        <f>FEMALE_FLOWER_Prod!$Z$27</f>
        <v>0</v>
      </c>
      <c r="AM262" s="58">
        <f>FEMALE_FLOWER_Prod!$Y$28</f>
        <v>0</v>
      </c>
      <c r="AN262" s="21">
        <f>FEMALE_FLOWER_Prod!$Z$28</f>
        <v>0</v>
      </c>
      <c r="AO262" s="58">
        <f>FEMALE_FLOWER_Prod!$Y$29</f>
        <v>0</v>
      </c>
      <c r="AP262" s="21">
        <f>FEMALE_FLOWER_Prod!$Z$29</f>
        <v>0</v>
      </c>
      <c r="AQ262" s="58">
        <f>FEMALE_FLOWER_Prod!$Y$30</f>
        <v>0</v>
      </c>
      <c r="AR262" s="21">
        <f>FEMALE_FLOWER_Prod!$Z$30</f>
        <v>0</v>
      </c>
      <c r="AS262" s="58">
        <f>FEMALE_FLOWER_Prod!$Y$31</f>
        <v>0</v>
      </c>
      <c r="AT262" s="21">
        <f>FEMALE_FLOWER_Prod!$Z$31</f>
        <v>0</v>
      </c>
      <c r="AU262" s="58">
        <f>FEMALE_FLOWER_Prod!$Y$32</f>
        <v>0</v>
      </c>
      <c r="AV262" s="21">
        <f>FEMALE_FLOWER_Prod!$Z$32</f>
        <v>0</v>
      </c>
      <c r="AW262" s="58">
        <f>FEMALE_FLOWER_Prod!$Y$33</f>
        <v>0</v>
      </c>
      <c r="AX262" s="21">
        <f>FEMALE_FLOWER_Prod!$Z$33</f>
        <v>0</v>
      </c>
      <c r="AY262" s="58">
        <f>FEMALE_FLOWER_Prod!$Y$34</f>
        <v>0</v>
      </c>
      <c r="AZ262" s="21">
        <f>FEMALE_FLOWER_Prod!$Z$34</f>
        <v>0</v>
      </c>
      <c r="BA262" s="58">
        <f>FEMALE_FLOWER_Prod!$Y$35</f>
        <v>0</v>
      </c>
      <c r="BB262" s="21">
        <f>FEMALE_FLOWER_Prod!$Z$35</f>
        <v>0</v>
      </c>
      <c r="BC262" s="58">
        <f>FEMALE_FLOWER_Prod!$Y$36</f>
        <v>0</v>
      </c>
      <c r="BD262" s="21">
        <f>FEMALE_FLOWER_Prod!$Z$36</f>
        <v>0</v>
      </c>
      <c r="BE262" s="58">
        <f>FEMALE_FLOWER_Prod!$Y$37</f>
        <v>0</v>
      </c>
      <c r="BF262" s="21">
        <f>FEMALE_FLOWER_Prod!$Z$37</f>
        <v>0</v>
      </c>
      <c r="BG262" s="52" t="s">
        <v>69</v>
      </c>
      <c r="BH262" s="16"/>
    </row>
    <row r="263" spans="1:60">
      <c r="A263" s="20"/>
      <c r="B263" s="11" t="s">
        <v>391</v>
      </c>
      <c r="C263" s="2" t="s">
        <v>397</v>
      </c>
      <c r="D263" s="15" t="s">
        <v>12</v>
      </c>
      <c r="E263" s="9" t="s">
        <v>3</v>
      </c>
      <c r="F263" s="40" t="s">
        <v>6</v>
      </c>
      <c r="G263" s="46">
        <f>FEMALE_FLOWER_Prod!$AA$9</f>
        <v>1</v>
      </c>
      <c r="H263" s="72">
        <f>FEMALE_FLOWER_Prod!$AA$10</f>
        <v>3</v>
      </c>
      <c r="I263" s="58">
        <f>FEMALE_FLOWER_Prod!$Y$13</f>
        <v>0</v>
      </c>
      <c r="J263" s="21">
        <f>FEMALE_FLOWER_Prod!$AA$13</f>
        <v>0</v>
      </c>
      <c r="K263" s="58">
        <f>FEMALE_FLOWER_Prod!$Y$14</f>
        <v>70</v>
      </c>
      <c r="L263" s="21">
        <f>FEMALE_FLOWER_Prod!$AA$14</f>
        <v>6</v>
      </c>
      <c r="M263" s="58">
        <f>FEMALE_FLOWER_Prod!$Y$15</f>
        <v>100</v>
      </c>
      <c r="N263" s="21">
        <f>FEMALE_FLOWER_Prod!$AA$15</f>
        <v>3</v>
      </c>
      <c r="O263" s="58">
        <f>FEMALE_FLOWER_Prod!$Y$16</f>
        <v>0</v>
      </c>
      <c r="P263" s="21">
        <f>FEMALE_FLOWER_Prod!$AA$16</f>
        <v>0</v>
      </c>
      <c r="Q263" s="58">
        <f>FEMALE_FLOWER_Prod!$Y$17</f>
        <v>0</v>
      </c>
      <c r="R263" s="21">
        <f>FEMALE_FLOWER_Prod!$AA$17</f>
        <v>0</v>
      </c>
      <c r="S263" s="58">
        <f>FEMALE_FLOWER_Prod!$Y$18</f>
        <v>0</v>
      </c>
      <c r="T263" s="21">
        <f>FEMALE_FLOWER_Prod!$AA$18</f>
        <v>0</v>
      </c>
      <c r="U263" s="58">
        <f>FEMALE_FLOWER_Prod!$Y$19</f>
        <v>0</v>
      </c>
      <c r="V263" s="21">
        <f>FEMALE_FLOWER_Prod!$AA$19</f>
        <v>0</v>
      </c>
      <c r="W263" s="58">
        <f>FEMALE_FLOWER_Prod!$Y$20</f>
        <v>0</v>
      </c>
      <c r="X263" s="21">
        <f>FEMALE_FLOWER_Prod!$AA$20</f>
        <v>0</v>
      </c>
      <c r="Y263" s="58">
        <f>FEMALE_FLOWER_Prod!$Y$21</f>
        <v>0</v>
      </c>
      <c r="Z263" s="21">
        <f>FEMALE_FLOWER_Prod!$AA$21</f>
        <v>0</v>
      </c>
      <c r="AA263" s="58">
        <f>FEMALE_FLOWER_Prod!$Y$22</f>
        <v>0</v>
      </c>
      <c r="AB263" s="21">
        <f>FEMALE_FLOWER_Prod!$AA$22</f>
        <v>0</v>
      </c>
      <c r="AC263" s="58">
        <f>FEMALE_FLOWER_Prod!$Y$23</f>
        <v>0</v>
      </c>
      <c r="AD263" s="21">
        <f>FEMALE_FLOWER_Prod!$AA$23</f>
        <v>0</v>
      </c>
      <c r="AE263" s="58">
        <f>FEMALE_FLOWER_Prod!$Y$24</f>
        <v>0</v>
      </c>
      <c r="AF263" s="21">
        <f>FEMALE_FLOWER_Prod!$AA$24</f>
        <v>0</v>
      </c>
      <c r="AG263" s="58">
        <f>FEMALE_FLOWER_Prod!$Y$25</f>
        <v>0</v>
      </c>
      <c r="AH263" s="21">
        <f>FEMALE_FLOWER_Prod!$AA$25</f>
        <v>0</v>
      </c>
      <c r="AI263" s="58">
        <f>FEMALE_FLOWER_Prod!$Y$26</f>
        <v>0</v>
      </c>
      <c r="AJ263" s="21">
        <f>FEMALE_FLOWER_Prod!$AA$26</f>
        <v>0</v>
      </c>
      <c r="AK263" s="58">
        <f>FEMALE_FLOWER_Prod!$Y$27</f>
        <v>0</v>
      </c>
      <c r="AL263" s="21">
        <f>FEMALE_FLOWER_Prod!$AA$27</f>
        <v>0</v>
      </c>
      <c r="AM263" s="58">
        <f>FEMALE_FLOWER_Prod!$Y$28</f>
        <v>0</v>
      </c>
      <c r="AN263" s="21">
        <f>FEMALE_FLOWER_Prod!$AA$28</f>
        <v>0</v>
      </c>
      <c r="AO263" s="58">
        <f>FEMALE_FLOWER_Prod!$Y$29</f>
        <v>0</v>
      </c>
      <c r="AP263" s="21">
        <f>FEMALE_FLOWER_Prod!$AA$29</f>
        <v>0</v>
      </c>
      <c r="AQ263" s="58">
        <f>FEMALE_FLOWER_Prod!$Y$30</f>
        <v>0</v>
      </c>
      <c r="AR263" s="21">
        <f>FEMALE_FLOWER_Prod!$AA$30</f>
        <v>0</v>
      </c>
      <c r="AS263" s="58">
        <f>FEMALE_FLOWER_Prod!$Y$31</f>
        <v>0</v>
      </c>
      <c r="AT263" s="21">
        <f>FEMALE_FLOWER_Prod!$AA$31</f>
        <v>0</v>
      </c>
      <c r="AU263" s="58">
        <f>FEMALE_FLOWER_Prod!$Y$32</f>
        <v>0</v>
      </c>
      <c r="AV263" s="21">
        <f>FEMALE_FLOWER_Prod!$AA$32</f>
        <v>0</v>
      </c>
      <c r="AW263" s="58">
        <f>FEMALE_FLOWER_Prod!$Y$33</f>
        <v>0</v>
      </c>
      <c r="AX263" s="21">
        <f>FEMALE_FLOWER_Prod!$AA$33</f>
        <v>0</v>
      </c>
      <c r="AY263" s="58">
        <f>FEMALE_FLOWER_Prod!$Y$34</f>
        <v>0</v>
      </c>
      <c r="AZ263" s="21">
        <f>FEMALE_FLOWER_Prod!$AA$34</f>
        <v>0</v>
      </c>
      <c r="BA263" s="58">
        <f>FEMALE_FLOWER_Prod!$Y$35</f>
        <v>0</v>
      </c>
      <c r="BB263" s="21">
        <f>FEMALE_FLOWER_Prod!$AA$35</f>
        <v>0</v>
      </c>
      <c r="BC263" s="58">
        <f>FEMALE_FLOWER_Prod!$Y$36</f>
        <v>0</v>
      </c>
      <c r="BD263" s="21">
        <f>FEMALE_FLOWER_Prod!$AA$36</f>
        <v>0</v>
      </c>
      <c r="BE263" s="58">
        <f>FEMALE_FLOWER_Prod!$Y$37</f>
        <v>0</v>
      </c>
      <c r="BF263" s="21">
        <f>FEMALE_FLOWER_Prod!$AA$37</f>
        <v>0</v>
      </c>
      <c r="BG263" s="52" t="s">
        <v>69</v>
      </c>
      <c r="BH263" s="16"/>
    </row>
    <row r="264" spans="1:60" ht="18.75">
      <c r="A264" s="21" t="s">
        <v>69</v>
      </c>
      <c r="B264" s="36"/>
      <c r="C264" s="62" t="s">
        <v>688</v>
      </c>
      <c r="D264" s="37"/>
      <c r="E264" s="37"/>
      <c r="F264" s="37"/>
      <c r="G264" s="37"/>
      <c r="H264" s="68"/>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2" t="s">
        <v>69</v>
      </c>
      <c r="BH264" s="16"/>
    </row>
    <row r="265" spans="1:60">
      <c r="A265" s="20"/>
      <c r="B265" s="11" t="s">
        <v>392</v>
      </c>
      <c r="C265" s="213" t="s">
        <v>1056</v>
      </c>
      <c r="D265" s="15" t="s">
        <v>12</v>
      </c>
      <c r="E265" s="9" t="s">
        <v>0</v>
      </c>
      <c r="F265" s="40" t="s">
        <v>7</v>
      </c>
      <c r="G265" s="46">
        <f>FEMALE_FLOWER_Geom!$D$9</f>
        <v>1</v>
      </c>
      <c r="H265" s="72">
        <f>FEMALE_FLOWER_Geom!$D$10</f>
        <v>3</v>
      </c>
      <c r="I265" s="58">
        <f>FEMALE_FLOWER_Geom!$C$13</f>
        <v>0</v>
      </c>
      <c r="J265" s="21">
        <f>FEMALE_FLOWER_Geom!$D$13</f>
        <v>1</v>
      </c>
      <c r="K265" s="58">
        <f>FEMALE_FLOWER_Geom!$C$14</f>
        <v>70</v>
      </c>
      <c r="L265" s="21">
        <f>FEMALE_FLOWER_Geom!$D$14</f>
        <v>5</v>
      </c>
      <c r="M265" s="58">
        <f>FEMALE_FLOWER_Geom!$C$15</f>
        <v>100</v>
      </c>
      <c r="N265" s="21">
        <f>FEMALE_FLOWER_Geom!$D$15</f>
        <v>3</v>
      </c>
      <c r="O265" s="58">
        <f>FEMALE_FLOWER_Geom!$C$16</f>
        <v>0</v>
      </c>
      <c r="P265" s="21">
        <f>FEMALE_FLOWER_Geom!$D$16</f>
        <v>0</v>
      </c>
      <c r="Q265" s="58">
        <f>FEMALE_FLOWER_Geom!$C$17</f>
        <v>0</v>
      </c>
      <c r="R265" s="21">
        <f>FEMALE_FLOWER_Geom!$D$17</f>
        <v>0</v>
      </c>
      <c r="S265" s="58">
        <f>FEMALE_FLOWER_Geom!$C$18</f>
        <v>0</v>
      </c>
      <c r="T265" s="21">
        <f>FEMALE_FLOWER_Geom!$D$18</f>
        <v>0</v>
      </c>
      <c r="U265" s="58">
        <f>FEMALE_FLOWER_Geom!$C$19</f>
        <v>0</v>
      </c>
      <c r="V265" s="21">
        <f>FEMALE_FLOWER_Geom!$D$19</f>
        <v>0</v>
      </c>
      <c r="W265" s="58">
        <f>FEMALE_FLOWER_Geom!$C$20</f>
        <v>0</v>
      </c>
      <c r="X265" s="21">
        <f>FEMALE_FLOWER_Geom!$D$20</f>
        <v>0</v>
      </c>
      <c r="Y265" s="58">
        <f>FEMALE_FLOWER_Geom!$C$21</f>
        <v>0</v>
      </c>
      <c r="Z265" s="21">
        <f>FEMALE_FLOWER_Geom!$D$21</f>
        <v>0</v>
      </c>
      <c r="AA265" s="58">
        <f>FEMALE_FLOWER_Geom!$C$22</f>
        <v>0</v>
      </c>
      <c r="AB265" s="21">
        <f>FEMALE_FLOWER_Geom!$D$22</f>
        <v>0</v>
      </c>
      <c r="AC265" s="58">
        <f>FEMALE_FLOWER_Geom!$C$23</f>
        <v>0</v>
      </c>
      <c r="AD265" s="21">
        <f>FEMALE_FLOWER_Geom!$D$23</f>
        <v>0</v>
      </c>
      <c r="AE265" s="58">
        <f>FEMALE_FLOWER_Geom!$C$24</f>
        <v>0</v>
      </c>
      <c r="AF265" s="21">
        <f>FEMALE_FLOWER_Geom!$D$24</f>
        <v>0</v>
      </c>
      <c r="AG265" s="58">
        <f>FEMALE_FLOWER_Geom!$C$25</f>
        <v>0</v>
      </c>
      <c r="AH265" s="21">
        <f>FEMALE_FLOWER_Geom!$D$25</f>
        <v>0</v>
      </c>
      <c r="AI265" s="58">
        <f>FEMALE_FLOWER_Geom!$C$26</f>
        <v>0</v>
      </c>
      <c r="AJ265" s="21">
        <f>FEMALE_FLOWER_Geom!$D$26</f>
        <v>0</v>
      </c>
      <c r="AK265" s="58">
        <f>FEMALE_FLOWER_Geom!$C$27</f>
        <v>0</v>
      </c>
      <c r="AL265" s="21">
        <f>FEMALE_FLOWER_Geom!$D$27</f>
        <v>0</v>
      </c>
      <c r="AM265" s="58">
        <f>FEMALE_FLOWER_Geom!$C$28</f>
        <v>0</v>
      </c>
      <c r="AN265" s="21">
        <f>FEMALE_FLOWER_Geom!$D$28</f>
        <v>0</v>
      </c>
      <c r="AO265" s="58">
        <f>FEMALE_FLOWER_Geom!$C$29</f>
        <v>0</v>
      </c>
      <c r="AP265" s="21">
        <f>FEMALE_FLOWER_Geom!$D$29</f>
        <v>0</v>
      </c>
      <c r="AQ265" s="58">
        <f>FEMALE_FLOWER_Geom!$C$30</f>
        <v>0</v>
      </c>
      <c r="AR265" s="21">
        <f>FEMALE_FLOWER_Geom!$D$30</f>
        <v>0</v>
      </c>
      <c r="AS265" s="58">
        <f>FEMALE_FLOWER_Geom!$C$31</f>
        <v>0</v>
      </c>
      <c r="AT265" s="21">
        <f>FEMALE_FLOWER_Geom!$D$31</f>
        <v>0</v>
      </c>
      <c r="AU265" s="58">
        <f>FEMALE_FLOWER_Geom!$C$32</f>
        <v>0</v>
      </c>
      <c r="AV265" s="21">
        <f>FEMALE_FLOWER_Geom!$D$32</f>
        <v>0</v>
      </c>
      <c r="AW265" s="58">
        <f>FEMALE_FLOWER_Geom!$C$33</f>
        <v>0</v>
      </c>
      <c r="AX265" s="21">
        <f>FEMALE_FLOWER_Geom!$D$33</f>
        <v>0</v>
      </c>
      <c r="AY265" s="58">
        <f>FEMALE_FLOWER_Geom!$C$34</f>
        <v>0</v>
      </c>
      <c r="AZ265" s="21">
        <f>FEMALE_FLOWER_Geom!$D$34</f>
        <v>0</v>
      </c>
      <c r="BA265" s="58">
        <f>FEMALE_FLOWER_Geom!$C$35</f>
        <v>0</v>
      </c>
      <c r="BB265" s="21">
        <f>FEMALE_FLOWER_Geom!$D$35</f>
        <v>0</v>
      </c>
      <c r="BC265" s="58">
        <f>FEMALE_FLOWER_Geom!$C$36</f>
        <v>0</v>
      </c>
      <c r="BD265" s="21">
        <f>FEMALE_FLOWER_Geom!$D$36</f>
        <v>0</v>
      </c>
      <c r="BE265" s="58">
        <f>FEMALE_FLOWER_Geom!$C$37</f>
        <v>0</v>
      </c>
      <c r="BF265" s="21">
        <f>FEMALE_FLOWER_Geom!$D$37</f>
        <v>0</v>
      </c>
      <c r="BG265" s="52" t="s">
        <v>69</v>
      </c>
      <c r="BH265" s="16"/>
    </row>
    <row r="266" spans="1:60">
      <c r="A266" s="20"/>
      <c r="B266" s="11" t="s">
        <v>393</v>
      </c>
      <c r="C266" s="213" t="s">
        <v>1055</v>
      </c>
      <c r="D266" s="15" t="s">
        <v>12</v>
      </c>
      <c r="E266" s="9" t="s">
        <v>0</v>
      </c>
      <c r="F266" s="40" t="s">
        <v>7</v>
      </c>
      <c r="G266" s="46">
        <f>FEMALE_FLOWER_Geom!$E$9</f>
        <v>1</v>
      </c>
      <c r="H266" s="72">
        <f>FEMALE_FLOWER_Geom!$E$10</f>
        <v>3</v>
      </c>
      <c r="I266" s="58">
        <f>FEMALE_FLOWER_Geom!$C$13</f>
        <v>0</v>
      </c>
      <c r="J266" s="21">
        <f>FEMALE_FLOWER_Geom!$E$13</f>
        <v>0</v>
      </c>
      <c r="K266" s="58">
        <f>FEMALE_FLOWER_Geom!$C$14</f>
        <v>70</v>
      </c>
      <c r="L266" s="21">
        <f>FEMALE_FLOWER_Geom!$E$14</f>
        <v>0.5</v>
      </c>
      <c r="M266" s="58">
        <f>FEMALE_FLOWER_Geom!$C$15</f>
        <v>100</v>
      </c>
      <c r="N266" s="21">
        <f>FEMALE_FLOWER_Geom!$E$15</f>
        <v>0.3</v>
      </c>
      <c r="O266" s="58">
        <f>FEMALE_FLOWER_Geom!$C$16</f>
        <v>0</v>
      </c>
      <c r="P266" s="21">
        <f>FEMALE_FLOWER_Geom!$E$16</f>
        <v>0</v>
      </c>
      <c r="Q266" s="58">
        <f>FEMALE_FLOWER_Geom!$C$17</f>
        <v>0</v>
      </c>
      <c r="R266" s="21">
        <f>FEMALE_FLOWER_Geom!$E$17</f>
        <v>0</v>
      </c>
      <c r="S266" s="58">
        <f>FEMALE_FLOWER_Geom!$C$18</f>
        <v>0</v>
      </c>
      <c r="T266" s="21">
        <f>FEMALE_FLOWER_Geom!$E$18</f>
        <v>0</v>
      </c>
      <c r="U266" s="58">
        <f>FEMALE_FLOWER_Geom!$C$19</f>
        <v>0</v>
      </c>
      <c r="V266" s="21">
        <f>FEMALE_FLOWER_Geom!$E$19</f>
        <v>0</v>
      </c>
      <c r="W266" s="58">
        <f>FEMALE_FLOWER_Geom!$C$20</f>
        <v>0</v>
      </c>
      <c r="X266" s="21">
        <f>FEMALE_FLOWER_Geom!$E$20</f>
        <v>0</v>
      </c>
      <c r="Y266" s="58">
        <f>FEMALE_FLOWER_Geom!$C$21</f>
        <v>0</v>
      </c>
      <c r="Z266" s="21">
        <f>FEMALE_FLOWER_Geom!$E$21</f>
        <v>0</v>
      </c>
      <c r="AA266" s="58">
        <f>FEMALE_FLOWER_Geom!$C$22</f>
        <v>0</v>
      </c>
      <c r="AB266" s="21">
        <f>FEMALE_FLOWER_Geom!$E$22</f>
        <v>0</v>
      </c>
      <c r="AC266" s="58">
        <f>FEMALE_FLOWER_Geom!$C$23</f>
        <v>0</v>
      </c>
      <c r="AD266" s="21">
        <f>FEMALE_FLOWER_Geom!$E$23</f>
        <v>0</v>
      </c>
      <c r="AE266" s="58">
        <f>FEMALE_FLOWER_Geom!$C$24</f>
        <v>0</v>
      </c>
      <c r="AF266" s="21">
        <f>FEMALE_FLOWER_Geom!$E$24</f>
        <v>0</v>
      </c>
      <c r="AG266" s="58">
        <f>FEMALE_FLOWER_Geom!$C$25</f>
        <v>0</v>
      </c>
      <c r="AH266" s="21">
        <f>FEMALE_FLOWER_Geom!$E$25</f>
        <v>0</v>
      </c>
      <c r="AI266" s="58">
        <f>FEMALE_FLOWER_Geom!$C$26</f>
        <v>0</v>
      </c>
      <c r="AJ266" s="21">
        <f>FEMALE_FLOWER_Geom!$E$26</f>
        <v>0</v>
      </c>
      <c r="AK266" s="58">
        <f>FEMALE_FLOWER_Geom!$C$27</f>
        <v>0</v>
      </c>
      <c r="AL266" s="21">
        <f>FEMALE_FLOWER_Geom!$E$27</f>
        <v>0</v>
      </c>
      <c r="AM266" s="58">
        <f>FEMALE_FLOWER_Geom!$C$28</f>
        <v>0</v>
      </c>
      <c r="AN266" s="21">
        <f>FEMALE_FLOWER_Geom!$E$28</f>
        <v>0</v>
      </c>
      <c r="AO266" s="58">
        <f>FEMALE_FLOWER_Geom!$C$29</f>
        <v>0</v>
      </c>
      <c r="AP266" s="21">
        <f>FEMALE_FLOWER_Geom!$E$29</f>
        <v>0</v>
      </c>
      <c r="AQ266" s="58">
        <f>FEMALE_FLOWER_Geom!$C$30</f>
        <v>0</v>
      </c>
      <c r="AR266" s="21">
        <f>FEMALE_FLOWER_Geom!$E$30</f>
        <v>0</v>
      </c>
      <c r="AS266" s="58">
        <f>FEMALE_FLOWER_Geom!$C$31</f>
        <v>0</v>
      </c>
      <c r="AT266" s="21">
        <f>FEMALE_FLOWER_Geom!$E$31</f>
        <v>0</v>
      </c>
      <c r="AU266" s="58">
        <f>FEMALE_FLOWER_Geom!$C$32</f>
        <v>0</v>
      </c>
      <c r="AV266" s="21">
        <f>FEMALE_FLOWER_Geom!$E$32</f>
        <v>0</v>
      </c>
      <c r="AW266" s="58">
        <f>FEMALE_FLOWER_Geom!$C$33</f>
        <v>0</v>
      </c>
      <c r="AX266" s="21">
        <f>FEMALE_FLOWER_Geom!$E$33</f>
        <v>0</v>
      </c>
      <c r="AY266" s="58">
        <f>FEMALE_FLOWER_Geom!$C$34</f>
        <v>0</v>
      </c>
      <c r="AZ266" s="21">
        <f>FEMALE_FLOWER_Geom!$E$34</f>
        <v>0</v>
      </c>
      <c r="BA266" s="58">
        <f>FEMALE_FLOWER_Geom!$C$35</f>
        <v>0</v>
      </c>
      <c r="BB266" s="21">
        <f>FEMALE_FLOWER_Geom!$E$35</f>
        <v>0</v>
      </c>
      <c r="BC266" s="58">
        <f>FEMALE_FLOWER_Geom!$C$36</f>
        <v>0</v>
      </c>
      <c r="BD266" s="21">
        <f>FEMALE_FLOWER_Geom!$E$36</f>
        <v>0</v>
      </c>
      <c r="BE266" s="58">
        <f>FEMALE_FLOWER_Geom!$C$37</f>
        <v>0</v>
      </c>
      <c r="BF266" s="21">
        <f>FEMALE_FLOWER_Geom!$E$37</f>
        <v>0</v>
      </c>
      <c r="BG266" s="52" t="s">
        <v>69</v>
      </c>
      <c r="BH266" s="16"/>
    </row>
    <row r="267" spans="1:60">
      <c r="A267" s="20"/>
      <c r="B267" s="11" t="s">
        <v>1052</v>
      </c>
      <c r="C267" s="213" t="s">
        <v>1057</v>
      </c>
      <c r="D267" s="69" t="s">
        <v>12</v>
      </c>
      <c r="E267" s="2" t="s">
        <v>9</v>
      </c>
      <c r="F267" s="40" t="s">
        <v>304</v>
      </c>
      <c r="G267" s="46">
        <f>FEMALE_FLOWER_Geom!$G$9</f>
        <v>1</v>
      </c>
      <c r="H267" s="72">
        <f>FEMALE_FLOWER_Geom!$G$10</f>
        <v>4</v>
      </c>
      <c r="I267" s="76">
        <f>FEMALE_FLOWER_Geom!$F$13</f>
        <v>1</v>
      </c>
      <c r="J267" s="264">
        <f>FEMALE_FLOWER_Geom!$G$13</f>
        <v>0.1</v>
      </c>
      <c r="K267" s="76">
        <f>FEMALE_FLOWER_Geom!$F$14</f>
        <v>13</v>
      </c>
      <c r="L267" s="264">
        <f>FEMALE_FLOWER_Geom!$G$14</f>
        <v>0.1</v>
      </c>
      <c r="M267" s="76">
        <f>FEMALE_FLOWER_Geom!$F$15</f>
        <v>17</v>
      </c>
      <c r="N267" s="264">
        <f>FEMALE_FLOWER_Geom!$G$15</f>
        <v>0.8</v>
      </c>
      <c r="O267" s="76">
        <f>FEMALE_FLOWER_Geom!$F$16</f>
        <v>32</v>
      </c>
      <c r="P267" s="264">
        <f>FEMALE_FLOWER_Geom!$G$16</f>
        <v>1</v>
      </c>
      <c r="Q267" s="76">
        <f>FEMALE_FLOWER_Geom!$F$17</f>
        <v>0</v>
      </c>
      <c r="R267" s="264">
        <f>FEMALE_FLOWER_Geom!$G$17</f>
        <v>0</v>
      </c>
      <c r="S267" s="76">
        <f>FEMALE_FLOWER_Geom!$F$18</f>
        <v>0</v>
      </c>
      <c r="T267" s="264">
        <f>FEMALE_FLOWER_Geom!$G$18</f>
        <v>0</v>
      </c>
      <c r="U267" s="76">
        <f>FEMALE_FLOWER_Geom!$F$19</f>
        <v>0</v>
      </c>
      <c r="V267" s="264">
        <f>FEMALE_FLOWER_Geom!$G$19</f>
        <v>0</v>
      </c>
      <c r="W267" s="76">
        <f>FEMALE_FLOWER_Geom!$F$20</f>
        <v>0</v>
      </c>
      <c r="X267" s="264">
        <f>FEMALE_FLOWER_Geom!$G$20</f>
        <v>0</v>
      </c>
      <c r="Y267" s="76">
        <f>FEMALE_FLOWER_Geom!$F$21</f>
        <v>0</v>
      </c>
      <c r="Z267" s="264">
        <f>FEMALE_FLOWER_Geom!$G$21</f>
        <v>0</v>
      </c>
      <c r="AA267" s="76">
        <f>FEMALE_FLOWER_Geom!$F$22</f>
        <v>0</v>
      </c>
      <c r="AB267" s="264">
        <f>FEMALE_FLOWER_Geom!$G$22</f>
        <v>0</v>
      </c>
      <c r="AC267" s="76">
        <f>FEMALE_FLOWER_Geom!$F$23</f>
        <v>0</v>
      </c>
      <c r="AD267" s="264">
        <f>FEMALE_FLOWER_Geom!$G$23</f>
        <v>0</v>
      </c>
      <c r="AE267" s="76">
        <f>FEMALE_FLOWER_Geom!$F$24</f>
        <v>0</v>
      </c>
      <c r="AF267" s="264">
        <f>FEMALE_FLOWER_Geom!$G$24</f>
        <v>0</v>
      </c>
      <c r="AG267" s="76">
        <f>FEMALE_FLOWER_Geom!$F$25</f>
        <v>0</v>
      </c>
      <c r="AH267" s="264">
        <f>FEMALE_FLOWER_Geom!$G$25</f>
        <v>0</v>
      </c>
      <c r="AI267" s="76">
        <f>FEMALE_FLOWER_Geom!$F$26</f>
        <v>0</v>
      </c>
      <c r="AJ267" s="264">
        <f>FEMALE_FLOWER_Geom!$G$26</f>
        <v>0</v>
      </c>
      <c r="AK267" s="76">
        <f>FEMALE_FLOWER_Geom!$F$27</f>
        <v>0</v>
      </c>
      <c r="AL267" s="264">
        <f>FEMALE_FLOWER_Geom!$G$27</f>
        <v>0</v>
      </c>
      <c r="AM267" s="76">
        <f>FEMALE_FLOWER_Geom!$F$28</f>
        <v>0</v>
      </c>
      <c r="AN267" s="264">
        <f>FEMALE_FLOWER_Geom!$G$28</f>
        <v>0</v>
      </c>
      <c r="AO267" s="76">
        <f>FEMALE_FLOWER_Geom!$F$29</f>
        <v>0</v>
      </c>
      <c r="AP267" s="264">
        <f>FEMALE_FLOWER_Geom!$G$29</f>
        <v>0</v>
      </c>
      <c r="AQ267" s="76">
        <f>FEMALE_FLOWER_Geom!$F$30</f>
        <v>0</v>
      </c>
      <c r="AR267" s="264">
        <f>FEMALE_FLOWER_Geom!$G$30</f>
        <v>0</v>
      </c>
      <c r="AS267" s="76">
        <f>FEMALE_FLOWER_Geom!$F$31</f>
        <v>0</v>
      </c>
      <c r="AT267" s="264">
        <f>FEMALE_FLOWER_Geom!$G$31</f>
        <v>0</v>
      </c>
      <c r="AU267" s="76">
        <f>FEMALE_FLOWER_Geom!$F$32</f>
        <v>0</v>
      </c>
      <c r="AV267" s="264">
        <f>FEMALE_FLOWER_Geom!$G$32</f>
        <v>0</v>
      </c>
      <c r="AW267" s="76">
        <f>FEMALE_FLOWER_Geom!$F$33</f>
        <v>0</v>
      </c>
      <c r="AX267" s="264">
        <f>FEMALE_FLOWER_Geom!$G$33</f>
        <v>0</v>
      </c>
      <c r="AY267" s="76">
        <f>FEMALE_FLOWER_Geom!$F$34</f>
        <v>0</v>
      </c>
      <c r="AZ267" s="264">
        <f>FEMALE_FLOWER_Geom!$G$34</f>
        <v>0</v>
      </c>
      <c r="BA267" s="76">
        <f>FEMALE_FLOWER_Geom!$F$35</f>
        <v>0</v>
      </c>
      <c r="BB267" s="264">
        <f>FEMALE_FLOWER_Geom!$G$35</f>
        <v>0</v>
      </c>
      <c r="BC267" s="76">
        <f>FEMALE_FLOWER_Geom!$F$36</f>
        <v>0</v>
      </c>
      <c r="BD267" s="264">
        <f>FEMALE_FLOWER_Geom!$G$36</f>
        <v>0</v>
      </c>
      <c r="BE267" s="76">
        <f>FEMALE_FLOWER_Geom!$F$37</f>
        <v>0</v>
      </c>
      <c r="BF267" s="264">
        <f>FEMALE_FLOWER_Geom!$G$37</f>
        <v>0</v>
      </c>
      <c r="BG267" s="52" t="s">
        <v>69</v>
      </c>
      <c r="BH267" s="16"/>
    </row>
    <row r="268" spans="1:60">
      <c r="A268" s="20"/>
      <c r="B268" s="11" t="s">
        <v>394</v>
      </c>
      <c r="C268" s="213" t="s">
        <v>1058</v>
      </c>
      <c r="D268" s="15" t="s">
        <v>12</v>
      </c>
      <c r="E268" s="9" t="s">
        <v>0</v>
      </c>
      <c r="F268" s="40" t="s">
        <v>7</v>
      </c>
      <c r="G268" s="46">
        <f>FEMALE_FLOWER_Geom!$J$9</f>
        <v>1</v>
      </c>
      <c r="H268" s="72">
        <f>FEMALE_FLOWER_Geom!$J$10</f>
        <v>3</v>
      </c>
      <c r="I268" s="58">
        <f>FEMALE_FLOWER_Geom!$I$13</f>
        <v>0</v>
      </c>
      <c r="J268" s="21">
        <f>FEMALE_FLOWER_Geom!$J$13</f>
        <v>1</v>
      </c>
      <c r="K268" s="58">
        <f>FEMALE_FLOWER_Geom!$I$14</f>
        <v>70</v>
      </c>
      <c r="L268" s="21">
        <f>FEMALE_FLOWER_Geom!$J$14</f>
        <v>3</v>
      </c>
      <c r="M268" s="58">
        <f>FEMALE_FLOWER_Geom!$I$15</f>
        <v>100</v>
      </c>
      <c r="N268" s="21">
        <f>FEMALE_FLOWER_Geom!$J$15</f>
        <v>2</v>
      </c>
      <c r="O268" s="58">
        <f>FEMALE_FLOWER_Geom!$I$16</f>
        <v>0</v>
      </c>
      <c r="P268" s="21">
        <f>FEMALE_FLOWER_Geom!$J$16</f>
        <v>0</v>
      </c>
      <c r="Q268" s="58">
        <f>FEMALE_FLOWER_Geom!$I$17</f>
        <v>0</v>
      </c>
      <c r="R268" s="21">
        <f>FEMALE_FLOWER_Geom!$J$17</f>
        <v>0</v>
      </c>
      <c r="S268" s="58">
        <f>FEMALE_FLOWER_Geom!$I$18</f>
        <v>0</v>
      </c>
      <c r="T268" s="21">
        <f>FEMALE_FLOWER_Geom!$J$18</f>
        <v>0</v>
      </c>
      <c r="U268" s="58">
        <f>FEMALE_FLOWER_Geom!$I$19</f>
        <v>0</v>
      </c>
      <c r="V268" s="21">
        <f>FEMALE_FLOWER_Geom!$J$19</f>
        <v>0</v>
      </c>
      <c r="W268" s="58">
        <f>FEMALE_FLOWER_Geom!$I$20</f>
        <v>0</v>
      </c>
      <c r="X268" s="21">
        <f>FEMALE_FLOWER_Geom!$J$20</f>
        <v>0</v>
      </c>
      <c r="Y268" s="58">
        <f>FEMALE_FLOWER_Geom!$I$21</f>
        <v>0</v>
      </c>
      <c r="Z268" s="21">
        <f>FEMALE_FLOWER_Geom!$J$21</f>
        <v>0</v>
      </c>
      <c r="AA268" s="58">
        <f>FEMALE_FLOWER_Geom!$I$22</f>
        <v>0</v>
      </c>
      <c r="AB268" s="21">
        <f>FEMALE_FLOWER_Geom!$J$22</f>
        <v>0</v>
      </c>
      <c r="AC268" s="58">
        <f>FEMALE_FLOWER_Geom!$I$23</f>
        <v>0</v>
      </c>
      <c r="AD268" s="21">
        <f>FEMALE_FLOWER_Geom!$J$23</f>
        <v>0</v>
      </c>
      <c r="AE268" s="58">
        <f>FEMALE_FLOWER_Geom!$I$24</f>
        <v>0</v>
      </c>
      <c r="AF268" s="21">
        <f>FEMALE_FLOWER_Geom!$J$24</f>
        <v>0</v>
      </c>
      <c r="AG268" s="58">
        <f>FEMALE_FLOWER_Geom!$I$25</f>
        <v>0</v>
      </c>
      <c r="AH268" s="21">
        <f>FEMALE_FLOWER_Geom!$J$25</f>
        <v>0</v>
      </c>
      <c r="AI268" s="58">
        <f>FEMALE_FLOWER_Geom!$I$26</f>
        <v>0</v>
      </c>
      <c r="AJ268" s="21">
        <f>FEMALE_FLOWER_Geom!$J$26</f>
        <v>0</v>
      </c>
      <c r="AK268" s="58">
        <f>FEMALE_FLOWER_Geom!$I$27</f>
        <v>0</v>
      </c>
      <c r="AL268" s="21">
        <f>FEMALE_FLOWER_Geom!$J$27</f>
        <v>0</v>
      </c>
      <c r="AM268" s="58">
        <f>FEMALE_FLOWER_Geom!$I$28</f>
        <v>0</v>
      </c>
      <c r="AN268" s="21">
        <f>FEMALE_FLOWER_Geom!$J$28</f>
        <v>0</v>
      </c>
      <c r="AO268" s="58">
        <f>FEMALE_FLOWER_Geom!$I$29</f>
        <v>0</v>
      </c>
      <c r="AP268" s="21">
        <f>FEMALE_FLOWER_Geom!$J$29</f>
        <v>0</v>
      </c>
      <c r="AQ268" s="58">
        <f>FEMALE_FLOWER_Geom!$I$30</f>
        <v>0</v>
      </c>
      <c r="AR268" s="21">
        <f>FEMALE_FLOWER_Geom!$J$30</f>
        <v>0</v>
      </c>
      <c r="AS268" s="58">
        <f>FEMALE_FLOWER_Geom!$I$31</f>
        <v>0</v>
      </c>
      <c r="AT268" s="21">
        <f>FEMALE_FLOWER_Geom!$J$31</f>
        <v>0</v>
      </c>
      <c r="AU268" s="58">
        <f>FEMALE_FLOWER_Geom!$I$32</f>
        <v>0</v>
      </c>
      <c r="AV268" s="21">
        <f>FEMALE_FLOWER_Geom!$J$32</f>
        <v>0</v>
      </c>
      <c r="AW268" s="58">
        <f>FEMALE_FLOWER_Geom!$I$33</f>
        <v>0</v>
      </c>
      <c r="AX268" s="21">
        <f>FEMALE_FLOWER_Geom!$J$33</f>
        <v>0</v>
      </c>
      <c r="AY268" s="58">
        <f>FEMALE_FLOWER_Geom!$I$34</f>
        <v>0</v>
      </c>
      <c r="AZ268" s="21">
        <f>FEMALE_FLOWER_Geom!$J$34</f>
        <v>0</v>
      </c>
      <c r="BA268" s="58">
        <f>FEMALE_FLOWER_Geom!$I$35</f>
        <v>0</v>
      </c>
      <c r="BB268" s="21">
        <f>FEMALE_FLOWER_Geom!$J$35</f>
        <v>0</v>
      </c>
      <c r="BC268" s="58">
        <f>FEMALE_FLOWER_Geom!$I$36</f>
        <v>0</v>
      </c>
      <c r="BD268" s="21">
        <f>FEMALE_FLOWER_Geom!$J$36</f>
        <v>0</v>
      </c>
      <c r="BE268" s="58">
        <f>FEMALE_FLOWER_Geom!$I$37</f>
        <v>0</v>
      </c>
      <c r="BF268" s="21">
        <f>FEMALE_FLOWER_Geom!$J$37</f>
        <v>0</v>
      </c>
      <c r="BG268" s="52" t="s">
        <v>69</v>
      </c>
      <c r="BH268" s="16"/>
    </row>
    <row r="269" spans="1:60">
      <c r="A269" s="20"/>
      <c r="B269" s="11" t="s">
        <v>395</v>
      </c>
      <c r="C269" s="213" t="s">
        <v>1059</v>
      </c>
      <c r="D269" s="15" t="s">
        <v>12</v>
      </c>
      <c r="E269" s="9" t="s">
        <v>0</v>
      </c>
      <c r="F269" s="40" t="s">
        <v>7</v>
      </c>
      <c r="G269" s="46">
        <f>FEMALE_FLOWER_Geom!$K$9</f>
        <v>1</v>
      </c>
      <c r="H269" s="72">
        <f>FEMALE_FLOWER_Geom!$K$10</f>
        <v>3</v>
      </c>
      <c r="I269" s="58">
        <f>FEMALE_FLOWER_Geom!$I$13</f>
        <v>0</v>
      </c>
      <c r="J269" s="21">
        <f>FEMALE_FLOWER_Geom!$K$13</f>
        <v>0</v>
      </c>
      <c r="K269" s="58">
        <f>FEMALE_FLOWER_Geom!$I$14</f>
        <v>70</v>
      </c>
      <c r="L269" s="21">
        <f>FEMALE_FLOWER_Geom!$K$14</f>
        <v>0.3</v>
      </c>
      <c r="M269" s="58">
        <f>FEMALE_FLOWER_Geom!$I$15</f>
        <v>100</v>
      </c>
      <c r="N269" s="21">
        <f>FEMALE_FLOWER_Geom!$K$15</f>
        <v>0.2</v>
      </c>
      <c r="O269" s="58">
        <f>FEMALE_FLOWER_Geom!$I$16</f>
        <v>0</v>
      </c>
      <c r="P269" s="21">
        <f>FEMALE_FLOWER_Geom!$K$16</f>
        <v>0</v>
      </c>
      <c r="Q269" s="58">
        <f>FEMALE_FLOWER_Geom!$I$17</f>
        <v>0</v>
      </c>
      <c r="R269" s="21">
        <f>FEMALE_FLOWER_Geom!$K$17</f>
        <v>0</v>
      </c>
      <c r="S269" s="58">
        <f>FEMALE_FLOWER_Geom!$I$18</f>
        <v>0</v>
      </c>
      <c r="T269" s="21">
        <f>FEMALE_FLOWER_Geom!$K$18</f>
        <v>0</v>
      </c>
      <c r="U269" s="58">
        <f>FEMALE_FLOWER_Geom!$I$19</f>
        <v>0</v>
      </c>
      <c r="V269" s="21">
        <f>FEMALE_FLOWER_Geom!$K$19</f>
        <v>0</v>
      </c>
      <c r="W269" s="58">
        <f>FEMALE_FLOWER_Geom!$I$20</f>
        <v>0</v>
      </c>
      <c r="X269" s="21">
        <f>FEMALE_FLOWER_Geom!$K$20</f>
        <v>0</v>
      </c>
      <c r="Y269" s="58">
        <f>FEMALE_FLOWER_Geom!$I$21</f>
        <v>0</v>
      </c>
      <c r="Z269" s="21">
        <f>FEMALE_FLOWER_Geom!$K$21</f>
        <v>0</v>
      </c>
      <c r="AA269" s="58">
        <f>FEMALE_FLOWER_Geom!$I$22</f>
        <v>0</v>
      </c>
      <c r="AB269" s="21">
        <f>FEMALE_FLOWER_Geom!$K$22</f>
        <v>0</v>
      </c>
      <c r="AC269" s="58">
        <f>FEMALE_FLOWER_Geom!$I$23</f>
        <v>0</v>
      </c>
      <c r="AD269" s="21">
        <f>FEMALE_FLOWER_Geom!$K$23</f>
        <v>0</v>
      </c>
      <c r="AE269" s="58">
        <f>FEMALE_FLOWER_Geom!$I$24</f>
        <v>0</v>
      </c>
      <c r="AF269" s="21">
        <f>FEMALE_FLOWER_Geom!$K$24</f>
        <v>0</v>
      </c>
      <c r="AG269" s="58">
        <f>FEMALE_FLOWER_Geom!$I$25</f>
        <v>0</v>
      </c>
      <c r="AH269" s="21">
        <f>FEMALE_FLOWER_Geom!$K$25</f>
        <v>0</v>
      </c>
      <c r="AI269" s="58">
        <f>FEMALE_FLOWER_Geom!$I$26</f>
        <v>0</v>
      </c>
      <c r="AJ269" s="21">
        <f>FEMALE_FLOWER_Geom!$K$26</f>
        <v>0</v>
      </c>
      <c r="AK269" s="58">
        <f>FEMALE_FLOWER_Geom!$I$27</f>
        <v>0</v>
      </c>
      <c r="AL269" s="21">
        <f>FEMALE_FLOWER_Geom!$K$27</f>
        <v>0</v>
      </c>
      <c r="AM269" s="58">
        <f>FEMALE_FLOWER_Geom!$I$28</f>
        <v>0</v>
      </c>
      <c r="AN269" s="21">
        <f>FEMALE_FLOWER_Geom!$K$28</f>
        <v>0</v>
      </c>
      <c r="AO269" s="58">
        <f>FEMALE_FLOWER_Geom!$I$29</f>
        <v>0</v>
      </c>
      <c r="AP269" s="21">
        <f>FEMALE_FLOWER_Geom!$K$29</f>
        <v>0</v>
      </c>
      <c r="AQ269" s="58">
        <f>FEMALE_FLOWER_Geom!$I$30</f>
        <v>0</v>
      </c>
      <c r="AR269" s="21">
        <f>FEMALE_FLOWER_Geom!$K$30</f>
        <v>0</v>
      </c>
      <c r="AS269" s="58">
        <f>FEMALE_FLOWER_Geom!$I$31</f>
        <v>0</v>
      </c>
      <c r="AT269" s="21">
        <f>FEMALE_FLOWER_Geom!$K$31</f>
        <v>0</v>
      </c>
      <c r="AU269" s="58">
        <f>FEMALE_FLOWER_Geom!$I$32</f>
        <v>0</v>
      </c>
      <c r="AV269" s="21">
        <f>FEMALE_FLOWER_Geom!$K$32</f>
        <v>0</v>
      </c>
      <c r="AW269" s="58">
        <f>FEMALE_FLOWER_Geom!$I$33</f>
        <v>0</v>
      </c>
      <c r="AX269" s="21">
        <f>FEMALE_FLOWER_Geom!$K$33</f>
        <v>0</v>
      </c>
      <c r="AY269" s="58">
        <f>FEMALE_FLOWER_Geom!$I$34</f>
        <v>0</v>
      </c>
      <c r="AZ269" s="21">
        <f>FEMALE_FLOWER_Geom!$K$34</f>
        <v>0</v>
      </c>
      <c r="BA269" s="58">
        <f>FEMALE_FLOWER_Geom!$I$35</f>
        <v>0</v>
      </c>
      <c r="BB269" s="21">
        <f>FEMALE_FLOWER_Geom!$K$35</f>
        <v>0</v>
      </c>
      <c r="BC269" s="58">
        <f>FEMALE_FLOWER_Geom!$I$36</f>
        <v>0</v>
      </c>
      <c r="BD269" s="21">
        <f>FEMALE_FLOWER_Geom!$K$36</f>
        <v>0</v>
      </c>
      <c r="BE269" s="58">
        <f>FEMALE_FLOWER_Geom!$I$37</f>
        <v>0</v>
      </c>
      <c r="BF269" s="21">
        <f>FEMALE_FLOWER_Geom!$K$37</f>
        <v>0</v>
      </c>
      <c r="BG269" s="52" t="s">
        <v>69</v>
      </c>
      <c r="BH269" s="16"/>
    </row>
    <row r="270" spans="1:60">
      <c r="A270" s="20"/>
      <c r="B270" s="11" t="s">
        <v>1053</v>
      </c>
      <c r="C270" s="213" t="s">
        <v>1060</v>
      </c>
      <c r="D270" s="69" t="s">
        <v>12</v>
      </c>
      <c r="E270" s="2" t="s">
        <v>9</v>
      </c>
      <c r="F270" s="40" t="s">
        <v>304</v>
      </c>
      <c r="G270" s="46">
        <f>FEMALE_FLOWER_Geom!$M$9</f>
        <v>1</v>
      </c>
      <c r="H270" s="72">
        <f>FEMALE_FLOWER_Geom!$M$10</f>
        <v>4</v>
      </c>
      <c r="I270" s="76">
        <f>FEMALE_FLOWER_Geom!$L$13</f>
        <v>1</v>
      </c>
      <c r="J270" s="264">
        <f>FEMALE_FLOWER_Geom!$M$13</f>
        <v>0.1</v>
      </c>
      <c r="K270" s="76">
        <f>FEMALE_FLOWER_Geom!$L$14</f>
        <v>13</v>
      </c>
      <c r="L270" s="264">
        <f>FEMALE_FLOWER_Geom!$M$14</f>
        <v>0.1</v>
      </c>
      <c r="M270" s="76">
        <f>FEMALE_FLOWER_Geom!$L$15</f>
        <v>17</v>
      </c>
      <c r="N270" s="264">
        <f>FEMALE_FLOWER_Geom!$M$15</f>
        <v>0.8</v>
      </c>
      <c r="O270" s="76">
        <f>FEMALE_FLOWER_Geom!$L$16</f>
        <v>32</v>
      </c>
      <c r="P270" s="264">
        <f>FEMALE_FLOWER_Geom!$M$16</f>
        <v>1</v>
      </c>
      <c r="Q270" s="76">
        <f>FEMALE_FLOWER_Geom!$L$17</f>
        <v>0</v>
      </c>
      <c r="R270" s="264">
        <f>FEMALE_FLOWER_Geom!$M$17</f>
        <v>0</v>
      </c>
      <c r="S270" s="76">
        <f>FEMALE_FLOWER_Geom!$L$18</f>
        <v>0</v>
      </c>
      <c r="T270" s="264">
        <f>FEMALE_FLOWER_Geom!$M$18</f>
        <v>0</v>
      </c>
      <c r="U270" s="76">
        <f>FEMALE_FLOWER_Geom!$L$19</f>
        <v>0</v>
      </c>
      <c r="V270" s="264">
        <f>FEMALE_FLOWER_Geom!$M$19</f>
        <v>0</v>
      </c>
      <c r="W270" s="76">
        <f>FEMALE_FLOWER_Geom!$L$20</f>
        <v>0</v>
      </c>
      <c r="X270" s="264">
        <f>FEMALE_FLOWER_Geom!$M$20</f>
        <v>0</v>
      </c>
      <c r="Y270" s="76">
        <f>FEMALE_FLOWER_Geom!$L$21</f>
        <v>0</v>
      </c>
      <c r="Z270" s="264">
        <f>FEMALE_FLOWER_Geom!$M$21</f>
        <v>0</v>
      </c>
      <c r="AA270" s="76">
        <f>FEMALE_FLOWER_Geom!$L$22</f>
        <v>0</v>
      </c>
      <c r="AB270" s="264">
        <f>FEMALE_FLOWER_Geom!$M$22</f>
        <v>0</v>
      </c>
      <c r="AC270" s="76">
        <f>FEMALE_FLOWER_Geom!$L$23</f>
        <v>0</v>
      </c>
      <c r="AD270" s="264">
        <f>FEMALE_FLOWER_Geom!$M$23</f>
        <v>0</v>
      </c>
      <c r="AE270" s="76">
        <f>FEMALE_FLOWER_Geom!$L$24</f>
        <v>0</v>
      </c>
      <c r="AF270" s="264">
        <f>FEMALE_FLOWER_Geom!$M$24</f>
        <v>0</v>
      </c>
      <c r="AG270" s="76">
        <f>FEMALE_FLOWER_Geom!$L$25</f>
        <v>0</v>
      </c>
      <c r="AH270" s="264">
        <f>FEMALE_FLOWER_Geom!$M$25</f>
        <v>0</v>
      </c>
      <c r="AI270" s="76">
        <f>FEMALE_FLOWER_Geom!$L$26</f>
        <v>0</v>
      </c>
      <c r="AJ270" s="264">
        <f>FEMALE_FLOWER_Geom!$M$26</f>
        <v>0</v>
      </c>
      <c r="AK270" s="76">
        <f>FEMALE_FLOWER_Geom!$L$27</f>
        <v>0</v>
      </c>
      <c r="AL270" s="264">
        <f>FEMALE_FLOWER_Geom!$M$27</f>
        <v>0</v>
      </c>
      <c r="AM270" s="76">
        <f>FEMALE_FLOWER_Geom!$L$28</f>
        <v>0</v>
      </c>
      <c r="AN270" s="264">
        <f>FEMALE_FLOWER_Geom!$M$28</f>
        <v>0</v>
      </c>
      <c r="AO270" s="76">
        <f>FEMALE_FLOWER_Geom!$L$29</f>
        <v>0</v>
      </c>
      <c r="AP270" s="264">
        <f>FEMALE_FLOWER_Geom!$M$29</f>
        <v>0</v>
      </c>
      <c r="AQ270" s="76">
        <f>FEMALE_FLOWER_Geom!$L$30</f>
        <v>0</v>
      </c>
      <c r="AR270" s="264">
        <f>FEMALE_FLOWER_Geom!$M$30</f>
        <v>0</v>
      </c>
      <c r="AS270" s="76">
        <f>FEMALE_FLOWER_Geom!$L$31</f>
        <v>0</v>
      </c>
      <c r="AT270" s="264">
        <f>FEMALE_FLOWER_Geom!$M$31</f>
        <v>0</v>
      </c>
      <c r="AU270" s="76">
        <f>FEMALE_FLOWER_Geom!$L$32</f>
        <v>0</v>
      </c>
      <c r="AV270" s="264">
        <f>FEMALE_FLOWER_Geom!$M$32</f>
        <v>0</v>
      </c>
      <c r="AW270" s="76">
        <f>FEMALE_FLOWER_Geom!$L$33</f>
        <v>0</v>
      </c>
      <c r="AX270" s="264">
        <f>FEMALE_FLOWER_Geom!$M$33</f>
        <v>0</v>
      </c>
      <c r="AY270" s="76">
        <f>FEMALE_FLOWER_Geom!$L$34</f>
        <v>0</v>
      </c>
      <c r="AZ270" s="264">
        <f>FEMALE_FLOWER_Geom!$M$34</f>
        <v>0</v>
      </c>
      <c r="BA270" s="76">
        <f>FEMALE_FLOWER_Geom!$L$35</f>
        <v>0</v>
      </c>
      <c r="BB270" s="264">
        <f>FEMALE_FLOWER_Geom!$M$35</f>
        <v>0</v>
      </c>
      <c r="BC270" s="76">
        <f>FEMALE_FLOWER_Geom!$L$36</f>
        <v>0</v>
      </c>
      <c r="BD270" s="264">
        <f>FEMALE_FLOWER_Geom!$M$36</f>
        <v>0</v>
      </c>
      <c r="BE270" s="76">
        <f>FEMALE_FLOWER_Geom!$L$37</f>
        <v>0</v>
      </c>
      <c r="BF270" s="264">
        <f>FEMALE_FLOWER_Geom!$M$37</f>
        <v>0</v>
      </c>
      <c r="BG270" s="52" t="s">
        <v>69</v>
      </c>
      <c r="BH270" s="16"/>
    </row>
    <row r="271" spans="1:60" s="65" customFormat="1" ht="18.75">
      <c r="A271" s="21" t="s">
        <v>69</v>
      </c>
      <c r="B271" s="61"/>
      <c r="C271" s="62" t="s">
        <v>689</v>
      </c>
      <c r="D271" s="62"/>
      <c r="E271" s="62"/>
      <c r="F271" s="62"/>
      <c r="G271" s="61"/>
      <c r="H271" s="67"/>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52" t="s">
        <v>69</v>
      </c>
      <c r="BH271" s="64"/>
    </row>
    <row r="272" spans="1:60">
      <c r="A272" s="20"/>
      <c r="B272" s="11" t="s">
        <v>305</v>
      </c>
      <c r="C272" s="2" t="s">
        <v>600</v>
      </c>
      <c r="D272" s="15" t="s">
        <v>12</v>
      </c>
      <c r="E272" s="9" t="s">
        <v>4</v>
      </c>
      <c r="F272" s="40" t="s">
        <v>11</v>
      </c>
      <c r="G272" s="46">
        <f>MALE_FLOWER_Prod!$D$9</f>
        <v>1</v>
      </c>
      <c r="H272" s="72">
        <f>MALE_FLOWER_Prod!$D$10</f>
        <v>1</v>
      </c>
      <c r="I272" s="58">
        <f>MALE_FLOWER_Prod!$C$13</f>
        <v>0</v>
      </c>
      <c r="J272" s="26">
        <f>MALE_FLOWER_Prod!$D$13</f>
        <v>20</v>
      </c>
      <c r="K272" s="58">
        <f>MALE_FLOWER_Prod!$C$14</f>
        <v>0</v>
      </c>
      <c r="L272" s="26">
        <f>MALE_FLOWER_Prod!$D$14</f>
        <v>0</v>
      </c>
      <c r="M272" s="58">
        <f>MALE_FLOWER_Prod!$C$15</f>
        <v>0</v>
      </c>
      <c r="N272" s="26">
        <f>MALE_FLOWER_Prod!$D$15</f>
        <v>0</v>
      </c>
      <c r="O272" s="58">
        <f>MALE_FLOWER_Prod!$C$16</f>
        <v>0</v>
      </c>
      <c r="P272" s="26">
        <f>MALE_FLOWER_Prod!$D$16</f>
        <v>0</v>
      </c>
      <c r="Q272" s="58">
        <f>MALE_FLOWER_Prod!$C$17</f>
        <v>0</v>
      </c>
      <c r="R272" s="26">
        <f>MALE_FLOWER_Prod!$D$17</f>
        <v>0</v>
      </c>
      <c r="S272" s="58">
        <f>MALE_FLOWER_Prod!$C$18</f>
        <v>0</v>
      </c>
      <c r="T272" s="26">
        <f>MALE_FLOWER_Prod!$D$18</f>
        <v>0</v>
      </c>
      <c r="U272" s="58">
        <f>MALE_FLOWER_Prod!$C$19</f>
        <v>0</v>
      </c>
      <c r="V272" s="26">
        <f>MALE_FLOWER_Prod!$D$19</f>
        <v>0</v>
      </c>
      <c r="W272" s="58">
        <f>MALE_FLOWER_Prod!$C$20</f>
        <v>0</v>
      </c>
      <c r="X272" s="26">
        <f>MALE_FLOWER_Prod!$D$20</f>
        <v>0</v>
      </c>
      <c r="Y272" s="58">
        <f>MALE_FLOWER_Prod!$C$21</f>
        <v>0</v>
      </c>
      <c r="Z272" s="26">
        <f>MALE_FLOWER_Prod!$D$21</f>
        <v>0</v>
      </c>
      <c r="AA272" s="58">
        <f>MALE_FLOWER_Prod!$C$22</f>
        <v>0</v>
      </c>
      <c r="AB272" s="26">
        <f>MALE_FLOWER_Prod!$D$22</f>
        <v>0</v>
      </c>
      <c r="AC272" s="58">
        <f>MALE_FLOWER_Prod!$C$23</f>
        <v>0</v>
      </c>
      <c r="AD272" s="26">
        <f>MALE_FLOWER_Prod!$D$23</f>
        <v>0</v>
      </c>
      <c r="AE272" s="58">
        <f>MALE_FLOWER_Prod!$C$24</f>
        <v>0</v>
      </c>
      <c r="AF272" s="26">
        <f>MALE_FLOWER_Prod!$D$24</f>
        <v>0</v>
      </c>
      <c r="AG272" s="58">
        <f>MALE_FLOWER_Prod!$C$25</f>
        <v>0</v>
      </c>
      <c r="AH272" s="26">
        <f>MALE_FLOWER_Prod!$D$25</f>
        <v>0</v>
      </c>
      <c r="AI272" s="58">
        <f>MALE_FLOWER_Prod!$C$26</f>
        <v>0</v>
      </c>
      <c r="AJ272" s="26">
        <f>MALE_FLOWER_Prod!$D$26</f>
        <v>0</v>
      </c>
      <c r="AK272" s="58">
        <f>MALE_FLOWER_Prod!$C$27</f>
        <v>0</v>
      </c>
      <c r="AL272" s="26">
        <f>MALE_FLOWER_Prod!$D$27</f>
        <v>0</v>
      </c>
      <c r="AM272" s="58">
        <f>MALE_FLOWER_Prod!$C$28</f>
        <v>0</v>
      </c>
      <c r="AN272" s="26">
        <f>MALE_FLOWER_Prod!$D$28</f>
        <v>0</v>
      </c>
      <c r="AO272" s="58">
        <f>MALE_FLOWER_Prod!$C$29</f>
        <v>0</v>
      </c>
      <c r="AP272" s="26">
        <f>MALE_FLOWER_Prod!$D$29</f>
        <v>0</v>
      </c>
      <c r="AQ272" s="58">
        <f>MALE_FLOWER_Prod!$C$30</f>
        <v>0</v>
      </c>
      <c r="AR272" s="26">
        <f>MALE_FLOWER_Prod!$D$30</f>
        <v>0</v>
      </c>
      <c r="AS272" s="58">
        <f>MALE_FLOWER_Prod!$C$31</f>
        <v>0</v>
      </c>
      <c r="AT272" s="26">
        <f>MALE_FLOWER_Prod!$D$31</f>
        <v>0</v>
      </c>
      <c r="AU272" s="58">
        <f>MALE_FLOWER_Prod!$C$32</f>
        <v>0</v>
      </c>
      <c r="AV272" s="26">
        <f>MALE_FLOWER_Prod!$D$32</f>
        <v>0</v>
      </c>
      <c r="AW272" s="58">
        <f>MALE_FLOWER_Prod!$C$33</f>
        <v>0</v>
      </c>
      <c r="AX272" s="26">
        <f>MALE_FLOWER_Prod!$D$33</f>
        <v>0</v>
      </c>
      <c r="AY272" s="58">
        <f>MALE_FLOWER_Prod!$C$34</f>
        <v>0</v>
      </c>
      <c r="AZ272" s="26">
        <f>MALE_FLOWER_Prod!$D$34</f>
        <v>0</v>
      </c>
      <c r="BA272" s="58">
        <f>MALE_FLOWER_Prod!$C$35</f>
        <v>0</v>
      </c>
      <c r="BB272" s="26">
        <f>MALE_FLOWER_Prod!$D$35</f>
        <v>0</v>
      </c>
      <c r="BC272" s="58">
        <f>MALE_FLOWER_Prod!$C$36</f>
        <v>0</v>
      </c>
      <c r="BD272" s="26">
        <f>MALE_FLOWER_Prod!$D$36</f>
        <v>0</v>
      </c>
      <c r="BE272" s="58">
        <f>MALE_FLOWER_Prod!$C$37</f>
        <v>0</v>
      </c>
      <c r="BF272" s="26">
        <f>MALE_FLOWER_Prod!$D$37</f>
        <v>0</v>
      </c>
      <c r="BG272" s="52" t="s">
        <v>69</v>
      </c>
      <c r="BH272" s="16"/>
    </row>
    <row r="273" spans="1:60">
      <c r="A273" s="20"/>
      <c r="B273" s="11" t="s">
        <v>337</v>
      </c>
      <c r="C273" s="2" t="s">
        <v>601</v>
      </c>
      <c r="D273" s="15" t="s">
        <v>12</v>
      </c>
      <c r="E273" s="9" t="s">
        <v>4</v>
      </c>
      <c r="F273" s="40" t="s">
        <v>11</v>
      </c>
      <c r="G273" s="46">
        <f>MALE_FLOWER_Prod!$E$9</f>
        <v>1</v>
      </c>
      <c r="H273" s="72">
        <f>MALE_FLOWER_Prod!$E$10</f>
        <v>1</v>
      </c>
      <c r="I273" s="58">
        <f>MALE_FLOWER_Prod!$C$13</f>
        <v>0</v>
      </c>
      <c r="J273" s="21">
        <f>MALE_FLOWER_Prod!$E$13</f>
        <v>0</v>
      </c>
      <c r="K273" s="58">
        <f>MALE_FLOWER_Prod!$C$14</f>
        <v>0</v>
      </c>
      <c r="L273" s="21">
        <f>MALE_FLOWER_Prod!$E$14</f>
        <v>0</v>
      </c>
      <c r="M273" s="58">
        <f>MALE_FLOWER_Prod!$C$15</f>
        <v>0</v>
      </c>
      <c r="N273" s="21">
        <f>MALE_FLOWER_Prod!$E$15</f>
        <v>0</v>
      </c>
      <c r="O273" s="58">
        <f>MALE_FLOWER_Prod!$C$16</f>
        <v>0</v>
      </c>
      <c r="P273" s="21">
        <f>MALE_FLOWER_Prod!$E$16</f>
        <v>0</v>
      </c>
      <c r="Q273" s="58">
        <f>MALE_FLOWER_Prod!$C$17</f>
        <v>0</v>
      </c>
      <c r="R273" s="21">
        <f>MALE_FLOWER_Prod!$E$17</f>
        <v>0</v>
      </c>
      <c r="S273" s="58">
        <f>MALE_FLOWER_Prod!$C$18</f>
        <v>0</v>
      </c>
      <c r="T273" s="21">
        <f>MALE_FLOWER_Prod!$E$18</f>
        <v>0</v>
      </c>
      <c r="U273" s="58">
        <f>MALE_FLOWER_Prod!$C$19</f>
        <v>0</v>
      </c>
      <c r="V273" s="21">
        <f>MALE_FLOWER_Prod!$E$19</f>
        <v>0</v>
      </c>
      <c r="W273" s="58">
        <f>MALE_FLOWER_Prod!$C$20</f>
        <v>0</v>
      </c>
      <c r="X273" s="21">
        <f>MALE_FLOWER_Prod!$E$20</f>
        <v>0</v>
      </c>
      <c r="Y273" s="58">
        <f>MALE_FLOWER_Prod!$C$21</f>
        <v>0</v>
      </c>
      <c r="Z273" s="21">
        <f>MALE_FLOWER_Prod!$E$21</f>
        <v>0</v>
      </c>
      <c r="AA273" s="58">
        <f>MALE_FLOWER_Prod!$C$22</f>
        <v>0</v>
      </c>
      <c r="AB273" s="21">
        <f>MALE_FLOWER_Prod!$E$22</f>
        <v>0</v>
      </c>
      <c r="AC273" s="58">
        <f>MALE_FLOWER_Prod!$C$23</f>
        <v>0</v>
      </c>
      <c r="AD273" s="21">
        <f>MALE_FLOWER_Prod!$E$23</f>
        <v>0</v>
      </c>
      <c r="AE273" s="58">
        <f>MALE_FLOWER_Prod!$C$24</f>
        <v>0</v>
      </c>
      <c r="AF273" s="21">
        <f>MALE_FLOWER_Prod!$E$24</f>
        <v>0</v>
      </c>
      <c r="AG273" s="58">
        <f>MALE_FLOWER_Prod!$C$25</f>
        <v>0</v>
      </c>
      <c r="AH273" s="21">
        <f>MALE_FLOWER_Prod!$E$25</f>
        <v>0</v>
      </c>
      <c r="AI273" s="58">
        <f>MALE_FLOWER_Prod!$C$26</f>
        <v>0</v>
      </c>
      <c r="AJ273" s="21">
        <f>MALE_FLOWER_Prod!$E$26</f>
        <v>0</v>
      </c>
      <c r="AK273" s="58">
        <f>MALE_FLOWER_Prod!$C$27</f>
        <v>0</v>
      </c>
      <c r="AL273" s="21">
        <f>MALE_FLOWER_Prod!$E$27</f>
        <v>0</v>
      </c>
      <c r="AM273" s="58">
        <f>MALE_FLOWER_Prod!$C$28</f>
        <v>0</v>
      </c>
      <c r="AN273" s="21">
        <f>MALE_FLOWER_Prod!$E$28</f>
        <v>0</v>
      </c>
      <c r="AO273" s="58">
        <f>MALE_FLOWER_Prod!$C$29</f>
        <v>0</v>
      </c>
      <c r="AP273" s="21">
        <f>MALE_FLOWER_Prod!$E$29</f>
        <v>0</v>
      </c>
      <c r="AQ273" s="58">
        <f>MALE_FLOWER_Prod!$C$30</f>
        <v>0</v>
      </c>
      <c r="AR273" s="21">
        <f>MALE_FLOWER_Prod!$E$30</f>
        <v>0</v>
      </c>
      <c r="AS273" s="58">
        <f>MALE_FLOWER_Prod!$C$31</f>
        <v>0</v>
      </c>
      <c r="AT273" s="21">
        <f>MALE_FLOWER_Prod!$E$31</f>
        <v>0</v>
      </c>
      <c r="AU273" s="58">
        <f>MALE_FLOWER_Prod!$C$32</f>
        <v>0</v>
      </c>
      <c r="AV273" s="21">
        <f>MALE_FLOWER_Prod!$E$32</f>
        <v>0</v>
      </c>
      <c r="AW273" s="58">
        <f>MALE_FLOWER_Prod!$C$33</f>
        <v>0</v>
      </c>
      <c r="AX273" s="21">
        <f>MALE_FLOWER_Prod!$E$33</f>
        <v>0</v>
      </c>
      <c r="AY273" s="58">
        <f>MALE_FLOWER_Prod!$C$34</f>
        <v>0</v>
      </c>
      <c r="AZ273" s="21">
        <f>MALE_FLOWER_Prod!$E$34</f>
        <v>0</v>
      </c>
      <c r="BA273" s="58">
        <f>MALE_FLOWER_Prod!$C$35</f>
        <v>0</v>
      </c>
      <c r="BB273" s="21">
        <f>MALE_FLOWER_Prod!$E$35</f>
        <v>0</v>
      </c>
      <c r="BC273" s="58">
        <f>MALE_FLOWER_Prod!$C$36</f>
        <v>0</v>
      </c>
      <c r="BD273" s="21">
        <f>MALE_FLOWER_Prod!$E$36</f>
        <v>0</v>
      </c>
      <c r="BE273" s="58">
        <f>MALE_FLOWER_Prod!$C$37</f>
        <v>0</v>
      </c>
      <c r="BF273" s="21">
        <f>MALE_FLOWER_Prod!$E$37</f>
        <v>0</v>
      </c>
      <c r="BG273" s="52" t="s">
        <v>69</v>
      </c>
      <c r="BH273" s="16"/>
    </row>
    <row r="274" spans="1:60">
      <c r="A274" s="20"/>
      <c r="B274" s="12" t="s">
        <v>369</v>
      </c>
      <c r="C274" s="2" t="s">
        <v>358</v>
      </c>
      <c r="D274" s="15" t="s">
        <v>12</v>
      </c>
      <c r="E274" s="9" t="s">
        <v>4</v>
      </c>
      <c r="F274" s="40" t="s">
        <v>11</v>
      </c>
      <c r="G274" s="46">
        <f>MALE_FLOWER_Prod!$H$9</f>
        <v>1</v>
      </c>
      <c r="H274" s="72">
        <f>MALE_FLOWER_Prod!$H$10</f>
        <v>1</v>
      </c>
      <c r="I274" s="58">
        <f>MALE_FLOWER_Prod!$G$13</f>
        <v>0</v>
      </c>
      <c r="J274" s="27">
        <f>MALE_FLOWER_Prod!$H$13</f>
        <v>100</v>
      </c>
      <c r="K274" s="58">
        <f>MALE_FLOWER_Prod!$G$14</f>
        <v>0</v>
      </c>
      <c r="L274" s="27">
        <f>MALE_FLOWER_Prod!$H$14</f>
        <v>0</v>
      </c>
      <c r="M274" s="58">
        <f>MALE_FLOWER_Prod!$G$15</f>
        <v>0</v>
      </c>
      <c r="N274" s="27">
        <f>MALE_FLOWER_Prod!$H$15</f>
        <v>0</v>
      </c>
      <c r="O274" s="58">
        <f>MALE_FLOWER_Prod!$G$16</f>
        <v>0</v>
      </c>
      <c r="P274" s="27">
        <f>MALE_FLOWER_Prod!$H$16</f>
        <v>0</v>
      </c>
      <c r="Q274" s="58">
        <f>MALE_FLOWER_Prod!$G$17</f>
        <v>0</v>
      </c>
      <c r="R274" s="27">
        <f>MALE_FLOWER_Prod!$H$17</f>
        <v>0</v>
      </c>
      <c r="S274" s="58">
        <f>MALE_FLOWER_Prod!$G$18</f>
        <v>0</v>
      </c>
      <c r="T274" s="27">
        <f>MALE_FLOWER_Prod!$H$18</f>
        <v>0</v>
      </c>
      <c r="U274" s="58">
        <f>MALE_FLOWER_Prod!$G$19</f>
        <v>0</v>
      </c>
      <c r="V274" s="27">
        <f>MALE_FLOWER_Prod!$H$19</f>
        <v>0</v>
      </c>
      <c r="W274" s="58">
        <f>MALE_FLOWER_Prod!$G$20</f>
        <v>0</v>
      </c>
      <c r="X274" s="27">
        <f>MALE_FLOWER_Prod!$H$20</f>
        <v>0</v>
      </c>
      <c r="Y274" s="58">
        <f>MALE_FLOWER_Prod!$G$21</f>
        <v>0</v>
      </c>
      <c r="Z274" s="27">
        <f>MALE_FLOWER_Prod!$H$21</f>
        <v>0</v>
      </c>
      <c r="AA274" s="58">
        <f>MALE_FLOWER_Prod!$G$22</f>
        <v>0</v>
      </c>
      <c r="AB274" s="27">
        <f>MALE_FLOWER_Prod!$H$22</f>
        <v>0</v>
      </c>
      <c r="AC274" s="58">
        <f>MALE_FLOWER_Prod!$G$23</f>
        <v>0</v>
      </c>
      <c r="AD274" s="27">
        <f>MALE_FLOWER_Prod!$H$23</f>
        <v>0</v>
      </c>
      <c r="AE274" s="58">
        <f>MALE_FLOWER_Prod!$G$24</f>
        <v>0</v>
      </c>
      <c r="AF274" s="27">
        <f>MALE_FLOWER_Prod!$H$24</f>
        <v>0</v>
      </c>
      <c r="AG274" s="58">
        <f>MALE_FLOWER_Prod!$G$25</f>
        <v>0</v>
      </c>
      <c r="AH274" s="27">
        <f>MALE_FLOWER_Prod!$H$25</f>
        <v>0</v>
      </c>
      <c r="AI274" s="58">
        <f>MALE_FLOWER_Prod!$G$26</f>
        <v>0</v>
      </c>
      <c r="AJ274" s="27">
        <f>MALE_FLOWER_Prod!$H$26</f>
        <v>0</v>
      </c>
      <c r="AK274" s="58">
        <f>MALE_FLOWER_Prod!$G$27</f>
        <v>0</v>
      </c>
      <c r="AL274" s="27">
        <f>MALE_FLOWER_Prod!$H$27</f>
        <v>0</v>
      </c>
      <c r="AM274" s="58">
        <f>MALE_FLOWER_Prod!$G$28</f>
        <v>0</v>
      </c>
      <c r="AN274" s="27">
        <f>MALE_FLOWER_Prod!$H$28</f>
        <v>0</v>
      </c>
      <c r="AO274" s="58">
        <f>MALE_FLOWER_Prod!$G$29</f>
        <v>0</v>
      </c>
      <c r="AP274" s="27">
        <f>MALE_FLOWER_Prod!$H$29</f>
        <v>0</v>
      </c>
      <c r="AQ274" s="58">
        <f>MALE_FLOWER_Prod!$G$30</f>
        <v>0</v>
      </c>
      <c r="AR274" s="27">
        <f>MALE_FLOWER_Prod!$H$30</f>
        <v>0</v>
      </c>
      <c r="AS274" s="58">
        <f>MALE_FLOWER_Prod!$G$31</f>
        <v>0</v>
      </c>
      <c r="AT274" s="27">
        <f>MALE_FLOWER_Prod!$H$31</f>
        <v>0</v>
      </c>
      <c r="AU274" s="58">
        <f>MALE_FLOWER_Prod!$G$32</f>
        <v>0</v>
      </c>
      <c r="AV274" s="27">
        <f>MALE_FLOWER_Prod!$H$32</f>
        <v>0</v>
      </c>
      <c r="AW274" s="58">
        <f>MALE_FLOWER_Prod!$G$33</f>
        <v>0</v>
      </c>
      <c r="AX274" s="27">
        <f>MALE_FLOWER_Prod!$H$33</f>
        <v>0</v>
      </c>
      <c r="AY274" s="58">
        <f>MALE_FLOWER_Prod!$G$34</f>
        <v>0</v>
      </c>
      <c r="AZ274" s="27">
        <f>MALE_FLOWER_Prod!$H$34</f>
        <v>0</v>
      </c>
      <c r="BA274" s="58">
        <f>MALE_FLOWER_Prod!$G$35</f>
        <v>0</v>
      </c>
      <c r="BB274" s="27">
        <f>MALE_FLOWER_Prod!$H$35</f>
        <v>0</v>
      </c>
      <c r="BC274" s="58">
        <f>MALE_FLOWER_Prod!$G$36</f>
        <v>0</v>
      </c>
      <c r="BD274" s="27">
        <f>MALE_FLOWER_Prod!$H$36</f>
        <v>0</v>
      </c>
      <c r="BE274" s="58">
        <f>MALE_FLOWER_Prod!$G$37</f>
        <v>0</v>
      </c>
      <c r="BF274" s="27">
        <f>MALE_FLOWER_Prod!$H$37</f>
        <v>0</v>
      </c>
      <c r="BG274" s="52" t="s">
        <v>69</v>
      </c>
      <c r="BH274" s="16"/>
    </row>
    <row r="275" spans="1:60">
      <c r="A275" s="20"/>
      <c r="B275" s="12" t="s">
        <v>370</v>
      </c>
      <c r="C275" s="2" t="s">
        <v>359</v>
      </c>
      <c r="D275" s="15" t="s">
        <v>12</v>
      </c>
      <c r="E275" s="9" t="s">
        <v>4</v>
      </c>
      <c r="F275" s="40" t="s">
        <v>11</v>
      </c>
      <c r="G275" s="46">
        <f>MALE_FLOWER_Prod!$I$9</f>
        <v>1</v>
      </c>
      <c r="H275" s="72">
        <f>MALE_FLOWER_Prod!$I$10</f>
        <v>1</v>
      </c>
      <c r="I275" s="58">
        <f>MALE_FLOWER_Prod!$G$13</f>
        <v>0</v>
      </c>
      <c r="J275" s="27">
        <f>MALE_FLOWER_Prod!$I$13</f>
        <v>0</v>
      </c>
      <c r="K275" s="58">
        <f>MALE_FLOWER_Prod!$G$14</f>
        <v>0</v>
      </c>
      <c r="L275" s="27">
        <f>MALE_FLOWER_Prod!$I$14</f>
        <v>0</v>
      </c>
      <c r="M275" s="58">
        <f>MALE_FLOWER_Prod!$G$15</f>
        <v>0</v>
      </c>
      <c r="N275" s="27">
        <f>MALE_FLOWER_Prod!$I$15</f>
        <v>0</v>
      </c>
      <c r="O275" s="58">
        <f>MALE_FLOWER_Prod!$G$16</f>
        <v>0</v>
      </c>
      <c r="P275" s="27">
        <f>MALE_FLOWER_Prod!$I$16</f>
        <v>0</v>
      </c>
      <c r="Q275" s="58">
        <f>MALE_FLOWER_Prod!$G$17</f>
        <v>0</v>
      </c>
      <c r="R275" s="27">
        <f>MALE_FLOWER_Prod!$I$17</f>
        <v>0</v>
      </c>
      <c r="S275" s="58">
        <f>MALE_FLOWER_Prod!$G$18</f>
        <v>0</v>
      </c>
      <c r="T275" s="27">
        <f>MALE_FLOWER_Prod!$I$18</f>
        <v>0</v>
      </c>
      <c r="U275" s="58">
        <f>MALE_FLOWER_Prod!$G$19</f>
        <v>0</v>
      </c>
      <c r="V275" s="27">
        <f>MALE_FLOWER_Prod!$I$19</f>
        <v>0</v>
      </c>
      <c r="W275" s="58">
        <f>MALE_FLOWER_Prod!$G$20</f>
        <v>0</v>
      </c>
      <c r="X275" s="27">
        <f>MALE_FLOWER_Prod!$I$20</f>
        <v>0</v>
      </c>
      <c r="Y275" s="58">
        <f>MALE_FLOWER_Prod!$G$21</f>
        <v>0</v>
      </c>
      <c r="Z275" s="27">
        <f>MALE_FLOWER_Prod!$I$21</f>
        <v>0</v>
      </c>
      <c r="AA275" s="58">
        <f>MALE_FLOWER_Prod!$G$22</f>
        <v>0</v>
      </c>
      <c r="AB275" s="27">
        <f>MALE_FLOWER_Prod!$I$22</f>
        <v>0</v>
      </c>
      <c r="AC275" s="58">
        <f>MALE_FLOWER_Prod!$G$23</f>
        <v>0</v>
      </c>
      <c r="AD275" s="27">
        <f>MALE_FLOWER_Prod!$I$23</f>
        <v>0</v>
      </c>
      <c r="AE275" s="58">
        <f>MALE_FLOWER_Prod!$G$24</f>
        <v>0</v>
      </c>
      <c r="AF275" s="27">
        <f>MALE_FLOWER_Prod!$I$24</f>
        <v>0</v>
      </c>
      <c r="AG275" s="58">
        <f>MALE_FLOWER_Prod!$G$25</f>
        <v>0</v>
      </c>
      <c r="AH275" s="27">
        <f>MALE_FLOWER_Prod!$I$25</f>
        <v>0</v>
      </c>
      <c r="AI275" s="58">
        <f>MALE_FLOWER_Prod!$G$26</f>
        <v>0</v>
      </c>
      <c r="AJ275" s="27">
        <f>MALE_FLOWER_Prod!$I$26</f>
        <v>0</v>
      </c>
      <c r="AK275" s="58">
        <f>MALE_FLOWER_Prod!$G$27</f>
        <v>0</v>
      </c>
      <c r="AL275" s="27">
        <f>MALE_FLOWER_Prod!$I$27</f>
        <v>0</v>
      </c>
      <c r="AM275" s="58">
        <f>MALE_FLOWER_Prod!$G$28</f>
        <v>0</v>
      </c>
      <c r="AN275" s="27">
        <f>MALE_FLOWER_Prod!$I$28</f>
        <v>0</v>
      </c>
      <c r="AO275" s="58">
        <f>MALE_FLOWER_Prod!$G$29</f>
        <v>0</v>
      </c>
      <c r="AP275" s="27">
        <f>MALE_FLOWER_Prod!$I$29</f>
        <v>0</v>
      </c>
      <c r="AQ275" s="58">
        <f>MALE_FLOWER_Prod!$G$30</f>
        <v>0</v>
      </c>
      <c r="AR275" s="27">
        <f>MALE_FLOWER_Prod!$I$30</f>
        <v>0</v>
      </c>
      <c r="AS275" s="58">
        <f>MALE_FLOWER_Prod!$G$31</f>
        <v>0</v>
      </c>
      <c r="AT275" s="27">
        <f>MALE_FLOWER_Prod!$I$31</f>
        <v>0</v>
      </c>
      <c r="AU275" s="58">
        <f>MALE_FLOWER_Prod!$G$32</f>
        <v>0</v>
      </c>
      <c r="AV275" s="27">
        <f>MALE_FLOWER_Prod!$I$32</f>
        <v>0</v>
      </c>
      <c r="AW275" s="58">
        <f>MALE_FLOWER_Prod!$G$33</f>
        <v>0</v>
      </c>
      <c r="AX275" s="27">
        <f>MALE_FLOWER_Prod!$I$33</f>
        <v>0</v>
      </c>
      <c r="AY275" s="58">
        <f>MALE_FLOWER_Prod!$G$34</f>
        <v>0</v>
      </c>
      <c r="AZ275" s="27">
        <f>MALE_FLOWER_Prod!$I$34</f>
        <v>0</v>
      </c>
      <c r="BA275" s="58">
        <f>MALE_FLOWER_Prod!$G$35</f>
        <v>0</v>
      </c>
      <c r="BB275" s="27">
        <f>MALE_FLOWER_Prod!$I$35</f>
        <v>0</v>
      </c>
      <c r="BC275" s="58">
        <f>MALE_FLOWER_Prod!$G$36</f>
        <v>0</v>
      </c>
      <c r="BD275" s="27">
        <f>MALE_FLOWER_Prod!$I$36</f>
        <v>0</v>
      </c>
      <c r="BE275" s="58">
        <f>MALE_FLOWER_Prod!$G$37</f>
        <v>0</v>
      </c>
      <c r="BF275" s="27">
        <f>MALE_FLOWER_Prod!$I$37</f>
        <v>0</v>
      </c>
      <c r="BG275" s="52" t="s">
        <v>69</v>
      </c>
      <c r="BH275" s="16"/>
    </row>
    <row r="276" spans="1:60">
      <c r="A276" s="20"/>
      <c r="B276" s="12" t="s">
        <v>371</v>
      </c>
      <c r="C276" s="2" t="s">
        <v>360</v>
      </c>
      <c r="D276" s="15" t="s">
        <v>12</v>
      </c>
      <c r="E276" s="9" t="s">
        <v>4</v>
      </c>
      <c r="F276" s="40" t="s">
        <v>11</v>
      </c>
      <c r="G276" s="46">
        <f>MALE_FLOWER_Prod!$J$9</f>
        <v>1</v>
      </c>
      <c r="H276" s="72">
        <f>MALE_FLOWER_Prod!$J$10</f>
        <v>1</v>
      </c>
      <c r="I276" s="58">
        <f>MALE_FLOWER_Prod!$G$13</f>
        <v>0</v>
      </c>
      <c r="J276" s="27">
        <f>MALE_FLOWER_Prod!$J$13</f>
        <v>0</v>
      </c>
      <c r="K276" s="58">
        <f>MALE_FLOWER_Prod!$G$14</f>
        <v>0</v>
      </c>
      <c r="L276" s="27">
        <f>MALE_FLOWER_Prod!$J$14</f>
        <v>0</v>
      </c>
      <c r="M276" s="58">
        <f>MALE_FLOWER_Prod!$G$15</f>
        <v>0</v>
      </c>
      <c r="N276" s="27">
        <f>MALE_FLOWER_Prod!$J$15</f>
        <v>0</v>
      </c>
      <c r="O276" s="58">
        <f>MALE_FLOWER_Prod!$G$16</f>
        <v>0</v>
      </c>
      <c r="P276" s="27">
        <f>MALE_FLOWER_Prod!$J$16</f>
        <v>0</v>
      </c>
      <c r="Q276" s="58">
        <f>MALE_FLOWER_Prod!$G$17</f>
        <v>0</v>
      </c>
      <c r="R276" s="27">
        <f>MALE_FLOWER_Prod!$J$17</f>
        <v>0</v>
      </c>
      <c r="S276" s="58">
        <f>MALE_FLOWER_Prod!$G$18</f>
        <v>0</v>
      </c>
      <c r="T276" s="27">
        <f>MALE_FLOWER_Prod!$J$18</f>
        <v>0</v>
      </c>
      <c r="U276" s="58">
        <f>MALE_FLOWER_Prod!$G$19</f>
        <v>0</v>
      </c>
      <c r="V276" s="27">
        <f>MALE_FLOWER_Prod!$J$19</f>
        <v>0</v>
      </c>
      <c r="W276" s="58">
        <f>MALE_FLOWER_Prod!$G$20</f>
        <v>0</v>
      </c>
      <c r="X276" s="27">
        <f>MALE_FLOWER_Prod!$J$20</f>
        <v>0</v>
      </c>
      <c r="Y276" s="58">
        <f>MALE_FLOWER_Prod!$G$21</f>
        <v>0</v>
      </c>
      <c r="Z276" s="27">
        <f>MALE_FLOWER_Prod!$J$21</f>
        <v>0</v>
      </c>
      <c r="AA276" s="58">
        <f>MALE_FLOWER_Prod!$G$22</f>
        <v>0</v>
      </c>
      <c r="AB276" s="27">
        <f>MALE_FLOWER_Prod!$J$22</f>
        <v>0</v>
      </c>
      <c r="AC276" s="58">
        <f>MALE_FLOWER_Prod!$G$23</f>
        <v>0</v>
      </c>
      <c r="AD276" s="27">
        <f>MALE_FLOWER_Prod!$J$23</f>
        <v>0</v>
      </c>
      <c r="AE276" s="58">
        <f>MALE_FLOWER_Prod!$G$24</f>
        <v>0</v>
      </c>
      <c r="AF276" s="27">
        <f>MALE_FLOWER_Prod!$J$24</f>
        <v>0</v>
      </c>
      <c r="AG276" s="58">
        <f>MALE_FLOWER_Prod!$G$25</f>
        <v>0</v>
      </c>
      <c r="AH276" s="27">
        <f>MALE_FLOWER_Prod!$J$25</f>
        <v>0</v>
      </c>
      <c r="AI276" s="58">
        <f>MALE_FLOWER_Prod!$G$26</f>
        <v>0</v>
      </c>
      <c r="AJ276" s="27">
        <f>MALE_FLOWER_Prod!$J$26</f>
        <v>0</v>
      </c>
      <c r="AK276" s="58">
        <f>MALE_FLOWER_Prod!$G$27</f>
        <v>0</v>
      </c>
      <c r="AL276" s="27">
        <f>MALE_FLOWER_Prod!$J$27</f>
        <v>0</v>
      </c>
      <c r="AM276" s="58">
        <f>MALE_FLOWER_Prod!$G$28</f>
        <v>0</v>
      </c>
      <c r="AN276" s="27">
        <f>MALE_FLOWER_Prod!$J$28</f>
        <v>0</v>
      </c>
      <c r="AO276" s="58">
        <f>MALE_FLOWER_Prod!$G$29</f>
        <v>0</v>
      </c>
      <c r="AP276" s="27">
        <f>MALE_FLOWER_Prod!$J$29</f>
        <v>0</v>
      </c>
      <c r="AQ276" s="58">
        <f>MALE_FLOWER_Prod!$G$30</f>
        <v>0</v>
      </c>
      <c r="AR276" s="27">
        <f>MALE_FLOWER_Prod!$J$30</f>
        <v>0</v>
      </c>
      <c r="AS276" s="58">
        <f>MALE_FLOWER_Prod!$G$31</f>
        <v>0</v>
      </c>
      <c r="AT276" s="27">
        <f>MALE_FLOWER_Prod!$J$31</f>
        <v>0</v>
      </c>
      <c r="AU276" s="58">
        <f>MALE_FLOWER_Prod!$G$32</f>
        <v>0</v>
      </c>
      <c r="AV276" s="27">
        <f>MALE_FLOWER_Prod!$J$32</f>
        <v>0</v>
      </c>
      <c r="AW276" s="58">
        <f>MALE_FLOWER_Prod!$G$33</f>
        <v>0</v>
      </c>
      <c r="AX276" s="27">
        <f>MALE_FLOWER_Prod!$J$33</f>
        <v>0</v>
      </c>
      <c r="AY276" s="58">
        <f>MALE_FLOWER_Prod!$G$34</f>
        <v>0</v>
      </c>
      <c r="AZ276" s="27">
        <f>MALE_FLOWER_Prod!$J$34</f>
        <v>0</v>
      </c>
      <c r="BA276" s="58">
        <f>MALE_FLOWER_Prod!$G$35</f>
        <v>0</v>
      </c>
      <c r="BB276" s="27">
        <f>MALE_FLOWER_Prod!$J$35</f>
        <v>0</v>
      </c>
      <c r="BC276" s="58">
        <f>MALE_FLOWER_Prod!$G$36</f>
        <v>0</v>
      </c>
      <c r="BD276" s="27">
        <f>MALE_FLOWER_Prod!$J$36</f>
        <v>0</v>
      </c>
      <c r="BE276" s="58">
        <f>MALE_FLOWER_Prod!$G$37</f>
        <v>0</v>
      </c>
      <c r="BF276" s="27">
        <f>MALE_FLOWER_Prod!$J$37</f>
        <v>0</v>
      </c>
      <c r="BG276" s="52" t="s">
        <v>69</v>
      </c>
      <c r="BH276" s="16"/>
    </row>
    <row r="277" spans="1:60">
      <c r="A277" s="20"/>
      <c r="B277" s="12" t="s">
        <v>372</v>
      </c>
      <c r="C277" s="2" t="s">
        <v>361</v>
      </c>
      <c r="D277" s="15" t="s">
        <v>12</v>
      </c>
      <c r="E277" s="9" t="s">
        <v>4</v>
      </c>
      <c r="F277" s="40" t="s">
        <v>11</v>
      </c>
      <c r="G277" s="46">
        <f>MALE_FLOWER_Prod!$K$9</f>
        <v>1</v>
      </c>
      <c r="H277" s="72">
        <f>MALE_FLOWER_Prod!$K$10</f>
        <v>1</v>
      </c>
      <c r="I277" s="58">
        <f>MALE_FLOWER_Prod!$G$13</f>
        <v>0</v>
      </c>
      <c r="J277" s="27">
        <f>MALE_FLOWER_Prod!$K$13</f>
        <v>0</v>
      </c>
      <c r="K277" s="58">
        <f>MALE_FLOWER_Prod!$G$14</f>
        <v>0</v>
      </c>
      <c r="L277" s="27">
        <f>MALE_FLOWER_Prod!$K$14</f>
        <v>0</v>
      </c>
      <c r="M277" s="58">
        <f>MALE_FLOWER_Prod!$G$15</f>
        <v>0</v>
      </c>
      <c r="N277" s="27">
        <f>MALE_FLOWER_Prod!$K$15</f>
        <v>0</v>
      </c>
      <c r="O277" s="58">
        <f>MALE_FLOWER_Prod!$G$16</f>
        <v>0</v>
      </c>
      <c r="P277" s="27">
        <f>MALE_FLOWER_Prod!$K$16</f>
        <v>0</v>
      </c>
      <c r="Q277" s="58">
        <f>MALE_FLOWER_Prod!$G$17</f>
        <v>0</v>
      </c>
      <c r="R277" s="27">
        <f>MALE_FLOWER_Prod!$K$17</f>
        <v>0</v>
      </c>
      <c r="S277" s="58">
        <f>MALE_FLOWER_Prod!$G$18</f>
        <v>0</v>
      </c>
      <c r="T277" s="27">
        <f>MALE_FLOWER_Prod!$K$18</f>
        <v>0</v>
      </c>
      <c r="U277" s="58">
        <f>MALE_FLOWER_Prod!$G$19</f>
        <v>0</v>
      </c>
      <c r="V277" s="27">
        <f>MALE_FLOWER_Prod!$K$19</f>
        <v>0</v>
      </c>
      <c r="W277" s="58">
        <f>MALE_FLOWER_Prod!$G$20</f>
        <v>0</v>
      </c>
      <c r="X277" s="27">
        <f>MALE_FLOWER_Prod!$K$20</f>
        <v>0</v>
      </c>
      <c r="Y277" s="58">
        <f>MALE_FLOWER_Prod!$G$21</f>
        <v>0</v>
      </c>
      <c r="Z277" s="27">
        <f>MALE_FLOWER_Prod!$K$21</f>
        <v>0</v>
      </c>
      <c r="AA277" s="58">
        <f>MALE_FLOWER_Prod!$G$22</f>
        <v>0</v>
      </c>
      <c r="AB277" s="27">
        <f>MALE_FLOWER_Prod!$K$22</f>
        <v>0</v>
      </c>
      <c r="AC277" s="58">
        <f>MALE_FLOWER_Prod!$G$23</f>
        <v>0</v>
      </c>
      <c r="AD277" s="27">
        <f>MALE_FLOWER_Prod!$K$23</f>
        <v>0</v>
      </c>
      <c r="AE277" s="58">
        <f>MALE_FLOWER_Prod!$G$24</f>
        <v>0</v>
      </c>
      <c r="AF277" s="27">
        <f>MALE_FLOWER_Prod!$K$24</f>
        <v>0</v>
      </c>
      <c r="AG277" s="58">
        <f>MALE_FLOWER_Prod!$G$25</f>
        <v>0</v>
      </c>
      <c r="AH277" s="27">
        <f>MALE_FLOWER_Prod!$K$25</f>
        <v>0</v>
      </c>
      <c r="AI277" s="58">
        <f>MALE_FLOWER_Prod!$G$26</f>
        <v>0</v>
      </c>
      <c r="AJ277" s="27">
        <f>MALE_FLOWER_Prod!$K$26</f>
        <v>0</v>
      </c>
      <c r="AK277" s="58">
        <f>MALE_FLOWER_Prod!$G$27</f>
        <v>0</v>
      </c>
      <c r="AL277" s="27">
        <f>MALE_FLOWER_Prod!$K$27</f>
        <v>0</v>
      </c>
      <c r="AM277" s="58">
        <f>MALE_FLOWER_Prod!$G$28</f>
        <v>0</v>
      </c>
      <c r="AN277" s="27">
        <f>MALE_FLOWER_Prod!$K$28</f>
        <v>0</v>
      </c>
      <c r="AO277" s="58">
        <f>MALE_FLOWER_Prod!$G$29</f>
        <v>0</v>
      </c>
      <c r="AP277" s="27">
        <f>MALE_FLOWER_Prod!$K$29</f>
        <v>0</v>
      </c>
      <c r="AQ277" s="58">
        <f>MALE_FLOWER_Prod!$G$30</f>
        <v>0</v>
      </c>
      <c r="AR277" s="27">
        <f>MALE_FLOWER_Prod!$K$30</f>
        <v>0</v>
      </c>
      <c r="AS277" s="58">
        <f>MALE_FLOWER_Prod!$G$31</f>
        <v>0</v>
      </c>
      <c r="AT277" s="27">
        <f>MALE_FLOWER_Prod!$K$31</f>
        <v>0</v>
      </c>
      <c r="AU277" s="58">
        <f>MALE_FLOWER_Prod!$G$32</f>
        <v>0</v>
      </c>
      <c r="AV277" s="27">
        <f>MALE_FLOWER_Prod!$K$32</f>
        <v>0</v>
      </c>
      <c r="AW277" s="58">
        <f>MALE_FLOWER_Prod!$G$33</f>
        <v>0</v>
      </c>
      <c r="AX277" s="27">
        <f>MALE_FLOWER_Prod!$K$33</f>
        <v>0</v>
      </c>
      <c r="AY277" s="58">
        <f>MALE_FLOWER_Prod!$G$34</f>
        <v>0</v>
      </c>
      <c r="AZ277" s="27">
        <f>MALE_FLOWER_Prod!$K$34</f>
        <v>0</v>
      </c>
      <c r="BA277" s="58">
        <f>MALE_FLOWER_Prod!$G$35</f>
        <v>0</v>
      </c>
      <c r="BB277" s="27">
        <f>MALE_FLOWER_Prod!$K$35</f>
        <v>0</v>
      </c>
      <c r="BC277" s="58">
        <f>MALE_FLOWER_Prod!$G$36</f>
        <v>0</v>
      </c>
      <c r="BD277" s="27">
        <f>MALE_FLOWER_Prod!$K$36</f>
        <v>0</v>
      </c>
      <c r="BE277" s="58">
        <f>MALE_FLOWER_Prod!$G$37</f>
        <v>0</v>
      </c>
      <c r="BF277" s="27">
        <f>MALE_FLOWER_Prod!$K$37</f>
        <v>0</v>
      </c>
      <c r="BG277" s="52" t="s">
        <v>69</v>
      </c>
      <c r="BH277" s="16"/>
    </row>
    <row r="278" spans="1:60">
      <c r="A278" s="20"/>
      <c r="B278" s="12" t="s">
        <v>373</v>
      </c>
      <c r="C278" s="213" t="s">
        <v>764</v>
      </c>
      <c r="D278" s="15" t="s">
        <v>12</v>
      </c>
      <c r="E278" s="9" t="s">
        <v>0</v>
      </c>
      <c r="F278" s="40" t="s">
        <v>7</v>
      </c>
      <c r="G278" s="46">
        <f>MALE_FLOWER_Prod!$N$9</f>
        <v>1</v>
      </c>
      <c r="H278" s="72">
        <f>MALE_FLOWER_Prod!$N$10</f>
        <v>1</v>
      </c>
      <c r="I278" s="58">
        <f>MALE_FLOWER_Prod!$M$13</f>
        <v>0</v>
      </c>
      <c r="J278" s="21">
        <f>MALE_FLOWER_Prod!$N$13</f>
        <v>0</v>
      </c>
      <c r="K278" s="58">
        <f>MALE_FLOWER_Prod!$M$14</f>
        <v>0</v>
      </c>
      <c r="L278" s="21">
        <f>MALE_FLOWER_Prod!$N$14</f>
        <v>0</v>
      </c>
      <c r="M278" s="58">
        <f>MALE_FLOWER_Prod!$M$15</f>
        <v>0</v>
      </c>
      <c r="N278" s="21">
        <f>MALE_FLOWER_Prod!$N$15</f>
        <v>0</v>
      </c>
      <c r="O278" s="58">
        <f>MALE_FLOWER_Prod!$M$16</f>
        <v>0</v>
      </c>
      <c r="P278" s="21">
        <f>MALE_FLOWER_Prod!$N$16</f>
        <v>0</v>
      </c>
      <c r="Q278" s="58">
        <f>MALE_FLOWER_Prod!$M$17</f>
        <v>0</v>
      </c>
      <c r="R278" s="21">
        <f>MALE_FLOWER_Prod!$N$17</f>
        <v>0</v>
      </c>
      <c r="S278" s="58">
        <f>MALE_FLOWER_Prod!$M$18</f>
        <v>0</v>
      </c>
      <c r="T278" s="21">
        <f>MALE_FLOWER_Prod!$N$18</f>
        <v>0</v>
      </c>
      <c r="U278" s="58">
        <f>MALE_FLOWER_Prod!$M$19</f>
        <v>0</v>
      </c>
      <c r="V278" s="21">
        <f>MALE_FLOWER_Prod!$N$19</f>
        <v>0</v>
      </c>
      <c r="W278" s="58">
        <f>MALE_FLOWER_Prod!$M$20</f>
        <v>0</v>
      </c>
      <c r="X278" s="21">
        <f>MALE_FLOWER_Prod!$N$20</f>
        <v>0</v>
      </c>
      <c r="Y278" s="58">
        <f>MALE_FLOWER_Prod!$M$21</f>
        <v>0</v>
      </c>
      <c r="Z278" s="21">
        <f>MALE_FLOWER_Prod!$N$21</f>
        <v>0</v>
      </c>
      <c r="AA278" s="58">
        <f>MALE_FLOWER_Prod!$M$22</f>
        <v>0</v>
      </c>
      <c r="AB278" s="21">
        <f>MALE_FLOWER_Prod!$N$22</f>
        <v>0</v>
      </c>
      <c r="AC278" s="58">
        <f>MALE_FLOWER_Prod!$M$23</f>
        <v>0</v>
      </c>
      <c r="AD278" s="21">
        <f>MALE_FLOWER_Prod!$N$23</f>
        <v>0</v>
      </c>
      <c r="AE278" s="58">
        <f>MALE_FLOWER_Prod!$M$24</f>
        <v>0</v>
      </c>
      <c r="AF278" s="21">
        <f>MALE_FLOWER_Prod!$N$24</f>
        <v>0</v>
      </c>
      <c r="AG278" s="58">
        <f>MALE_FLOWER_Prod!$M$25</f>
        <v>0</v>
      </c>
      <c r="AH278" s="21">
        <f>MALE_FLOWER_Prod!$N$25</f>
        <v>0</v>
      </c>
      <c r="AI278" s="58">
        <f>MALE_FLOWER_Prod!$M$26</f>
        <v>0</v>
      </c>
      <c r="AJ278" s="21">
        <f>MALE_FLOWER_Prod!$N$26</f>
        <v>0</v>
      </c>
      <c r="AK278" s="58">
        <f>MALE_FLOWER_Prod!$M$27</f>
        <v>0</v>
      </c>
      <c r="AL278" s="21">
        <f>MALE_FLOWER_Prod!$N$27</f>
        <v>0</v>
      </c>
      <c r="AM278" s="58">
        <f>MALE_FLOWER_Prod!$M$28</f>
        <v>0</v>
      </c>
      <c r="AN278" s="21">
        <f>MALE_FLOWER_Prod!$N$28</f>
        <v>0</v>
      </c>
      <c r="AO278" s="58">
        <f>MALE_FLOWER_Prod!$M$29</f>
        <v>0</v>
      </c>
      <c r="AP278" s="21">
        <f>MALE_FLOWER_Prod!$N$29</f>
        <v>0</v>
      </c>
      <c r="AQ278" s="58">
        <f>MALE_FLOWER_Prod!$M$30</f>
        <v>0</v>
      </c>
      <c r="AR278" s="21">
        <f>MALE_FLOWER_Prod!$N$30</f>
        <v>0</v>
      </c>
      <c r="AS278" s="58">
        <f>MALE_FLOWER_Prod!$M$31</f>
        <v>0</v>
      </c>
      <c r="AT278" s="21">
        <f>MALE_FLOWER_Prod!$N$31</f>
        <v>0</v>
      </c>
      <c r="AU278" s="58">
        <f>MALE_FLOWER_Prod!$M$32</f>
        <v>0</v>
      </c>
      <c r="AV278" s="21">
        <f>MALE_FLOWER_Prod!$N$32</f>
        <v>0</v>
      </c>
      <c r="AW278" s="58">
        <f>MALE_FLOWER_Prod!$M$33</f>
        <v>0</v>
      </c>
      <c r="AX278" s="21">
        <f>MALE_FLOWER_Prod!$N$33</f>
        <v>0</v>
      </c>
      <c r="AY278" s="58">
        <f>MALE_FLOWER_Prod!$M$34</f>
        <v>0</v>
      </c>
      <c r="AZ278" s="21">
        <f>MALE_FLOWER_Prod!$N$34</f>
        <v>0</v>
      </c>
      <c r="BA278" s="58">
        <f>MALE_FLOWER_Prod!$M$35</f>
        <v>0</v>
      </c>
      <c r="BB278" s="21">
        <f>MALE_FLOWER_Prod!$N$35</f>
        <v>0</v>
      </c>
      <c r="BC278" s="58">
        <f>MALE_FLOWER_Prod!$M$36</f>
        <v>0</v>
      </c>
      <c r="BD278" s="21">
        <f>MALE_FLOWER_Prod!$N$36</f>
        <v>0</v>
      </c>
      <c r="BE278" s="58">
        <f>MALE_FLOWER_Prod!$M$37</f>
        <v>0</v>
      </c>
      <c r="BF278" s="21">
        <f>MALE_FLOWER_Prod!$N$37</f>
        <v>0</v>
      </c>
      <c r="BG278" s="52" t="s">
        <v>69</v>
      </c>
      <c r="BH278" s="16"/>
    </row>
    <row r="279" spans="1:60">
      <c r="A279" s="20"/>
      <c r="B279" s="12" t="s">
        <v>374</v>
      </c>
      <c r="C279" s="213" t="s">
        <v>765</v>
      </c>
      <c r="D279" s="15" t="s">
        <v>12</v>
      </c>
      <c r="E279" s="9" t="s">
        <v>0</v>
      </c>
      <c r="F279" s="40" t="s">
        <v>7</v>
      </c>
      <c r="G279" s="46">
        <f>MALE_FLOWER_Prod!$O$9</f>
        <v>1</v>
      </c>
      <c r="H279" s="72">
        <f>MALE_FLOWER_Prod!$O$10</f>
        <v>1</v>
      </c>
      <c r="I279" s="58">
        <f>MALE_FLOWER_Prod!$M$13</f>
        <v>0</v>
      </c>
      <c r="J279" s="21">
        <f>MALE_FLOWER_Prod!$O$13</f>
        <v>0</v>
      </c>
      <c r="K279" s="58">
        <f>MALE_FLOWER_Prod!$M$14</f>
        <v>0</v>
      </c>
      <c r="L279" s="21">
        <f>MALE_FLOWER_Prod!$O$14</f>
        <v>0</v>
      </c>
      <c r="M279" s="58">
        <f>MALE_FLOWER_Prod!$M$15</f>
        <v>0</v>
      </c>
      <c r="N279" s="21">
        <f>MALE_FLOWER_Prod!$O$15</f>
        <v>0</v>
      </c>
      <c r="O279" s="58">
        <f>MALE_FLOWER_Prod!$M$16</f>
        <v>0</v>
      </c>
      <c r="P279" s="21">
        <f>MALE_FLOWER_Prod!$O$16</f>
        <v>0</v>
      </c>
      <c r="Q279" s="58">
        <f>MALE_FLOWER_Prod!$M$17</f>
        <v>0</v>
      </c>
      <c r="R279" s="21">
        <f>MALE_FLOWER_Prod!$O$17</f>
        <v>0</v>
      </c>
      <c r="S279" s="58">
        <f>MALE_FLOWER_Prod!$M$18</f>
        <v>0</v>
      </c>
      <c r="T279" s="21">
        <f>MALE_FLOWER_Prod!$O$18</f>
        <v>0</v>
      </c>
      <c r="U279" s="58">
        <f>MALE_FLOWER_Prod!$M$19</f>
        <v>0</v>
      </c>
      <c r="V279" s="21">
        <f>MALE_FLOWER_Prod!$O$19</f>
        <v>0</v>
      </c>
      <c r="W279" s="58">
        <f>MALE_FLOWER_Prod!$M$20</f>
        <v>0</v>
      </c>
      <c r="X279" s="21">
        <f>MALE_FLOWER_Prod!$O$20</f>
        <v>0</v>
      </c>
      <c r="Y279" s="58">
        <f>MALE_FLOWER_Prod!$M$21</f>
        <v>0</v>
      </c>
      <c r="Z279" s="21">
        <f>MALE_FLOWER_Prod!$O$21</f>
        <v>0</v>
      </c>
      <c r="AA279" s="58">
        <f>MALE_FLOWER_Prod!$M$22</f>
        <v>0</v>
      </c>
      <c r="AB279" s="21">
        <f>MALE_FLOWER_Prod!$O$22</f>
        <v>0</v>
      </c>
      <c r="AC279" s="58">
        <f>MALE_FLOWER_Prod!$M$23</f>
        <v>0</v>
      </c>
      <c r="AD279" s="21">
        <f>MALE_FLOWER_Prod!$O$23</f>
        <v>0</v>
      </c>
      <c r="AE279" s="58">
        <f>MALE_FLOWER_Prod!$M$24</f>
        <v>0</v>
      </c>
      <c r="AF279" s="21">
        <f>MALE_FLOWER_Prod!$O$24</f>
        <v>0</v>
      </c>
      <c r="AG279" s="58">
        <f>MALE_FLOWER_Prod!$M$25</f>
        <v>0</v>
      </c>
      <c r="AH279" s="21">
        <f>MALE_FLOWER_Prod!$O$25</f>
        <v>0</v>
      </c>
      <c r="AI279" s="58">
        <f>MALE_FLOWER_Prod!$M$26</f>
        <v>0</v>
      </c>
      <c r="AJ279" s="21">
        <f>MALE_FLOWER_Prod!$O$26</f>
        <v>0</v>
      </c>
      <c r="AK279" s="58">
        <f>MALE_FLOWER_Prod!$M$27</f>
        <v>0</v>
      </c>
      <c r="AL279" s="21">
        <f>MALE_FLOWER_Prod!$O$27</f>
        <v>0</v>
      </c>
      <c r="AM279" s="58">
        <f>MALE_FLOWER_Prod!$M$28</f>
        <v>0</v>
      </c>
      <c r="AN279" s="21">
        <f>MALE_FLOWER_Prod!$O$28</f>
        <v>0</v>
      </c>
      <c r="AO279" s="58">
        <f>MALE_FLOWER_Prod!$M$29</f>
        <v>0</v>
      </c>
      <c r="AP279" s="21">
        <f>MALE_FLOWER_Prod!$O$29</f>
        <v>0</v>
      </c>
      <c r="AQ279" s="58">
        <f>MALE_FLOWER_Prod!$M$30</f>
        <v>0</v>
      </c>
      <c r="AR279" s="21">
        <f>MALE_FLOWER_Prod!$O$30</f>
        <v>0</v>
      </c>
      <c r="AS279" s="58">
        <f>MALE_FLOWER_Prod!$M$31</f>
        <v>0</v>
      </c>
      <c r="AT279" s="21">
        <f>MALE_FLOWER_Prod!$O$31</f>
        <v>0</v>
      </c>
      <c r="AU279" s="58">
        <f>MALE_FLOWER_Prod!$M$32</f>
        <v>0</v>
      </c>
      <c r="AV279" s="21">
        <f>MALE_FLOWER_Prod!$O$32</f>
        <v>0</v>
      </c>
      <c r="AW279" s="58">
        <f>MALE_FLOWER_Prod!$M$33</f>
        <v>0</v>
      </c>
      <c r="AX279" s="21">
        <f>MALE_FLOWER_Prod!$O$33</f>
        <v>0</v>
      </c>
      <c r="AY279" s="58">
        <f>MALE_FLOWER_Prod!$M$34</f>
        <v>0</v>
      </c>
      <c r="AZ279" s="21">
        <f>MALE_FLOWER_Prod!$O$34</f>
        <v>0</v>
      </c>
      <c r="BA279" s="58">
        <f>MALE_FLOWER_Prod!$M$35</f>
        <v>0</v>
      </c>
      <c r="BB279" s="21">
        <f>MALE_FLOWER_Prod!$O$35</f>
        <v>0</v>
      </c>
      <c r="BC279" s="58">
        <f>MALE_FLOWER_Prod!$M$36</f>
        <v>0</v>
      </c>
      <c r="BD279" s="21">
        <f>MALE_FLOWER_Prod!$O$36</f>
        <v>0</v>
      </c>
      <c r="BE279" s="58">
        <f>MALE_FLOWER_Prod!$M$37</f>
        <v>0</v>
      </c>
      <c r="BF279" s="21">
        <f>MALE_FLOWER_Prod!$O$37</f>
        <v>0</v>
      </c>
      <c r="BG279" s="52" t="s">
        <v>69</v>
      </c>
      <c r="BH279" s="16"/>
    </row>
    <row r="280" spans="1:60">
      <c r="A280" s="20"/>
      <c r="B280" s="12" t="s">
        <v>375</v>
      </c>
      <c r="C280" s="213" t="s">
        <v>766</v>
      </c>
      <c r="D280" s="15" t="s">
        <v>12</v>
      </c>
      <c r="E280" s="9" t="s">
        <v>0</v>
      </c>
      <c r="F280" s="40" t="s">
        <v>7</v>
      </c>
      <c r="G280" s="46">
        <f>MALE_FLOWER_Prod!$P$9</f>
        <v>1</v>
      </c>
      <c r="H280" s="72">
        <f>MALE_FLOWER_Prod!$P$10</f>
        <v>1</v>
      </c>
      <c r="I280" s="58">
        <f>MALE_FLOWER_Prod!$M$13</f>
        <v>0</v>
      </c>
      <c r="J280" s="21">
        <f>MALE_FLOWER_Prod!$P$13</f>
        <v>0</v>
      </c>
      <c r="K280" s="58">
        <f>MALE_FLOWER_Prod!$M$14</f>
        <v>0</v>
      </c>
      <c r="L280" s="21">
        <f>MALE_FLOWER_Prod!$P$14</f>
        <v>0</v>
      </c>
      <c r="M280" s="58">
        <f>MALE_FLOWER_Prod!$M$15</f>
        <v>0</v>
      </c>
      <c r="N280" s="21">
        <f>MALE_FLOWER_Prod!$P$15</f>
        <v>0</v>
      </c>
      <c r="O280" s="58">
        <f>MALE_FLOWER_Prod!$M$16</f>
        <v>0</v>
      </c>
      <c r="P280" s="21">
        <f>MALE_FLOWER_Prod!$P$16</f>
        <v>0</v>
      </c>
      <c r="Q280" s="58">
        <f>MALE_FLOWER_Prod!$M$17</f>
        <v>0</v>
      </c>
      <c r="R280" s="21">
        <f>MALE_FLOWER_Prod!$P$17</f>
        <v>0</v>
      </c>
      <c r="S280" s="58">
        <f>MALE_FLOWER_Prod!$M$18</f>
        <v>0</v>
      </c>
      <c r="T280" s="21">
        <f>MALE_FLOWER_Prod!$P$18</f>
        <v>0</v>
      </c>
      <c r="U280" s="58">
        <f>MALE_FLOWER_Prod!$M$19</f>
        <v>0</v>
      </c>
      <c r="V280" s="21">
        <f>MALE_FLOWER_Prod!$P$19</f>
        <v>0</v>
      </c>
      <c r="W280" s="58">
        <f>MALE_FLOWER_Prod!$M$20</f>
        <v>0</v>
      </c>
      <c r="X280" s="21">
        <f>MALE_FLOWER_Prod!$P$20</f>
        <v>0</v>
      </c>
      <c r="Y280" s="58">
        <f>MALE_FLOWER_Prod!$M$21</f>
        <v>0</v>
      </c>
      <c r="Z280" s="21">
        <f>MALE_FLOWER_Prod!$P$21</f>
        <v>0</v>
      </c>
      <c r="AA280" s="58">
        <f>MALE_FLOWER_Prod!$M$22</f>
        <v>0</v>
      </c>
      <c r="AB280" s="21">
        <f>MALE_FLOWER_Prod!$P$22</f>
        <v>0</v>
      </c>
      <c r="AC280" s="58">
        <f>MALE_FLOWER_Prod!$M$23</f>
        <v>0</v>
      </c>
      <c r="AD280" s="21">
        <f>MALE_FLOWER_Prod!$P$23</f>
        <v>0</v>
      </c>
      <c r="AE280" s="58">
        <f>MALE_FLOWER_Prod!$M$24</f>
        <v>0</v>
      </c>
      <c r="AF280" s="21">
        <f>MALE_FLOWER_Prod!$P$24</f>
        <v>0</v>
      </c>
      <c r="AG280" s="58">
        <f>MALE_FLOWER_Prod!$M$25</f>
        <v>0</v>
      </c>
      <c r="AH280" s="21">
        <f>MALE_FLOWER_Prod!$P$25</f>
        <v>0</v>
      </c>
      <c r="AI280" s="58">
        <f>MALE_FLOWER_Prod!$M$26</f>
        <v>0</v>
      </c>
      <c r="AJ280" s="21">
        <f>MALE_FLOWER_Prod!$P$26</f>
        <v>0</v>
      </c>
      <c r="AK280" s="58">
        <f>MALE_FLOWER_Prod!$M$27</f>
        <v>0</v>
      </c>
      <c r="AL280" s="21">
        <f>MALE_FLOWER_Prod!$P$27</f>
        <v>0</v>
      </c>
      <c r="AM280" s="58">
        <f>MALE_FLOWER_Prod!$M$28</f>
        <v>0</v>
      </c>
      <c r="AN280" s="21">
        <f>MALE_FLOWER_Prod!$P$28</f>
        <v>0</v>
      </c>
      <c r="AO280" s="58">
        <f>MALE_FLOWER_Prod!$M$29</f>
        <v>0</v>
      </c>
      <c r="AP280" s="21">
        <f>MALE_FLOWER_Prod!$P$29</f>
        <v>0</v>
      </c>
      <c r="AQ280" s="58">
        <f>MALE_FLOWER_Prod!$M$30</f>
        <v>0</v>
      </c>
      <c r="AR280" s="21">
        <f>MALE_FLOWER_Prod!$P$30</f>
        <v>0</v>
      </c>
      <c r="AS280" s="58">
        <f>MALE_FLOWER_Prod!$M$31</f>
        <v>0</v>
      </c>
      <c r="AT280" s="21">
        <f>MALE_FLOWER_Prod!$P$31</f>
        <v>0</v>
      </c>
      <c r="AU280" s="58">
        <f>MALE_FLOWER_Prod!$M$32</f>
        <v>0</v>
      </c>
      <c r="AV280" s="21">
        <f>MALE_FLOWER_Prod!$P$32</f>
        <v>0</v>
      </c>
      <c r="AW280" s="58">
        <f>MALE_FLOWER_Prod!$M$33</f>
        <v>0</v>
      </c>
      <c r="AX280" s="21">
        <f>MALE_FLOWER_Prod!$P$33</f>
        <v>0</v>
      </c>
      <c r="AY280" s="58">
        <f>MALE_FLOWER_Prod!$M$34</f>
        <v>0</v>
      </c>
      <c r="AZ280" s="21">
        <f>MALE_FLOWER_Prod!$P$34</f>
        <v>0</v>
      </c>
      <c r="BA280" s="58">
        <f>MALE_FLOWER_Prod!$M$35</f>
        <v>0</v>
      </c>
      <c r="BB280" s="21">
        <f>MALE_FLOWER_Prod!$P$35</f>
        <v>0</v>
      </c>
      <c r="BC280" s="58">
        <f>MALE_FLOWER_Prod!$M$36</f>
        <v>0</v>
      </c>
      <c r="BD280" s="21">
        <f>MALE_FLOWER_Prod!$P$36</f>
        <v>0</v>
      </c>
      <c r="BE280" s="58">
        <f>MALE_FLOWER_Prod!$M$37</f>
        <v>0</v>
      </c>
      <c r="BF280" s="21">
        <f>MALE_FLOWER_Prod!$P$37</f>
        <v>0</v>
      </c>
      <c r="BG280" s="52" t="s">
        <v>69</v>
      </c>
      <c r="BH280" s="16"/>
    </row>
    <row r="281" spans="1:60">
      <c r="A281" s="20"/>
      <c r="B281" s="12" t="s">
        <v>376</v>
      </c>
      <c r="C281" s="213" t="s">
        <v>767</v>
      </c>
      <c r="D281" s="15" t="s">
        <v>12</v>
      </c>
      <c r="E281" s="9" t="s">
        <v>0</v>
      </c>
      <c r="F281" s="40" t="s">
        <v>7</v>
      </c>
      <c r="G281" s="46">
        <f>MALE_FLOWER_Prod!$Q$9</f>
        <v>1</v>
      </c>
      <c r="H281" s="72">
        <f>MALE_FLOWER_Prod!$Q$10</f>
        <v>1</v>
      </c>
      <c r="I281" s="58">
        <f>MALE_FLOWER_Prod!$M$13</f>
        <v>0</v>
      </c>
      <c r="J281" s="21">
        <f>MALE_FLOWER_Prod!$Q$13</f>
        <v>0</v>
      </c>
      <c r="K281" s="58">
        <f>MALE_FLOWER_Prod!$M$14</f>
        <v>0</v>
      </c>
      <c r="L281" s="21">
        <f>MALE_FLOWER_Prod!$Q$14</f>
        <v>0</v>
      </c>
      <c r="M281" s="58">
        <f>MALE_FLOWER_Prod!$M$15</f>
        <v>0</v>
      </c>
      <c r="N281" s="21">
        <f>MALE_FLOWER_Prod!$Q$15</f>
        <v>0</v>
      </c>
      <c r="O281" s="58">
        <f>MALE_FLOWER_Prod!$M$16</f>
        <v>0</v>
      </c>
      <c r="P281" s="21">
        <f>MALE_FLOWER_Prod!$Q$16</f>
        <v>0</v>
      </c>
      <c r="Q281" s="58">
        <f>MALE_FLOWER_Prod!$M$17</f>
        <v>0</v>
      </c>
      <c r="R281" s="21">
        <f>MALE_FLOWER_Prod!$Q$17</f>
        <v>0</v>
      </c>
      <c r="S281" s="58">
        <f>MALE_FLOWER_Prod!$M$18</f>
        <v>0</v>
      </c>
      <c r="T281" s="21">
        <f>MALE_FLOWER_Prod!$Q$18</f>
        <v>0</v>
      </c>
      <c r="U281" s="58">
        <f>MALE_FLOWER_Prod!$M$19</f>
        <v>0</v>
      </c>
      <c r="V281" s="21">
        <f>MALE_FLOWER_Prod!$Q$19</f>
        <v>0</v>
      </c>
      <c r="W281" s="58">
        <f>MALE_FLOWER_Prod!$M$20</f>
        <v>0</v>
      </c>
      <c r="X281" s="21">
        <f>MALE_FLOWER_Prod!$Q$20</f>
        <v>0</v>
      </c>
      <c r="Y281" s="58">
        <f>MALE_FLOWER_Prod!$M$21</f>
        <v>0</v>
      </c>
      <c r="Z281" s="21">
        <f>MALE_FLOWER_Prod!$Q$21</f>
        <v>0</v>
      </c>
      <c r="AA281" s="58">
        <f>MALE_FLOWER_Prod!$M$22</f>
        <v>0</v>
      </c>
      <c r="AB281" s="21">
        <f>MALE_FLOWER_Prod!$Q$22</f>
        <v>0</v>
      </c>
      <c r="AC281" s="58">
        <f>MALE_FLOWER_Prod!$M$23</f>
        <v>0</v>
      </c>
      <c r="AD281" s="21">
        <f>MALE_FLOWER_Prod!$Q$23</f>
        <v>0</v>
      </c>
      <c r="AE281" s="58">
        <f>MALE_FLOWER_Prod!$M$24</f>
        <v>0</v>
      </c>
      <c r="AF281" s="21">
        <f>MALE_FLOWER_Prod!$Q$24</f>
        <v>0</v>
      </c>
      <c r="AG281" s="58">
        <f>MALE_FLOWER_Prod!$M$25</f>
        <v>0</v>
      </c>
      <c r="AH281" s="21">
        <f>MALE_FLOWER_Prod!$Q$25</f>
        <v>0</v>
      </c>
      <c r="AI281" s="58">
        <f>MALE_FLOWER_Prod!$M$26</f>
        <v>0</v>
      </c>
      <c r="AJ281" s="21">
        <f>MALE_FLOWER_Prod!$Q$26</f>
        <v>0</v>
      </c>
      <c r="AK281" s="58">
        <f>MALE_FLOWER_Prod!$M$27</f>
        <v>0</v>
      </c>
      <c r="AL281" s="21">
        <f>MALE_FLOWER_Prod!$Q$27</f>
        <v>0</v>
      </c>
      <c r="AM281" s="58">
        <f>MALE_FLOWER_Prod!$M$28</f>
        <v>0</v>
      </c>
      <c r="AN281" s="21">
        <f>MALE_FLOWER_Prod!$Q$28</f>
        <v>0</v>
      </c>
      <c r="AO281" s="58">
        <f>MALE_FLOWER_Prod!$M$29</f>
        <v>0</v>
      </c>
      <c r="AP281" s="21">
        <f>MALE_FLOWER_Prod!$Q$29</f>
        <v>0</v>
      </c>
      <c r="AQ281" s="58">
        <f>MALE_FLOWER_Prod!$M$30</f>
        <v>0</v>
      </c>
      <c r="AR281" s="21">
        <f>MALE_FLOWER_Prod!$Q$30</f>
        <v>0</v>
      </c>
      <c r="AS281" s="58">
        <f>MALE_FLOWER_Prod!$M$31</f>
        <v>0</v>
      </c>
      <c r="AT281" s="21">
        <f>MALE_FLOWER_Prod!$Q$31</f>
        <v>0</v>
      </c>
      <c r="AU281" s="58">
        <f>MALE_FLOWER_Prod!$M$32</f>
        <v>0</v>
      </c>
      <c r="AV281" s="21">
        <f>MALE_FLOWER_Prod!$Q$32</f>
        <v>0</v>
      </c>
      <c r="AW281" s="58">
        <f>MALE_FLOWER_Prod!$M$33</f>
        <v>0</v>
      </c>
      <c r="AX281" s="21">
        <f>MALE_FLOWER_Prod!$Q$33</f>
        <v>0</v>
      </c>
      <c r="AY281" s="58">
        <f>MALE_FLOWER_Prod!$M$34</f>
        <v>0</v>
      </c>
      <c r="AZ281" s="21">
        <f>MALE_FLOWER_Prod!$Q$34</f>
        <v>0</v>
      </c>
      <c r="BA281" s="58">
        <f>MALE_FLOWER_Prod!$M$35</f>
        <v>0</v>
      </c>
      <c r="BB281" s="21">
        <f>MALE_FLOWER_Prod!$Q$35</f>
        <v>0</v>
      </c>
      <c r="BC281" s="58">
        <f>MALE_FLOWER_Prod!$M$36</f>
        <v>0</v>
      </c>
      <c r="BD281" s="21">
        <f>MALE_FLOWER_Prod!$Q$36</f>
        <v>0</v>
      </c>
      <c r="BE281" s="58">
        <f>MALE_FLOWER_Prod!$M$37</f>
        <v>0</v>
      </c>
      <c r="BF281" s="21">
        <f>MALE_FLOWER_Prod!$Q$37</f>
        <v>0</v>
      </c>
      <c r="BG281" s="52" t="s">
        <v>69</v>
      </c>
      <c r="BH281" s="16"/>
    </row>
    <row r="282" spans="1:60">
      <c r="A282" s="20"/>
      <c r="B282" s="10" t="s">
        <v>367</v>
      </c>
      <c r="C282" s="2" t="s">
        <v>768</v>
      </c>
      <c r="D282" s="15" t="s">
        <v>12</v>
      </c>
      <c r="E282" s="9" t="s">
        <v>3</v>
      </c>
      <c r="F282" s="40" t="s">
        <v>6</v>
      </c>
      <c r="G282" s="46">
        <f>MALE_FLOWER_Prod!$V$9</f>
        <v>1</v>
      </c>
      <c r="H282" s="72">
        <f>MALE_FLOWER_Prod!$V$10</f>
        <v>1</v>
      </c>
      <c r="I282" s="58">
        <f>MALE_FLOWER_Prod!$U$13</f>
        <v>0</v>
      </c>
      <c r="J282" s="21">
        <f>MALE_FLOWER_Prod!$V$13</f>
        <v>137</v>
      </c>
      <c r="K282" s="58">
        <f>MALE_FLOWER_Prod!$U$14</f>
        <v>0</v>
      </c>
      <c r="L282" s="21">
        <f>MALE_FLOWER_Prod!$V$14</f>
        <v>0</v>
      </c>
      <c r="M282" s="58">
        <f>MALE_FLOWER_Prod!$U$15</f>
        <v>0</v>
      </c>
      <c r="N282" s="21">
        <f>MALE_FLOWER_Prod!$V$15</f>
        <v>0</v>
      </c>
      <c r="O282" s="58">
        <f>MALE_FLOWER_Prod!$U$16</f>
        <v>0</v>
      </c>
      <c r="P282" s="21">
        <f>MALE_FLOWER_Prod!$V$16</f>
        <v>0</v>
      </c>
      <c r="Q282" s="58">
        <f>MALE_FLOWER_Prod!$U$17</f>
        <v>0</v>
      </c>
      <c r="R282" s="21">
        <f>MALE_FLOWER_Prod!$V$17</f>
        <v>0</v>
      </c>
      <c r="S282" s="58">
        <f>MALE_FLOWER_Prod!$U$18</f>
        <v>0</v>
      </c>
      <c r="T282" s="21">
        <f>MALE_FLOWER_Prod!$V$18</f>
        <v>0</v>
      </c>
      <c r="U282" s="58">
        <f>MALE_FLOWER_Prod!$U$19</f>
        <v>0</v>
      </c>
      <c r="V282" s="21">
        <f>MALE_FLOWER_Prod!$V$19</f>
        <v>0</v>
      </c>
      <c r="W282" s="58">
        <f>MALE_FLOWER_Prod!$U$20</f>
        <v>0</v>
      </c>
      <c r="X282" s="21">
        <f>MALE_FLOWER_Prod!$V$20</f>
        <v>0</v>
      </c>
      <c r="Y282" s="58">
        <f>MALE_FLOWER_Prod!$U$21</f>
        <v>0</v>
      </c>
      <c r="Z282" s="21">
        <f>MALE_FLOWER_Prod!$V$21</f>
        <v>0</v>
      </c>
      <c r="AA282" s="58">
        <f>MALE_FLOWER_Prod!$U$22</f>
        <v>0</v>
      </c>
      <c r="AB282" s="21">
        <f>MALE_FLOWER_Prod!$V$22</f>
        <v>0</v>
      </c>
      <c r="AC282" s="58">
        <f>MALE_FLOWER_Prod!$U$23</f>
        <v>0</v>
      </c>
      <c r="AD282" s="21">
        <f>MALE_FLOWER_Prod!$V$23</f>
        <v>0</v>
      </c>
      <c r="AE282" s="58">
        <f>MALE_FLOWER_Prod!$U$24</f>
        <v>0</v>
      </c>
      <c r="AF282" s="21">
        <f>MALE_FLOWER_Prod!$V$24</f>
        <v>0</v>
      </c>
      <c r="AG282" s="58">
        <f>MALE_FLOWER_Prod!$U$25</f>
        <v>0</v>
      </c>
      <c r="AH282" s="21">
        <f>MALE_FLOWER_Prod!$V$25</f>
        <v>0</v>
      </c>
      <c r="AI282" s="58">
        <f>MALE_FLOWER_Prod!$U$26</f>
        <v>0</v>
      </c>
      <c r="AJ282" s="21">
        <f>MALE_FLOWER_Prod!$V$26</f>
        <v>0</v>
      </c>
      <c r="AK282" s="58">
        <f>MALE_FLOWER_Prod!$U$27</f>
        <v>0</v>
      </c>
      <c r="AL282" s="21">
        <f>MALE_FLOWER_Prod!$V$27</f>
        <v>0</v>
      </c>
      <c r="AM282" s="58">
        <f>MALE_FLOWER_Prod!$U$28</f>
        <v>0</v>
      </c>
      <c r="AN282" s="21">
        <f>MALE_FLOWER_Prod!$V$28</f>
        <v>0</v>
      </c>
      <c r="AO282" s="58">
        <f>MALE_FLOWER_Prod!$U$29</f>
        <v>0</v>
      </c>
      <c r="AP282" s="21">
        <f>MALE_FLOWER_Prod!$V$29</f>
        <v>0</v>
      </c>
      <c r="AQ282" s="58">
        <f>MALE_FLOWER_Prod!$U$30</f>
        <v>0</v>
      </c>
      <c r="AR282" s="21">
        <f>MALE_FLOWER_Prod!$V$30</f>
        <v>0</v>
      </c>
      <c r="AS282" s="58">
        <f>MALE_FLOWER_Prod!$U$31</f>
        <v>0</v>
      </c>
      <c r="AT282" s="21">
        <f>MALE_FLOWER_Prod!$V$31</f>
        <v>0</v>
      </c>
      <c r="AU282" s="58">
        <f>MALE_FLOWER_Prod!$U$32</f>
        <v>0</v>
      </c>
      <c r="AV282" s="21">
        <f>MALE_FLOWER_Prod!$V$32</f>
        <v>0</v>
      </c>
      <c r="AW282" s="58">
        <f>MALE_FLOWER_Prod!$U$33</f>
        <v>0</v>
      </c>
      <c r="AX282" s="21">
        <f>MALE_FLOWER_Prod!$V$33</f>
        <v>0</v>
      </c>
      <c r="AY282" s="58">
        <f>MALE_FLOWER_Prod!$U$34</f>
        <v>0</v>
      </c>
      <c r="AZ282" s="21">
        <f>MALE_FLOWER_Prod!$V$34</f>
        <v>0</v>
      </c>
      <c r="BA282" s="58">
        <f>MALE_FLOWER_Prod!$U$35</f>
        <v>0</v>
      </c>
      <c r="BB282" s="21">
        <f>MALE_FLOWER_Prod!$V$35</f>
        <v>0</v>
      </c>
      <c r="BC282" s="58">
        <f>MALE_FLOWER_Prod!$U$36</f>
        <v>0</v>
      </c>
      <c r="BD282" s="21">
        <f>MALE_FLOWER_Prod!$V$36</f>
        <v>0</v>
      </c>
      <c r="BE282" s="58">
        <f>MALE_FLOWER_Prod!$U$37</f>
        <v>0</v>
      </c>
      <c r="BF282" s="21">
        <f>MALE_FLOWER_Prod!$V$37</f>
        <v>0</v>
      </c>
      <c r="BG282" s="52" t="s">
        <v>69</v>
      </c>
      <c r="BH282" s="16"/>
    </row>
    <row r="283" spans="1:60">
      <c r="A283" s="20"/>
      <c r="B283" s="11" t="s">
        <v>368</v>
      </c>
      <c r="C283" s="2" t="s">
        <v>362</v>
      </c>
      <c r="D283" s="15" t="s">
        <v>12</v>
      </c>
      <c r="E283" s="9" t="s">
        <v>3</v>
      </c>
      <c r="F283" s="40" t="s">
        <v>6</v>
      </c>
      <c r="G283" s="46">
        <f>MALE_FLOWER_Prod!$W$9</f>
        <v>1</v>
      </c>
      <c r="H283" s="72">
        <f>MALE_FLOWER_Prod!$W$10</f>
        <v>1</v>
      </c>
      <c r="I283" s="58">
        <f>MALE_FLOWER_Prod!$U$13</f>
        <v>0</v>
      </c>
      <c r="J283" s="21">
        <f>MALE_FLOWER_Prod!$W$13</f>
        <v>0</v>
      </c>
      <c r="K283" s="58">
        <f>MALE_FLOWER_Prod!$U$14</f>
        <v>0</v>
      </c>
      <c r="L283" s="21">
        <f>MALE_FLOWER_Prod!$W$14</f>
        <v>0</v>
      </c>
      <c r="M283" s="58">
        <f>MALE_FLOWER_Prod!$U$15</f>
        <v>0</v>
      </c>
      <c r="N283" s="21">
        <f>MALE_FLOWER_Prod!$W$15</f>
        <v>0</v>
      </c>
      <c r="O283" s="58">
        <f>MALE_FLOWER_Prod!$U$16</f>
        <v>0</v>
      </c>
      <c r="P283" s="21">
        <f>MALE_FLOWER_Prod!$W$16</f>
        <v>0</v>
      </c>
      <c r="Q283" s="58">
        <f>MALE_FLOWER_Prod!$U$17</f>
        <v>0</v>
      </c>
      <c r="R283" s="21">
        <f>MALE_FLOWER_Prod!$W$17</f>
        <v>0</v>
      </c>
      <c r="S283" s="58">
        <f>MALE_FLOWER_Prod!$U$18</f>
        <v>0</v>
      </c>
      <c r="T283" s="21">
        <f>MALE_FLOWER_Prod!$W$18</f>
        <v>0</v>
      </c>
      <c r="U283" s="58">
        <f>MALE_FLOWER_Prod!$U$19</f>
        <v>0</v>
      </c>
      <c r="V283" s="21">
        <f>MALE_FLOWER_Prod!$W$19</f>
        <v>0</v>
      </c>
      <c r="W283" s="58">
        <f>MALE_FLOWER_Prod!$U$20</f>
        <v>0</v>
      </c>
      <c r="X283" s="21">
        <f>MALE_FLOWER_Prod!$W$20</f>
        <v>0</v>
      </c>
      <c r="Y283" s="58">
        <f>MALE_FLOWER_Prod!$U$21</f>
        <v>0</v>
      </c>
      <c r="Z283" s="21">
        <f>MALE_FLOWER_Prod!$W$21</f>
        <v>0</v>
      </c>
      <c r="AA283" s="58">
        <f>MALE_FLOWER_Prod!$U$22</f>
        <v>0</v>
      </c>
      <c r="AB283" s="21">
        <f>MALE_FLOWER_Prod!$W$22</f>
        <v>0</v>
      </c>
      <c r="AC283" s="58">
        <f>MALE_FLOWER_Prod!$U$23</f>
        <v>0</v>
      </c>
      <c r="AD283" s="21">
        <f>MALE_FLOWER_Prod!$W$23</f>
        <v>0</v>
      </c>
      <c r="AE283" s="58">
        <f>MALE_FLOWER_Prod!$U$24</f>
        <v>0</v>
      </c>
      <c r="AF283" s="21">
        <f>MALE_FLOWER_Prod!$W$24</f>
        <v>0</v>
      </c>
      <c r="AG283" s="58">
        <f>MALE_FLOWER_Prod!$U$25</f>
        <v>0</v>
      </c>
      <c r="AH283" s="21">
        <f>MALE_FLOWER_Prod!$W$25</f>
        <v>0</v>
      </c>
      <c r="AI283" s="58">
        <f>MALE_FLOWER_Prod!$U$26</f>
        <v>0</v>
      </c>
      <c r="AJ283" s="21">
        <f>MALE_FLOWER_Prod!$W$26</f>
        <v>0</v>
      </c>
      <c r="AK283" s="58">
        <f>MALE_FLOWER_Prod!$U$27</f>
        <v>0</v>
      </c>
      <c r="AL283" s="21">
        <f>MALE_FLOWER_Prod!$W$27</f>
        <v>0</v>
      </c>
      <c r="AM283" s="58">
        <f>MALE_FLOWER_Prod!$U$28</f>
        <v>0</v>
      </c>
      <c r="AN283" s="21">
        <f>MALE_FLOWER_Prod!$W$28</f>
        <v>0</v>
      </c>
      <c r="AO283" s="58">
        <f>MALE_FLOWER_Prod!$U$29</f>
        <v>0</v>
      </c>
      <c r="AP283" s="21">
        <f>MALE_FLOWER_Prod!$W$29</f>
        <v>0</v>
      </c>
      <c r="AQ283" s="58">
        <f>MALE_FLOWER_Prod!$U$30</f>
        <v>0</v>
      </c>
      <c r="AR283" s="21">
        <f>MALE_FLOWER_Prod!$W$30</f>
        <v>0</v>
      </c>
      <c r="AS283" s="58">
        <f>MALE_FLOWER_Prod!$U$31</f>
        <v>0</v>
      </c>
      <c r="AT283" s="21">
        <f>MALE_FLOWER_Prod!$W$31</f>
        <v>0</v>
      </c>
      <c r="AU283" s="58">
        <f>MALE_FLOWER_Prod!$U$32</f>
        <v>0</v>
      </c>
      <c r="AV283" s="21">
        <f>MALE_FLOWER_Prod!$W$32</f>
        <v>0</v>
      </c>
      <c r="AW283" s="58">
        <f>MALE_FLOWER_Prod!$U$33</f>
        <v>0</v>
      </c>
      <c r="AX283" s="21">
        <f>MALE_FLOWER_Prod!$W$33</f>
        <v>0</v>
      </c>
      <c r="AY283" s="58">
        <f>MALE_FLOWER_Prod!$U$34</f>
        <v>0</v>
      </c>
      <c r="AZ283" s="21">
        <f>MALE_FLOWER_Prod!$W$34</f>
        <v>0</v>
      </c>
      <c r="BA283" s="58">
        <f>MALE_FLOWER_Prod!$U$35</f>
        <v>0</v>
      </c>
      <c r="BB283" s="21">
        <f>MALE_FLOWER_Prod!$W$35</f>
        <v>0</v>
      </c>
      <c r="BC283" s="58">
        <f>MALE_FLOWER_Prod!$U$36</f>
        <v>0</v>
      </c>
      <c r="BD283" s="21">
        <f>MALE_FLOWER_Prod!$W$36</f>
        <v>0</v>
      </c>
      <c r="BE283" s="58">
        <f>MALE_FLOWER_Prod!$U$37</f>
        <v>0</v>
      </c>
      <c r="BF283" s="21">
        <f>MALE_FLOWER_Prod!$W$37</f>
        <v>0</v>
      </c>
      <c r="BG283" s="52" t="s">
        <v>69</v>
      </c>
      <c r="BH283" s="16"/>
    </row>
    <row r="284" spans="1:60">
      <c r="A284" s="20"/>
      <c r="B284" s="11" t="s">
        <v>301</v>
      </c>
      <c r="C284" s="2" t="s">
        <v>345</v>
      </c>
      <c r="D284" s="15" t="s">
        <v>12</v>
      </c>
      <c r="E284" s="2" t="s">
        <v>3</v>
      </c>
      <c r="F284" s="40" t="s">
        <v>6</v>
      </c>
      <c r="G284" s="46">
        <f>MALE_FLOWER_Prod!$Z$9</f>
        <v>1</v>
      </c>
      <c r="H284" s="72">
        <f>MALE_FLOWER_Prod!$Z$10</f>
        <v>1</v>
      </c>
      <c r="I284" s="58">
        <f>MALE_FLOWER_Prod!$Y$13</f>
        <v>0</v>
      </c>
      <c r="J284" s="21">
        <f>MALE_FLOWER_Prod!$Z$13</f>
        <v>10</v>
      </c>
      <c r="K284" s="58">
        <f>MALE_FLOWER_Prod!$Y$14</f>
        <v>0</v>
      </c>
      <c r="L284" s="21">
        <f>MALE_FLOWER_Prod!$Z$14</f>
        <v>0</v>
      </c>
      <c r="M284" s="58">
        <f>MALE_FLOWER_Prod!$Y$15</f>
        <v>0</v>
      </c>
      <c r="N284" s="21">
        <f>MALE_FLOWER_Prod!$Z$15</f>
        <v>0</v>
      </c>
      <c r="O284" s="58">
        <f>MALE_FLOWER_Prod!$Y$16</f>
        <v>0</v>
      </c>
      <c r="P284" s="21">
        <f>MALE_FLOWER_Prod!$Z$16</f>
        <v>0</v>
      </c>
      <c r="Q284" s="58">
        <f>MALE_FLOWER_Prod!$Y$17</f>
        <v>0</v>
      </c>
      <c r="R284" s="21">
        <f>MALE_FLOWER_Prod!$Z$17</f>
        <v>0</v>
      </c>
      <c r="S284" s="58">
        <f>MALE_FLOWER_Prod!$Y$18</f>
        <v>0</v>
      </c>
      <c r="T284" s="21">
        <f>MALE_FLOWER_Prod!$Z$18</f>
        <v>0</v>
      </c>
      <c r="U284" s="58">
        <f>MALE_FLOWER_Prod!$Y$19</f>
        <v>0</v>
      </c>
      <c r="V284" s="21">
        <f>MALE_FLOWER_Prod!$Z$19</f>
        <v>0</v>
      </c>
      <c r="W284" s="58">
        <f>MALE_FLOWER_Prod!$Y$20</f>
        <v>0</v>
      </c>
      <c r="X284" s="21">
        <f>MALE_FLOWER_Prod!$Z$20</f>
        <v>0</v>
      </c>
      <c r="Y284" s="58">
        <f>MALE_FLOWER_Prod!$Y$21</f>
        <v>0</v>
      </c>
      <c r="Z284" s="21">
        <f>MALE_FLOWER_Prod!$Z$21</f>
        <v>0</v>
      </c>
      <c r="AA284" s="58">
        <f>MALE_FLOWER_Prod!$Y$22</f>
        <v>0</v>
      </c>
      <c r="AB284" s="21">
        <f>MALE_FLOWER_Prod!$Z$22</f>
        <v>0</v>
      </c>
      <c r="AC284" s="58">
        <f>MALE_FLOWER_Prod!$Y$23</f>
        <v>0</v>
      </c>
      <c r="AD284" s="21">
        <f>MALE_FLOWER_Prod!$Z$23</f>
        <v>0</v>
      </c>
      <c r="AE284" s="58">
        <f>MALE_FLOWER_Prod!$Y$24</f>
        <v>0</v>
      </c>
      <c r="AF284" s="21">
        <f>MALE_FLOWER_Prod!$Z$24</f>
        <v>0</v>
      </c>
      <c r="AG284" s="58">
        <f>MALE_FLOWER_Prod!$Y$25</f>
        <v>0</v>
      </c>
      <c r="AH284" s="21">
        <f>MALE_FLOWER_Prod!$Z$25</f>
        <v>0</v>
      </c>
      <c r="AI284" s="58">
        <f>MALE_FLOWER_Prod!$Y$26</f>
        <v>0</v>
      </c>
      <c r="AJ284" s="21">
        <f>MALE_FLOWER_Prod!$Z$26</f>
        <v>0</v>
      </c>
      <c r="AK284" s="58">
        <f>MALE_FLOWER_Prod!$Y$27</f>
        <v>0</v>
      </c>
      <c r="AL284" s="21">
        <f>MALE_FLOWER_Prod!$Z$27</f>
        <v>0</v>
      </c>
      <c r="AM284" s="58">
        <f>MALE_FLOWER_Prod!$Y$28</f>
        <v>0</v>
      </c>
      <c r="AN284" s="21">
        <f>MALE_FLOWER_Prod!$Z$28</f>
        <v>0</v>
      </c>
      <c r="AO284" s="58">
        <f>MALE_FLOWER_Prod!$Y$29</f>
        <v>0</v>
      </c>
      <c r="AP284" s="21">
        <f>MALE_FLOWER_Prod!$Z$29</f>
        <v>0</v>
      </c>
      <c r="AQ284" s="58">
        <f>MALE_FLOWER_Prod!$Y$30</f>
        <v>0</v>
      </c>
      <c r="AR284" s="21">
        <f>MALE_FLOWER_Prod!$Z$30</f>
        <v>0</v>
      </c>
      <c r="AS284" s="58">
        <f>MALE_FLOWER_Prod!$Y$31</f>
        <v>0</v>
      </c>
      <c r="AT284" s="21">
        <f>MALE_FLOWER_Prod!$Z$31</f>
        <v>0</v>
      </c>
      <c r="AU284" s="58">
        <f>MALE_FLOWER_Prod!$Y$32</f>
        <v>0</v>
      </c>
      <c r="AV284" s="21">
        <f>MALE_FLOWER_Prod!$Z$32</f>
        <v>0</v>
      </c>
      <c r="AW284" s="58">
        <f>MALE_FLOWER_Prod!$Y$33</f>
        <v>0</v>
      </c>
      <c r="AX284" s="21">
        <f>MALE_FLOWER_Prod!$Z$33</f>
        <v>0</v>
      </c>
      <c r="AY284" s="58">
        <f>MALE_FLOWER_Prod!$Y$34</f>
        <v>0</v>
      </c>
      <c r="AZ284" s="21">
        <f>MALE_FLOWER_Prod!$Z$34</f>
        <v>0</v>
      </c>
      <c r="BA284" s="58">
        <f>MALE_FLOWER_Prod!$Y$35</f>
        <v>0</v>
      </c>
      <c r="BB284" s="21">
        <f>MALE_FLOWER_Prod!$Z$35</f>
        <v>0</v>
      </c>
      <c r="BC284" s="58">
        <f>MALE_FLOWER_Prod!$Y$36</f>
        <v>0</v>
      </c>
      <c r="BD284" s="21">
        <f>MALE_FLOWER_Prod!$Z$36</f>
        <v>0</v>
      </c>
      <c r="BE284" s="58">
        <f>MALE_FLOWER_Prod!$Y$37</f>
        <v>0</v>
      </c>
      <c r="BF284" s="21">
        <f>MALE_FLOWER_Prod!$Z$37</f>
        <v>0</v>
      </c>
      <c r="BG284" s="52" t="s">
        <v>69</v>
      </c>
      <c r="BH284" s="16"/>
    </row>
    <row r="285" spans="1:60">
      <c r="A285" s="20"/>
      <c r="B285" s="11" t="s">
        <v>302</v>
      </c>
      <c r="C285" s="2" t="s">
        <v>346</v>
      </c>
      <c r="D285" s="15" t="s">
        <v>12</v>
      </c>
      <c r="E285" s="9" t="s">
        <v>3</v>
      </c>
      <c r="F285" s="40" t="s">
        <v>6</v>
      </c>
      <c r="G285" s="46">
        <f>MALE_FLOWER_Prod!$AA$9</f>
        <v>1</v>
      </c>
      <c r="H285" s="72">
        <f>MALE_FLOWER_Prod!$AA$10</f>
        <v>1</v>
      </c>
      <c r="I285" s="58">
        <f>MALE_FLOWER_Prod!$Y$13</f>
        <v>0</v>
      </c>
      <c r="J285" s="21">
        <f>MALE_FLOWER_Prod!$AA$13</f>
        <v>0</v>
      </c>
      <c r="K285" s="58">
        <f>MALE_FLOWER_Prod!$Y$14</f>
        <v>0</v>
      </c>
      <c r="L285" s="21">
        <f>MALE_FLOWER_Prod!$AA$14</f>
        <v>0</v>
      </c>
      <c r="M285" s="58">
        <f>MALE_FLOWER_Prod!$Y$15</f>
        <v>0</v>
      </c>
      <c r="N285" s="21">
        <f>MALE_FLOWER_Prod!$AA$15</f>
        <v>0</v>
      </c>
      <c r="O285" s="58">
        <f>MALE_FLOWER_Prod!$Y$16</f>
        <v>0</v>
      </c>
      <c r="P285" s="21">
        <f>MALE_FLOWER_Prod!$AA$16</f>
        <v>0</v>
      </c>
      <c r="Q285" s="58">
        <f>MALE_FLOWER_Prod!$Y$17</f>
        <v>0</v>
      </c>
      <c r="R285" s="21">
        <f>MALE_FLOWER_Prod!$AA$17</f>
        <v>0</v>
      </c>
      <c r="S285" s="58">
        <f>MALE_FLOWER_Prod!$Y$18</f>
        <v>0</v>
      </c>
      <c r="T285" s="21">
        <f>MALE_FLOWER_Prod!$AA$18</f>
        <v>0</v>
      </c>
      <c r="U285" s="58">
        <f>MALE_FLOWER_Prod!$Y$19</f>
        <v>0</v>
      </c>
      <c r="V285" s="21">
        <f>MALE_FLOWER_Prod!$AA$19</f>
        <v>0</v>
      </c>
      <c r="W285" s="58">
        <f>MALE_FLOWER_Prod!$Y$20</f>
        <v>0</v>
      </c>
      <c r="X285" s="21">
        <f>MALE_FLOWER_Prod!$AA$20</f>
        <v>0</v>
      </c>
      <c r="Y285" s="58">
        <f>MALE_FLOWER_Prod!$Y$21</f>
        <v>0</v>
      </c>
      <c r="Z285" s="21">
        <f>MALE_FLOWER_Prod!$AA$21</f>
        <v>0</v>
      </c>
      <c r="AA285" s="58">
        <f>MALE_FLOWER_Prod!$Y$22</f>
        <v>0</v>
      </c>
      <c r="AB285" s="21">
        <f>MALE_FLOWER_Prod!$AA$22</f>
        <v>0</v>
      </c>
      <c r="AC285" s="58">
        <f>MALE_FLOWER_Prod!$Y$23</f>
        <v>0</v>
      </c>
      <c r="AD285" s="21">
        <f>MALE_FLOWER_Prod!$AA$23</f>
        <v>0</v>
      </c>
      <c r="AE285" s="58">
        <f>MALE_FLOWER_Prod!$Y$24</f>
        <v>0</v>
      </c>
      <c r="AF285" s="21">
        <f>MALE_FLOWER_Prod!$AA$24</f>
        <v>0</v>
      </c>
      <c r="AG285" s="58">
        <f>MALE_FLOWER_Prod!$Y$25</f>
        <v>0</v>
      </c>
      <c r="AH285" s="21">
        <f>MALE_FLOWER_Prod!$AA$25</f>
        <v>0</v>
      </c>
      <c r="AI285" s="58">
        <f>MALE_FLOWER_Prod!$Y$26</f>
        <v>0</v>
      </c>
      <c r="AJ285" s="21">
        <f>MALE_FLOWER_Prod!$AA$26</f>
        <v>0</v>
      </c>
      <c r="AK285" s="58">
        <f>MALE_FLOWER_Prod!$Y$27</f>
        <v>0</v>
      </c>
      <c r="AL285" s="21">
        <f>MALE_FLOWER_Prod!$AA$27</f>
        <v>0</v>
      </c>
      <c r="AM285" s="58">
        <f>MALE_FLOWER_Prod!$Y$28</f>
        <v>0</v>
      </c>
      <c r="AN285" s="21">
        <f>MALE_FLOWER_Prod!$AA$28</f>
        <v>0</v>
      </c>
      <c r="AO285" s="58">
        <f>MALE_FLOWER_Prod!$Y$29</f>
        <v>0</v>
      </c>
      <c r="AP285" s="21">
        <f>MALE_FLOWER_Prod!$AA$29</f>
        <v>0</v>
      </c>
      <c r="AQ285" s="58">
        <f>MALE_FLOWER_Prod!$Y$30</f>
        <v>0</v>
      </c>
      <c r="AR285" s="21">
        <f>MALE_FLOWER_Prod!$AA$30</f>
        <v>0</v>
      </c>
      <c r="AS285" s="58">
        <f>MALE_FLOWER_Prod!$Y$31</f>
        <v>0</v>
      </c>
      <c r="AT285" s="21">
        <f>MALE_FLOWER_Prod!$AA$31</f>
        <v>0</v>
      </c>
      <c r="AU285" s="58">
        <f>MALE_FLOWER_Prod!$Y$32</f>
        <v>0</v>
      </c>
      <c r="AV285" s="21">
        <f>MALE_FLOWER_Prod!$AA$32</f>
        <v>0</v>
      </c>
      <c r="AW285" s="58">
        <f>MALE_FLOWER_Prod!$Y$33</f>
        <v>0</v>
      </c>
      <c r="AX285" s="21">
        <f>MALE_FLOWER_Prod!$AA$33</f>
        <v>0</v>
      </c>
      <c r="AY285" s="58">
        <f>MALE_FLOWER_Prod!$Y$34</f>
        <v>0</v>
      </c>
      <c r="AZ285" s="21">
        <f>MALE_FLOWER_Prod!$AA$34</f>
        <v>0</v>
      </c>
      <c r="BA285" s="58">
        <f>MALE_FLOWER_Prod!$Y$35</f>
        <v>0</v>
      </c>
      <c r="BB285" s="21">
        <f>MALE_FLOWER_Prod!$AA$35</f>
        <v>0</v>
      </c>
      <c r="BC285" s="58">
        <f>MALE_FLOWER_Prod!$Y$36</f>
        <v>0</v>
      </c>
      <c r="BD285" s="21">
        <f>MALE_FLOWER_Prod!$AA$36</f>
        <v>0</v>
      </c>
      <c r="BE285" s="58">
        <f>MALE_FLOWER_Prod!$Y$37</f>
        <v>0</v>
      </c>
      <c r="BF285" s="21">
        <f>MALE_FLOWER_Prod!$AA$37</f>
        <v>0</v>
      </c>
      <c r="BG285" s="52" t="s">
        <v>69</v>
      </c>
      <c r="BH285" s="16"/>
    </row>
    <row r="286" spans="1:60" s="65" customFormat="1" ht="18.75">
      <c r="A286" s="21" t="s">
        <v>69</v>
      </c>
      <c r="B286" s="61"/>
      <c r="C286" s="62" t="s">
        <v>690</v>
      </c>
      <c r="D286" s="62"/>
      <c r="E286" s="62"/>
      <c r="F286" s="62"/>
      <c r="G286" s="61"/>
      <c r="H286" s="67"/>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52" t="s">
        <v>69</v>
      </c>
      <c r="BH286" s="64"/>
    </row>
    <row r="287" spans="1:60">
      <c r="A287" s="20"/>
      <c r="B287" s="11" t="s">
        <v>160</v>
      </c>
      <c r="C287" s="2" t="s">
        <v>164</v>
      </c>
      <c r="D287" s="15" t="s">
        <v>12</v>
      </c>
      <c r="E287" s="9" t="s">
        <v>0</v>
      </c>
      <c r="F287" s="40" t="s">
        <v>7</v>
      </c>
      <c r="G287" s="46">
        <f>MALE_FLOWER_Geom!$D$9</f>
        <v>1</v>
      </c>
      <c r="H287" s="72">
        <f>MALE_FLOWER_Geom!$D$10</f>
        <v>1</v>
      </c>
      <c r="I287" s="58">
        <f>MALE_FLOWER_Geom!$C$13</f>
        <v>0</v>
      </c>
      <c r="J287" s="21">
        <f>MALE_FLOWER_Geom!$D$13</f>
        <v>0.3</v>
      </c>
      <c r="K287" s="58">
        <f>MALE_FLOWER_Geom!$C$14</f>
        <v>0</v>
      </c>
      <c r="L287" s="21">
        <f>MALE_FLOWER_Geom!$D$14</f>
        <v>0</v>
      </c>
      <c r="M287" s="58">
        <f>MALE_FLOWER_Geom!$C$15</f>
        <v>0</v>
      </c>
      <c r="N287" s="21">
        <f>MALE_FLOWER_Geom!$D$15</f>
        <v>0</v>
      </c>
      <c r="O287" s="58">
        <f>MALE_FLOWER_Geom!$C$16</f>
        <v>0</v>
      </c>
      <c r="P287" s="21">
        <f>MALE_FLOWER_Geom!$D$16</f>
        <v>0</v>
      </c>
      <c r="Q287" s="58">
        <f>MALE_FLOWER_Geom!$C$17</f>
        <v>0</v>
      </c>
      <c r="R287" s="21">
        <f>MALE_FLOWER_Geom!$D$17</f>
        <v>0</v>
      </c>
      <c r="S287" s="58">
        <f>MALE_FLOWER_Geom!$C$18</f>
        <v>0</v>
      </c>
      <c r="T287" s="21">
        <f>MALE_FLOWER_Geom!$D$18</f>
        <v>0</v>
      </c>
      <c r="U287" s="58">
        <f>MALE_FLOWER_Geom!$C$19</f>
        <v>0</v>
      </c>
      <c r="V287" s="21">
        <f>MALE_FLOWER_Geom!$D$19</f>
        <v>0</v>
      </c>
      <c r="W287" s="58">
        <f>MALE_FLOWER_Geom!$C$20</f>
        <v>0</v>
      </c>
      <c r="X287" s="21">
        <f>MALE_FLOWER_Geom!$D$20</f>
        <v>0</v>
      </c>
      <c r="Y287" s="58">
        <f>MALE_FLOWER_Geom!$C$21</f>
        <v>0</v>
      </c>
      <c r="Z287" s="21">
        <f>MALE_FLOWER_Geom!$D$21</f>
        <v>0</v>
      </c>
      <c r="AA287" s="58">
        <f>MALE_FLOWER_Geom!$C$22</f>
        <v>0</v>
      </c>
      <c r="AB287" s="21">
        <f>MALE_FLOWER_Geom!$D$22</f>
        <v>0</v>
      </c>
      <c r="AC287" s="58">
        <f>MALE_FLOWER_Geom!$C$23</f>
        <v>0</v>
      </c>
      <c r="AD287" s="21">
        <f>MALE_FLOWER_Geom!$D$23</f>
        <v>0</v>
      </c>
      <c r="AE287" s="58">
        <f>MALE_FLOWER_Geom!$C$24</f>
        <v>0</v>
      </c>
      <c r="AF287" s="21">
        <f>MALE_FLOWER_Geom!$D$24</f>
        <v>0</v>
      </c>
      <c r="AG287" s="58">
        <f>MALE_FLOWER_Geom!$C$25</f>
        <v>0</v>
      </c>
      <c r="AH287" s="21">
        <f>MALE_FLOWER_Geom!$D$25</f>
        <v>0</v>
      </c>
      <c r="AI287" s="58">
        <f>MALE_FLOWER_Geom!$C$26</f>
        <v>0</v>
      </c>
      <c r="AJ287" s="21">
        <f>MALE_FLOWER_Geom!$D$26</f>
        <v>0</v>
      </c>
      <c r="AK287" s="58">
        <f>MALE_FLOWER_Geom!$C$27</f>
        <v>0</v>
      </c>
      <c r="AL287" s="21">
        <f>MALE_FLOWER_Geom!$D$27</f>
        <v>0</v>
      </c>
      <c r="AM287" s="58">
        <f>MALE_FLOWER_Geom!$C$28</f>
        <v>0</v>
      </c>
      <c r="AN287" s="21">
        <f>MALE_FLOWER_Geom!$D$28</f>
        <v>0</v>
      </c>
      <c r="AO287" s="58">
        <f>MALE_FLOWER_Geom!$C$29</f>
        <v>0</v>
      </c>
      <c r="AP287" s="21">
        <f>MALE_FLOWER_Geom!$D$29</f>
        <v>0</v>
      </c>
      <c r="AQ287" s="58">
        <f>MALE_FLOWER_Geom!$C$30</f>
        <v>0</v>
      </c>
      <c r="AR287" s="21">
        <f>MALE_FLOWER_Geom!$D$30</f>
        <v>0</v>
      </c>
      <c r="AS287" s="58">
        <f>MALE_FLOWER_Geom!$C$31</f>
        <v>0</v>
      </c>
      <c r="AT287" s="21">
        <f>MALE_FLOWER_Geom!$D$31</f>
        <v>0</v>
      </c>
      <c r="AU287" s="58">
        <f>MALE_FLOWER_Geom!$C$32</f>
        <v>0</v>
      </c>
      <c r="AV287" s="21">
        <f>MALE_FLOWER_Geom!$D$32</f>
        <v>0</v>
      </c>
      <c r="AW287" s="58">
        <f>MALE_FLOWER_Geom!$C$33</f>
        <v>0</v>
      </c>
      <c r="AX287" s="21">
        <f>MALE_FLOWER_Geom!$D$33</f>
        <v>0</v>
      </c>
      <c r="AY287" s="58">
        <f>MALE_FLOWER_Geom!$C$34</f>
        <v>0</v>
      </c>
      <c r="AZ287" s="21">
        <f>MALE_FLOWER_Geom!$D$34</f>
        <v>0</v>
      </c>
      <c r="BA287" s="58">
        <f>MALE_FLOWER_Geom!$C$35</f>
        <v>0</v>
      </c>
      <c r="BB287" s="21">
        <f>MALE_FLOWER_Geom!$D$35</f>
        <v>0</v>
      </c>
      <c r="BC287" s="58">
        <f>MALE_FLOWER_Geom!$C$36</f>
        <v>0</v>
      </c>
      <c r="BD287" s="21">
        <f>MALE_FLOWER_Geom!$D$36</f>
        <v>0</v>
      </c>
      <c r="BE287" s="58">
        <f>MALE_FLOWER_Geom!$C$37</f>
        <v>0</v>
      </c>
      <c r="BF287" s="21">
        <f>MALE_FLOWER_Geom!$D$37</f>
        <v>0</v>
      </c>
      <c r="BG287" s="52" t="s">
        <v>69</v>
      </c>
      <c r="BH287" s="16"/>
    </row>
    <row r="288" spans="1:60">
      <c r="A288" s="20"/>
      <c r="B288" s="11" t="s">
        <v>161</v>
      </c>
      <c r="C288" s="2" t="s">
        <v>165</v>
      </c>
      <c r="D288" s="15" t="s">
        <v>12</v>
      </c>
      <c r="E288" s="9" t="s">
        <v>0</v>
      </c>
      <c r="F288" s="40" t="s">
        <v>7</v>
      </c>
      <c r="G288" s="46">
        <f>MALE_FLOWER_Geom!$E$9</f>
        <v>1</v>
      </c>
      <c r="H288" s="72">
        <f>MALE_FLOWER_Geom!$E$10</f>
        <v>1</v>
      </c>
      <c r="I288" s="58">
        <f>MALE_FLOWER_Geom!$C$13</f>
        <v>0</v>
      </c>
      <c r="J288" s="21">
        <f>MALE_FLOWER_Geom!$E$13</f>
        <v>0</v>
      </c>
      <c r="K288" s="58">
        <f>MALE_FLOWER_Geom!$C$14</f>
        <v>0</v>
      </c>
      <c r="L288" s="21">
        <f>MALE_FLOWER_Geom!$E$14</f>
        <v>0</v>
      </c>
      <c r="M288" s="58">
        <f>MALE_FLOWER_Geom!$C$15</f>
        <v>0</v>
      </c>
      <c r="N288" s="21">
        <f>MALE_FLOWER_Geom!$E$15</f>
        <v>0</v>
      </c>
      <c r="O288" s="58">
        <f>MALE_FLOWER_Geom!$C$16</f>
        <v>0</v>
      </c>
      <c r="P288" s="21">
        <f>MALE_FLOWER_Geom!$E$16</f>
        <v>0</v>
      </c>
      <c r="Q288" s="58">
        <f>MALE_FLOWER_Geom!$C$17</f>
        <v>0</v>
      </c>
      <c r="R288" s="21">
        <f>MALE_FLOWER_Geom!$E$17</f>
        <v>0</v>
      </c>
      <c r="S288" s="58">
        <f>MALE_FLOWER_Geom!$C$18</f>
        <v>0</v>
      </c>
      <c r="T288" s="21">
        <f>MALE_FLOWER_Geom!$E$18</f>
        <v>0</v>
      </c>
      <c r="U288" s="58">
        <f>MALE_FLOWER_Geom!$C$19</f>
        <v>0</v>
      </c>
      <c r="V288" s="21">
        <f>MALE_FLOWER_Geom!$E$19</f>
        <v>0</v>
      </c>
      <c r="W288" s="58">
        <f>MALE_FLOWER_Geom!$C$20</f>
        <v>0</v>
      </c>
      <c r="X288" s="21">
        <f>MALE_FLOWER_Geom!$E$20</f>
        <v>0</v>
      </c>
      <c r="Y288" s="58">
        <f>MALE_FLOWER_Geom!$C$21</f>
        <v>0</v>
      </c>
      <c r="Z288" s="21">
        <f>MALE_FLOWER_Geom!$E$21</f>
        <v>0</v>
      </c>
      <c r="AA288" s="58">
        <f>MALE_FLOWER_Geom!$C$22</f>
        <v>0</v>
      </c>
      <c r="AB288" s="21">
        <f>MALE_FLOWER_Geom!$E$22</f>
        <v>0</v>
      </c>
      <c r="AC288" s="58">
        <f>MALE_FLOWER_Geom!$C$23</f>
        <v>0</v>
      </c>
      <c r="AD288" s="21">
        <f>MALE_FLOWER_Geom!$E$23</f>
        <v>0</v>
      </c>
      <c r="AE288" s="58">
        <f>MALE_FLOWER_Geom!$C$24</f>
        <v>0</v>
      </c>
      <c r="AF288" s="21">
        <f>MALE_FLOWER_Geom!$E$24</f>
        <v>0</v>
      </c>
      <c r="AG288" s="58">
        <f>MALE_FLOWER_Geom!$C$25</f>
        <v>0</v>
      </c>
      <c r="AH288" s="21">
        <f>MALE_FLOWER_Geom!$E$25</f>
        <v>0</v>
      </c>
      <c r="AI288" s="58">
        <f>MALE_FLOWER_Geom!$C$26</f>
        <v>0</v>
      </c>
      <c r="AJ288" s="21">
        <f>MALE_FLOWER_Geom!$E$26</f>
        <v>0</v>
      </c>
      <c r="AK288" s="58">
        <f>MALE_FLOWER_Geom!$C$27</f>
        <v>0</v>
      </c>
      <c r="AL288" s="21">
        <f>MALE_FLOWER_Geom!$E$27</f>
        <v>0</v>
      </c>
      <c r="AM288" s="58">
        <f>MALE_FLOWER_Geom!$C$28</f>
        <v>0</v>
      </c>
      <c r="AN288" s="21">
        <f>MALE_FLOWER_Geom!$E$28</f>
        <v>0</v>
      </c>
      <c r="AO288" s="58">
        <f>MALE_FLOWER_Geom!$C$29</f>
        <v>0</v>
      </c>
      <c r="AP288" s="21">
        <f>MALE_FLOWER_Geom!$E$29</f>
        <v>0</v>
      </c>
      <c r="AQ288" s="58">
        <f>MALE_FLOWER_Geom!$C$30</f>
        <v>0</v>
      </c>
      <c r="AR288" s="21">
        <f>MALE_FLOWER_Geom!$E$30</f>
        <v>0</v>
      </c>
      <c r="AS288" s="58">
        <f>MALE_FLOWER_Geom!$C$31</f>
        <v>0</v>
      </c>
      <c r="AT288" s="21">
        <f>MALE_FLOWER_Geom!$E$31</f>
        <v>0</v>
      </c>
      <c r="AU288" s="58">
        <f>MALE_FLOWER_Geom!$C$32</f>
        <v>0</v>
      </c>
      <c r="AV288" s="21">
        <f>MALE_FLOWER_Geom!$E$32</f>
        <v>0</v>
      </c>
      <c r="AW288" s="58">
        <f>MALE_FLOWER_Geom!$C$33</f>
        <v>0</v>
      </c>
      <c r="AX288" s="21">
        <f>MALE_FLOWER_Geom!$E$33</f>
        <v>0</v>
      </c>
      <c r="AY288" s="58">
        <f>MALE_FLOWER_Geom!$C$34</f>
        <v>0</v>
      </c>
      <c r="AZ288" s="21">
        <f>MALE_FLOWER_Geom!$E$34</f>
        <v>0</v>
      </c>
      <c r="BA288" s="58">
        <f>MALE_FLOWER_Geom!$C$35</f>
        <v>0</v>
      </c>
      <c r="BB288" s="21">
        <f>MALE_FLOWER_Geom!$E$35</f>
        <v>0</v>
      </c>
      <c r="BC288" s="58">
        <f>MALE_FLOWER_Geom!$C$36</f>
        <v>0</v>
      </c>
      <c r="BD288" s="21">
        <f>MALE_FLOWER_Geom!$E$36</f>
        <v>0</v>
      </c>
      <c r="BE288" s="58">
        <f>MALE_FLOWER_Geom!$C$37</f>
        <v>0</v>
      </c>
      <c r="BF288" s="21">
        <f>MALE_FLOWER_Geom!$E$37</f>
        <v>0</v>
      </c>
      <c r="BG288" s="52" t="s">
        <v>69</v>
      </c>
      <c r="BH288" s="16"/>
    </row>
    <row r="289" spans="1:60">
      <c r="A289" s="20"/>
      <c r="B289" s="11" t="s">
        <v>162</v>
      </c>
      <c r="C289" s="2" t="s">
        <v>166</v>
      </c>
      <c r="D289" s="15" t="s">
        <v>12</v>
      </c>
      <c r="E289" s="9" t="s">
        <v>0</v>
      </c>
      <c r="F289" s="40" t="s">
        <v>7</v>
      </c>
      <c r="G289" s="46">
        <f>MALE_FLOWER_Geom!$H$9</f>
        <v>1</v>
      </c>
      <c r="H289" s="72">
        <f>MALE_FLOWER_Geom!$H$10</f>
        <v>1</v>
      </c>
      <c r="I289" s="58">
        <f>MALE_FLOWER_Geom!$G$13</f>
        <v>0</v>
      </c>
      <c r="J289" s="21">
        <f>MALE_FLOWER_Geom!$H$13</f>
        <v>0.2</v>
      </c>
      <c r="K289" s="58">
        <f>MALE_FLOWER_Geom!$G$14</f>
        <v>0</v>
      </c>
      <c r="L289" s="21">
        <f>MALE_FLOWER_Geom!$H$14</f>
        <v>0</v>
      </c>
      <c r="M289" s="58">
        <f>MALE_FLOWER_Geom!$G$15</f>
        <v>0</v>
      </c>
      <c r="N289" s="21">
        <f>MALE_FLOWER_Geom!$H$15</f>
        <v>0</v>
      </c>
      <c r="O289" s="58">
        <f>MALE_FLOWER_Geom!$G$16</f>
        <v>0</v>
      </c>
      <c r="P289" s="21">
        <f>MALE_FLOWER_Geom!$H$16</f>
        <v>0</v>
      </c>
      <c r="Q289" s="58">
        <f>MALE_FLOWER_Geom!$G$17</f>
        <v>0</v>
      </c>
      <c r="R289" s="21">
        <f>MALE_FLOWER_Geom!$H$17</f>
        <v>0</v>
      </c>
      <c r="S289" s="58">
        <f>MALE_FLOWER_Geom!$G$18</f>
        <v>0</v>
      </c>
      <c r="T289" s="21">
        <f>MALE_FLOWER_Geom!$H$18</f>
        <v>0</v>
      </c>
      <c r="U289" s="58">
        <f>MALE_FLOWER_Geom!$G$19</f>
        <v>0</v>
      </c>
      <c r="V289" s="21">
        <f>MALE_FLOWER_Geom!$H$19</f>
        <v>0</v>
      </c>
      <c r="W289" s="58">
        <f>MALE_FLOWER_Geom!$G$20</f>
        <v>0</v>
      </c>
      <c r="X289" s="21">
        <f>MALE_FLOWER_Geom!$H$20</f>
        <v>0</v>
      </c>
      <c r="Y289" s="58">
        <f>MALE_FLOWER_Geom!$G$21</f>
        <v>0</v>
      </c>
      <c r="Z289" s="21">
        <f>MALE_FLOWER_Geom!$H$21</f>
        <v>0</v>
      </c>
      <c r="AA289" s="58">
        <f>MALE_FLOWER_Geom!$G$22</f>
        <v>0</v>
      </c>
      <c r="AB289" s="21">
        <f>MALE_FLOWER_Geom!$H$22</f>
        <v>0</v>
      </c>
      <c r="AC289" s="58">
        <f>MALE_FLOWER_Geom!$G$23</f>
        <v>0</v>
      </c>
      <c r="AD289" s="21">
        <f>MALE_FLOWER_Geom!$H$23</f>
        <v>0</v>
      </c>
      <c r="AE289" s="58">
        <f>MALE_FLOWER_Geom!$G$24</f>
        <v>0</v>
      </c>
      <c r="AF289" s="21">
        <f>MALE_FLOWER_Geom!$H$24</f>
        <v>0</v>
      </c>
      <c r="AG289" s="58">
        <f>MALE_FLOWER_Geom!$G$25</f>
        <v>0</v>
      </c>
      <c r="AH289" s="21">
        <f>MALE_FLOWER_Geom!$H$25</f>
        <v>0</v>
      </c>
      <c r="AI289" s="58">
        <f>MALE_FLOWER_Geom!$G$26</f>
        <v>0</v>
      </c>
      <c r="AJ289" s="21">
        <f>MALE_FLOWER_Geom!$H$26</f>
        <v>0</v>
      </c>
      <c r="AK289" s="58">
        <f>MALE_FLOWER_Geom!$G$27</f>
        <v>0</v>
      </c>
      <c r="AL289" s="21">
        <f>MALE_FLOWER_Geom!$H$27</f>
        <v>0</v>
      </c>
      <c r="AM289" s="58">
        <f>MALE_FLOWER_Geom!$G$28</f>
        <v>0</v>
      </c>
      <c r="AN289" s="21">
        <f>MALE_FLOWER_Geom!$H$28</f>
        <v>0</v>
      </c>
      <c r="AO289" s="58">
        <f>MALE_FLOWER_Geom!$G$29</f>
        <v>0</v>
      </c>
      <c r="AP289" s="21">
        <f>MALE_FLOWER_Geom!$H$29</f>
        <v>0</v>
      </c>
      <c r="AQ289" s="58">
        <f>MALE_FLOWER_Geom!$G$30</f>
        <v>0</v>
      </c>
      <c r="AR289" s="21">
        <f>MALE_FLOWER_Geom!$H$30</f>
        <v>0</v>
      </c>
      <c r="AS289" s="58">
        <f>MALE_FLOWER_Geom!$G$31</f>
        <v>0</v>
      </c>
      <c r="AT289" s="21">
        <f>MALE_FLOWER_Geom!$H$31</f>
        <v>0</v>
      </c>
      <c r="AU289" s="58">
        <f>MALE_FLOWER_Geom!$G$32</f>
        <v>0</v>
      </c>
      <c r="AV289" s="21">
        <f>MALE_FLOWER_Geom!$H$32</f>
        <v>0</v>
      </c>
      <c r="AW289" s="58">
        <f>MALE_FLOWER_Geom!$G$33</f>
        <v>0</v>
      </c>
      <c r="AX289" s="21">
        <f>MALE_FLOWER_Geom!$H$33</f>
        <v>0</v>
      </c>
      <c r="AY289" s="58">
        <f>MALE_FLOWER_Geom!$G$34</f>
        <v>0</v>
      </c>
      <c r="AZ289" s="21">
        <f>MALE_FLOWER_Geom!$H$34</f>
        <v>0</v>
      </c>
      <c r="BA289" s="58">
        <f>MALE_FLOWER_Geom!$G$35</f>
        <v>0</v>
      </c>
      <c r="BB289" s="21">
        <f>MALE_FLOWER_Geom!$H$35</f>
        <v>0</v>
      </c>
      <c r="BC289" s="58">
        <f>MALE_FLOWER_Geom!$G$36</f>
        <v>0</v>
      </c>
      <c r="BD289" s="21">
        <f>MALE_FLOWER_Geom!$H$36</f>
        <v>0</v>
      </c>
      <c r="BE289" s="58">
        <f>MALE_FLOWER_Geom!$G$37</f>
        <v>0</v>
      </c>
      <c r="BF289" s="21">
        <f>MALE_FLOWER_Geom!$H$37</f>
        <v>0</v>
      </c>
      <c r="BG289" s="52" t="s">
        <v>69</v>
      </c>
      <c r="BH289" s="16"/>
    </row>
    <row r="290" spans="1:60">
      <c r="A290" s="20"/>
      <c r="B290" s="11" t="s">
        <v>163</v>
      </c>
      <c r="C290" s="2" t="s">
        <v>167</v>
      </c>
      <c r="D290" s="15" t="s">
        <v>12</v>
      </c>
      <c r="E290" s="9" t="s">
        <v>0</v>
      </c>
      <c r="F290" s="40" t="s">
        <v>7</v>
      </c>
      <c r="G290" s="46">
        <f>MALE_FLOWER_Geom!$I$9</f>
        <v>1</v>
      </c>
      <c r="H290" s="72">
        <f>MALE_FLOWER_Geom!$I$10</f>
        <v>1</v>
      </c>
      <c r="I290" s="58">
        <f>MALE_FLOWER_Geom!$G$13</f>
        <v>0</v>
      </c>
      <c r="J290" s="21">
        <f>MALE_FLOWER_Geom!$I$13</f>
        <v>0</v>
      </c>
      <c r="K290" s="58">
        <f>MALE_FLOWER_Geom!$G$14</f>
        <v>0</v>
      </c>
      <c r="L290" s="21">
        <f>MALE_FLOWER_Geom!$I$14</f>
        <v>0</v>
      </c>
      <c r="M290" s="58">
        <f>MALE_FLOWER_Geom!$G$15</f>
        <v>0</v>
      </c>
      <c r="N290" s="21">
        <f>MALE_FLOWER_Geom!$I$15</f>
        <v>0</v>
      </c>
      <c r="O290" s="58">
        <f>MALE_FLOWER_Geom!$G$16</f>
        <v>0</v>
      </c>
      <c r="P290" s="21">
        <f>MALE_FLOWER_Geom!$I$16</f>
        <v>0</v>
      </c>
      <c r="Q290" s="58">
        <f>MALE_FLOWER_Geom!$G$17</f>
        <v>0</v>
      </c>
      <c r="R290" s="21">
        <f>MALE_FLOWER_Geom!$I$17</f>
        <v>0</v>
      </c>
      <c r="S290" s="58">
        <f>MALE_FLOWER_Geom!$G$18</f>
        <v>0</v>
      </c>
      <c r="T290" s="21">
        <f>MALE_FLOWER_Geom!$I$18</f>
        <v>0</v>
      </c>
      <c r="U290" s="58">
        <f>MALE_FLOWER_Geom!$G$19</f>
        <v>0</v>
      </c>
      <c r="V290" s="21">
        <f>MALE_FLOWER_Geom!$I$19</f>
        <v>0</v>
      </c>
      <c r="W290" s="58">
        <f>MALE_FLOWER_Geom!$G$20</f>
        <v>0</v>
      </c>
      <c r="X290" s="21">
        <f>MALE_FLOWER_Geom!$I$20</f>
        <v>0</v>
      </c>
      <c r="Y290" s="58">
        <f>MALE_FLOWER_Geom!$G$21</f>
        <v>0</v>
      </c>
      <c r="Z290" s="21">
        <f>MALE_FLOWER_Geom!$I$21</f>
        <v>0</v>
      </c>
      <c r="AA290" s="58">
        <f>MALE_FLOWER_Geom!$G$22</f>
        <v>0</v>
      </c>
      <c r="AB290" s="21">
        <f>MALE_FLOWER_Geom!$I$22</f>
        <v>0</v>
      </c>
      <c r="AC290" s="58">
        <f>MALE_FLOWER_Geom!$G$23</f>
        <v>0</v>
      </c>
      <c r="AD290" s="21">
        <f>MALE_FLOWER_Geom!$I$23</f>
        <v>0</v>
      </c>
      <c r="AE290" s="58">
        <f>MALE_FLOWER_Geom!$G$24</f>
        <v>0</v>
      </c>
      <c r="AF290" s="21">
        <f>MALE_FLOWER_Geom!$I$24</f>
        <v>0</v>
      </c>
      <c r="AG290" s="58">
        <f>MALE_FLOWER_Geom!$G$25</f>
        <v>0</v>
      </c>
      <c r="AH290" s="21">
        <f>MALE_FLOWER_Geom!$I$25</f>
        <v>0</v>
      </c>
      <c r="AI290" s="58">
        <f>MALE_FLOWER_Geom!$G$26</f>
        <v>0</v>
      </c>
      <c r="AJ290" s="21">
        <f>MALE_FLOWER_Geom!$I$26</f>
        <v>0</v>
      </c>
      <c r="AK290" s="58">
        <f>MALE_FLOWER_Geom!$G$27</f>
        <v>0</v>
      </c>
      <c r="AL290" s="21">
        <f>MALE_FLOWER_Geom!$I$27</f>
        <v>0</v>
      </c>
      <c r="AM290" s="58">
        <f>MALE_FLOWER_Geom!$G$28</f>
        <v>0</v>
      </c>
      <c r="AN290" s="21">
        <f>MALE_FLOWER_Geom!$I$28</f>
        <v>0</v>
      </c>
      <c r="AO290" s="58">
        <f>MALE_FLOWER_Geom!$G$29</f>
        <v>0</v>
      </c>
      <c r="AP290" s="21">
        <f>MALE_FLOWER_Geom!$I$29</f>
        <v>0</v>
      </c>
      <c r="AQ290" s="58">
        <f>MALE_FLOWER_Geom!$G$30</f>
        <v>0</v>
      </c>
      <c r="AR290" s="21">
        <f>MALE_FLOWER_Geom!$I$30</f>
        <v>0</v>
      </c>
      <c r="AS290" s="58">
        <f>MALE_FLOWER_Geom!$G$31</f>
        <v>0</v>
      </c>
      <c r="AT290" s="21">
        <f>MALE_FLOWER_Geom!$I$31</f>
        <v>0</v>
      </c>
      <c r="AU290" s="58">
        <f>MALE_FLOWER_Geom!$G$32</f>
        <v>0</v>
      </c>
      <c r="AV290" s="21">
        <f>MALE_FLOWER_Geom!$I$32</f>
        <v>0</v>
      </c>
      <c r="AW290" s="58">
        <f>MALE_FLOWER_Geom!$G$33</f>
        <v>0</v>
      </c>
      <c r="AX290" s="21">
        <f>MALE_FLOWER_Geom!$I$33</f>
        <v>0</v>
      </c>
      <c r="AY290" s="58">
        <f>MALE_FLOWER_Geom!$G$34</f>
        <v>0</v>
      </c>
      <c r="AZ290" s="21">
        <f>MALE_FLOWER_Geom!$I$34</f>
        <v>0</v>
      </c>
      <c r="BA290" s="58">
        <f>MALE_FLOWER_Geom!$G$35</f>
        <v>0</v>
      </c>
      <c r="BB290" s="21">
        <f>MALE_FLOWER_Geom!$I$35</f>
        <v>0</v>
      </c>
      <c r="BC290" s="58">
        <f>MALE_FLOWER_Geom!$G$36</f>
        <v>0</v>
      </c>
      <c r="BD290" s="21">
        <f>MALE_FLOWER_Geom!$I$36</f>
        <v>0</v>
      </c>
      <c r="BE290" s="58">
        <f>MALE_FLOWER_Geom!$G$37</f>
        <v>0</v>
      </c>
      <c r="BF290" s="21">
        <f>MALE_FLOWER_Geom!$I$37</f>
        <v>0</v>
      </c>
      <c r="BG290" s="52" t="s">
        <v>69</v>
      </c>
      <c r="BH290" s="16"/>
    </row>
    <row r="291" spans="1:60" ht="18.75">
      <c r="A291" s="21" t="s">
        <v>69</v>
      </c>
      <c r="B291" s="36"/>
      <c r="C291" s="62" t="s">
        <v>691</v>
      </c>
      <c r="D291" s="37"/>
      <c r="E291" s="37"/>
      <c r="F291" s="37"/>
      <c r="G291" s="37"/>
      <c r="H291" s="68"/>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2" t="s">
        <v>69</v>
      </c>
      <c r="BH291" s="16"/>
    </row>
    <row r="292" spans="1:60">
      <c r="A292" s="20"/>
      <c r="B292" s="11" t="s">
        <v>335</v>
      </c>
      <c r="C292" s="2" t="s">
        <v>458</v>
      </c>
      <c r="D292" s="15" t="s">
        <v>12</v>
      </c>
      <c r="E292" s="9" t="s">
        <v>4</v>
      </c>
      <c r="F292" s="40" t="s">
        <v>11</v>
      </c>
      <c r="G292" s="46">
        <f>MIXED_FLOWER_Prod!$D$9</f>
        <v>1</v>
      </c>
      <c r="H292" s="72">
        <f>MIXED_FLOWER_Prod!$D$10</f>
        <v>2</v>
      </c>
      <c r="I292" s="58">
        <f>MIXED_FLOWER_Prod!$C$13</f>
        <v>0</v>
      </c>
      <c r="J292" s="21">
        <f>MIXED_FLOWER_Prod!$D$13</f>
        <v>10</v>
      </c>
      <c r="K292" s="58">
        <f>MIXED_FLOWER_Prod!$C$14</f>
        <v>50</v>
      </c>
      <c r="L292" s="21">
        <f>MIXED_FLOWER_Prod!$D$14</f>
        <v>50</v>
      </c>
      <c r="M292" s="58">
        <f>MIXED_FLOWER_Prod!$C$15</f>
        <v>0</v>
      </c>
      <c r="N292" s="21">
        <f>MIXED_FLOWER_Prod!$D$15</f>
        <v>0</v>
      </c>
      <c r="O292" s="58">
        <f>MIXED_FLOWER_Prod!$C$16</f>
        <v>0</v>
      </c>
      <c r="P292" s="21">
        <f>MIXED_FLOWER_Prod!$D$16</f>
        <v>0</v>
      </c>
      <c r="Q292" s="58">
        <f>MIXED_FLOWER_Prod!$C$17</f>
        <v>0</v>
      </c>
      <c r="R292" s="21">
        <f>MIXED_FLOWER_Prod!$D$17</f>
        <v>0</v>
      </c>
      <c r="S292" s="58">
        <f>MIXED_FLOWER_Prod!$C$18</f>
        <v>0</v>
      </c>
      <c r="T292" s="21">
        <f>MIXED_FLOWER_Prod!$D$18</f>
        <v>0</v>
      </c>
      <c r="U292" s="58">
        <f>MIXED_FLOWER_Prod!$C$19</f>
        <v>0</v>
      </c>
      <c r="V292" s="21">
        <f>MIXED_FLOWER_Prod!$D$19</f>
        <v>0</v>
      </c>
      <c r="W292" s="58">
        <f>MIXED_FLOWER_Prod!$C$20</f>
        <v>0</v>
      </c>
      <c r="X292" s="21">
        <f>MIXED_FLOWER_Prod!$D$20</f>
        <v>0</v>
      </c>
      <c r="Y292" s="58">
        <f>MIXED_FLOWER_Prod!$C$21</f>
        <v>0</v>
      </c>
      <c r="Z292" s="21">
        <f>MIXED_FLOWER_Prod!$D$21</f>
        <v>0</v>
      </c>
      <c r="AA292" s="58">
        <f>MIXED_FLOWER_Prod!$C$22</f>
        <v>0</v>
      </c>
      <c r="AB292" s="21">
        <f>MIXED_FLOWER_Prod!$D$22</f>
        <v>0</v>
      </c>
      <c r="AC292" s="58">
        <f>MIXED_FLOWER_Prod!$C$23</f>
        <v>0</v>
      </c>
      <c r="AD292" s="21">
        <f>MIXED_FLOWER_Prod!$D$23</f>
        <v>0</v>
      </c>
      <c r="AE292" s="58">
        <f>MIXED_FLOWER_Prod!$C$24</f>
        <v>0</v>
      </c>
      <c r="AF292" s="21">
        <f>MIXED_FLOWER_Prod!$D$24</f>
        <v>0</v>
      </c>
      <c r="AG292" s="58">
        <f>MIXED_FLOWER_Prod!$C$25</f>
        <v>0</v>
      </c>
      <c r="AH292" s="21">
        <f>MIXED_FLOWER_Prod!$D$25</f>
        <v>0</v>
      </c>
      <c r="AI292" s="58">
        <f>MIXED_FLOWER_Prod!$C$26</f>
        <v>0</v>
      </c>
      <c r="AJ292" s="21">
        <f>MIXED_FLOWER_Prod!$D$26</f>
        <v>0</v>
      </c>
      <c r="AK292" s="58">
        <f>MIXED_FLOWER_Prod!$C$27</f>
        <v>0</v>
      </c>
      <c r="AL292" s="21">
        <f>MIXED_FLOWER_Prod!$D$27</f>
        <v>0</v>
      </c>
      <c r="AM292" s="58">
        <f>MIXED_FLOWER_Prod!$C$28</f>
        <v>0</v>
      </c>
      <c r="AN292" s="21">
        <f>MIXED_FLOWER_Prod!$D$28</f>
        <v>0</v>
      </c>
      <c r="AO292" s="58">
        <f>MIXED_FLOWER_Prod!$C$29</f>
        <v>0</v>
      </c>
      <c r="AP292" s="21">
        <f>MIXED_FLOWER_Prod!$D$29</f>
        <v>0</v>
      </c>
      <c r="AQ292" s="58">
        <f>MIXED_FLOWER_Prod!$C$30</f>
        <v>0</v>
      </c>
      <c r="AR292" s="21">
        <f>MIXED_FLOWER_Prod!$D$30</f>
        <v>0</v>
      </c>
      <c r="AS292" s="58">
        <f>MIXED_FLOWER_Prod!$C$31</f>
        <v>0</v>
      </c>
      <c r="AT292" s="21">
        <f>MIXED_FLOWER_Prod!$D$31</f>
        <v>0</v>
      </c>
      <c r="AU292" s="58">
        <f>MIXED_FLOWER_Prod!$C$32</f>
        <v>0</v>
      </c>
      <c r="AV292" s="21">
        <f>MIXED_FLOWER_Prod!$D$32</f>
        <v>0</v>
      </c>
      <c r="AW292" s="58">
        <f>MIXED_FLOWER_Prod!$C$33</f>
        <v>0</v>
      </c>
      <c r="AX292" s="21">
        <f>MIXED_FLOWER_Prod!$D$33</f>
        <v>0</v>
      </c>
      <c r="AY292" s="58">
        <f>MIXED_FLOWER_Prod!$C$34</f>
        <v>0</v>
      </c>
      <c r="AZ292" s="21">
        <f>MIXED_FLOWER_Prod!$D$34</f>
        <v>0</v>
      </c>
      <c r="BA292" s="58">
        <f>MIXED_FLOWER_Prod!$C$35</f>
        <v>0</v>
      </c>
      <c r="BB292" s="21">
        <f>MIXED_FLOWER_Prod!$D$35</f>
        <v>0</v>
      </c>
      <c r="BC292" s="58">
        <f>MIXED_FLOWER_Prod!$C$36</f>
        <v>0</v>
      </c>
      <c r="BD292" s="21">
        <f>MIXED_FLOWER_Prod!$D$36</f>
        <v>0</v>
      </c>
      <c r="BE292" s="58">
        <f>MIXED_FLOWER_Prod!$C$37</f>
        <v>0</v>
      </c>
      <c r="BF292" s="21">
        <f>MIXED_FLOWER_Prod!$D$37</f>
        <v>0</v>
      </c>
      <c r="BG292" s="52" t="s">
        <v>69</v>
      </c>
      <c r="BH292" s="16"/>
    </row>
    <row r="293" spans="1:60">
      <c r="A293" s="20"/>
      <c r="B293" s="11" t="s">
        <v>457</v>
      </c>
      <c r="C293" s="2" t="s">
        <v>459</v>
      </c>
      <c r="D293" s="15" t="s">
        <v>12</v>
      </c>
      <c r="E293" s="9" t="s">
        <v>4</v>
      </c>
      <c r="F293" s="40" t="s">
        <v>11</v>
      </c>
      <c r="G293" s="46">
        <f>MIXED_FLOWER_Prod!$E$9</f>
        <v>1</v>
      </c>
      <c r="H293" s="72">
        <f>MIXED_FLOWER_Prod!$E$10</f>
        <v>2</v>
      </c>
      <c r="I293" s="58">
        <f>MIXED_FLOWER_Prod!$C$13</f>
        <v>0</v>
      </c>
      <c r="J293" s="21">
        <f>MIXED_FLOWER_Prod!$E$13</f>
        <v>0</v>
      </c>
      <c r="K293" s="58">
        <f>MIXED_FLOWER_Prod!$C$14</f>
        <v>50</v>
      </c>
      <c r="L293" s="21">
        <f>MIXED_FLOWER_Prod!$E$14</f>
        <v>0</v>
      </c>
      <c r="M293" s="58">
        <f>MIXED_FLOWER_Prod!$C$15</f>
        <v>0</v>
      </c>
      <c r="N293" s="21">
        <f>MIXED_FLOWER_Prod!$E$15</f>
        <v>0</v>
      </c>
      <c r="O293" s="58">
        <f>MIXED_FLOWER_Prod!$C$16</f>
        <v>0</v>
      </c>
      <c r="P293" s="21">
        <f>MIXED_FLOWER_Prod!$E$16</f>
        <v>0</v>
      </c>
      <c r="Q293" s="58">
        <f>MIXED_FLOWER_Prod!$C$17</f>
        <v>0</v>
      </c>
      <c r="R293" s="21">
        <f>MIXED_FLOWER_Prod!$E$17</f>
        <v>0</v>
      </c>
      <c r="S293" s="58">
        <f>MIXED_FLOWER_Prod!$C$18</f>
        <v>0</v>
      </c>
      <c r="T293" s="21">
        <f>MIXED_FLOWER_Prod!$E$18</f>
        <v>0</v>
      </c>
      <c r="U293" s="58">
        <f>MIXED_FLOWER_Prod!$C$19</f>
        <v>0</v>
      </c>
      <c r="V293" s="21">
        <f>MIXED_FLOWER_Prod!$E$19</f>
        <v>0</v>
      </c>
      <c r="W293" s="58">
        <f>MIXED_FLOWER_Prod!$C$20</f>
        <v>0</v>
      </c>
      <c r="X293" s="21">
        <f>MIXED_FLOWER_Prod!$E$20</f>
        <v>0</v>
      </c>
      <c r="Y293" s="58">
        <f>MIXED_FLOWER_Prod!$C$21</f>
        <v>0</v>
      </c>
      <c r="Z293" s="21">
        <f>MIXED_FLOWER_Prod!$E$21</f>
        <v>0</v>
      </c>
      <c r="AA293" s="58">
        <f>MIXED_FLOWER_Prod!$C$22</f>
        <v>0</v>
      </c>
      <c r="AB293" s="21">
        <f>MIXED_FLOWER_Prod!$E$22</f>
        <v>0</v>
      </c>
      <c r="AC293" s="58">
        <f>MIXED_FLOWER_Prod!$C$23</f>
        <v>0</v>
      </c>
      <c r="AD293" s="21">
        <f>MIXED_FLOWER_Prod!$E$23</f>
        <v>0</v>
      </c>
      <c r="AE293" s="58">
        <f>MIXED_FLOWER_Prod!$C$24</f>
        <v>0</v>
      </c>
      <c r="AF293" s="21">
        <f>MIXED_FLOWER_Prod!$E$24</f>
        <v>0</v>
      </c>
      <c r="AG293" s="58">
        <f>MIXED_FLOWER_Prod!$C$25</f>
        <v>0</v>
      </c>
      <c r="AH293" s="21">
        <f>MIXED_FLOWER_Prod!$E$25</f>
        <v>0</v>
      </c>
      <c r="AI293" s="58">
        <f>MIXED_FLOWER_Prod!$C$26</f>
        <v>0</v>
      </c>
      <c r="AJ293" s="21">
        <f>MIXED_FLOWER_Prod!$E$26</f>
        <v>0</v>
      </c>
      <c r="AK293" s="58">
        <f>MIXED_FLOWER_Prod!$C$27</f>
        <v>0</v>
      </c>
      <c r="AL293" s="21">
        <f>MIXED_FLOWER_Prod!$E$27</f>
        <v>0</v>
      </c>
      <c r="AM293" s="58">
        <f>MIXED_FLOWER_Prod!$C$28</f>
        <v>0</v>
      </c>
      <c r="AN293" s="21">
        <f>MIXED_FLOWER_Prod!$E$28</f>
        <v>0</v>
      </c>
      <c r="AO293" s="58">
        <f>MIXED_FLOWER_Prod!$C$29</f>
        <v>0</v>
      </c>
      <c r="AP293" s="21">
        <f>MIXED_FLOWER_Prod!$E$29</f>
        <v>0</v>
      </c>
      <c r="AQ293" s="58">
        <f>MIXED_FLOWER_Prod!$C$30</f>
        <v>0</v>
      </c>
      <c r="AR293" s="21">
        <f>MIXED_FLOWER_Prod!$E$30</f>
        <v>0</v>
      </c>
      <c r="AS293" s="58">
        <f>MIXED_FLOWER_Prod!$C$31</f>
        <v>0</v>
      </c>
      <c r="AT293" s="21">
        <f>MIXED_FLOWER_Prod!$E$31</f>
        <v>0</v>
      </c>
      <c r="AU293" s="58">
        <f>MIXED_FLOWER_Prod!$C$32</f>
        <v>0</v>
      </c>
      <c r="AV293" s="21">
        <f>MIXED_FLOWER_Prod!$E$32</f>
        <v>0</v>
      </c>
      <c r="AW293" s="58">
        <f>MIXED_FLOWER_Prod!$C$33</f>
        <v>0</v>
      </c>
      <c r="AX293" s="21">
        <f>MIXED_FLOWER_Prod!$E$33</f>
        <v>0</v>
      </c>
      <c r="AY293" s="58">
        <f>MIXED_FLOWER_Prod!$C$34</f>
        <v>0</v>
      </c>
      <c r="AZ293" s="21">
        <f>MIXED_FLOWER_Prod!$E$34</f>
        <v>0</v>
      </c>
      <c r="BA293" s="58">
        <f>MIXED_FLOWER_Prod!$C$35</f>
        <v>0</v>
      </c>
      <c r="BB293" s="21">
        <f>MIXED_FLOWER_Prod!$E$35</f>
        <v>0</v>
      </c>
      <c r="BC293" s="58">
        <f>MIXED_FLOWER_Prod!$C$36</f>
        <v>0</v>
      </c>
      <c r="BD293" s="21">
        <f>MIXED_FLOWER_Prod!$E$36</f>
        <v>0</v>
      </c>
      <c r="BE293" s="58">
        <f>MIXED_FLOWER_Prod!$C$37</f>
        <v>0</v>
      </c>
      <c r="BF293" s="21">
        <f>MIXED_FLOWER_Prod!$E$37</f>
        <v>0</v>
      </c>
      <c r="BG293" s="52" t="s">
        <v>69</v>
      </c>
      <c r="BH293" s="16"/>
    </row>
    <row r="294" spans="1:60">
      <c r="A294" s="20"/>
      <c r="B294" s="11" t="s">
        <v>333</v>
      </c>
      <c r="C294" s="2" t="s">
        <v>692</v>
      </c>
      <c r="D294" s="15" t="s">
        <v>12</v>
      </c>
      <c r="E294" s="2" t="s">
        <v>297</v>
      </c>
      <c r="F294" s="40" t="s">
        <v>331</v>
      </c>
      <c r="G294" s="46">
        <f>MIXED_FLOWER_Prod!$H$9</f>
        <v>1</v>
      </c>
      <c r="H294" s="72">
        <f>MIXED_FLOWER_Prod!$H$10</f>
        <v>1</v>
      </c>
      <c r="I294" s="58">
        <f>MIXED_FLOWER_Prod!$G$13</f>
        <v>0</v>
      </c>
      <c r="J294" s="26">
        <f>MIXED_FLOWER_Prod!$H$13</f>
        <v>50</v>
      </c>
      <c r="K294" s="58">
        <f>MIXED_FLOWER_Prod!$G$14</f>
        <v>0</v>
      </c>
      <c r="L294" s="26">
        <f>MIXED_FLOWER_Prod!$H$14</f>
        <v>0</v>
      </c>
      <c r="M294" s="58">
        <f>MIXED_FLOWER_Prod!$G$15</f>
        <v>0</v>
      </c>
      <c r="N294" s="26">
        <f>MIXED_FLOWER_Prod!$H$15</f>
        <v>0</v>
      </c>
      <c r="O294" s="58">
        <f>MIXED_FLOWER_Prod!$G$16</f>
        <v>0</v>
      </c>
      <c r="P294" s="26">
        <f>MIXED_FLOWER_Prod!$H$16</f>
        <v>0</v>
      </c>
      <c r="Q294" s="58">
        <f>MIXED_FLOWER_Prod!$G$17</f>
        <v>0</v>
      </c>
      <c r="R294" s="26">
        <f>MIXED_FLOWER_Prod!$H$17</f>
        <v>0</v>
      </c>
      <c r="S294" s="58">
        <f>MIXED_FLOWER_Prod!$G$18</f>
        <v>0</v>
      </c>
      <c r="T294" s="26">
        <f>MIXED_FLOWER_Prod!$H$18</f>
        <v>0</v>
      </c>
      <c r="U294" s="58">
        <f>MIXED_FLOWER_Prod!$G$19</f>
        <v>0</v>
      </c>
      <c r="V294" s="26">
        <f>MIXED_FLOWER_Prod!$H$19</f>
        <v>0</v>
      </c>
      <c r="W294" s="58">
        <f>MIXED_FLOWER_Prod!$G$20</f>
        <v>0</v>
      </c>
      <c r="X294" s="26">
        <f>MIXED_FLOWER_Prod!$H$20</f>
        <v>0</v>
      </c>
      <c r="Y294" s="58">
        <f>MIXED_FLOWER_Prod!$G$21</f>
        <v>0</v>
      </c>
      <c r="Z294" s="26">
        <f>MIXED_FLOWER_Prod!$H$21</f>
        <v>0</v>
      </c>
      <c r="AA294" s="58">
        <f>MIXED_FLOWER_Prod!$G$22</f>
        <v>0</v>
      </c>
      <c r="AB294" s="26">
        <f>MIXED_FLOWER_Prod!$H$22</f>
        <v>0</v>
      </c>
      <c r="AC294" s="58">
        <f>MIXED_FLOWER_Prod!$G$23</f>
        <v>0</v>
      </c>
      <c r="AD294" s="26">
        <f>MIXED_FLOWER_Prod!$H$23</f>
        <v>0</v>
      </c>
      <c r="AE294" s="58">
        <f>MIXED_FLOWER_Prod!$G$24</f>
        <v>0</v>
      </c>
      <c r="AF294" s="26">
        <f>MIXED_FLOWER_Prod!$H$24</f>
        <v>0</v>
      </c>
      <c r="AG294" s="58">
        <f>MIXED_FLOWER_Prod!$G$25</f>
        <v>0</v>
      </c>
      <c r="AH294" s="26">
        <f>MIXED_FLOWER_Prod!$H$25</f>
        <v>0</v>
      </c>
      <c r="AI294" s="58">
        <f>MIXED_FLOWER_Prod!$G$26</f>
        <v>0</v>
      </c>
      <c r="AJ294" s="26">
        <f>MIXED_FLOWER_Prod!$H$26</f>
        <v>0</v>
      </c>
      <c r="AK294" s="58">
        <f>MIXED_FLOWER_Prod!$G$27</f>
        <v>0</v>
      </c>
      <c r="AL294" s="26">
        <f>MIXED_FLOWER_Prod!$H$27</f>
        <v>0</v>
      </c>
      <c r="AM294" s="58">
        <f>MIXED_FLOWER_Prod!$G$28</f>
        <v>0</v>
      </c>
      <c r="AN294" s="26">
        <f>MIXED_FLOWER_Prod!$H$28</f>
        <v>0</v>
      </c>
      <c r="AO294" s="58">
        <f>MIXED_FLOWER_Prod!$G$29</f>
        <v>0</v>
      </c>
      <c r="AP294" s="26">
        <f>MIXED_FLOWER_Prod!$H$29</f>
        <v>0</v>
      </c>
      <c r="AQ294" s="58">
        <f>MIXED_FLOWER_Prod!$G$30</f>
        <v>0</v>
      </c>
      <c r="AR294" s="26">
        <f>MIXED_FLOWER_Prod!$H$30</f>
        <v>0</v>
      </c>
      <c r="AS294" s="58">
        <f>MIXED_FLOWER_Prod!$G$31</f>
        <v>0</v>
      </c>
      <c r="AT294" s="26">
        <f>MIXED_FLOWER_Prod!$H$31</f>
        <v>0</v>
      </c>
      <c r="AU294" s="58">
        <f>MIXED_FLOWER_Prod!$G$32</f>
        <v>0</v>
      </c>
      <c r="AV294" s="26">
        <f>MIXED_FLOWER_Prod!$H$32</f>
        <v>0</v>
      </c>
      <c r="AW294" s="58">
        <f>MIXED_FLOWER_Prod!$G$33</f>
        <v>0</v>
      </c>
      <c r="AX294" s="26">
        <f>MIXED_FLOWER_Prod!$H$33</f>
        <v>0</v>
      </c>
      <c r="AY294" s="58">
        <f>MIXED_FLOWER_Prod!$G$34</f>
        <v>0</v>
      </c>
      <c r="AZ294" s="26">
        <f>MIXED_FLOWER_Prod!$H$34</f>
        <v>0</v>
      </c>
      <c r="BA294" s="58">
        <f>MIXED_FLOWER_Prod!$G$35</f>
        <v>0</v>
      </c>
      <c r="BB294" s="26">
        <f>MIXED_FLOWER_Prod!$H$35</f>
        <v>0</v>
      </c>
      <c r="BC294" s="58">
        <f>MIXED_FLOWER_Prod!$G$36</f>
        <v>0</v>
      </c>
      <c r="BD294" s="26">
        <f>MIXED_FLOWER_Prod!$H$36</f>
        <v>0</v>
      </c>
      <c r="BE294" s="58">
        <f>MIXED_FLOWER_Prod!$G$37</f>
        <v>0</v>
      </c>
      <c r="BF294" s="26">
        <f>MIXED_FLOWER_Prod!$H$37</f>
        <v>0</v>
      </c>
      <c r="BG294" s="52" t="s">
        <v>69</v>
      </c>
      <c r="BH294" s="16"/>
    </row>
    <row r="295" spans="1:60">
      <c r="A295" s="20"/>
      <c r="B295" s="11" t="s">
        <v>334</v>
      </c>
      <c r="C295" s="2" t="s">
        <v>602</v>
      </c>
      <c r="D295" s="15" t="s">
        <v>12</v>
      </c>
      <c r="E295" s="9" t="s">
        <v>4</v>
      </c>
      <c r="F295" s="40" t="s">
        <v>11</v>
      </c>
      <c r="G295" s="46">
        <f>MIXED_FLOWER_Prod!$I$9</f>
        <v>1</v>
      </c>
      <c r="H295" s="72">
        <f>MIXED_FLOWER_Prod!$I$10</f>
        <v>1</v>
      </c>
      <c r="I295" s="58">
        <f>MIXED_FLOWER_Prod!$G$13</f>
        <v>0</v>
      </c>
      <c r="J295" s="21">
        <f>MIXED_FLOWER_Prod!$I$13</f>
        <v>0</v>
      </c>
      <c r="K295" s="58">
        <f>MIXED_FLOWER_Prod!$G$14</f>
        <v>0</v>
      </c>
      <c r="L295" s="21">
        <f>MIXED_FLOWER_Prod!$I$14</f>
        <v>0</v>
      </c>
      <c r="M295" s="58">
        <f>MIXED_FLOWER_Prod!$G$15</f>
        <v>0</v>
      </c>
      <c r="N295" s="21">
        <f>MIXED_FLOWER_Prod!$I$15</f>
        <v>0</v>
      </c>
      <c r="O295" s="58">
        <f>MIXED_FLOWER_Prod!$G$16</f>
        <v>0</v>
      </c>
      <c r="P295" s="21">
        <f>MIXED_FLOWER_Prod!$I$16</f>
        <v>0</v>
      </c>
      <c r="Q295" s="58">
        <f>MIXED_FLOWER_Prod!$G$17</f>
        <v>0</v>
      </c>
      <c r="R295" s="21">
        <f>MIXED_FLOWER_Prod!$I$17</f>
        <v>0</v>
      </c>
      <c r="S295" s="58">
        <f>MIXED_FLOWER_Prod!$G$18</f>
        <v>0</v>
      </c>
      <c r="T295" s="21">
        <f>MIXED_FLOWER_Prod!$I$18</f>
        <v>0</v>
      </c>
      <c r="U295" s="58">
        <f>MIXED_FLOWER_Prod!$G$19</f>
        <v>0</v>
      </c>
      <c r="V295" s="21">
        <f>MIXED_FLOWER_Prod!$I$19</f>
        <v>0</v>
      </c>
      <c r="W295" s="58">
        <f>MIXED_FLOWER_Prod!$G$20</f>
        <v>0</v>
      </c>
      <c r="X295" s="21">
        <f>MIXED_FLOWER_Prod!$I$20</f>
        <v>0</v>
      </c>
      <c r="Y295" s="58">
        <f>MIXED_FLOWER_Prod!$G$21</f>
        <v>0</v>
      </c>
      <c r="Z295" s="21">
        <f>MIXED_FLOWER_Prod!$I$21</f>
        <v>0</v>
      </c>
      <c r="AA295" s="58">
        <f>MIXED_FLOWER_Prod!$G$22</f>
        <v>0</v>
      </c>
      <c r="AB295" s="21">
        <f>MIXED_FLOWER_Prod!$I$22</f>
        <v>0</v>
      </c>
      <c r="AC295" s="58">
        <f>MIXED_FLOWER_Prod!$G$23</f>
        <v>0</v>
      </c>
      <c r="AD295" s="21">
        <f>MIXED_FLOWER_Prod!$I$23</f>
        <v>0</v>
      </c>
      <c r="AE295" s="58">
        <f>MIXED_FLOWER_Prod!$G$24</f>
        <v>0</v>
      </c>
      <c r="AF295" s="21">
        <f>MIXED_FLOWER_Prod!$I$24</f>
        <v>0</v>
      </c>
      <c r="AG295" s="58">
        <f>MIXED_FLOWER_Prod!$G$25</f>
        <v>0</v>
      </c>
      <c r="AH295" s="21">
        <f>MIXED_FLOWER_Prod!$I$25</f>
        <v>0</v>
      </c>
      <c r="AI295" s="58">
        <f>MIXED_FLOWER_Prod!$G$26</f>
        <v>0</v>
      </c>
      <c r="AJ295" s="21">
        <f>MIXED_FLOWER_Prod!$I$26</f>
        <v>0</v>
      </c>
      <c r="AK295" s="58">
        <f>MIXED_FLOWER_Prod!$G$27</f>
        <v>0</v>
      </c>
      <c r="AL295" s="21">
        <f>MIXED_FLOWER_Prod!$I$27</f>
        <v>0</v>
      </c>
      <c r="AM295" s="58">
        <f>MIXED_FLOWER_Prod!$G$28</f>
        <v>0</v>
      </c>
      <c r="AN295" s="21">
        <f>MIXED_FLOWER_Prod!$I$28</f>
        <v>0</v>
      </c>
      <c r="AO295" s="58">
        <f>MIXED_FLOWER_Prod!$G$29</f>
        <v>0</v>
      </c>
      <c r="AP295" s="21">
        <f>MIXED_FLOWER_Prod!$I$29</f>
        <v>0</v>
      </c>
      <c r="AQ295" s="58">
        <f>MIXED_FLOWER_Prod!$G$30</f>
        <v>0</v>
      </c>
      <c r="AR295" s="21">
        <f>MIXED_FLOWER_Prod!$I$30</f>
        <v>0</v>
      </c>
      <c r="AS295" s="58">
        <f>MIXED_FLOWER_Prod!$G$31</f>
        <v>0</v>
      </c>
      <c r="AT295" s="21">
        <f>MIXED_FLOWER_Prod!$I$31</f>
        <v>0</v>
      </c>
      <c r="AU295" s="58">
        <f>MIXED_FLOWER_Prod!$G$32</f>
        <v>0</v>
      </c>
      <c r="AV295" s="21">
        <f>MIXED_FLOWER_Prod!$I$32</f>
        <v>0</v>
      </c>
      <c r="AW295" s="58">
        <f>MIXED_FLOWER_Prod!$G$33</f>
        <v>0</v>
      </c>
      <c r="AX295" s="21">
        <f>MIXED_FLOWER_Prod!$I$33</f>
        <v>0</v>
      </c>
      <c r="AY295" s="58">
        <f>MIXED_FLOWER_Prod!$G$34</f>
        <v>0</v>
      </c>
      <c r="AZ295" s="21">
        <f>MIXED_FLOWER_Prod!$I$34</f>
        <v>0</v>
      </c>
      <c r="BA295" s="58">
        <f>MIXED_FLOWER_Prod!$G$35</f>
        <v>0</v>
      </c>
      <c r="BB295" s="21">
        <f>MIXED_FLOWER_Prod!$I$35</f>
        <v>0</v>
      </c>
      <c r="BC295" s="58">
        <f>MIXED_FLOWER_Prod!$G$36</f>
        <v>0</v>
      </c>
      <c r="BD295" s="21">
        <f>MIXED_FLOWER_Prod!$I$36</f>
        <v>0</v>
      </c>
      <c r="BE295" s="58">
        <f>MIXED_FLOWER_Prod!$G$37</f>
        <v>0</v>
      </c>
      <c r="BF295" s="21">
        <f>MIXED_FLOWER_Prod!$I$37</f>
        <v>0</v>
      </c>
      <c r="BG295" s="52" t="s">
        <v>69</v>
      </c>
      <c r="BH295" s="16"/>
    </row>
    <row r="296" spans="1:60">
      <c r="A296" s="20"/>
      <c r="B296" s="12" t="s">
        <v>400</v>
      </c>
      <c r="C296" s="2" t="s">
        <v>408</v>
      </c>
      <c r="D296" s="15" t="s">
        <v>12</v>
      </c>
      <c r="E296" s="9" t="s">
        <v>4</v>
      </c>
      <c r="F296" s="40" t="s">
        <v>11</v>
      </c>
      <c r="G296" s="46">
        <f>MIXED_FLOWER_Prod!$L$9</f>
        <v>1</v>
      </c>
      <c r="H296" s="72">
        <f>MIXED_FLOWER_Prod!$L$10</f>
        <v>1</v>
      </c>
      <c r="I296" s="58">
        <f>MIXED_FLOWER_Prod!$K$13</f>
        <v>0</v>
      </c>
      <c r="J296" s="27">
        <f>MIXED_FLOWER_Prod!$L$13</f>
        <v>100</v>
      </c>
      <c r="K296" s="58">
        <f>MIXED_FLOWER_Prod!$K$14</f>
        <v>0</v>
      </c>
      <c r="L296" s="27">
        <f>MIXED_FLOWER_Prod!$L$14</f>
        <v>0</v>
      </c>
      <c r="M296" s="58">
        <f>MIXED_FLOWER_Prod!$K$15</f>
        <v>0</v>
      </c>
      <c r="N296" s="27">
        <f>MIXED_FLOWER_Prod!$L$15</f>
        <v>0</v>
      </c>
      <c r="O296" s="58">
        <f>MIXED_FLOWER_Prod!$K$16</f>
        <v>0</v>
      </c>
      <c r="P296" s="27">
        <f>MIXED_FLOWER_Prod!$L$16</f>
        <v>0</v>
      </c>
      <c r="Q296" s="58">
        <f>MIXED_FLOWER_Prod!$K$17</f>
        <v>0</v>
      </c>
      <c r="R296" s="27">
        <f>MIXED_FLOWER_Prod!$L$17</f>
        <v>0</v>
      </c>
      <c r="S296" s="58">
        <f>MIXED_FLOWER_Prod!$K$18</f>
        <v>0</v>
      </c>
      <c r="T296" s="27">
        <f>MIXED_FLOWER_Prod!$L$18</f>
        <v>0</v>
      </c>
      <c r="U296" s="58">
        <f>MIXED_FLOWER_Prod!$K$19</f>
        <v>0</v>
      </c>
      <c r="V296" s="27">
        <f>MIXED_FLOWER_Prod!$L$19</f>
        <v>0</v>
      </c>
      <c r="W296" s="58">
        <f>MIXED_FLOWER_Prod!$K$20</f>
        <v>0</v>
      </c>
      <c r="X296" s="27">
        <f>MIXED_FLOWER_Prod!$L$20</f>
        <v>0</v>
      </c>
      <c r="Y296" s="58">
        <f>MIXED_FLOWER_Prod!$K$21</f>
        <v>0</v>
      </c>
      <c r="Z296" s="27">
        <f>MIXED_FLOWER_Prod!$L$21</f>
        <v>0</v>
      </c>
      <c r="AA296" s="58">
        <f>MIXED_FLOWER_Prod!$K$22</f>
        <v>0</v>
      </c>
      <c r="AB296" s="27">
        <f>MIXED_FLOWER_Prod!$L$22</f>
        <v>0</v>
      </c>
      <c r="AC296" s="58">
        <f>MIXED_FLOWER_Prod!$K$23</f>
        <v>0</v>
      </c>
      <c r="AD296" s="27">
        <f>MIXED_FLOWER_Prod!$L$23</f>
        <v>0</v>
      </c>
      <c r="AE296" s="58">
        <f>MIXED_FLOWER_Prod!$K$24</f>
        <v>0</v>
      </c>
      <c r="AF296" s="27">
        <f>MIXED_FLOWER_Prod!$L$24</f>
        <v>0</v>
      </c>
      <c r="AG296" s="58">
        <f>MIXED_FLOWER_Prod!$K$25</f>
        <v>0</v>
      </c>
      <c r="AH296" s="27">
        <f>MIXED_FLOWER_Prod!$L$25</f>
        <v>0</v>
      </c>
      <c r="AI296" s="58">
        <f>MIXED_FLOWER_Prod!$K$26</f>
        <v>0</v>
      </c>
      <c r="AJ296" s="27">
        <f>MIXED_FLOWER_Prod!$L$26</f>
        <v>0</v>
      </c>
      <c r="AK296" s="58">
        <f>MIXED_FLOWER_Prod!$K$27</f>
        <v>0</v>
      </c>
      <c r="AL296" s="27">
        <f>MIXED_FLOWER_Prod!$L$27</f>
        <v>0</v>
      </c>
      <c r="AM296" s="58">
        <f>MIXED_FLOWER_Prod!$K$28</f>
        <v>0</v>
      </c>
      <c r="AN296" s="27">
        <f>MIXED_FLOWER_Prod!$L$28</f>
        <v>0</v>
      </c>
      <c r="AO296" s="58">
        <f>MIXED_FLOWER_Prod!$K$29</f>
        <v>0</v>
      </c>
      <c r="AP296" s="27">
        <f>MIXED_FLOWER_Prod!$L$29</f>
        <v>0</v>
      </c>
      <c r="AQ296" s="58">
        <f>MIXED_FLOWER_Prod!$K$30</f>
        <v>0</v>
      </c>
      <c r="AR296" s="27">
        <f>MIXED_FLOWER_Prod!$L$30</f>
        <v>0</v>
      </c>
      <c r="AS296" s="58">
        <f>MIXED_FLOWER_Prod!$K$31</f>
        <v>0</v>
      </c>
      <c r="AT296" s="27">
        <f>MIXED_FLOWER_Prod!$L$31</f>
        <v>0</v>
      </c>
      <c r="AU296" s="58">
        <f>MIXED_FLOWER_Prod!$K$32</f>
        <v>0</v>
      </c>
      <c r="AV296" s="27">
        <f>MIXED_FLOWER_Prod!$L$32</f>
        <v>0</v>
      </c>
      <c r="AW296" s="58">
        <f>MIXED_FLOWER_Prod!$K$33</f>
        <v>0</v>
      </c>
      <c r="AX296" s="27">
        <f>MIXED_FLOWER_Prod!$L$33</f>
        <v>0</v>
      </c>
      <c r="AY296" s="58">
        <f>MIXED_FLOWER_Prod!$K$34</f>
        <v>0</v>
      </c>
      <c r="AZ296" s="27">
        <f>MIXED_FLOWER_Prod!$L$34</f>
        <v>0</v>
      </c>
      <c r="BA296" s="58">
        <f>MIXED_FLOWER_Prod!$K$35</f>
        <v>0</v>
      </c>
      <c r="BB296" s="27">
        <f>MIXED_FLOWER_Prod!$L$35</f>
        <v>0</v>
      </c>
      <c r="BC296" s="58">
        <f>MIXED_FLOWER_Prod!$K$36</f>
        <v>0</v>
      </c>
      <c r="BD296" s="27">
        <f>MIXED_FLOWER_Prod!$L$36</f>
        <v>0</v>
      </c>
      <c r="BE296" s="58">
        <f>MIXED_FLOWER_Prod!$K$37</f>
        <v>0</v>
      </c>
      <c r="BF296" s="27">
        <f>MIXED_FLOWER_Prod!$L$37</f>
        <v>0</v>
      </c>
      <c r="BG296" s="52" t="s">
        <v>69</v>
      </c>
      <c r="BH296" s="16"/>
    </row>
    <row r="297" spans="1:60">
      <c r="A297" s="20"/>
      <c r="B297" s="12" t="s">
        <v>401</v>
      </c>
      <c r="C297" s="2" t="s">
        <v>409</v>
      </c>
      <c r="D297" s="15" t="s">
        <v>12</v>
      </c>
      <c r="E297" s="9" t="s">
        <v>4</v>
      </c>
      <c r="F297" s="40" t="s">
        <v>11</v>
      </c>
      <c r="G297" s="46">
        <f>MIXED_FLOWER_Prod!$M$9</f>
        <v>1</v>
      </c>
      <c r="H297" s="72">
        <f>MIXED_FLOWER_Prod!$M$10</f>
        <v>1</v>
      </c>
      <c r="I297" s="58">
        <f>MIXED_FLOWER_Prod!$K$13</f>
        <v>0</v>
      </c>
      <c r="J297" s="27">
        <f>MIXED_FLOWER_Prod!$M$13</f>
        <v>0</v>
      </c>
      <c r="K297" s="58">
        <f>MIXED_FLOWER_Prod!$K$14</f>
        <v>0</v>
      </c>
      <c r="L297" s="27">
        <f>MIXED_FLOWER_Prod!$M$14</f>
        <v>0</v>
      </c>
      <c r="M297" s="58">
        <f>MIXED_FLOWER_Prod!$K$15</f>
        <v>0</v>
      </c>
      <c r="N297" s="27">
        <f>MIXED_FLOWER_Prod!$M$15</f>
        <v>0</v>
      </c>
      <c r="O297" s="58">
        <f>MIXED_FLOWER_Prod!$K$16</f>
        <v>0</v>
      </c>
      <c r="P297" s="27">
        <f>MIXED_FLOWER_Prod!$M$16</f>
        <v>0</v>
      </c>
      <c r="Q297" s="58">
        <f>MIXED_FLOWER_Prod!$K$17</f>
        <v>0</v>
      </c>
      <c r="R297" s="27">
        <f>MIXED_FLOWER_Prod!$M$17</f>
        <v>0</v>
      </c>
      <c r="S297" s="58">
        <f>MIXED_FLOWER_Prod!$K$18</f>
        <v>0</v>
      </c>
      <c r="T297" s="27">
        <f>MIXED_FLOWER_Prod!$M$18</f>
        <v>0</v>
      </c>
      <c r="U297" s="58">
        <f>MIXED_FLOWER_Prod!$K$19</f>
        <v>0</v>
      </c>
      <c r="V297" s="27">
        <f>MIXED_FLOWER_Prod!$M$19</f>
        <v>0</v>
      </c>
      <c r="W297" s="58">
        <f>MIXED_FLOWER_Prod!$K$20</f>
        <v>0</v>
      </c>
      <c r="X297" s="27">
        <f>MIXED_FLOWER_Prod!$M$20</f>
        <v>0</v>
      </c>
      <c r="Y297" s="58">
        <f>MIXED_FLOWER_Prod!$K$21</f>
        <v>0</v>
      </c>
      <c r="Z297" s="27">
        <f>MIXED_FLOWER_Prod!$M$21</f>
        <v>0</v>
      </c>
      <c r="AA297" s="58">
        <f>MIXED_FLOWER_Prod!$K$22</f>
        <v>0</v>
      </c>
      <c r="AB297" s="27">
        <f>MIXED_FLOWER_Prod!$M$22</f>
        <v>0</v>
      </c>
      <c r="AC297" s="58">
        <f>MIXED_FLOWER_Prod!$K$23</f>
        <v>0</v>
      </c>
      <c r="AD297" s="27">
        <f>MIXED_FLOWER_Prod!$M$23</f>
        <v>0</v>
      </c>
      <c r="AE297" s="58">
        <f>MIXED_FLOWER_Prod!$K$24</f>
        <v>0</v>
      </c>
      <c r="AF297" s="27">
        <f>MIXED_FLOWER_Prod!$M$24</f>
        <v>0</v>
      </c>
      <c r="AG297" s="58">
        <f>MIXED_FLOWER_Prod!$K$25</f>
        <v>0</v>
      </c>
      <c r="AH297" s="27">
        <f>MIXED_FLOWER_Prod!$M$25</f>
        <v>0</v>
      </c>
      <c r="AI297" s="58">
        <f>MIXED_FLOWER_Prod!$K$26</f>
        <v>0</v>
      </c>
      <c r="AJ297" s="27">
        <f>MIXED_FLOWER_Prod!$M$26</f>
        <v>0</v>
      </c>
      <c r="AK297" s="58">
        <f>MIXED_FLOWER_Prod!$K$27</f>
        <v>0</v>
      </c>
      <c r="AL297" s="27">
        <f>MIXED_FLOWER_Prod!$M$27</f>
        <v>0</v>
      </c>
      <c r="AM297" s="58">
        <f>MIXED_FLOWER_Prod!$K$28</f>
        <v>0</v>
      </c>
      <c r="AN297" s="27">
        <f>MIXED_FLOWER_Prod!$M$28</f>
        <v>0</v>
      </c>
      <c r="AO297" s="58">
        <f>MIXED_FLOWER_Prod!$K$29</f>
        <v>0</v>
      </c>
      <c r="AP297" s="27">
        <f>MIXED_FLOWER_Prod!$M$29</f>
        <v>0</v>
      </c>
      <c r="AQ297" s="58">
        <f>MIXED_FLOWER_Prod!$K$30</f>
        <v>0</v>
      </c>
      <c r="AR297" s="27">
        <f>MIXED_FLOWER_Prod!$M$30</f>
        <v>0</v>
      </c>
      <c r="AS297" s="58">
        <f>MIXED_FLOWER_Prod!$K$31</f>
        <v>0</v>
      </c>
      <c r="AT297" s="27">
        <f>MIXED_FLOWER_Prod!$M$31</f>
        <v>0</v>
      </c>
      <c r="AU297" s="58">
        <f>MIXED_FLOWER_Prod!$K$32</f>
        <v>0</v>
      </c>
      <c r="AV297" s="27">
        <f>MIXED_FLOWER_Prod!$M$32</f>
        <v>0</v>
      </c>
      <c r="AW297" s="58">
        <f>MIXED_FLOWER_Prod!$K$33</f>
        <v>0</v>
      </c>
      <c r="AX297" s="27">
        <f>MIXED_FLOWER_Prod!$M$33</f>
        <v>0</v>
      </c>
      <c r="AY297" s="58">
        <f>MIXED_FLOWER_Prod!$K$34</f>
        <v>0</v>
      </c>
      <c r="AZ297" s="27">
        <f>MIXED_FLOWER_Prod!$M$34</f>
        <v>0</v>
      </c>
      <c r="BA297" s="58">
        <f>MIXED_FLOWER_Prod!$K$35</f>
        <v>0</v>
      </c>
      <c r="BB297" s="27">
        <f>MIXED_FLOWER_Prod!$M$35</f>
        <v>0</v>
      </c>
      <c r="BC297" s="58">
        <f>MIXED_FLOWER_Prod!$K$36</f>
        <v>0</v>
      </c>
      <c r="BD297" s="27">
        <f>MIXED_FLOWER_Prod!$M$36</f>
        <v>0</v>
      </c>
      <c r="BE297" s="58">
        <f>MIXED_FLOWER_Prod!$K$37</f>
        <v>0</v>
      </c>
      <c r="BF297" s="27">
        <f>MIXED_FLOWER_Prod!$M$37</f>
        <v>0</v>
      </c>
      <c r="BG297" s="52" t="s">
        <v>69</v>
      </c>
      <c r="BH297" s="16"/>
    </row>
    <row r="298" spans="1:60">
      <c r="A298" s="20"/>
      <c r="B298" s="12" t="s">
        <v>402</v>
      </c>
      <c r="C298" s="2" t="s">
        <v>410</v>
      </c>
      <c r="D298" s="15" t="s">
        <v>12</v>
      </c>
      <c r="E298" s="9" t="s">
        <v>4</v>
      </c>
      <c r="F298" s="40" t="s">
        <v>11</v>
      </c>
      <c r="G298" s="46">
        <f>MIXED_FLOWER_Prod!$N$9</f>
        <v>1</v>
      </c>
      <c r="H298" s="72">
        <f>MIXED_FLOWER_Prod!$N$10</f>
        <v>1</v>
      </c>
      <c r="I298" s="58">
        <f>MIXED_FLOWER_Prod!$K$13</f>
        <v>0</v>
      </c>
      <c r="J298" s="27">
        <f>MIXED_FLOWER_Prod!$N$13</f>
        <v>0</v>
      </c>
      <c r="K298" s="58">
        <f>MIXED_FLOWER_Prod!$K$14</f>
        <v>0</v>
      </c>
      <c r="L298" s="27">
        <f>MIXED_FLOWER_Prod!$N$14</f>
        <v>0</v>
      </c>
      <c r="M298" s="58">
        <f>MIXED_FLOWER_Prod!$K$15</f>
        <v>0</v>
      </c>
      <c r="N298" s="27">
        <f>MIXED_FLOWER_Prod!$N$15</f>
        <v>0</v>
      </c>
      <c r="O298" s="58">
        <f>MIXED_FLOWER_Prod!$K$16</f>
        <v>0</v>
      </c>
      <c r="P298" s="27">
        <f>MIXED_FLOWER_Prod!$N$16</f>
        <v>0</v>
      </c>
      <c r="Q298" s="58">
        <f>MIXED_FLOWER_Prod!$K$17</f>
        <v>0</v>
      </c>
      <c r="R298" s="27">
        <f>MIXED_FLOWER_Prod!$N$17</f>
        <v>0</v>
      </c>
      <c r="S298" s="58">
        <f>MIXED_FLOWER_Prod!$K$18</f>
        <v>0</v>
      </c>
      <c r="T298" s="27">
        <f>MIXED_FLOWER_Prod!$N$18</f>
        <v>0</v>
      </c>
      <c r="U298" s="58">
        <f>MIXED_FLOWER_Prod!$K$19</f>
        <v>0</v>
      </c>
      <c r="V298" s="27">
        <f>MIXED_FLOWER_Prod!$N$19</f>
        <v>0</v>
      </c>
      <c r="W298" s="58">
        <f>MIXED_FLOWER_Prod!$K$20</f>
        <v>0</v>
      </c>
      <c r="X298" s="27">
        <f>MIXED_FLOWER_Prod!$N$20</f>
        <v>0</v>
      </c>
      <c r="Y298" s="58">
        <f>MIXED_FLOWER_Prod!$K$21</f>
        <v>0</v>
      </c>
      <c r="Z298" s="27">
        <f>MIXED_FLOWER_Prod!$N$21</f>
        <v>0</v>
      </c>
      <c r="AA298" s="58">
        <f>MIXED_FLOWER_Prod!$K$22</f>
        <v>0</v>
      </c>
      <c r="AB298" s="27">
        <f>MIXED_FLOWER_Prod!$N$22</f>
        <v>0</v>
      </c>
      <c r="AC298" s="58">
        <f>MIXED_FLOWER_Prod!$K$23</f>
        <v>0</v>
      </c>
      <c r="AD298" s="27">
        <f>MIXED_FLOWER_Prod!$N$23</f>
        <v>0</v>
      </c>
      <c r="AE298" s="58">
        <f>MIXED_FLOWER_Prod!$K$24</f>
        <v>0</v>
      </c>
      <c r="AF298" s="27">
        <f>MIXED_FLOWER_Prod!$N$24</f>
        <v>0</v>
      </c>
      <c r="AG298" s="58">
        <f>MIXED_FLOWER_Prod!$K$25</f>
        <v>0</v>
      </c>
      <c r="AH298" s="27">
        <f>MIXED_FLOWER_Prod!$N$25</f>
        <v>0</v>
      </c>
      <c r="AI298" s="58">
        <f>MIXED_FLOWER_Prod!$K$26</f>
        <v>0</v>
      </c>
      <c r="AJ298" s="27">
        <f>MIXED_FLOWER_Prod!$N$26</f>
        <v>0</v>
      </c>
      <c r="AK298" s="58">
        <f>MIXED_FLOWER_Prod!$K$27</f>
        <v>0</v>
      </c>
      <c r="AL298" s="27">
        <f>MIXED_FLOWER_Prod!$N$27</f>
        <v>0</v>
      </c>
      <c r="AM298" s="58">
        <f>MIXED_FLOWER_Prod!$K$28</f>
        <v>0</v>
      </c>
      <c r="AN298" s="27">
        <f>MIXED_FLOWER_Prod!$N$28</f>
        <v>0</v>
      </c>
      <c r="AO298" s="58">
        <f>MIXED_FLOWER_Prod!$K$29</f>
        <v>0</v>
      </c>
      <c r="AP298" s="27">
        <f>MIXED_FLOWER_Prod!$N$29</f>
        <v>0</v>
      </c>
      <c r="AQ298" s="58">
        <f>MIXED_FLOWER_Prod!$K$30</f>
        <v>0</v>
      </c>
      <c r="AR298" s="27">
        <f>MIXED_FLOWER_Prod!$N$30</f>
        <v>0</v>
      </c>
      <c r="AS298" s="58">
        <f>MIXED_FLOWER_Prod!$K$31</f>
        <v>0</v>
      </c>
      <c r="AT298" s="27">
        <f>MIXED_FLOWER_Prod!$N$31</f>
        <v>0</v>
      </c>
      <c r="AU298" s="58">
        <f>MIXED_FLOWER_Prod!$K$32</f>
        <v>0</v>
      </c>
      <c r="AV298" s="27">
        <f>MIXED_FLOWER_Prod!$N$32</f>
        <v>0</v>
      </c>
      <c r="AW298" s="58">
        <f>MIXED_FLOWER_Prod!$K$33</f>
        <v>0</v>
      </c>
      <c r="AX298" s="27">
        <f>MIXED_FLOWER_Prod!$N$33</f>
        <v>0</v>
      </c>
      <c r="AY298" s="58">
        <f>MIXED_FLOWER_Prod!$K$34</f>
        <v>0</v>
      </c>
      <c r="AZ298" s="27">
        <f>MIXED_FLOWER_Prod!$N$34</f>
        <v>0</v>
      </c>
      <c r="BA298" s="58">
        <f>MIXED_FLOWER_Prod!$K$35</f>
        <v>0</v>
      </c>
      <c r="BB298" s="27">
        <f>MIXED_FLOWER_Prod!$N$35</f>
        <v>0</v>
      </c>
      <c r="BC298" s="58">
        <f>MIXED_FLOWER_Prod!$K$36</f>
        <v>0</v>
      </c>
      <c r="BD298" s="27">
        <f>MIXED_FLOWER_Prod!$N$36</f>
        <v>0</v>
      </c>
      <c r="BE298" s="58">
        <f>MIXED_FLOWER_Prod!$K$37</f>
        <v>0</v>
      </c>
      <c r="BF298" s="27">
        <f>MIXED_FLOWER_Prod!$N$37</f>
        <v>0</v>
      </c>
      <c r="BG298" s="52" t="s">
        <v>69</v>
      </c>
      <c r="BH298" s="16"/>
    </row>
    <row r="299" spans="1:60">
      <c r="A299" s="20"/>
      <c r="B299" s="12" t="s">
        <v>403</v>
      </c>
      <c r="C299" s="2" t="s">
        <v>411</v>
      </c>
      <c r="D299" s="15" t="s">
        <v>12</v>
      </c>
      <c r="E299" s="9" t="s">
        <v>4</v>
      </c>
      <c r="F299" s="40" t="s">
        <v>11</v>
      </c>
      <c r="G299" s="46">
        <f>MIXED_FLOWER_Prod!$O$9</f>
        <v>1</v>
      </c>
      <c r="H299" s="72">
        <f>MIXED_FLOWER_Prod!$O$10</f>
        <v>1</v>
      </c>
      <c r="I299" s="58">
        <f>MIXED_FLOWER_Prod!$K$13</f>
        <v>0</v>
      </c>
      <c r="J299" s="27">
        <f>MIXED_FLOWER_Prod!$O$13</f>
        <v>0</v>
      </c>
      <c r="K299" s="58">
        <f>MIXED_FLOWER_Prod!$K$14</f>
        <v>0</v>
      </c>
      <c r="L299" s="27">
        <f>MIXED_FLOWER_Prod!$O$14</f>
        <v>0</v>
      </c>
      <c r="M299" s="58">
        <f>MIXED_FLOWER_Prod!$K$15</f>
        <v>0</v>
      </c>
      <c r="N299" s="27">
        <f>MIXED_FLOWER_Prod!$O$15</f>
        <v>0</v>
      </c>
      <c r="O299" s="58">
        <f>MIXED_FLOWER_Prod!$K$16</f>
        <v>0</v>
      </c>
      <c r="P299" s="27">
        <f>MIXED_FLOWER_Prod!$O$16</f>
        <v>0</v>
      </c>
      <c r="Q299" s="58">
        <f>MIXED_FLOWER_Prod!$K$17</f>
        <v>0</v>
      </c>
      <c r="R299" s="27">
        <f>MIXED_FLOWER_Prod!$O$17</f>
        <v>0</v>
      </c>
      <c r="S299" s="58">
        <f>MIXED_FLOWER_Prod!$K$18</f>
        <v>0</v>
      </c>
      <c r="T299" s="27">
        <f>MIXED_FLOWER_Prod!$O$18</f>
        <v>0</v>
      </c>
      <c r="U299" s="58">
        <f>MIXED_FLOWER_Prod!$K$19</f>
        <v>0</v>
      </c>
      <c r="V299" s="27">
        <f>MIXED_FLOWER_Prod!$O$19</f>
        <v>0</v>
      </c>
      <c r="W299" s="58">
        <f>MIXED_FLOWER_Prod!$K$20</f>
        <v>0</v>
      </c>
      <c r="X299" s="27">
        <f>MIXED_FLOWER_Prod!$O$20</f>
        <v>0</v>
      </c>
      <c r="Y299" s="58">
        <f>MIXED_FLOWER_Prod!$K$21</f>
        <v>0</v>
      </c>
      <c r="Z299" s="27">
        <f>MIXED_FLOWER_Prod!$O$21</f>
        <v>0</v>
      </c>
      <c r="AA299" s="58">
        <f>MIXED_FLOWER_Prod!$K$22</f>
        <v>0</v>
      </c>
      <c r="AB299" s="27">
        <f>MIXED_FLOWER_Prod!$O$22</f>
        <v>0</v>
      </c>
      <c r="AC299" s="58">
        <f>MIXED_FLOWER_Prod!$K$23</f>
        <v>0</v>
      </c>
      <c r="AD299" s="27">
        <f>MIXED_FLOWER_Prod!$O$23</f>
        <v>0</v>
      </c>
      <c r="AE299" s="58">
        <f>MIXED_FLOWER_Prod!$K$24</f>
        <v>0</v>
      </c>
      <c r="AF299" s="27">
        <f>MIXED_FLOWER_Prod!$O$24</f>
        <v>0</v>
      </c>
      <c r="AG299" s="58">
        <f>MIXED_FLOWER_Prod!$K$25</f>
        <v>0</v>
      </c>
      <c r="AH299" s="27">
        <f>MIXED_FLOWER_Prod!$O$25</f>
        <v>0</v>
      </c>
      <c r="AI299" s="58">
        <f>MIXED_FLOWER_Prod!$K$26</f>
        <v>0</v>
      </c>
      <c r="AJ299" s="27">
        <f>MIXED_FLOWER_Prod!$O$26</f>
        <v>0</v>
      </c>
      <c r="AK299" s="58">
        <f>MIXED_FLOWER_Prod!$K$27</f>
        <v>0</v>
      </c>
      <c r="AL299" s="27">
        <f>MIXED_FLOWER_Prod!$O$27</f>
        <v>0</v>
      </c>
      <c r="AM299" s="58">
        <f>MIXED_FLOWER_Prod!$K$28</f>
        <v>0</v>
      </c>
      <c r="AN299" s="27">
        <f>MIXED_FLOWER_Prod!$O$28</f>
        <v>0</v>
      </c>
      <c r="AO299" s="58">
        <f>MIXED_FLOWER_Prod!$K$29</f>
        <v>0</v>
      </c>
      <c r="AP299" s="27">
        <f>MIXED_FLOWER_Prod!$O$29</f>
        <v>0</v>
      </c>
      <c r="AQ299" s="58">
        <f>MIXED_FLOWER_Prod!$K$30</f>
        <v>0</v>
      </c>
      <c r="AR299" s="27">
        <f>MIXED_FLOWER_Prod!$O$30</f>
        <v>0</v>
      </c>
      <c r="AS299" s="58">
        <f>MIXED_FLOWER_Prod!$K$31</f>
        <v>0</v>
      </c>
      <c r="AT299" s="27">
        <f>MIXED_FLOWER_Prod!$O$31</f>
        <v>0</v>
      </c>
      <c r="AU299" s="58">
        <f>MIXED_FLOWER_Prod!$K$32</f>
        <v>0</v>
      </c>
      <c r="AV299" s="27">
        <f>MIXED_FLOWER_Prod!$O$32</f>
        <v>0</v>
      </c>
      <c r="AW299" s="58">
        <f>MIXED_FLOWER_Prod!$K$33</f>
        <v>0</v>
      </c>
      <c r="AX299" s="27">
        <f>MIXED_FLOWER_Prod!$O$33</f>
        <v>0</v>
      </c>
      <c r="AY299" s="58">
        <f>MIXED_FLOWER_Prod!$K$34</f>
        <v>0</v>
      </c>
      <c r="AZ299" s="27">
        <f>MIXED_FLOWER_Prod!$O$34</f>
        <v>0</v>
      </c>
      <c r="BA299" s="58">
        <f>MIXED_FLOWER_Prod!$K$35</f>
        <v>0</v>
      </c>
      <c r="BB299" s="27">
        <f>MIXED_FLOWER_Prod!$O$35</f>
        <v>0</v>
      </c>
      <c r="BC299" s="58">
        <f>MIXED_FLOWER_Prod!$K$36</f>
        <v>0</v>
      </c>
      <c r="BD299" s="27">
        <f>MIXED_FLOWER_Prod!$O$36</f>
        <v>0</v>
      </c>
      <c r="BE299" s="58">
        <f>MIXED_FLOWER_Prod!$K$37</f>
        <v>0</v>
      </c>
      <c r="BF299" s="27">
        <f>MIXED_FLOWER_Prod!$O$37</f>
        <v>0</v>
      </c>
      <c r="BG299" s="52" t="s">
        <v>69</v>
      </c>
      <c r="BH299" s="16"/>
    </row>
    <row r="300" spans="1:60">
      <c r="A300" s="20"/>
      <c r="B300" s="12" t="s">
        <v>404</v>
      </c>
      <c r="C300" s="2" t="s">
        <v>412</v>
      </c>
      <c r="D300" s="15" t="s">
        <v>12</v>
      </c>
      <c r="E300" s="9" t="s">
        <v>0</v>
      </c>
      <c r="F300" s="40" t="s">
        <v>7</v>
      </c>
      <c r="G300" s="46">
        <f>MIXED_FLOWER_Prod!$R$9</f>
        <v>1</v>
      </c>
      <c r="H300" s="72">
        <f>MIXED_FLOWER_Prod!$R$10</f>
        <v>1</v>
      </c>
      <c r="I300" s="58">
        <f>MIXED_FLOWER_Prod!$Q$13</f>
        <v>0</v>
      </c>
      <c r="J300" s="21">
        <f>MIXED_FLOWER_Prod!$R$13</f>
        <v>3</v>
      </c>
      <c r="K300" s="58">
        <f>MIXED_FLOWER_Prod!$Q$14</f>
        <v>0</v>
      </c>
      <c r="L300" s="21">
        <f>MIXED_FLOWER_Prod!$R$14</f>
        <v>0</v>
      </c>
      <c r="M300" s="58">
        <f>MIXED_FLOWER_Prod!$Q$15</f>
        <v>0</v>
      </c>
      <c r="N300" s="21">
        <f>MIXED_FLOWER_Prod!$R$15</f>
        <v>0</v>
      </c>
      <c r="O300" s="58">
        <f>MIXED_FLOWER_Prod!$Q$16</f>
        <v>0</v>
      </c>
      <c r="P300" s="21">
        <f>MIXED_FLOWER_Prod!$R$16</f>
        <v>0</v>
      </c>
      <c r="Q300" s="58">
        <f>MIXED_FLOWER_Prod!$Q$17</f>
        <v>0</v>
      </c>
      <c r="R300" s="21">
        <f>MIXED_FLOWER_Prod!$R$17</f>
        <v>0</v>
      </c>
      <c r="S300" s="58">
        <f>MIXED_FLOWER_Prod!$Q$18</f>
        <v>0</v>
      </c>
      <c r="T300" s="21">
        <f>MIXED_FLOWER_Prod!$R$18</f>
        <v>0</v>
      </c>
      <c r="U300" s="58">
        <f>MIXED_FLOWER_Prod!$Q$19</f>
        <v>0</v>
      </c>
      <c r="V300" s="21">
        <f>MIXED_FLOWER_Prod!$R$19</f>
        <v>0</v>
      </c>
      <c r="W300" s="58">
        <f>MIXED_FLOWER_Prod!$Q$20</f>
        <v>0</v>
      </c>
      <c r="X300" s="21">
        <f>MIXED_FLOWER_Prod!$R$20</f>
        <v>0</v>
      </c>
      <c r="Y300" s="58">
        <f>MIXED_FLOWER_Prod!$Q$21</f>
        <v>0</v>
      </c>
      <c r="Z300" s="21">
        <f>MIXED_FLOWER_Prod!$R$21</f>
        <v>0</v>
      </c>
      <c r="AA300" s="58">
        <f>MIXED_FLOWER_Prod!$Q$22</f>
        <v>0</v>
      </c>
      <c r="AB300" s="21">
        <f>MIXED_FLOWER_Prod!$R$22</f>
        <v>0</v>
      </c>
      <c r="AC300" s="58">
        <f>MIXED_FLOWER_Prod!$Q$23</f>
        <v>0</v>
      </c>
      <c r="AD300" s="21">
        <f>MIXED_FLOWER_Prod!$R$23</f>
        <v>0</v>
      </c>
      <c r="AE300" s="58">
        <f>MIXED_FLOWER_Prod!$Q$24</f>
        <v>0</v>
      </c>
      <c r="AF300" s="21">
        <f>MIXED_FLOWER_Prod!$R$24</f>
        <v>0</v>
      </c>
      <c r="AG300" s="58">
        <f>MIXED_FLOWER_Prod!$Q$25</f>
        <v>0</v>
      </c>
      <c r="AH300" s="21">
        <f>MIXED_FLOWER_Prod!$R$25</f>
        <v>0</v>
      </c>
      <c r="AI300" s="58">
        <f>MIXED_FLOWER_Prod!$Q$26</f>
        <v>0</v>
      </c>
      <c r="AJ300" s="21">
        <f>MIXED_FLOWER_Prod!$R$26</f>
        <v>0</v>
      </c>
      <c r="AK300" s="58">
        <f>MIXED_FLOWER_Prod!$Q$27</f>
        <v>0</v>
      </c>
      <c r="AL300" s="21">
        <f>MIXED_FLOWER_Prod!$R$27</f>
        <v>0</v>
      </c>
      <c r="AM300" s="58">
        <f>MIXED_FLOWER_Prod!$Q$28</f>
        <v>0</v>
      </c>
      <c r="AN300" s="21">
        <f>MIXED_FLOWER_Prod!$R$28</f>
        <v>0</v>
      </c>
      <c r="AO300" s="58">
        <f>MIXED_FLOWER_Prod!$Q$29</f>
        <v>0</v>
      </c>
      <c r="AP300" s="21">
        <f>MIXED_FLOWER_Prod!$R$29</f>
        <v>0</v>
      </c>
      <c r="AQ300" s="58">
        <f>MIXED_FLOWER_Prod!$Q$30</f>
        <v>0</v>
      </c>
      <c r="AR300" s="21">
        <f>MIXED_FLOWER_Prod!$R$30</f>
        <v>0</v>
      </c>
      <c r="AS300" s="58">
        <f>MIXED_FLOWER_Prod!$Q$31</f>
        <v>0</v>
      </c>
      <c r="AT300" s="21">
        <f>MIXED_FLOWER_Prod!$R$31</f>
        <v>0</v>
      </c>
      <c r="AU300" s="58">
        <f>MIXED_FLOWER_Prod!$Q$32</f>
        <v>0</v>
      </c>
      <c r="AV300" s="21">
        <f>MIXED_FLOWER_Prod!$R$32</f>
        <v>0</v>
      </c>
      <c r="AW300" s="58">
        <f>MIXED_FLOWER_Prod!$Q$33</f>
        <v>0</v>
      </c>
      <c r="AX300" s="21">
        <f>MIXED_FLOWER_Prod!$R$33</f>
        <v>0</v>
      </c>
      <c r="AY300" s="58">
        <f>MIXED_FLOWER_Prod!$Q$34</f>
        <v>0</v>
      </c>
      <c r="AZ300" s="21">
        <f>MIXED_FLOWER_Prod!$R$34</f>
        <v>0</v>
      </c>
      <c r="BA300" s="58">
        <f>MIXED_FLOWER_Prod!$Q$35</f>
        <v>0</v>
      </c>
      <c r="BB300" s="21">
        <f>MIXED_FLOWER_Prod!$R$35</f>
        <v>0</v>
      </c>
      <c r="BC300" s="58">
        <f>MIXED_FLOWER_Prod!$Q$36</f>
        <v>0</v>
      </c>
      <c r="BD300" s="21">
        <f>MIXED_FLOWER_Prod!$R$36</f>
        <v>0</v>
      </c>
      <c r="BE300" s="58">
        <f>MIXED_FLOWER_Prod!$Q$37</f>
        <v>0</v>
      </c>
      <c r="BF300" s="21">
        <f>MIXED_FLOWER_Prod!$R$37</f>
        <v>0</v>
      </c>
      <c r="BG300" s="52" t="s">
        <v>69</v>
      </c>
      <c r="BH300" s="16"/>
    </row>
    <row r="301" spans="1:60">
      <c r="A301" s="20"/>
      <c r="B301" s="12" t="s">
        <v>405</v>
      </c>
      <c r="C301" s="2" t="s">
        <v>413</v>
      </c>
      <c r="D301" s="15" t="s">
        <v>12</v>
      </c>
      <c r="E301" s="9" t="s">
        <v>0</v>
      </c>
      <c r="F301" s="40" t="s">
        <v>7</v>
      </c>
      <c r="G301" s="46">
        <f>MIXED_FLOWER_Prod!$S$9</f>
        <v>1</v>
      </c>
      <c r="H301" s="72">
        <f>MIXED_FLOWER_Prod!$S$10</f>
        <v>1</v>
      </c>
      <c r="I301" s="58">
        <f>MIXED_FLOWER_Prod!$Q$13</f>
        <v>0</v>
      </c>
      <c r="J301" s="21">
        <f>MIXED_FLOWER_Prod!$S$13</f>
        <v>0</v>
      </c>
      <c r="K301" s="58">
        <f>MIXED_FLOWER_Prod!$Q$14</f>
        <v>0</v>
      </c>
      <c r="L301" s="21">
        <f>MIXED_FLOWER_Prod!$S$14</f>
        <v>0</v>
      </c>
      <c r="M301" s="58">
        <f>MIXED_FLOWER_Prod!$Q$15</f>
        <v>0</v>
      </c>
      <c r="N301" s="21">
        <f>MIXED_FLOWER_Prod!$S$15</f>
        <v>0</v>
      </c>
      <c r="O301" s="58">
        <f>MIXED_FLOWER_Prod!$Q$16</f>
        <v>0</v>
      </c>
      <c r="P301" s="21">
        <f>MIXED_FLOWER_Prod!$S$16</f>
        <v>0</v>
      </c>
      <c r="Q301" s="58">
        <f>MIXED_FLOWER_Prod!$Q$17</f>
        <v>0</v>
      </c>
      <c r="R301" s="21">
        <f>MIXED_FLOWER_Prod!$S$17</f>
        <v>0</v>
      </c>
      <c r="S301" s="58">
        <f>MIXED_FLOWER_Prod!$Q$18</f>
        <v>0</v>
      </c>
      <c r="T301" s="21">
        <f>MIXED_FLOWER_Prod!$S$18</f>
        <v>0</v>
      </c>
      <c r="U301" s="58">
        <f>MIXED_FLOWER_Prod!$Q$19</f>
        <v>0</v>
      </c>
      <c r="V301" s="21">
        <f>MIXED_FLOWER_Prod!$S$19</f>
        <v>0</v>
      </c>
      <c r="W301" s="58">
        <f>MIXED_FLOWER_Prod!$Q$20</f>
        <v>0</v>
      </c>
      <c r="X301" s="21">
        <f>MIXED_FLOWER_Prod!$S$20</f>
        <v>0</v>
      </c>
      <c r="Y301" s="58">
        <f>MIXED_FLOWER_Prod!$Q$21</f>
        <v>0</v>
      </c>
      <c r="Z301" s="21">
        <f>MIXED_FLOWER_Prod!$S$21</f>
        <v>0</v>
      </c>
      <c r="AA301" s="58">
        <f>MIXED_FLOWER_Prod!$Q$22</f>
        <v>0</v>
      </c>
      <c r="AB301" s="21">
        <f>MIXED_FLOWER_Prod!$S$22</f>
        <v>0</v>
      </c>
      <c r="AC301" s="58">
        <f>MIXED_FLOWER_Prod!$Q$23</f>
        <v>0</v>
      </c>
      <c r="AD301" s="21">
        <f>MIXED_FLOWER_Prod!$S$23</f>
        <v>0</v>
      </c>
      <c r="AE301" s="58">
        <f>MIXED_FLOWER_Prod!$Q$24</f>
        <v>0</v>
      </c>
      <c r="AF301" s="21">
        <f>MIXED_FLOWER_Prod!$S$24</f>
        <v>0</v>
      </c>
      <c r="AG301" s="58">
        <f>MIXED_FLOWER_Prod!$Q$25</f>
        <v>0</v>
      </c>
      <c r="AH301" s="21">
        <f>MIXED_FLOWER_Prod!$S$25</f>
        <v>0</v>
      </c>
      <c r="AI301" s="58">
        <f>MIXED_FLOWER_Prod!$Q$26</f>
        <v>0</v>
      </c>
      <c r="AJ301" s="21">
        <f>MIXED_FLOWER_Prod!$S$26</f>
        <v>0</v>
      </c>
      <c r="AK301" s="58">
        <f>MIXED_FLOWER_Prod!$Q$27</f>
        <v>0</v>
      </c>
      <c r="AL301" s="21">
        <f>MIXED_FLOWER_Prod!$S$27</f>
        <v>0</v>
      </c>
      <c r="AM301" s="58">
        <f>MIXED_FLOWER_Prod!$Q$28</f>
        <v>0</v>
      </c>
      <c r="AN301" s="21">
        <f>MIXED_FLOWER_Prod!$S$28</f>
        <v>0</v>
      </c>
      <c r="AO301" s="58">
        <f>MIXED_FLOWER_Prod!$Q$29</f>
        <v>0</v>
      </c>
      <c r="AP301" s="21">
        <f>MIXED_FLOWER_Prod!$S$29</f>
        <v>0</v>
      </c>
      <c r="AQ301" s="58">
        <f>MIXED_FLOWER_Prod!$Q$30</f>
        <v>0</v>
      </c>
      <c r="AR301" s="21">
        <f>MIXED_FLOWER_Prod!$S$30</f>
        <v>0</v>
      </c>
      <c r="AS301" s="58">
        <f>MIXED_FLOWER_Prod!$Q$31</f>
        <v>0</v>
      </c>
      <c r="AT301" s="21">
        <f>MIXED_FLOWER_Prod!$S$31</f>
        <v>0</v>
      </c>
      <c r="AU301" s="58">
        <f>MIXED_FLOWER_Prod!$Q$32</f>
        <v>0</v>
      </c>
      <c r="AV301" s="21">
        <f>MIXED_FLOWER_Prod!$S$32</f>
        <v>0</v>
      </c>
      <c r="AW301" s="58">
        <f>MIXED_FLOWER_Prod!$Q$33</f>
        <v>0</v>
      </c>
      <c r="AX301" s="21">
        <f>MIXED_FLOWER_Prod!$S$33</f>
        <v>0</v>
      </c>
      <c r="AY301" s="58">
        <f>MIXED_FLOWER_Prod!$Q$34</f>
        <v>0</v>
      </c>
      <c r="AZ301" s="21">
        <f>MIXED_FLOWER_Prod!$S$34</f>
        <v>0</v>
      </c>
      <c r="BA301" s="58">
        <f>MIXED_FLOWER_Prod!$Q$35</f>
        <v>0</v>
      </c>
      <c r="BB301" s="21">
        <f>MIXED_FLOWER_Prod!$S$35</f>
        <v>0</v>
      </c>
      <c r="BC301" s="58">
        <f>MIXED_FLOWER_Prod!$Q$36</f>
        <v>0</v>
      </c>
      <c r="BD301" s="21">
        <f>MIXED_FLOWER_Prod!$S$36</f>
        <v>0</v>
      </c>
      <c r="BE301" s="58">
        <f>MIXED_FLOWER_Prod!$Q$37</f>
        <v>0</v>
      </c>
      <c r="BF301" s="21">
        <f>MIXED_FLOWER_Prod!$S$37</f>
        <v>0</v>
      </c>
      <c r="BG301" s="52" t="s">
        <v>69</v>
      </c>
      <c r="BH301" s="16"/>
    </row>
    <row r="302" spans="1:60">
      <c r="A302" s="20"/>
      <c r="B302" s="12" t="s">
        <v>406</v>
      </c>
      <c r="C302" s="2" t="s">
        <v>414</v>
      </c>
      <c r="D302" s="15" t="s">
        <v>12</v>
      </c>
      <c r="E302" s="9" t="s">
        <v>0</v>
      </c>
      <c r="F302" s="40" t="s">
        <v>7</v>
      </c>
      <c r="G302" s="46">
        <f>MIXED_FLOWER_Prod!$T$9</f>
        <v>1</v>
      </c>
      <c r="H302" s="72">
        <f>MIXED_FLOWER_Prod!$T$10</f>
        <v>1</v>
      </c>
      <c r="I302" s="58">
        <f>MIXED_FLOWER_Prod!$Q$13</f>
        <v>0</v>
      </c>
      <c r="J302" s="21">
        <f>MIXED_FLOWER_Prod!$T$13</f>
        <v>2</v>
      </c>
      <c r="K302" s="58">
        <f>MIXED_FLOWER_Prod!$Q$14</f>
        <v>0</v>
      </c>
      <c r="L302" s="21">
        <f>MIXED_FLOWER_Prod!$T$14</f>
        <v>0</v>
      </c>
      <c r="M302" s="58">
        <f>MIXED_FLOWER_Prod!$Q$15</f>
        <v>0</v>
      </c>
      <c r="N302" s="21">
        <f>MIXED_FLOWER_Prod!$T$15</f>
        <v>0</v>
      </c>
      <c r="O302" s="58">
        <f>MIXED_FLOWER_Prod!$Q$16</f>
        <v>0</v>
      </c>
      <c r="P302" s="21">
        <f>MIXED_FLOWER_Prod!$T$16</f>
        <v>0</v>
      </c>
      <c r="Q302" s="58">
        <f>MIXED_FLOWER_Prod!$Q$17</f>
        <v>0</v>
      </c>
      <c r="R302" s="21">
        <f>MIXED_FLOWER_Prod!$T$17</f>
        <v>0</v>
      </c>
      <c r="S302" s="58">
        <f>MIXED_FLOWER_Prod!$Q$18</f>
        <v>0</v>
      </c>
      <c r="T302" s="21">
        <f>MIXED_FLOWER_Prod!$T$18</f>
        <v>0</v>
      </c>
      <c r="U302" s="58">
        <f>MIXED_FLOWER_Prod!$Q$19</f>
        <v>0</v>
      </c>
      <c r="V302" s="21">
        <f>MIXED_FLOWER_Prod!$T$19</f>
        <v>0</v>
      </c>
      <c r="W302" s="58">
        <f>MIXED_FLOWER_Prod!$Q$20</f>
        <v>0</v>
      </c>
      <c r="X302" s="21">
        <f>MIXED_FLOWER_Prod!$T$20</f>
        <v>0</v>
      </c>
      <c r="Y302" s="58">
        <f>MIXED_FLOWER_Prod!$Q$21</f>
        <v>0</v>
      </c>
      <c r="Z302" s="21">
        <f>MIXED_FLOWER_Prod!$T$21</f>
        <v>0</v>
      </c>
      <c r="AA302" s="58">
        <f>MIXED_FLOWER_Prod!$Q$22</f>
        <v>0</v>
      </c>
      <c r="AB302" s="21">
        <f>MIXED_FLOWER_Prod!$T$22</f>
        <v>0</v>
      </c>
      <c r="AC302" s="58">
        <f>MIXED_FLOWER_Prod!$Q$23</f>
        <v>0</v>
      </c>
      <c r="AD302" s="21">
        <f>MIXED_FLOWER_Prod!$T$23</f>
        <v>0</v>
      </c>
      <c r="AE302" s="58">
        <f>MIXED_FLOWER_Prod!$Q$24</f>
        <v>0</v>
      </c>
      <c r="AF302" s="21">
        <f>MIXED_FLOWER_Prod!$T$24</f>
        <v>0</v>
      </c>
      <c r="AG302" s="58">
        <f>MIXED_FLOWER_Prod!$Q$25</f>
        <v>0</v>
      </c>
      <c r="AH302" s="21">
        <f>MIXED_FLOWER_Prod!$T$25</f>
        <v>0</v>
      </c>
      <c r="AI302" s="58">
        <f>MIXED_FLOWER_Prod!$Q$26</f>
        <v>0</v>
      </c>
      <c r="AJ302" s="21">
        <f>MIXED_FLOWER_Prod!$T$26</f>
        <v>0</v>
      </c>
      <c r="AK302" s="58">
        <f>MIXED_FLOWER_Prod!$Q$27</f>
        <v>0</v>
      </c>
      <c r="AL302" s="21">
        <f>MIXED_FLOWER_Prod!$T$27</f>
        <v>0</v>
      </c>
      <c r="AM302" s="58">
        <f>MIXED_FLOWER_Prod!$Q$28</f>
        <v>0</v>
      </c>
      <c r="AN302" s="21">
        <f>MIXED_FLOWER_Prod!$T$28</f>
        <v>0</v>
      </c>
      <c r="AO302" s="58">
        <f>MIXED_FLOWER_Prod!$Q$29</f>
        <v>0</v>
      </c>
      <c r="AP302" s="21">
        <f>MIXED_FLOWER_Prod!$T$29</f>
        <v>0</v>
      </c>
      <c r="AQ302" s="58">
        <f>MIXED_FLOWER_Prod!$Q$30</f>
        <v>0</v>
      </c>
      <c r="AR302" s="21">
        <f>MIXED_FLOWER_Prod!$T$30</f>
        <v>0</v>
      </c>
      <c r="AS302" s="58">
        <f>MIXED_FLOWER_Prod!$Q$31</f>
        <v>0</v>
      </c>
      <c r="AT302" s="21">
        <f>MIXED_FLOWER_Prod!$T$31</f>
        <v>0</v>
      </c>
      <c r="AU302" s="58">
        <f>MIXED_FLOWER_Prod!$Q$32</f>
        <v>0</v>
      </c>
      <c r="AV302" s="21">
        <f>MIXED_FLOWER_Prod!$T$32</f>
        <v>0</v>
      </c>
      <c r="AW302" s="58">
        <f>MIXED_FLOWER_Prod!$Q$33</f>
        <v>0</v>
      </c>
      <c r="AX302" s="21">
        <f>MIXED_FLOWER_Prod!$T$33</f>
        <v>0</v>
      </c>
      <c r="AY302" s="58">
        <f>MIXED_FLOWER_Prod!$Q$34</f>
        <v>0</v>
      </c>
      <c r="AZ302" s="21">
        <f>MIXED_FLOWER_Prod!$T$34</f>
        <v>0</v>
      </c>
      <c r="BA302" s="58">
        <f>MIXED_FLOWER_Prod!$Q$35</f>
        <v>0</v>
      </c>
      <c r="BB302" s="21">
        <f>MIXED_FLOWER_Prod!$T$35</f>
        <v>0</v>
      </c>
      <c r="BC302" s="58">
        <f>MIXED_FLOWER_Prod!$Q$36</f>
        <v>0</v>
      </c>
      <c r="BD302" s="21">
        <f>MIXED_FLOWER_Prod!$T$36</f>
        <v>0</v>
      </c>
      <c r="BE302" s="58">
        <f>MIXED_FLOWER_Prod!$Q$37</f>
        <v>0</v>
      </c>
      <c r="BF302" s="21">
        <f>MIXED_FLOWER_Prod!$T$37</f>
        <v>0</v>
      </c>
      <c r="BG302" s="52" t="s">
        <v>69</v>
      </c>
      <c r="BH302" s="16"/>
    </row>
    <row r="303" spans="1:60">
      <c r="A303" s="20"/>
      <c r="B303" s="12" t="s">
        <v>407</v>
      </c>
      <c r="C303" s="2" t="s">
        <v>415</v>
      </c>
      <c r="D303" s="15" t="s">
        <v>12</v>
      </c>
      <c r="E303" s="9" t="s">
        <v>0</v>
      </c>
      <c r="F303" s="40" t="s">
        <v>7</v>
      </c>
      <c r="G303" s="46">
        <f>MIXED_FLOWER_Prod!$U$9</f>
        <v>1</v>
      </c>
      <c r="H303" s="72">
        <f>MIXED_FLOWER_Prod!$U$10</f>
        <v>1</v>
      </c>
      <c r="I303" s="58">
        <f>MIXED_FLOWER_Prod!$Q$13</f>
        <v>0</v>
      </c>
      <c r="J303" s="21">
        <f>MIXED_FLOWER_Prod!$U$13</f>
        <v>0</v>
      </c>
      <c r="K303" s="58">
        <f>MIXED_FLOWER_Prod!$Q$14</f>
        <v>0</v>
      </c>
      <c r="L303" s="21">
        <f>MIXED_FLOWER_Prod!$U$14</f>
        <v>0</v>
      </c>
      <c r="M303" s="58">
        <f>MIXED_FLOWER_Prod!$Q$15</f>
        <v>0</v>
      </c>
      <c r="N303" s="21">
        <f>MIXED_FLOWER_Prod!$U$15</f>
        <v>0</v>
      </c>
      <c r="O303" s="58">
        <f>MIXED_FLOWER_Prod!$Q$16</f>
        <v>0</v>
      </c>
      <c r="P303" s="21">
        <f>MIXED_FLOWER_Prod!$U$16</f>
        <v>0</v>
      </c>
      <c r="Q303" s="58">
        <f>MIXED_FLOWER_Prod!$Q$17</f>
        <v>0</v>
      </c>
      <c r="R303" s="21">
        <f>MIXED_FLOWER_Prod!$U$17</f>
        <v>0</v>
      </c>
      <c r="S303" s="58">
        <f>MIXED_FLOWER_Prod!$Q$18</f>
        <v>0</v>
      </c>
      <c r="T303" s="21">
        <f>MIXED_FLOWER_Prod!$U$18</f>
        <v>0</v>
      </c>
      <c r="U303" s="58">
        <f>MIXED_FLOWER_Prod!$Q$19</f>
        <v>0</v>
      </c>
      <c r="V303" s="21">
        <f>MIXED_FLOWER_Prod!$U$19</f>
        <v>0</v>
      </c>
      <c r="W303" s="58">
        <f>MIXED_FLOWER_Prod!$Q$20</f>
        <v>0</v>
      </c>
      <c r="X303" s="21">
        <f>MIXED_FLOWER_Prod!$U$20</f>
        <v>0</v>
      </c>
      <c r="Y303" s="58">
        <f>MIXED_FLOWER_Prod!$Q$21</f>
        <v>0</v>
      </c>
      <c r="Z303" s="21">
        <f>MIXED_FLOWER_Prod!$U$21</f>
        <v>0</v>
      </c>
      <c r="AA303" s="58">
        <f>MIXED_FLOWER_Prod!$Q$22</f>
        <v>0</v>
      </c>
      <c r="AB303" s="21">
        <f>MIXED_FLOWER_Prod!$U$22</f>
        <v>0</v>
      </c>
      <c r="AC303" s="58">
        <f>MIXED_FLOWER_Prod!$Q$23</f>
        <v>0</v>
      </c>
      <c r="AD303" s="21">
        <f>MIXED_FLOWER_Prod!$U$23</f>
        <v>0</v>
      </c>
      <c r="AE303" s="58">
        <f>MIXED_FLOWER_Prod!$Q$24</f>
        <v>0</v>
      </c>
      <c r="AF303" s="21">
        <f>MIXED_FLOWER_Prod!$U$24</f>
        <v>0</v>
      </c>
      <c r="AG303" s="58">
        <f>MIXED_FLOWER_Prod!$Q$25</f>
        <v>0</v>
      </c>
      <c r="AH303" s="21">
        <f>MIXED_FLOWER_Prod!$U$25</f>
        <v>0</v>
      </c>
      <c r="AI303" s="58">
        <f>MIXED_FLOWER_Prod!$Q$26</f>
        <v>0</v>
      </c>
      <c r="AJ303" s="21">
        <f>MIXED_FLOWER_Prod!$U$26</f>
        <v>0</v>
      </c>
      <c r="AK303" s="58">
        <f>MIXED_FLOWER_Prod!$Q$27</f>
        <v>0</v>
      </c>
      <c r="AL303" s="21">
        <f>MIXED_FLOWER_Prod!$U$27</f>
        <v>0</v>
      </c>
      <c r="AM303" s="58">
        <f>MIXED_FLOWER_Prod!$Q$28</f>
        <v>0</v>
      </c>
      <c r="AN303" s="21">
        <f>MIXED_FLOWER_Prod!$U$28</f>
        <v>0</v>
      </c>
      <c r="AO303" s="58">
        <f>MIXED_FLOWER_Prod!$Q$29</f>
        <v>0</v>
      </c>
      <c r="AP303" s="21">
        <f>MIXED_FLOWER_Prod!$U$29</f>
        <v>0</v>
      </c>
      <c r="AQ303" s="58">
        <f>MIXED_FLOWER_Prod!$Q$30</f>
        <v>0</v>
      </c>
      <c r="AR303" s="21">
        <f>MIXED_FLOWER_Prod!$U$30</f>
        <v>0</v>
      </c>
      <c r="AS303" s="58">
        <f>MIXED_FLOWER_Prod!$Q$31</f>
        <v>0</v>
      </c>
      <c r="AT303" s="21">
        <f>MIXED_FLOWER_Prod!$U$31</f>
        <v>0</v>
      </c>
      <c r="AU303" s="58">
        <f>MIXED_FLOWER_Prod!$Q$32</f>
        <v>0</v>
      </c>
      <c r="AV303" s="21">
        <f>MIXED_FLOWER_Prod!$U$32</f>
        <v>0</v>
      </c>
      <c r="AW303" s="58">
        <f>MIXED_FLOWER_Prod!$Q$33</f>
        <v>0</v>
      </c>
      <c r="AX303" s="21">
        <f>MIXED_FLOWER_Prod!$U$33</f>
        <v>0</v>
      </c>
      <c r="AY303" s="58">
        <f>MIXED_FLOWER_Prod!$Q$34</f>
        <v>0</v>
      </c>
      <c r="AZ303" s="21">
        <f>MIXED_FLOWER_Prod!$U$34</f>
        <v>0</v>
      </c>
      <c r="BA303" s="58">
        <f>MIXED_FLOWER_Prod!$Q$35</f>
        <v>0</v>
      </c>
      <c r="BB303" s="21">
        <f>MIXED_FLOWER_Prod!$U$35</f>
        <v>0</v>
      </c>
      <c r="BC303" s="58">
        <f>MIXED_FLOWER_Prod!$Q$36</f>
        <v>0</v>
      </c>
      <c r="BD303" s="21">
        <f>MIXED_FLOWER_Prod!$U$36</f>
        <v>0</v>
      </c>
      <c r="BE303" s="58">
        <f>MIXED_FLOWER_Prod!$Q$37</f>
        <v>0</v>
      </c>
      <c r="BF303" s="21">
        <f>MIXED_FLOWER_Prod!$U$37</f>
        <v>0</v>
      </c>
      <c r="BG303" s="52" t="s">
        <v>69</v>
      </c>
      <c r="BH303" s="16"/>
    </row>
    <row r="304" spans="1:60">
      <c r="A304" s="20"/>
      <c r="B304" s="11" t="s">
        <v>418</v>
      </c>
      <c r="C304" s="2" t="s">
        <v>769</v>
      </c>
      <c r="D304" s="15" t="s">
        <v>12</v>
      </c>
      <c r="E304" s="9" t="s">
        <v>3</v>
      </c>
      <c r="F304" s="40" t="s">
        <v>6</v>
      </c>
      <c r="G304" s="46">
        <f>MIXED_FLOWER_Prod!$Z$9</f>
        <v>1</v>
      </c>
      <c r="H304" s="72">
        <f>MIXED_FLOWER_Prod!$Z$10</f>
        <v>1</v>
      </c>
      <c r="I304" s="58">
        <f>MIXED_FLOWER_Prod!$Y$13</f>
        <v>0</v>
      </c>
      <c r="J304" s="21">
        <f>MIXED_FLOWER_Prod!$Z$13</f>
        <v>136</v>
      </c>
      <c r="K304" s="58">
        <f>MIXED_FLOWER_Prod!$Y$14</f>
        <v>0</v>
      </c>
      <c r="L304" s="21">
        <f>MIXED_FLOWER_Prod!$Z$14</f>
        <v>0</v>
      </c>
      <c r="M304" s="58">
        <f>MIXED_FLOWER_Prod!$Y$15</f>
        <v>0</v>
      </c>
      <c r="N304" s="21">
        <f>MIXED_FLOWER_Prod!$Z$15</f>
        <v>0</v>
      </c>
      <c r="O304" s="58">
        <f>MIXED_FLOWER_Prod!$Y$16</f>
        <v>0</v>
      </c>
      <c r="P304" s="21">
        <f>MIXED_FLOWER_Prod!$Z$16</f>
        <v>0</v>
      </c>
      <c r="Q304" s="58">
        <f>MIXED_FLOWER_Prod!$Y$17</f>
        <v>0</v>
      </c>
      <c r="R304" s="21">
        <f>MIXED_FLOWER_Prod!$Z$17</f>
        <v>0</v>
      </c>
      <c r="S304" s="58">
        <f>MIXED_FLOWER_Prod!$Y$18</f>
        <v>0</v>
      </c>
      <c r="T304" s="21">
        <f>MIXED_FLOWER_Prod!$Z$18</f>
        <v>0</v>
      </c>
      <c r="U304" s="58">
        <f>MIXED_FLOWER_Prod!$Y$19</f>
        <v>0</v>
      </c>
      <c r="V304" s="21">
        <f>MIXED_FLOWER_Prod!$Z$19</f>
        <v>0</v>
      </c>
      <c r="W304" s="58">
        <f>MIXED_FLOWER_Prod!$Y$20</f>
        <v>0</v>
      </c>
      <c r="X304" s="21">
        <f>MIXED_FLOWER_Prod!$Z$20</f>
        <v>0</v>
      </c>
      <c r="Y304" s="58">
        <f>MIXED_FLOWER_Prod!$Y$21</f>
        <v>0</v>
      </c>
      <c r="Z304" s="21">
        <f>MIXED_FLOWER_Prod!$Z$21</f>
        <v>0</v>
      </c>
      <c r="AA304" s="58">
        <f>MIXED_FLOWER_Prod!$Y$22</f>
        <v>0</v>
      </c>
      <c r="AB304" s="21">
        <f>MIXED_FLOWER_Prod!$Z$22</f>
        <v>0</v>
      </c>
      <c r="AC304" s="58">
        <f>MIXED_FLOWER_Prod!$Y$23</f>
        <v>0</v>
      </c>
      <c r="AD304" s="21">
        <f>MIXED_FLOWER_Prod!$Z$23</f>
        <v>0</v>
      </c>
      <c r="AE304" s="58">
        <f>MIXED_FLOWER_Prod!$Y$24</f>
        <v>0</v>
      </c>
      <c r="AF304" s="21">
        <f>MIXED_FLOWER_Prod!$Z$24</f>
        <v>0</v>
      </c>
      <c r="AG304" s="58">
        <f>MIXED_FLOWER_Prod!$Y$25</f>
        <v>0</v>
      </c>
      <c r="AH304" s="21">
        <f>MIXED_FLOWER_Prod!$Z$25</f>
        <v>0</v>
      </c>
      <c r="AI304" s="58">
        <f>MIXED_FLOWER_Prod!$Y$26</f>
        <v>0</v>
      </c>
      <c r="AJ304" s="21">
        <f>MIXED_FLOWER_Prod!$Z$26</f>
        <v>0</v>
      </c>
      <c r="AK304" s="58">
        <f>MIXED_FLOWER_Prod!$Y$27</f>
        <v>0</v>
      </c>
      <c r="AL304" s="21">
        <f>MIXED_FLOWER_Prod!$Z$27</f>
        <v>0</v>
      </c>
      <c r="AM304" s="58">
        <f>MIXED_FLOWER_Prod!$Y$28</f>
        <v>0</v>
      </c>
      <c r="AN304" s="21">
        <f>MIXED_FLOWER_Prod!$Z$28</f>
        <v>0</v>
      </c>
      <c r="AO304" s="58">
        <f>MIXED_FLOWER_Prod!$Y$29</f>
        <v>0</v>
      </c>
      <c r="AP304" s="21">
        <f>MIXED_FLOWER_Prod!$Z$29</f>
        <v>0</v>
      </c>
      <c r="AQ304" s="58">
        <f>MIXED_FLOWER_Prod!$Y$30</f>
        <v>0</v>
      </c>
      <c r="AR304" s="21">
        <f>MIXED_FLOWER_Prod!$Z$30</f>
        <v>0</v>
      </c>
      <c r="AS304" s="58">
        <f>MIXED_FLOWER_Prod!$Y$31</f>
        <v>0</v>
      </c>
      <c r="AT304" s="21">
        <f>MIXED_FLOWER_Prod!$Z$31</f>
        <v>0</v>
      </c>
      <c r="AU304" s="58">
        <f>MIXED_FLOWER_Prod!$Y$32</f>
        <v>0</v>
      </c>
      <c r="AV304" s="21">
        <f>MIXED_FLOWER_Prod!$Z$32</f>
        <v>0</v>
      </c>
      <c r="AW304" s="58">
        <f>MIXED_FLOWER_Prod!$Y$33</f>
        <v>0</v>
      </c>
      <c r="AX304" s="21">
        <f>MIXED_FLOWER_Prod!$Z$33</f>
        <v>0</v>
      </c>
      <c r="AY304" s="58">
        <f>MIXED_FLOWER_Prod!$Y$34</f>
        <v>0</v>
      </c>
      <c r="AZ304" s="21">
        <f>MIXED_FLOWER_Prod!$Z$34</f>
        <v>0</v>
      </c>
      <c r="BA304" s="58">
        <f>MIXED_FLOWER_Prod!$Y$35</f>
        <v>0</v>
      </c>
      <c r="BB304" s="21">
        <f>MIXED_FLOWER_Prod!$Z$35</f>
        <v>0</v>
      </c>
      <c r="BC304" s="58">
        <f>MIXED_FLOWER_Prod!$Y$36</f>
        <v>0</v>
      </c>
      <c r="BD304" s="21">
        <f>MIXED_FLOWER_Prod!$Z$36</f>
        <v>0</v>
      </c>
      <c r="BE304" s="58">
        <f>MIXED_FLOWER_Prod!$Y$37</f>
        <v>0</v>
      </c>
      <c r="BF304" s="21">
        <f>MIXED_FLOWER_Prod!$Z$37</f>
        <v>0</v>
      </c>
      <c r="BG304" s="52" t="s">
        <v>69</v>
      </c>
      <c r="BH304" s="16"/>
    </row>
    <row r="305" spans="1:60">
      <c r="A305" s="20"/>
      <c r="B305" s="11" t="s">
        <v>419</v>
      </c>
      <c r="C305" s="2" t="s">
        <v>399</v>
      </c>
      <c r="D305" s="15" t="s">
        <v>12</v>
      </c>
      <c r="E305" s="9" t="s">
        <v>3</v>
      </c>
      <c r="F305" s="40" t="s">
        <v>6</v>
      </c>
      <c r="G305" s="46">
        <f>MIXED_FLOWER_Prod!$AA$9</f>
        <v>1</v>
      </c>
      <c r="H305" s="72">
        <f>MIXED_FLOWER_Prod!$AA$10</f>
        <v>1</v>
      </c>
      <c r="I305" s="58">
        <f>MIXED_FLOWER_Prod!$Y$13</f>
        <v>0</v>
      </c>
      <c r="J305" s="21">
        <f>MIXED_FLOWER_Prod!$AA$13</f>
        <v>0</v>
      </c>
      <c r="K305" s="58">
        <f>MIXED_FLOWER_Prod!$Y$14</f>
        <v>0</v>
      </c>
      <c r="L305" s="21">
        <f>MIXED_FLOWER_Prod!$AA$14</f>
        <v>0</v>
      </c>
      <c r="M305" s="58">
        <f>MIXED_FLOWER_Prod!$Y$15</f>
        <v>0</v>
      </c>
      <c r="N305" s="21">
        <f>MIXED_FLOWER_Prod!$AA$15</f>
        <v>0</v>
      </c>
      <c r="O305" s="58">
        <f>MIXED_FLOWER_Prod!$Y$16</f>
        <v>0</v>
      </c>
      <c r="P305" s="21">
        <f>MIXED_FLOWER_Prod!$AA$16</f>
        <v>0</v>
      </c>
      <c r="Q305" s="58">
        <f>MIXED_FLOWER_Prod!$Y$17</f>
        <v>0</v>
      </c>
      <c r="R305" s="21">
        <f>MIXED_FLOWER_Prod!$AA$17</f>
        <v>0</v>
      </c>
      <c r="S305" s="58">
        <f>MIXED_FLOWER_Prod!$Y$18</f>
        <v>0</v>
      </c>
      <c r="T305" s="21">
        <f>MIXED_FLOWER_Prod!$AA$18</f>
        <v>0</v>
      </c>
      <c r="U305" s="58">
        <f>MIXED_FLOWER_Prod!$Y$19</f>
        <v>0</v>
      </c>
      <c r="V305" s="21">
        <f>MIXED_FLOWER_Prod!$AA$19</f>
        <v>0</v>
      </c>
      <c r="W305" s="58">
        <f>MIXED_FLOWER_Prod!$Y$20</f>
        <v>0</v>
      </c>
      <c r="X305" s="21">
        <f>MIXED_FLOWER_Prod!$AA$20</f>
        <v>0</v>
      </c>
      <c r="Y305" s="58">
        <f>MIXED_FLOWER_Prod!$Y$21</f>
        <v>0</v>
      </c>
      <c r="Z305" s="21">
        <f>MIXED_FLOWER_Prod!$AA$21</f>
        <v>0</v>
      </c>
      <c r="AA305" s="58">
        <f>MIXED_FLOWER_Prod!$Y$22</f>
        <v>0</v>
      </c>
      <c r="AB305" s="21">
        <f>MIXED_FLOWER_Prod!$AA$22</f>
        <v>0</v>
      </c>
      <c r="AC305" s="58">
        <f>MIXED_FLOWER_Prod!$Y$23</f>
        <v>0</v>
      </c>
      <c r="AD305" s="21">
        <f>MIXED_FLOWER_Prod!$AA$23</f>
        <v>0</v>
      </c>
      <c r="AE305" s="58">
        <f>MIXED_FLOWER_Prod!$Y$24</f>
        <v>0</v>
      </c>
      <c r="AF305" s="21">
        <f>MIXED_FLOWER_Prod!$AA$24</f>
        <v>0</v>
      </c>
      <c r="AG305" s="58">
        <f>MIXED_FLOWER_Prod!$Y$25</f>
        <v>0</v>
      </c>
      <c r="AH305" s="21">
        <f>MIXED_FLOWER_Prod!$AA$25</f>
        <v>0</v>
      </c>
      <c r="AI305" s="58">
        <f>MIXED_FLOWER_Prod!$Y$26</f>
        <v>0</v>
      </c>
      <c r="AJ305" s="21">
        <f>MIXED_FLOWER_Prod!$AA$26</f>
        <v>0</v>
      </c>
      <c r="AK305" s="58">
        <f>MIXED_FLOWER_Prod!$Y$27</f>
        <v>0</v>
      </c>
      <c r="AL305" s="21">
        <f>MIXED_FLOWER_Prod!$AA$27</f>
        <v>0</v>
      </c>
      <c r="AM305" s="58">
        <f>MIXED_FLOWER_Prod!$Y$28</f>
        <v>0</v>
      </c>
      <c r="AN305" s="21">
        <f>MIXED_FLOWER_Prod!$AA$28</f>
        <v>0</v>
      </c>
      <c r="AO305" s="58">
        <f>MIXED_FLOWER_Prod!$Y$29</f>
        <v>0</v>
      </c>
      <c r="AP305" s="21">
        <f>MIXED_FLOWER_Prod!$AA$29</f>
        <v>0</v>
      </c>
      <c r="AQ305" s="58">
        <f>MIXED_FLOWER_Prod!$Y$30</f>
        <v>0</v>
      </c>
      <c r="AR305" s="21">
        <f>MIXED_FLOWER_Prod!$AA$30</f>
        <v>0</v>
      </c>
      <c r="AS305" s="58">
        <f>MIXED_FLOWER_Prod!$Y$31</f>
        <v>0</v>
      </c>
      <c r="AT305" s="21">
        <f>MIXED_FLOWER_Prod!$AA$31</f>
        <v>0</v>
      </c>
      <c r="AU305" s="58">
        <f>MIXED_FLOWER_Prod!$Y$32</f>
        <v>0</v>
      </c>
      <c r="AV305" s="21">
        <f>MIXED_FLOWER_Prod!$AA$32</f>
        <v>0</v>
      </c>
      <c r="AW305" s="58">
        <f>MIXED_FLOWER_Prod!$Y$33</f>
        <v>0</v>
      </c>
      <c r="AX305" s="21">
        <f>MIXED_FLOWER_Prod!$AA$33</f>
        <v>0</v>
      </c>
      <c r="AY305" s="58">
        <f>MIXED_FLOWER_Prod!$Y$34</f>
        <v>0</v>
      </c>
      <c r="AZ305" s="21">
        <f>MIXED_FLOWER_Prod!$AA$34</f>
        <v>0</v>
      </c>
      <c r="BA305" s="58">
        <f>MIXED_FLOWER_Prod!$Y$35</f>
        <v>0</v>
      </c>
      <c r="BB305" s="21">
        <f>MIXED_FLOWER_Prod!$AA$35</f>
        <v>0</v>
      </c>
      <c r="BC305" s="58">
        <f>MIXED_FLOWER_Prod!$Y$36</f>
        <v>0</v>
      </c>
      <c r="BD305" s="21">
        <f>MIXED_FLOWER_Prod!$AA$36</f>
        <v>0</v>
      </c>
      <c r="BE305" s="58">
        <f>MIXED_FLOWER_Prod!$Y$37</f>
        <v>0</v>
      </c>
      <c r="BF305" s="21">
        <f>MIXED_FLOWER_Prod!$AA$37</f>
        <v>0</v>
      </c>
      <c r="BG305" s="52" t="s">
        <v>69</v>
      </c>
      <c r="BH305" s="16"/>
    </row>
    <row r="306" spans="1:60" s="65" customFormat="1" ht="18.75">
      <c r="A306" s="21" t="s">
        <v>69</v>
      </c>
      <c r="B306" s="61"/>
      <c r="C306" s="61" t="s">
        <v>218</v>
      </c>
      <c r="D306" s="62"/>
      <c r="E306" s="62"/>
      <c r="F306" s="62"/>
      <c r="G306" s="61"/>
      <c r="H306" s="67"/>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52" t="s">
        <v>69</v>
      </c>
      <c r="BH306" s="64"/>
    </row>
    <row r="307" spans="1:60">
      <c r="A307" s="4"/>
      <c r="B307" s="5"/>
      <c r="C307" s="1"/>
      <c r="D307" s="4"/>
      <c r="E307" s="1"/>
      <c r="F307" s="4"/>
      <c r="G307" s="4"/>
      <c r="H307" s="73"/>
      <c r="I307" s="23"/>
      <c r="J307" s="23"/>
      <c r="K307" s="23"/>
      <c r="L307" s="23"/>
      <c r="M307" s="23"/>
      <c r="N307" s="23"/>
      <c r="O307" s="23"/>
      <c r="P307" s="23"/>
      <c r="Q307" s="23"/>
      <c r="R307" s="23"/>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16"/>
    </row>
    <row r="308" spans="1:60">
      <c r="A308" s="4"/>
      <c r="B308" s="5"/>
      <c r="C308" s="1"/>
      <c r="D308" s="4"/>
      <c r="E308" s="1"/>
      <c r="F308" s="4"/>
      <c r="G308" s="4"/>
      <c r="H308" s="73"/>
      <c r="I308" s="23"/>
      <c r="J308" s="23"/>
      <c r="K308" s="23"/>
      <c r="L308" s="23"/>
      <c r="M308" s="23"/>
      <c r="N308" s="23"/>
      <c r="O308" s="23"/>
      <c r="P308" s="23"/>
      <c r="Q308" s="23"/>
      <c r="R308" s="23"/>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16"/>
    </row>
  </sheetData>
  <sheetProtection selectLockedCells="1"/>
  <mergeCells count="3">
    <mergeCell ref="C2:J2"/>
    <mergeCell ref="C3:J3"/>
    <mergeCell ref="C4:J4"/>
  </mergeCells>
  <hyperlinks>
    <hyperlink ref="B1" location="IGAP!A1" display="IGAP!A1"/>
  </hyperlinks>
  <printOptions horizontalCentered="1" verticalCentered="1"/>
  <pageMargins left="0.19685039370078741" right="0.19685039370078741" top="0.19685039370078741" bottom="0.19685039370078741" header="0.11811023622047245" footer="0.11811023622047245"/>
  <pageSetup paperSize="9" scale="59" fitToWidth="2" fitToHeight="5" orientation="landscape" r:id="rId1"/>
  <headerFooter>
    <oddHeader>&amp;Z&amp;F</oddHeader>
    <oddFooter>&amp;C&amp;D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01"/>
  <sheetViews>
    <sheetView workbookViewId="0">
      <selection activeCell="R9" sqref="R9:T9"/>
    </sheetView>
  </sheetViews>
  <sheetFormatPr baseColWidth="10" defaultRowHeight="12.75"/>
  <sheetData>
    <row r="1" spans="1:24" s="345" customFormat="1" ht="18">
      <c r="B1" s="345">
        <f>0.001</f>
        <v>1E-3</v>
      </c>
      <c r="D1" s="1228" t="s">
        <v>1101</v>
      </c>
      <c r="E1" s="1228"/>
      <c r="L1" s="1249" t="str">
        <f>IF('Stipe=phyllotaxie&amp;croissance'!S9&gt;0,'Stipe=phyllotaxie&amp;croissance'!S9,"")</f>
        <v/>
      </c>
      <c r="M1" s="1249"/>
      <c r="N1" s="975"/>
      <c r="O1" s="975"/>
    </row>
    <row r="2" spans="1:24" s="345" customFormat="1" ht="18">
      <c r="D2" s="974"/>
      <c r="E2" s="974"/>
    </row>
    <row r="3" spans="1:24" s="345" customFormat="1" ht="15.75">
      <c r="D3" s="1323" t="s">
        <v>1102</v>
      </c>
      <c r="E3" s="1323"/>
      <c r="F3" s="1323"/>
      <c r="G3" s="1323"/>
      <c r="H3" s="1323"/>
      <c r="I3" s="978"/>
      <c r="J3" s="1322" t="str">
        <f>IF('Stipe=phyllotaxie&amp;croissance'!$E$11&gt;0,'Stipe=phyllotaxie&amp;croissance'!$E$11,"")</f>
        <v>Rochdi</v>
      </c>
      <c r="K3" s="1322"/>
      <c r="Q3" s="1323" t="s">
        <v>1103</v>
      </c>
      <c r="R3" s="1323"/>
      <c r="S3" s="1323"/>
      <c r="T3" s="1323"/>
      <c r="U3" s="1512" t="str">
        <f>IF('Stipe=phyllotaxie&amp;croissance'!$E$10&gt;0,'Stipe=phyllotaxie&amp;croissance'!$E$10,"")</f>
        <v>01</v>
      </c>
      <c r="V3" s="1512"/>
      <c r="W3" s="980"/>
    </row>
    <row r="4" spans="1:24" s="345" customFormat="1" ht="18">
      <c r="D4" s="974"/>
      <c r="E4" s="974"/>
    </row>
    <row r="5" spans="1:24" s="345" customFormat="1" ht="18">
      <c r="D5" s="1319" t="s">
        <v>1372</v>
      </c>
      <c r="E5" s="1319"/>
      <c r="F5" s="1319"/>
      <c r="G5" s="1319"/>
      <c r="H5" s="1319"/>
      <c r="I5" s="1319"/>
      <c r="J5" s="1319"/>
      <c r="K5" s="446"/>
      <c r="L5" s="446"/>
      <c r="M5" s="446"/>
      <c r="N5" s="976"/>
      <c r="O5" s="976"/>
    </row>
    <row r="6" spans="1:24" s="345" customFormat="1" ht="13.5" thickBot="1"/>
    <row r="7" spans="1:24" s="345" customFormat="1" ht="15.75" thickBot="1">
      <c r="D7" s="1498" t="s">
        <v>1229</v>
      </c>
      <c r="E7" s="1499"/>
      <c r="F7" s="1513"/>
      <c r="G7" s="577">
        <f>IF('Folioles=disposition&amp;groupes'!$D$7&gt;0,'Folioles=disposition&amp;groupes'!$D$7,"")</f>
        <v>57</v>
      </c>
      <c r="R7" s="1498" t="s">
        <v>1229</v>
      </c>
      <c r="S7" s="1499"/>
      <c r="T7" s="1513"/>
      <c r="U7" s="577">
        <f>IF('Folioles=disposition&amp;groupes'!$P$7&gt;0,'Folioles=disposition&amp;groupes'!$P$7,"")</f>
        <v>83</v>
      </c>
    </row>
    <row r="8" spans="1:24" s="345" customFormat="1"/>
    <row r="9" spans="1:24" s="345" customFormat="1" ht="15">
      <c r="C9" s="582"/>
      <c r="D9" s="1514" t="s">
        <v>1373</v>
      </c>
      <c r="E9" s="1514"/>
      <c r="F9" s="1514"/>
      <c r="Q9" s="582"/>
      <c r="R9" s="1514" t="s">
        <v>1373</v>
      </c>
      <c r="S9" s="1514"/>
      <c r="T9" s="1514"/>
    </row>
    <row r="10" spans="1:24" s="345" customFormat="1" ht="13.5" thickBot="1"/>
    <row r="11" spans="1:24" s="345" customFormat="1" ht="15.75" thickBot="1">
      <c r="C11" s="1515" t="s">
        <v>1233</v>
      </c>
      <c r="D11" s="1609" t="s">
        <v>1237</v>
      </c>
      <c r="E11" s="1610"/>
      <c r="F11" s="1610"/>
      <c r="G11" s="1262"/>
      <c r="H11" s="1515" t="s">
        <v>1233</v>
      </c>
      <c r="I11" s="1609" t="s">
        <v>1238</v>
      </c>
      <c r="J11" s="1610"/>
      <c r="K11" s="1610"/>
      <c r="L11" s="1262"/>
      <c r="M11" s="583"/>
      <c r="O11" s="1515" t="s">
        <v>1233</v>
      </c>
      <c r="P11" s="1609" t="s">
        <v>1237</v>
      </c>
      <c r="Q11" s="1610"/>
      <c r="R11" s="1610"/>
      <c r="S11" s="1262"/>
      <c r="T11" s="1515" t="s">
        <v>1233</v>
      </c>
      <c r="U11" s="1609" t="s">
        <v>1238</v>
      </c>
      <c r="V11" s="1610"/>
      <c r="W11" s="1610"/>
      <c r="X11" s="1262"/>
    </row>
    <row r="12" spans="1:24" s="345" customFormat="1" ht="13.5" thickBot="1">
      <c r="C12" s="1617"/>
      <c r="D12" s="584" t="s">
        <v>1239</v>
      </c>
      <c r="E12" s="585" t="s">
        <v>1240</v>
      </c>
      <c r="F12" s="585" t="s">
        <v>1240</v>
      </c>
      <c r="G12" s="586" t="s">
        <v>1241</v>
      </c>
      <c r="H12" s="1617"/>
      <c r="I12" s="584" t="s">
        <v>1239</v>
      </c>
      <c r="J12" s="585" t="s">
        <v>1240</v>
      </c>
      <c r="K12" s="585" t="s">
        <v>1240</v>
      </c>
      <c r="L12" s="586" t="s">
        <v>1241</v>
      </c>
      <c r="M12" s="587"/>
      <c r="O12" s="1617"/>
      <c r="P12" s="584" t="s">
        <v>1239</v>
      </c>
      <c r="Q12" s="585" t="s">
        <v>1240</v>
      </c>
      <c r="R12" s="585" t="s">
        <v>1240</v>
      </c>
      <c r="S12" s="586" t="s">
        <v>1241</v>
      </c>
      <c r="T12" s="1617"/>
      <c r="U12" s="584" t="s">
        <v>1239</v>
      </c>
      <c r="V12" s="585" t="s">
        <v>1240</v>
      </c>
      <c r="W12" s="585" t="s">
        <v>1240</v>
      </c>
      <c r="X12" s="586" t="s">
        <v>1241</v>
      </c>
    </row>
    <row r="13" spans="1:24" s="345" customFormat="1">
      <c r="A13" s="345">
        <f>IF(COUNTIF(C13,"")+COUNTIF(H13,"")+COUNTIF(O13,"")+COUNTIF(T13,"")=4,"",AVERAGE(C13,H13,O13,T13))</f>
        <v>5.3605555861977985</v>
      </c>
      <c r="B13" s="595" t="s">
        <v>1243</v>
      </c>
      <c r="C13" s="775">
        <f>IF('Sections rachis &amp; L pennes'!Q13="","",'Sections rachis &amp; L pennes'!Q13)</f>
        <v>5.15970515970516</v>
      </c>
      <c r="D13" s="776" t="str">
        <f>IF('Angles des pennes'!D14="","",'Angles des pennes'!D14)</f>
        <v/>
      </c>
      <c r="E13" s="777" t="str">
        <f>IF('Angles des pennes'!E14="","",'Angles des pennes'!E14)</f>
        <v/>
      </c>
      <c r="F13" s="777" t="str">
        <f>IF('Angles des pennes'!F14="","",'Angles des pennes'!F14)</f>
        <v/>
      </c>
      <c r="G13" s="780">
        <f>IF('Angles des pennes'!G14="","",'Angles des pennes'!G14)</f>
        <v>51.5</v>
      </c>
      <c r="H13" s="775">
        <f>IF('Sections rachis &amp; L pennes'!V13="","",'Sections rachis &amp; L pennes'!V13)</f>
        <v>5.4054054054054053</v>
      </c>
      <c r="I13" s="776" t="str">
        <f>IF('Angles des pennes'!I14="","",'Angles des pennes'!I14)</f>
        <v/>
      </c>
      <c r="J13" s="777" t="str">
        <f>IF('Angles des pennes'!J14="","",'Angles des pennes'!J14)</f>
        <v/>
      </c>
      <c r="K13" s="777" t="str">
        <f>IF('Angles des pennes'!K14="","",'Angles des pennes'!K14)</f>
        <v/>
      </c>
      <c r="L13" s="780">
        <f>IF('Angles des pennes'!L14="","",'Angles des pennes'!L14)</f>
        <v>20.5</v>
      </c>
      <c r="M13" s="781">
        <f t="shared" ref="M13:M31" si="0">IF(COUNTIF(D13:G13,"")+COUNTIF(I13:L13,"")+COUNTIF(P13:S13,"")+COUNTIF(U13:X13,"")=16,"",IF(COUNTIF(D13:G13,"")+COUNTIF(I13:L13,"")+COUNTIF(P13:S13,"")+COUNTIF(U13:X13,"")=15,0,STDEV(D13:G13,I13:L13,P13:S13,U13:X13)))</f>
        <v>14.44552987374758</v>
      </c>
      <c r="N13" s="595" t="s">
        <v>1243</v>
      </c>
      <c r="O13" s="775">
        <f>IF('Sections rachis &amp; L pennes'!AC13="","",'Sections rachis &amp; L pennes'!AC13)</f>
        <v>5.3228419347373288</v>
      </c>
      <c r="P13" s="776">
        <f>IF('Angles des pennes'!D48="","",'Angles des pennes'!D48)</f>
        <v>50.6</v>
      </c>
      <c r="Q13" s="777" t="str">
        <f>IF('Angles des pennes'!E48="","",'Angles des pennes'!E48)</f>
        <v/>
      </c>
      <c r="R13" s="777" t="str">
        <f>IF('Angles des pennes'!F48="","",'Angles des pennes'!F48)</f>
        <v/>
      </c>
      <c r="S13" s="780" t="str">
        <f>IF('Angles des pennes'!G48="","",'Angles des pennes'!G48)</f>
        <v/>
      </c>
      <c r="T13" s="775">
        <f>IF('Sections rachis &amp; L pennes'!AH13="","",'Sections rachis &amp; L pennes'!AH13)</f>
        <v>5.5542698449432999</v>
      </c>
      <c r="U13" s="776">
        <f>IF('Angles des pennes'!I48="","",'Angles des pennes'!I48)</f>
        <v>43</v>
      </c>
      <c r="V13" s="777" t="str">
        <f>IF('Angles des pennes'!J48="","",'Angles des pennes'!J48)</f>
        <v/>
      </c>
      <c r="W13" s="777" t="str">
        <f>IF('Angles des pennes'!K48="","",'Angles des pennes'!K48)</f>
        <v/>
      </c>
      <c r="X13" s="780" t="str">
        <f>IF('Angles des pennes'!L48="","",'Angles des pennes'!L48)</f>
        <v/>
      </c>
    </row>
    <row r="14" spans="1:24" s="345" customFormat="1">
      <c r="A14" s="345">
        <f t="shared" ref="A14:A31" si="1">IF(COUNTIF(C14,"")+COUNTIF(H14,"")+COUNTIF(O14,"")+COUNTIF(T14,"")=4,"",AVERAGE(C14,H14,O14,T14))</f>
        <v>26.922669813782981</v>
      </c>
      <c r="B14" s="609" t="s">
        <v>1244</v>
      </c>
      <c r="C14" s="782">
        <f>IF('Sections rachis &amp; L pennes'!Q14="","",'Sections rachis &amp; L pennes'!Q14)</f>
        <v>27.346437346437348</v>
      </c>
      <c r="D14" s="783" t="str">
        <f>IF('Angles des pennes'!D15="","",'Angles des pennes'!D15)</f>
        <v/>
      </c>
      <c r="E14" s="784" t="str">
        <f>IF('Angles des pennes'!E15="","",'Angles des pennes'!E15)</f>
        <v/>
      </c>
      <c r="F14" s="784" t="str">
        <f>IF('Angles des pennes'!F15="","",'Angles des pennes'!F15)</f>
        <v/>
      </c>
      <c r="G14" s="787">
        <f>IF('Angles des pennes'!G15="","",'Angles des pennes'!G15)</f>
        <v>15.7</v>
      </c>
      <c r="H14" s="782">
        <f>IF('Sections rachis &amp; L pennes'!V14="","",'Sections rachis &amp; L pennes'!V14)</f>
        <v>28.157248157248159</v>
      </c>
      <c r="I14" s="783">
        <f>IF('Angles des pennes'!I15="","",'Angles des pennes'!I15)</f>
        <v>7.7</v>
      </c>
      <c r="J14" s="784" t="str">
        <f>IF('Angles des pennes'!J15="","",'Angles des pennes'!J15)</f>
        <v/>
      </c>
      <c r="K14" s="784" t="str">
        <f>IF('Angles des pennes'!K15="","",'Angles des pennes'!K15)</f>
        <v/>
      </c>
      <c r="L14" s="787" t="str">
        <f>IF('Angles des pennes'!L15="","",'Angles des pennes'!L15)</f>
        <v/>
      </c>
      <c r="M14" s="781">
        <f t="shared" si="0"/>
        <v>4.7507017025558085</v>
      </c>
      <c r="N14" s="609" t="s">
        <v>1244</v>
      </c>
      <c r="O14" s="782">
        <f>IF('Sections rachis &amp; L pennes'!AC14="","",'Sections rachis &amp; L pennes'!AC14)</f>
        <v>26.429067345521869</v>
      </c>
      <c r="P14" s="783">
        <f>IF('Angles des pennes'!D49="","",'Angles des pennes'!D49)</f>
        <v>16.3</v>
      </c>
      <c r="Q14" s="784" t="str">
        <f>IF('Angles des pennes'!E49="","",'Angles des pennes'!E49)</f>
        <v/>
      </c>
      <c r="R14" s="784" t="str">
        <f>IF('Angles des pennes'!F49="","",'Angles des pennes'!F49)</f>
        <v/>
      </c>
      <c r="S14" s="787" t="str">
        <f>IF('Angles des pennes'!G49="","",'Angles des pennes'!G49)</f>
        <v/>
      </c>
      <c r="T14" s="782">
        <f>IF('Sections rachis &amp; L pennes'!AH14="","",'Sections rachis &amp; L pennes'!AH14)</f>
        <v>25.757926405924554</v>
      </c>
      <c r="U14" s="783" t="str">
        <f>IF('Angles des pennes'!I49="","",'Angles des pennes'!I49)</f>
        <v/>
      </c>
      <c r="V14" s="784" t="str">
        <f>IF('Angles des pennes'!J49="","",'Angles des pennes'!J49)</f>
        <v/>
      </c>
      <c r="W14" s="784" t="str">
        <f>IF('Angles des pennes'!K49="","",'Angles des pennes'!K49)</f>
        <v/>
      </c>
      <c r="X14" s="787">
        <f>IF('Angles des pennes'!L49="","",'Angles des pennes'!L49)</f>
        <v>18.600000000000001</v>
      </c>
    </row>
    <row r="15" spans="1:24" s="345" customFormat="1" ht="13.5" thickBot="1">
      <c r="A15" s="345">
        <f t="shared" si="1"/>
        <v>28.402760758696882</v>
      </c>
      <c r="B15" s="620" t="s">
        <v>1245</v>
      </c>
      <c r="C15" s="788">
        <f>IF('Sections rachis &amp; L pennes'!Q15="","",'Sections rachis &amp; L pennes'!Q15)</f>
        <v>30.466830466830466</v>
      </c>
      <c r="D15" s="789">
        <f>IF('Angles des pennes'!D16="","",'Angles des pennes'!D16)</f>
        <v>6.6</v>
      </c>
      <c r="E15" s="790" t="str">
        <f>IF('Angles des pennes'!E16="","",'Angles des pennes'!E16)</f>
        <v/>
      </c>
      <c r="F15" s="790" t="str">
        <f>IF('Angles des pennes'!F16="","",'Angles des pennes'!F16)</f>
        <v/>
      </c>
      <c r="G15" s="793" t="str">
        <f>IF('Angles des pennes'!G16="","",'Angles des pennes'!G16)</f>
        <v/>
      </c>
      <c r="H15" s="788">
        <f>IF('Sections rachis &amp; L pennes'!V15="","",'Sections rachis &amp; L pennes'!V15)</f>
        <v>28.55036855036855</v>
      </c>
      <c r="I15" s="789" t="str">
        <f>IF('Angles des pennes'!I16="","",'Angles des pennes'!I16)</f>
        <v/>
      </c>
      <c r="J15" s="790" t="str">
        <f>IF('Angles des pennes'!J16="","",'Angles des pennes'!J16)</f>
        <v/>
      </c>
      <c r="K15" s="790" t="str">
        <f>IF('Angles des pennes'!K16="","",'Angles des pennes'!K16)</f>
        <v/>
      </c>
      <c r="L15" s="793">
        <f>IF('Angles des pennes'!L16="","",'Angles des pennes'!L16)</f>
        <v>6.2</v>
      </c>
      <c r="M15" s="781">
        <f t="shared" si="0"/>
        <v>7.4368452092716453</v>
      </c>
      <c r="N15" s="620" t="s">
        <v>1245</v>
      </c>
      <c r="O15" s="782">
        <f>IF('Sections rachis &amp; L pennes'!AC15="","",'Sections rachis &amp; L pennes'!AC15)</f>
        <v>26.799352001851421</v>
      </c>
      <c r="P15" s="789" t="str">
        <f>IF('Angles des pennes'!D50="","",'Angles des pennes'!D50)</f>
        <v/>
      </c>
      <c r="Q15" s="790" t="str">
        <f>IF('Angles des pennes'!E50="","",'Angles des pennes'!E50)</f>
        <v/>
      </c>
      <c r="R15" s="790" t="str">
        <f>IF('Angles des pennes'!F50="","",'Angles des pennes'!F50)</f>
        <v/>
      </c>
      <c r="S15" s="793">
        <f>IF('Angles des pennes'!G50="","",'Angles des pennes'!G50)</f>
        <v>18.2</v>
      </c>
      <c r="T15" s="782">
        <f>IF('Sections rachis &amp; L pennes'!AH15="","",'Sections rachis &amp; L pennes'!AH15)</f>
        <v>27.794492015737095</v>
      </c>
      <c r="U15" s="789">
        <f>IF('Angles des pennes'!I50="","",'Angles des pennes'!I50)</f>
        <v>20.2</v>
      </c>
      <c r="V15" s="790" t="str">
        <f>IF('Angles des pennes'!J50="","",'Angles des pennes'!J50)</f>
        <v/>
      </c>
      <c r="W15" s="790" t="str">
        <f>IF('Angles des pennes'!K50="","",'Angles des pennes'!K50)</f>
        <v/>
      </c>
      <c r="X15" s="793" t="str">
        <f>IF('Angles des pennes'!L50="","",'Angles des pennes'!L50)</f>
        <v/>
      </c>
    </row>
    <row r="16" spans="1:24" s="345" customFormat="1">
      <c r="A16" s="345" t="str">
        <f t="shared" si="1"/>
        <v/>
      </c>
      <c r="C16" s="775" t="str">
        <f>IF('Sections rachis &amp; L pennes'!Q16="","",'Sections rachis &amp; L pennes'!Q16)</f>
        <v/>
      </c>
      <c r="D16" s="776" t="str">
        <f>IF('Angles des pennes'!D17="","",'Angles des pennes'!D17)</f>
        <v/>
      </c>
      <c r="E16" s="777" t="str">
        <f>IF('Angles des pennes'!E17="","",'Angles des pennes'!E17)</f>
        <v/>
      </c>
      <c r="F16" s="777" t="str">
        <f>IF('Angles des pennes'!F17="","",'Angles des pennes'!F17)</f>
        <v/>
      </c>
      <c r="G16" s="780" t="str">
        <f>IF('Angles des pennes'!G17="","",'Angles des pennes'!G17)</f>
        <v/>
      </c>
      <c r="H16" s="775" t="str">
        <f>IF('Sections rachis &amp; L pennes'!V16="","",'Sections rachis &amp; L pennes'!V16)</f>
        <v/>
      </c>
      <c r="I16" s="776" t="str">
        <f>IF('Angles des pennes'!I17="","",'Angles des pennes'!I17)</f>
        <v/>
      </c>
      <c r="J16" s="777" t="str">
        <f>IF('Angles des pennes'!J17="","",'Angles des pennes'!J17)</f>
        <v/>
      </c>
      <c r="K16" s="777" t="str">
        <f>IF('Angles des pennes'!K17="","",'Angles des pennes'!K17)</f>
        <v/>
      </c>
      <c r="L16" s="780" t="str">
        <f>IF('Angles des pennes'!L17="","",'Angles des pennes'!L17)</f>
        <v/>
      </c>
      <c r="M16" s="781" t="str">
        <f t="shared" si="0"/>
        <v/>
      </c>
      <c r="O16" s="782" t="str">
        <f>IF('Sections rachis &amp; L pennes'!AC16="","",'Sections rachis &amp; L pennes'!AC16)</f>
        <v/>
      </c>
      <c r="P16" s="776" t="str">
        <f>IF('Angles des pennes'!D51="","",'Angles des pennes'!D51)</f>
        <v/>
      </c>
      <c r="Q16" s="777" t="str">
        <f>IF('Angles des pennes'!E51="","",'Angles des pennes'!E51)</f>
        <v/>
      </c>
      <c r="R16" s="777" t="str">
        <f>IF('Angles des pennes'!F51="","",'Angles des pennes'!F51)</f>
        <v/>
      </c>
      <c r="S16" s="780" t="str">
        <f>IF('Angles des pennes'!G51="","",'Angles des pennes'!G51)</f>
        <v/>
      </c>
      <c r="T16" s="782" t="str">
        <f>IF('Sections rachis &amp; L pennes'!AH16="","",'Sections rachis &amp; L pennes'!AH16)</f>
        <v/>
      </c>
      <c r="U16" s="776" t="str">
        <f>IF('Angles des pennes'!I51="","",'Angles des pennes'!I51)</f>
        <v/>
      </c>
      <c r="V16" s="777" t="str">
        <f>IF('Angles des pennes'!J51="","",'Angles des pennes'!J51)</f>
        <v/>
      </c>
      <c r="W16" s="777" t="str">
        <f>IF('Angles des pennes'!K51="","",'Angles des pennes'!K51)</f>
        <v/>
      </c>
      <c r="X16" s="780" t="str">
        <f>IF('Angles des pennes'!L51="","",'Angles des pennes'!L51)</f>
        <v/>
      </c>
    </row>
    <row r="17" spans="1:24" s="345" customFormat="1">
      <c r="A17" s="345">
        <f t="shared" si="1"/>
        <v>10</v>
      </c>
      <c r="C17" s="782">
        <f>IF('Sections rachis &amp; L pennes'!Q17="","",'Sections rachis &amp; L pennes'!Q17)</f>
        <v>10</v>
      </c>
      <c r="D17" s="783">
        <f>IF('Angles des pennes'!D18="","",'Angles des pennes'!D18)</f>
        <v>27.6</v>
      </c>
      <c r="E17" s="784" t="str">
        <f>IF('Angles des pennes'!E18="","",'Angles des pennes'!E18)</f>
        <v/>
      </c>
      <c r="F17" s="784" t="str">
        <f>IF('Angles des pennes'!F18="","",'Angles des pennes'!F18)</f>
        <v/>
      </c>
      <c r="G17" s="787" t="str">
        <f>IF('Angles des pennes'!G18="","",'Angles des pennes'!G18)</f>
        <v/>
      </c>
      <c r="H17" s="782">
        <f>IF('Sections rachis &amp; L pennes'!V17="","",'Sections rachis &amp; L pennes'!V17)</f>
        <v>10</v>
      </c>
      <c r="I17" s="783">
        <f>IF('Angles des pennes'!I18="","",'Angles des pennes'!I18)</f>
        <v>20.9</v>
      </c>
      <c r="J17" s="784" t="str">
        <f>IF('Angles des pennes'!J18="","",'Angles des pennes'!J18)</f>
        <v/>
      </c>
      <c r="K17" s="784" t="str">
        <f>IF('Angles des pennes'!K18="","",'Angles des pennes'!K18)</f>
        <v/>
      </c>
      <c r="L17" s="787">
        <f>IF('Angles des pennes'!L18="","",'Angles des pennes'!L18)</f>
        <v>17.899999999999999</v>
      </c>
      <c r="M17" s="781">
        <f t="shared" si="0"/>
        <v>7.3719061307100233</v>
      </c>
      <c r="O17" s="782">
        <f>IF('Sections rachis &amp; L pennes'!AC17="","",'Sections rachis &amp; L pennes'!AC17)</f>
        <v>10</v>
      </c>
      <c r="P17" s="783" t="str">
        <f>IF('Angles des pennes'!D52="","",'Angles des pennes'!D52)</f>
        <v/>
      </c>
      <c r="Q17" s="784">
        <f>IF('Angles des pennes'!E52="","",'Angles des pennes'!E52)</f>
        <v>28.2</v>
      </c>
      <c r="R17" s="784" t="str">
        <f>IF('Angles des pennes'!F52="","",'Angles des pennes'!F52)</f>
        <v/>
      </c>
      <c r="S17" s="787" t="str">
        <f>IF('Angles des pennes'!G52="","",'Angles des pennes'!G52)</f>
        <v/>
      </c>
      <c r="T17" s="782">
        <f>IF('Sections rachis &amp; L pennes'!AH17="","",'Sections rachis &amp; L pennes'!AH17)</f>
        <v>10</v>
      </c>
      <c r="U17" s="783" t="str">
        <f>IF('Angles des pennes'!I52="","",'Angles des pennes'!I52)</f>
        <v/>
      </c>
      <c r="V17" s="784">
        <f>IF('Angles des pennes'!J52="","",'Angles des pennes'!J52)</f>
        <v>36.9</v>
      </c>
      <c r="W17" s="784" t="str">
        <f>IF('Angles des pennes'!K52="","",'Angles des pennes'!K52)</f>
        <v/>
      </c>
      <c r="X17" s="787" t="str">
        <f>IF('Angles des pennes'!L52="","",'Angles des pennes'!L52)</f>
        <v/>
      </c>
    </row>
    <row r="18" spans="1:24" s="345" customFormat="1">
      <c r="A18" s="345">
        <f t="shared" si="1"/>
        <v>20</v>
      </c>
      <c r="C18" s="782">
        <f>IF('Sections rachis &amp; L pennes'!Q18="","",'Sections rachis &amp; L pennes'!Q18)</f>
        <v>20</v>
      </c>
      <c r="D18" s="783">
        <f>IF('Angles des pennes'!D19="","",'Angles des pennes'!D19)</f>
        <v>3.5</v>
      </c>
      <c r="E18" s="784" t="str">
        <f>IF('Angles des pennes'!E19="","",'Angles des pennes'!E19)</f>
        <v/>
      </c>
      <c r="F18" s="784" t="str">
        <f>IF('Angles des pennes'!F19="","",'Angles des pennes'!F19)</f>
        <v/>
      </c>
      <c r="G18" s="787" t="str">
        <f>IF('Angles des pennes'!G19="","",'Angles des pennes'!G19)</f>
        <v/>
      </c>
      <c r="H18" s="782">
        <f>IF('Sections rachis &amp; L pennes'!V18="","",'Sections rachis &amp; L pennes'!V18)</f>
        <v>20</v>
      </c>
      <c r="I18" s="783">
        <f>IF('Angles des pennes'!I19="","",'Angles des pennes'!I19)</f>
        <v>10.3</v>
      </c>
      <c r="J18" s="784" t="str">
        <f>IF('Angles des pennes'!J19="","",'Angles des pennes'!J19)</f>
        <v/>
      </c>
      <c r="K18" s="784" t="str">
        <f>IF('Angles des pennes'!K19="","",'Angles des pennes'!K19)</f>
        <v/>
      </c>
      <c r="L18" s="787" t="str">
        <f>IF('Angles des pennes'!L19="","",'Angles des pennes'!L19)</f>
        <v/>
      </c>
      <c r="M18" s="781">
        <f t="shared" si="0"/>
        <v>9.0782707604477171</v>
      </c>
      <c r="O18" s="782">
        <f>IF('Sections rachis &amp; L pennes'!AC18="","",'Sections rachis &amp; L pennes'!AC18)</f>
        <v>20</v>
      </c>
      <c r="P18" s="783">
        <f>IF('Angles des pennes'!D53="","",'Angles des pennes'!D53)</f>
        <v>31</v>
      </c>
      <c r="Q18" s="784" t="str">
        <f>IF('Angles des pennes'!E53="","",'Angles des pennes'!E53)</f>
        <v/>
      </c>
      <c r="R18" s="784" t="str">
        <f>IF('Angles des pennes'!F53="","",'Angles des pennes'!F53)</f>
        <v/>
      </c>
      <c r="S18" s="787">
        <f>IF('Angles des pennes'!G53="","",'Angles des pennes'!G53)</f>
        <v>14.1</v>
      </c>
      <c r="T18" s="782">
        <f>IF('Sections rachis &amp; L pennes'!AH18="","",'Sections rachis &amp; L pennes'!AH18)</f>
        <v>20</v>
      </c>
      <c r="U18" s="783">
        <f>IF('Angles des pennes'!I53="","",'Angles des pennes'!I53)</f>
        <v>14.3</v>
      </c>
      <c r="V18" s="784" t="str">
        <f>IF('Angles des pennes'!J53="","",'Angles des pennes'!J53)</f>
        <v/>
      </c>
      <c r="W18" s="784" t="str">
        <f>IF('Angles des pennes'!K53="","",'Angles des pennes'!K53)</f>
        <v/>
      </c>
      <c r="X18" s="787">
        <f>IF('Angles des pennes'!L53="","",'Angles des pennes'!L53)</f>
        <v>13.5</v>
      </c>
    </row>
    <row r="19" spans="1:24" s="345" customFormat="1">
      <c r="A19" s="345">
        <f t="shared" si="1"/>
        <v>30</v>
      </c>
      <c r="C19" s="782">
        <f>IF('Sections rachis &amp; L pennes'!Q19="","",'Sections rachis &amp; L pennes'!Q19)</f>
        <v>30</v>
      </c>
      <c r="D19" s="783">
        <f>IF('Angles des pennes'!D20="","",'Angles des pennes'!D20)</f>
        <v>8.4</v>
      </c>
      <c r="E19" s="784" t="str">
        <f>IF('Angles des pennes'!E20="","",'Angles des pennes'!E20)</f>
        <v/>
      </c>
      <c r="F19" s="784" t="str">
        <f>IF('Angles des pennes'!F20="","",'Angles des pennes'!F20)</f>
        <v/>
      </c>
      <c r="G19" s="787">
        <f>IF('Angles des pennes'!G20="","",'Angles des pennes'!G20)</f>
        <v>8.4</v>
      </c>
      <c r="H19" s="782">
        <f>IF('Sections rachis &amp; L pennes'!V19="","",'Sections rachis &amp; L pennes'!V19)</f>
        <v>30</v>
      </c>
      <c r="I19" s="783">
        <f>IF('Angles des pennes'!I20="","",'Angles des pennes'!I20)</f>
        <v>14.1</v>
      </c>
      <c r="J19" s="784" t="str">
        <f>IF('Angles des pennes'!J20="","",'Angles des pennes'!J20)</f>
        <v/>
      </c>
      <c r="K19" s="784" t="str">
        <f>IF('Angles des pennes'!K20="","",'Angles des pennes'!K20)</f>
        <v/>
      </c>
      <c r="L19" s="787">
        <f>IF('Angles des pennes'!L20="","",'Angles des pennes'!L20)</f>
        <v>13.8</v>
      </c>
      <c r="M19" s="781">
        <f t="shared" si="0"/>
        <v>5.6167956040025979</v>
      </c>
      <c r="O19" s="782">
        <f>IF('Sections rachis &amp; L pennes'!AC19="","",'Sections rachis &amp; L pennes'!AC19)</f>
        <v>30</v>
      </c>
      <c r="P19" s="783">
        <f>IF('Angles des pennes'!D54="","",'Angles des pennes'!D54)</f>
        <v>9.3000000000000007</v>
      </c>
      <c r="Q19" s="784" t="str">
        <f>IF('Angles des pennes'!E54="","",'Angles des pennes'!E54)</f>
        <v/>
      </c>
      <c r="R19" s="784" t="str">
        <f>IF('Angles des pennes'!F54="","",'Angles des pennes'!F54)</f>
        <v/>
      </c>
      <c r="S19" s="787">
        <f>IF('Angles des pennes'!G54="","",'Angles des pennes'!G54)</f>
        <v>22.8</v>
      </c>
      <c r="T19" s="782">
        <f>IF('Sections rachis &amp; L pennes'!AH19="","",'Sections rachis &amp; L pennes'!AH19)</f>
        <v>30</v>
      </c>
      <c r="U19" s="783">
        <f>IF('Angles des pennes'!I54="","",'Angles des pennes'!I54)</f>
        <v>18.8</v>
      </c>
      <c r="V19" s="784" t="str">
        <f>IF('Angles des pennes'!J54="","",'Angles des pennes'!J54)</f>
        <v/>
      </c>
      <c r="W19" s="784" t="str">
        <f>IF('Angles des pennes'!K54="","",'Angles des pennes'!K54)</f>
        <v/>
      </c>
      <c r="X19" s="787">
        <f>IF('Angles des pennes'!L54="","",'Angles des pennes'!L54)</f>
        <v>20.100000000000001</v>
      </c>
    </row>
    <row r="20" spans="1:24" s="345" customFormat="1">
      <c r="A20" s="345">
        <f t="shared" si="1"/>
        <v>40</v>
      </c>
      <c r="C20" s="782">
        <f>IF('Sections rachis &amp; L pennes'!Q20="","",'Sections rachis &amp; L pennes'!Q20)</f>
        <v>40</v>
      </c>
      <c r="D20" s="783">
        <f>IF('Angles des pennes'!D21="","",'Angles des pennes'!D21)</f>
        <v>13</v>
      </c>
      <c r="E20" s="784">
        <f>IF('Angles des pennes'!E21="","",'Angles des pennes'!E21)</f>
        <v>13.6</v>
      </c>
      <c r="F20" s="784" t="str">
        <f>IF('Angles des pennes'!F21="","",'Angles des pennes'!F21)</f>
        <v/>
      </c>
      <c r="G20" s="787">
        <f>IF('Angles des pennes'!G21="","",'Angles des pennes'!G21)</f>
        <v>16.8</v>
      </c>
      <c r="H20" s="782">
        <f>IF('Sections rachis &amp; L pennes'!V20="","",'Sections rachis &amp; L pennes'!V20)</f>
        <v>40</v>
      </c>
      <c r="I20" s="783">
        <f>IF('Angles des pennes'!I21="","",'Angles des pennes'!I21)</f>
        <v>3.3</v>
      </c>
      <c r="J20" s="784" t="str">
        <f>IF('Angles des pennes'!J21="","",'Angles des pennes'!J21)</f>
        <v/>
      </c>
      <c r="K20" s="784" t="str">
        <f>IF('Angles des pennes'!K21="","",'Angles des pennes'!K21)</f>
        <v/>
      </c>
      <c r="L20" s="787">
        <f>IF('Angles des pennes'!L21="","",'Angles des pennes'!L21)</f>
        <v>4.8</v>
      </c>
      <c r="M20" s="781">
        <f t="shared" si="0"/>
        <v>4.8010704824838575</v>
      </c>
      <c r="O20" s="782">
        <f>IF('Sections rachis &amp; L pennes'!AC20="","",'Sections rachis &amp; L pennes'!AC20)</f>
        <v>40</v>
      </c>
      <c r="P20" s="783">
        <f>IF('Angles des pennes'!D55="","",'Angles des pennes'!D55)</f>
        <v>16.399999999999999</v>
      </c>
      <c r="Q20" s="784" t="str">
        <f>IF('Angles des pennes'!E55="","",'Angles des pennes'!E55)</f>
        <v/>
      </c>
      <c r="R20" s="784" t="str">
        <f>IF('Angles des pennes'!F55="","",'Angles des pennes'!F55)</f>
        <v/>
      </c>
      <c r="S20" s="787">
        <f>IF('Angles des pennes'!G55="","",'Angles des pennes'!G55)</f>
        <v>13.8</v>
      </c>
      <c r="T20" s="782">
        <f>IF('Sections rachis &amp; L pennes'!AH20="","",'Sections rachis &amp; L pennes'!AH20)</f>
        <v>40</v>
      </c>
      <c r="U20" s="783">
        <f>IF('Angles des pennes'!I55="","",'Angles des pennes'!I55)</f>
        <v>9.5</v>
      </c>
      <c r="V20" s="784" t="str">
        <f>IF('Angles des pennes'!J55="","",'Angles des pennes'!J55)</f>
        <v/>
      </c>
      <c r="W20" s="784" t="str">
        <f>IF('Angles des pennes'!K55="","",'Angles des pennes'!K55)</f>
        <v/>
      </c>
      <c r="X20" s="787">
        <f>IF('Angles des pennes'!L55="","",'Angles des pennes'!L55)</f>
        <v>13.6</v>
      </c>
    </row>
    <row r="21" spans="1:24" s="345" customFormat="1">
      <c r="A21" s="345">
        <f t="shared" si="1"/>
        <v>50</v>
      </c>
      <c r="C21" s="782">
        <f>IF('Sections rachis &amp; L pennes'!Q21="","",'Sections rachis &amp; L pennes'!Q21)</f>
        <v>50</v>
      </c>
      <c r="D21" s="783">
        <f>IF('Angles des pennes'!D22="","",'Angles des pennes'!D22)</f>
        <v>40</v>
      </c>
      <c r="E21" s="784" t="str">
        <f>IF('Angles des pennes'!E22="","",'Angles des pennes'!E22)</f>
        <v/>
      </c>
      <c r="F21" s="784" t="str">
        <f>IF('Angles des pennes'!F22="","",'Angles des pennes'!F22)</f>
        <v/>
      </c>
      <c r="G21" s="787">
        <f>IF('Angles des pennes'!G22="","",'Angles des pennes'!G22)</f>
        <v>45</v>
      </c>
      <c r="H21" s="782">
        <f>IF('Sections rachis &amp; L pennes'!V21="","",'Sections rachis &amp; L pennes'!V21)</f>
        <v>50</v>
      </c>
      <c r="I21" s="783">
        <f>IF('Angles des pennes'!I22="","",'Angles des pennes'!I22)</f>
        <v>18</v>
      </c>
      <c r="J21" s="784" t="str">
        <f>IF('Angles des pennes'!J22="","",'Angles des pennes'!J22)</f>
        <v/>
      </c>
      <c r="K21" s="784" t="str">
        <f>IF('Angles des pennes'!K22="","",'Angles des pennes'!K22)</f>
        <v/>
      </c>
      <c r="L21" s="787" t="str">
        <f>IF('Angles des pennes'!L22="","",'Angles des pennes'!L22)</f>
        <v/>
      </c>
      <c r="M21" s="781">
        <f t="shared" si="0"/>
        <v>13.848201275668574</v>
      </c>
      <c r="O21" s="782">
        <f>IF('Sections rachis &amp; L pennes'!AC21="","",'Sections rachis &amp; L pennes'!AC21)</f>
        <v>50</v>
      </c>
      <c r="P21" s="783">
        <f>IF('Angles des pennes'!D56="","",'Angles des pennes'!D56)</f>
        <v>12.6</v>
      </c>
      <c r="Q21" s="784">
        <f>IF('Angles des pennes'!E56="","",'Angles des pennes'!E56)</f>
        <v>9.8000000000000007</v>
      </c>
      <c r="R21" s="784" t="str">
        <f>IF('Angles des pennes'!F56="","",'Angles des pennes'!F56)</f>
        <v/>
      </c>
      <c r="S21" s="787">
        <f>IF('Angles des pennes'!G56="","",'Angles des pennes'!G56)</f>
        <v>18.8</v>
      </c>
      <c r="T21" s="782">
        <f>IF('Sections rachis &amp; L pennes'!AH21="","",'Sections rachis &amp; L pennes'!AH21)</f>
        <v>50</v>
      </c>
      <c r="U21" s="783">
        <f>IF('Angles des pennes'!I56="","",'Angles des pennes'!I56)</f>
        <v>10.199999999999999</v>
      </c>
      <c r="V21" s="784" t="str">
        <f>IF('Angles des pennes'!J56="","",'Angles des pennes'!J56)</f>
        <v/>
      </c>
      <c r="W21" s="784" t="str">
        <f>IF('Angles des pennes'!K56="","",'Angles des pennes'!K56)</f>
        <v/>
      </c>
      <c r="X21" s="787">
        <f>IF('Angles des pennes'!L56="","",'Angles des pennes'!L56)</f>
        <v>12.1</v>
      </c>
    </row>
    <row r="22" spans="1:24" s="345" customFormat="1">
      <c r="A22" s="345">
        <f t="shared" si="1"/>
        <v>60</v>
      </c>
      <c r="C22" s="782">
        <f>IF('Sections rachis &amp; L pennes'!Q22="","",'Sections rachis &amp; L pennes'!Q22)</f>
        <v>60</v>
      </c>
      <c r="D22" s="783">
        <f>IF('Angles des pennes'!D23="","",'Angles des pennes'!D23)</f>
        <v>21.7</v>
      </c>
      <c r="E22" s="784" t="str">
        <f>IF('Angles des pennes'!E23="","",'Angles des pennes'!E23)</f>
        <v/>
      </c>
      <c r="F22" s="784" t="str">
        <f>IF('Angles des pennes'!F23="","",'Angles des pennes'!F23)</f>
        <v/>
      </c>
      <c r="G22" s="787">
        <f>IF('Angles des pennes'!G23="","",'Angles des pennes'!G23)</f>
        <v>21.2</v>
      </c>
      <c r="H22" s="782">
        <f>IF('Sections rachis &amp; L pennes'!V22="","",'Sections rachis &amp; L pennes'!V22)</f>
        <v>60</v>
      </c>
      <c r="I22" s="783">
        <f>IF('Angles des pennes'!I23="","",'Angles des pennes'!I23)</f>
        <v>28.1</v>
      </c>
      <c r="J22" s="784">
        <f>IF('Angles des pennes'!J23="","",'Angles des pennes'!J23)</f>
        <v>27.7</v>
      </c>
      <c r="K22" s="784" t="str">
        <f>IF('Angles des pennes'!K23="","",'Angles des pennes'!K23)</f>
        <v/>
      </c>
      <c r="L22" s="787">
        <f>IF('Angles des pennes'!L23="","",'Angles des pennes'!L23)</f>
        <v>26</v>
      </c>
      <c r="M22" s="781">
        <f t="shared" si="0"/>
        <v>6.4526996934100014</v>
      </c>
      <c r="O22" s="782">
        <f>IF('Sections rachis &amp; L pennes'!AC22="","",'Sections rachis &amp; L pennes'!AC22)</f>
        <v>60</v>
      </c>
      <c r="P22" s="783">
        <f>IF('Angles des pennes'!D57="","",'Angles des pennes'!D57)</f>
        <v>17.399999999999999</v>
      </c>
      <c r="Q22" s="784" t="str">
        <f>IF('Angles des pennes'!E57="","",'Angles des pennes'!E57)</f>
        <v/>
      </c>
      <c r="R22" s="784" t="str">
        <f>IF('Angles des pennes'!F57="","",'Angles des pennes'!F57)</f>
        <v/>
      </c>
      <c r="S22" s="787">
        <f>IF('Angles des pennes'!G57="","",'Angles des pennes'!G57)</f>
        <v>15.6</v>
      </c>
      <c r="T22" s="782">
        <f>IF('Sections rachis &amp; L pennes'!AH22="","",'Sections rachis &amp; L pennes'!AH22)</f>
        <v>60</v>
      </c>
      <c r="U22" s="783">
        <f>IF('Angles des pennes'!I57="","",'Angles des pennes'!I57)</f>
        <v>8.6999999999999993</v>
      </c>
      <c r="V22" s="784">
        <f>IF('Angles des pennes'!J57="","",'Angles des pennes'!J57)</f>
        <v>13.2</v>
      </c>
      <c r="W22" s="784" t="str">
        <f>IF('Angles des pennes'!K57="","",'Angles des pennes'!K57)</f>
        <v/>
      </c>
      <c r="X22" s="787">
        <f>IF('Angles des pennes'!L57="","",'Angles des pennes'!L57)</f>
        <v>23.2</v>
      </c>
    </row>
    <row r="23" spans="1:24" s="345" customFormat="1">
      <c r="A23" s="345">
        <f t="shared" si="1"/>
        <v>70</v>
      </c>
      <c r="C23" s="782">
        <f>IF('Sections rachis &amp; L pennes'!Q23="","",'Sections rachis &amp; L pennes'!Q23)</f>
        <v>70</v>
      </c>
      <c r="D23" s="783">
        <f>IF('Angles des pennes'!D24="","",'Angles des pennes'!D24)</f>
        <v>13.1</v>
      </c>
      <c r="E23" s="784" t="str">
        <f>IF('Angles des pennes'!E24="","",'Angles des pennes'!E24)</f>
        <v/>
      </c>
      <c r="F23" s="784" t="str">
        <f>IF('Angles des pennes'!F24="","",'Angles des pennes'!F24)</f>
        <v/>
      </c>
      <c r="G23" s="787">
        <f>IF('Angles des pennes'!G24="","",'Angles des pennes'!G24)</f>
        <v>14.2</v>
      </c>
      <c r="H23" s="782">
        <f>IF('Sections rachis &amp; L pennes'!V23="","",'Sections rachis &amp; L pennes'!V23)</f>
        <v>70</v>
      </c>
      <c r="I23" s="783">
        <f>IF('Angles des pennes'!I24="","",'Angles des pennes'!I24)</f>
        <v>12.3</v>
      </c>
      <c r="J23" s="784" t="str">
        <f>IF('Angles des pennes'!J24="","",'Angles des pennes'!J24)</f>
        <v/>
      </c>
      <c r="K23" s="784" t="str">
        <f>IF('Angles des pennes'!K24="","",'Angles des pennes'!K24)</f>
        <v/>
      </c>
      <c r="L23" s="787">
        <f>IF('Angles des pennes'!L24="","",'Angles des pennes'!L24)</f>
        <v>15.3</v>
      </c>
      <c r="M23" s="781">
        <f t="shared" si="0"/>
        <v>3.7389095261111125</v>
      </c>
      <c r="O23" s="782">
        <f>IF('Sections rachis &amp; L pennes'!AC23="","",'Sections rachis &amp; L pennes'!AC23)</f>
        <v>70</v>
      </c>
      <c r="P23" s="783">
        <f>IF('Angles des pennes'!D58="","",'Angles des pennes'!D58)</f>
        <v>19.8</v>
      </c>
      <c r="Q23" s="784" t="str">
        <f>IF('Angles des pennes'!E58="","",'Angles des pennes'!E58)</f>
        <v/>
      </c>
      <c r="R23" s="784" t="str">
        <f>IF('Angles des pennes'!F58="","",'Angles des pennes'!F58)</f>
        <v/>
      </c>
      <c r="S23" s="787">
        <f>IF('Angles des pennes'!G58="","",'Angles des pennes'!G58)</f>
        <v>23.9</v>
      </c>
      <c r="T23" s="782">
        <f>IF('Sections rachis &amp; L pennes'!AH23="","",'Sections rachis &amp; L pennes'!AH23)</f>
        <v>70</v>
      </c>
      <c r="U23" s="783">
        <f>IF('Angles des pennes'!I58="","",'Angles des pennes'!I58)</f>
        <v>14.1</v>
      </c>
      <c r="V23" s="784">
        <f>IF('Angles des pennes'!J58="","",'Angles des pennes'!J58)</f>
        <v>14.2</v>
      </c>
      <c r="W23" s="784" t="str">
        <f>IF('Angles des pennes'!K58="","",'Angles des pennes'!K58)</f>
        <v/>
      </c>
      <c r="X23" s="787">
        <f>IF('Angles des pennes'!L58="","",'Angles des pennes'!L58)</f>
        <v>14.2</v>
      </c>
    </row>
    <row r="24" spans="1:24" s="345" customFormat="1">
      <c r="A24" s="345">
        <f t="shared" si="1"/>
        <v>80</v>
      </c>
      <c r="C24" s="782">
        <f>IF('Sections rachis &amp; L pennes'!Q24="","",'Sections rachis &amp; L pennes'!Q24)</f>
        <v>80</v>
      </c>
      <c r="D24" s="783">
        <f>IF('Angles des pennes'!D25="","",'Angles des pennes'!D25)</f>
        <v>13.3</v>
      </c>
      <c r="E24" s="784" t="str">
        <f>IF('Angles des pennes'!E25="","",'Angles des pennes'!E25)</f>
        <v/>
      </c>
      <c r="F24" s="784" t="str">
        <f>IF('Angles des pennes'!F25="","",'Angles des pennes'!F25)</f>
        <v/>
      </c>
      <c r="G24" s="787">
        <f>IF('Angles des pennes'!G25="","",'Angles des pennes'!G25)</f>
        <v>15.3</v>
      </c>
      <c r="H24" s="782">
        <f>IF('Sections rachis &amp; L pennes'!V24="","",'Sections rachis &amp; L pennes'!V24)</f>
        <v>80</v>
      </c>
      <c r="I24" s="783">
        <f>IF('Angles des pennes'!I25="","",'Angles des pennes'!I25)</f>
        <v>15.5</v>
      </c>
      <c r="J24" s="784">
        <f>IF('Angles des pennes'!J25="","",'Angles des pennes'!J25)</f>
        <v>21.8</v>
      </c>
      <c r="K24" s="784" t="str">
        <f>IF('Angles des pennes'!K25="","",'Angles des pennes'!K25)</f>
        <v/>
      </c>
      <c r="L24" s="787">
        <f>IF('Angles des pennes'!L25="","",'Angles des pennes'!L25)</f>
        <v>18.100000000000001</v>
      </c>
      <c r="M24" s="781">
        <f t="shared" si="0"/>
        <v>2.6054139437298134</v>
      </c>
      <c r="O24" s="782">
        <f>IF('Sections rachis &amp; L pennes'!AC24="","",'Sections rachis &amp; L pennes'!AC24)</f>
        <v>80</v>
      </c>
      <c r="P24" s="783">
        <f>IF('Angles des pennes'!D59="","",'Angles des pennes'!D59)</f>
        <v>14.8</v>
      </c>
      <c r="Q24" s="784">
        <f>IF('Angles des pennes'!E59="","",'Angles des pennes'!E59)</f>
        <v>18</v>
      </c>
      <c r="R24" s="784" t="str">
        <f>IF('Angles des pennes'!F59="","",'Angles des pennes'!F59)</f>
        <v/>
      </c>
      <c r="S24" s="787">
        <f>IF('Angles des pennes'!G59="","",'Angles des pennes'!G59)</f>
        <v>15.5</v>
      </c>
      <c r="T24" s="782">
        <f>IF('Sections rachis &amp; L pennes'!AH24="","",'Sections rachis &amp; L pennes'!AH24)</f>
        <v>80</v>
      </c>
      <c r="U24" s="783">
        <f>IF('Angles des pennes'!I59="","",'Angles des pennes'!I59)</f>
        <v>12.5</v>
      </c>
      <c r="V24" s="784">
        <f>IF('Angles des pennes'!J59="","",'Angles des pennes'!J59)</f>
        <v>14</v>
      </c>
      <c r="W24" s="784" t="str">
        <f>IF('Angles des pennes'!K59="","",'Angles des pennes'!K59)</f>
        <v/>
      </c>
      <c r="X24" s="787">
        <f>IF('Angles des pennes'!L59="","",'Angles des pennes'!L59)</f>
        <v>15.8</v>
      </c>
    </row>
    <row r="25" spans="1:24" s="345" customFormat="1" ht="13.5" thickBot="1">
      <c r="A25" s="345">
        <f t="shared" si="1"/>
        <v>90</v>
      </c>
      <c r="C25" s="794">
        <f>IF('Sections rachis &amp; L pennes'!Q25="","",'Sections rachis &amp; L pennes'!Q25)</f>
        <v>90</v>
      </c>
      <c r="D25" s="783" t="str">
        <f>IF('Angles des pennes'!D26="","",'Angles des pennes'!D26)</f>
        <v/>
      </c>
      <c r="E25" s="784">
        <f>IF('Angles des pennes'!E26="","",'Angles des pennes'!E26)</f>
        <v>20.9</v>
      </c>
      <c r="F25" s="784" t="str">
        <f>IF('Angles des pennes'!F26="","",'Angles des pennes'!F26)</f>
        <v/>
      </c>
      <c r="G25" s="787" t="str">
        <f>IF('Angles des pennes'!G26="","",'Angles des pennes'!G26)</f>
        <v/>
      </c>
      <c r="H25" s="794">
        <f>IF('Sections rachis &amp; L pennes'!V25="","",'Sections rachis &amp; L pennes'!V25)</f>
        <v>90</v>
      </c>
      <c r="I25" s="783" t="str">
        <f>IF('Angles des pennes'!I26="","",'Angles des pennes'!I26)</f>
        <v/>
      </c>
      <c r="J25" s="784">
        <f>IF('Angles des pennes'!J26="","",'Angles des pennes'!J26)</f>
        <v>18.7</v>
      </c>
      <c r="K25" s="784" t="str">
        <f>IF('Angles des pennes'!K26="","",'Angles des pennes'!K26)</f>
        <v/>
      </c>
      <c r="L25" s="787" t="str">
        <f>IF('Angles des pennes'!L26="","",'Angles des pennes'!L26)</f>
        <v/>
      </c>
      <c r="M25" s="781">
        <f t="shared" si="0"/>
        <v>3.7359068510871696</v>
      </c>
      <c r="O25" s="794">
        <f>IF('Sections rachis &amp; L pennes'!AC25="","",'Sections rachis &amp; L pennes'!AC25)</f>
        <v>90</v>
      </c>
      <c r="P25" s="783">
        <f>IF('Angles des pennes'!D60="","",'Angles des pennes'!D60)</f>
        <v>12.6</v>
      </c>
      <c r="Q25" s="784" t="str">
        <f>IF('Angles des pennes'!E60="","",'Angles des pennes'!E60)</f>
        <v/>
      </c>
      <c r="R25" s="784" t="str">
        <f>IF('Angles des pennes'!F60="","",'Angles des pennes'!F60)</f>
        <v/>
      </c>
      <c r="S25" s="787" t="str">
        <f>IF('Angles des pennes'!G60="","",'Angles des pennes'!G60)</f>
        <v/>
      </c>
      <c r="T25" s="788">
        <f>IF('Sections rachis &amp; L pennes'!AH25="","",'Sections rachis &amp; L pennes'!AH25)</f>
        <v>90</v>
      </c>
      <c r="U25" s="783">
        <f>IF('Angles des pennes'!I60="","",'Angles des pennes'!I60)</f>
        <v>12.6</v>
      </c>
      <c r="V25" s="784" t="str">
        <f>IF('Angles des pennes'!J60="","",'Angles des pennes'!J60)</f>
        <v/>
      </c>
      <c r="W25" s="784" t="str">
        <f>IF('Angles des pennes'!K60="","",'Angles des pennes'!K60)</f>
        <v/>
      </c>
      <c r="X25" s="787">
        <f>IF('Angles des pennes'!L60="","",'Angles des pennes'!L60)</f>
        <v>14.8</v>
      </c>
    </row>
    <row r="26" spans="1:24" s="345" customFormat="1">
      <c r="A26" s="345">
        <f t="shared" si="1"/>
        <v>97.736572490101764</v>
      </c>
      <c r="B26" s="648" t="s">
        <v>1247</v>
      </c>
      <c r="C26" s="795">
        <f>IF('Sections rachis &amp; L pennes'!Q26="","",'Sections rachis &amp; L pennes'!Q26)</f>
        <v>97.59213759213759</v>
      </c>
      <c r="D26" s="776" t="str">
        <f>IF('Angles des pennes'!D27="","",'Angles des pennes'!D27)</f>
        <v/>
      </c>
      <c r="E26" s="777" t="str">
        <f>IF('Angles des pennes'!E27="","",'Angles des pennes'!E27)</f>
        <v/>
      </c>
      <c r="F26" s="777" t="str">
        <f>IF('Angles des pennes'!F27="","",'Angles des pennes'!F27)</f>
        <v/>
      </c>
      <c r="G26" s="780">
        <f>IF('Angles des pennes'!G27="","",'Angles des pennes'!G27)</f>
        <v>21.1</v>
      </c>
      <c r="H26" s="795">
        <f>IF('Sections rachis &amp; L pennes'!V26="","",'Sections rachis &amp; L pennes'!V26)</f>
        <v>97.54299754299754</v>
      </c>
      <c r="I26" s="776">
        <f>IF('Angles des pennes'!I27="","",'Angles des pennes'!I27)</f>
        <v>19.8</v>
      </c>
      <c r="J26" s="777" t="str">
        <f>IF('Angles des pennes'!J27="","",'Angles des pennes'!J27)</f>
        <v/>
      </c>
      <c r="K26" s="777" t="str">
        <f>IF('Angles des pennes'!K27="","",'Angles des pennes'!K27)</f>
        <v/>
      </c>
      <c r="L26" s="780" t="str">
        <f>IF('Angles des pennes'!L27="","",'Angles des pennes'!L27)</f>
        <v/>
      </c>
      <c r="M26" s="781">
        <f t="shared" si="0"/>
        <v>4.650806381693398</v>
      </c>
      <c r="N26" s="648" t="s">
        <v>1247</v>
      </c>
      <c r="O26" s="795">
        <f>IF('Sections rachis &amp; L pennes'!AC26="","",'Sections rachis &amp; L pennes'!AC26)</f>
        <v>98.032862763249241</v>
      </c>
      <c r="P26" s="776" t="str">
        <f>IF('Angles des pennes'!D61="","",'Angles des pennes'!D61)</f>
        <v/>
      </c>
      <c r="Q26" s="777" t="str">
        <f>IF('Angles des pennes'!E61="","",'Angles des pennes'!E61)</f>
        <v/>
      </c>
      <c r="R26" s="777" t="str">
        <f>IF('Angles des pennes'!F61="","",'Angles des pennes'!F61)</f>
        <v/>
      </c>
      <c r="S26" s="780">
        <f>IF('Angles des pennes'!G61="","",'Angles des pennes'!G61)</f>
        <v>12.3</v>
      </c>
      <c r="T26" s="796">
        <f>IF('Sections rachis &amp; L pennes'!AH26="","",'Sections rachis &amp; L pennes'!AH26)</f>
        <v>97.778292062022672</v>
      </c>
      <c r="U26" s="776" t="str">
        <f>IF('Angles des pennes'!I61="","",'Angles des pennes'!I61)</f>
        <v/>
      </c>
      <c r="V26" s="777" t="str">
        <f>IF('Angles des pennes'!J61="","",'Angles des pennes'!J61)</f>
        <v/>
      </c>
      <c r="W26" s="777" t="str">
        <f>IF('Angles des pennes'!K61="","",'Angles des pennes'!K61)</f>
        <v/>
      </c>
      <c r="X26" s="780">
        <f>IF('Angles des pennes'!L61="","",'Angles des pennes'!L61)</f>
        <v>12.6</v>
      </c>
    </row>
    <row r="27" spans="1:24" s="345" customFormat="1">
      <c r="A27" s="345">
        <f t="shared" si="1"/>
        <v>98.474693898206965</v>
      </c>
      <c r="B27" s="653" t="s">
        <v>1248</v>
      </c>
      <c r="C27" s="797">
        <f>IF('Sections rachis &amp; L pennes'!Q27="","",'Sections rachis &amp; L pennes'!Q27)</f>
        <v>98.599508599508596</v>
      </c>
      <c r="D27" s="783">
        <f>IF('Angles des pennes'!D28="","",'Angles des pennes'!D28)</f>
        <v>18.899999999999999</v>
      </c>
      <c r="E27" s="784" t="str">
        <f>IF('Angles des pennes'!E28="","",'Angles des pennes'!E28)</f>
        <v/>
      </c>
      <c r="F27" s="784" t="str">
        <f>IF('Angles des pennes'!F28="","",'Angles des pennes'!F28)</f>
        <v/>
      </c>
      <c r="G27" s="787" t="str">
        <f>IF('Angles des pennes'!G28="","",'Angles des pennes'!G28)</f>
        <v/>
      </c>
      <c r="H27" s="797">
        <f>IF('Sections rachis &amp; L pennes'!V27="","",'Sections rachis &amp; L pennes'!V27)</f>
        <v>97.960687960687963</v>
      </c>
      <c r="I27" s="783" t="str">
        <f>IF('Angles des pennes'!I28="","",'Angles des pennes'!I28)</f>
        <v/>
      </c>
      <c r="J27" s="784" t="str">
        <f>IF('Angles des pennes'!J28="","",'Angles des pennes'!J28)</f>
        <v/>
      </c>
      <c r="K27" s="784" t="str">
        <f>IF('Angles des pennes'!K28="","",'Angles des pennes'!K28)</f>
        <v/>
      </c>
      <c r="L27" s="787">
        <f>IF('Angles des pennes'!L28="","",'Angles des pennes'!L28)</f>
        <v>13</v>
      </c>
      <c r="M27" s="781">
        <f t="shared" si="0"/>
        <v>4.6640468836980373</v>
      </c>
      <c r="N27" s="653" t="s">
        <v>1248</v>
      </c>
      <c r="O27" s="797">
        <f>IF('Sections rachis &amp; L pennes'!AC27="","",'Sections rachis &amp; L pennes'!AC27)</f>
        <v>98.704003702846563</v>
      </c>
      <c r="P27" s="783" t="str">
        <f>IF('Angles des pennes'!D62="","",'Angles des pennes'!D62)</f>
        <v/>
      </c>
      <c r="Q27" s="784">
        <f>IF('Angles des pennes'!E62="","",'Angles des pennes'!E62)</f>
        <v>8.6999999999999993</v>
      </c>
      <c r="R27" s="784" t="str">
        <f>IF('Angles des pennes'!F62="","",'Angles des pennes'!F62)</f>
        <v/>
      </c>
      <c r="S27" s="787" t="str">
        <f>IF('Angles des pennes'!G62="","",'Angles des pennes'!G62)</f>
        <v/>
      </c>
      <c r="T27" s="797">
        <f>IF('Sections rachis &amp; L pennes'!AH27="","",'Sections rachis &amp; L pennes'!AH27)</f>
        <v>98.634575329784766</v>
      </c>
      <c r="U27" s="783">
        <f>IF('Angles des pennes'!I62="","",'Angles des pennes'!I62)</f>
        <v>9.4</v>
      </c>
      <c r="V27" s="784" t="str">
        <f>IF('Angles des pennes'!J62="","",'Angles des pennes'!J62)</f>
        <v/>
      </c>
      <c r="W27" s="784" t="str">
        <f>IF('Angles des pennes'!K62="","",'Angles des pennes'!K62)</f>
        <v/>
      </c>
      <c r="X27" s="787" t="str">
        <f>IF('Angles des pennes'!L62="","",'Angles des pennes'!L62)</f>
        <v/>
      </c>
    </row>
    <row r="28" spans="1:24" s="345" customFormat="1">
      <c r="A28" s="345">
        <f t="shared" si="1"/>
        <v>99.115172061249353</v>
      </c>
      <c r="B28" s="653" t="s">
        <v>1249</v>
      </c>
      <c r="C28" s="797">
        <f>IF('Sections rachis &amp; L pennes'!Q28="","",'Sections rachis &amp; L pennes'!Q28)</f>
        <v>99.017199017199019</v>
      </c>
      <c r="D28" s="783" t="str">
        <f>IF('Angles des pennes'!D29="","",'Angles des pennes'!D29)</f>
        <v/>
      </c>
      <c r="E28" s="784" t="str">
        <f>IF('Angles des pennes'!E29="","",'Angles des pennes'!E29)</f>
        <v/>
      </c>
      <c r="F28" s="784" t="str">
        <f>IF('Angles des pennes'!F29="","",'Angles des pennes'!F29)</f>
        <v/>
      </c>
      <c r="G28" s="787">
        <f>IF('Angles des pennes'!G29="","",'Angles des pennes'!G29)</f>
        <v>13.3</v>
      </c>
      <c r="H28" s="797">
        <f>IF('Sections rachis &amp; L pennes'!V28="","",'Sections rachis &amp; L pennes'!V28)</f>
        <v>99.017199017199019</v>
      </c>
      <c r="I28" s="783">
        <f>IF('Angles des pennes'!I29="","",'Angles des pennes'!I29)</f>
        <v>13.4</v>
      </c>
      <c r="J28" s="784" t="str">
        <f>IF('Angles des pennes'!J29="","",'Angles des pennes'!J29)</f>
        <v/>
      </c>
      <c r="K28" s="784" t="str">
        <f>IF('Angles des pennes'!K29="","",'Angles des pennes'!K29)</f>
        <v/>
      </c>
      <c r="L28" s="787" t="str">
        <f>IF('Angles des pennes'!L29="","",'Angles des pennes'!L29)</f>
        <v/>
      </c>
      <c r="M28" s="781">
        <f t="shared" si="0"/>
        <v>3.792426663760291</v>
      </c>
      <c r="N28" s="653" t="s">
        <v>1249</v>
      </c>
      <c r="O28" s="797">
        <f>IF('Sections rachis &amp; L pennes'!AC28="","",'Sections rachis &amp; L pennes'!AC28)</f>
        <v>99.352001851423282</v>
      </c>
      <c r="P28" s="783">
        <f>IF('Angles des pennes'!D63="","",'Angles des pennes'!D63)</f>
        <v>12.8</v>
      </c>
      <c r="Q28" s="784" t="str">
        <f>IF('Angles des pennes'!E63="","",'Angles des pennes'!E63)</f>
        <v/>
      </c>
      <c r="R28" s="784" t="str">
        <f>IF('Angles des pennes'!F63="","",'Angles des pennes'!F63)</f>
        <v/>
      </c>
      <c r="S28" s="787" t="str">
        <f>IF('Angles des pennes'!G63="","",'Angles des pennes'!G63)</f>
        <v/>
      </c>
      <c r="T28" s="797">
        <f>IF('Sections rachis &amp; L pennes'!AH28="","",'Sections rachis &amp; L pennes'!AH28)</f>
        <v>99.074288359176109</v>
      </c>
      <c r="U28" s="783" t="str">
        <f>IF('Angles des pennes'!I63="","",'Angles des pennes'!I63)</f>
        <v/>
      </c>
      <c r="V28" s="784" t="str">
        <f>IF('Angles des pennes'!J63="","",'Angles des pennes'!J63)</f>
        <v/>
      </c>
      <c r="W28" s="784" t="str">
        <f>IF('Angles des pennes'!K63="","",'Angles des pennes'!K63)</f>
        <v/>
      </c>
      <c r="X28" s="787">
        <f>IF('Angles des pennes'!L63="","",'Angles des pennes'!L63)</f>
        <v>5.6</v>
      </c>
    </row>
    <row r="29" spans="1:24" s="345" customFormat="1">
      <c r="A29" s="345">
        <f t="shared" si="1"/>
        <v>99.665653482478291</v>
      </c>
      <c r="B29" s="653" t="s">
        <v>1251</v>
      </c>
      <c r="C29" s="797">
        <f>IF('Sections rachis &amp; L pennes'!Q29="","",'Sections rachis &amp; L pennes'!Q29)</f>
        <v>99.656019656019652</v>
      </c>
      <c r="D29" s="783" t="str">
        <f>IF('Angles des pennes'!D30="","",'Angles des pennes'!D30)</f>
        <v/>
      </c>
      <c r="E29" s="784">
        <f>IF('Angles des pennes'!E30="","",'Angles des pennes'!E30)</f>
        <v>14.4</v>
      </c>
      <c r="F29" s="784" t="str">
        <f>IF('Angles des pennes'!F30="","",'Angles des pennes'!F30)</f>
        <v/>
      </c>
      <c r="G29" s="787" t="str">
        <f>IF('Angles des pennes'!G30="","",'Angles des pennes'!G30)</f>
        <v/>
      </c>
      <c r="H29" s="797">
        <f>IF('Sections rachis &amp; L pennes'!V29="","",'Sections rachis &amp; L pennes'!V29)</f>
        <v>99.631449631449627</v>
      </c>
      <c r="I29" s="783" t="str">
        <f>IF('Angles des pennes'!I30="","",'Angles des pennes'!I30)</f>
        <v/>
      </c>
      <c r="J29" s="784" t="str">
        <f>IF('Angles des pennes'!J30="","",'Angles des pennes'!J30)</f>
        <v/>
      </c>
      <c r="K29" s="784" t="str">
        <f>IF('Angles des pennes'!K30="","",'Angles des pennes'!K30)</f>
        <v/>
      </c>
      <c r="L29" s="787">
        <f>IF('Angles des pennes'!L30="","",'Angles des pennes'!L30)</f>
        <v>11.1</v>
      </c>
      <c r="M29" s="781">
        <f t="shared" si="0"/>
        <v>3.4586847211042575</v>
      </c>
      <c r="N29" s="653" t="s">
        <v>1251</v>
      </c>
      <c r="O29" s="797">
        <f>IF('Sections rachis &amp; L pennes'!AC29="","",'Sections rachis &amp; L pennes'!AC29)</f>
        <v>99.745429298773431</v>
      </c>
      <c r="P29" s="783" t="str">
        <f>IF('Angles des pennes'!D64="","",'Angles des pennes'!D64)</f>
        <v/>
      </c>
      <c r="Q29" s="784">
        <f>IF('Angles des pennes'!E64="","",'Angles des pennes'!E64)</f>
        <v>6</v>
      </c>
      <c r="R29" s="784" t="str">
        <f>IF('Angles des pennes'!F64="","",'Angles des pennes'!F64)</f>
        <v/>
      </c>
      <c r="S29" s="787" t="str">
        <f>IF('Angles des pennes'!G64="","",'Angles des pennes'!G64)</f>
        <v/>
      </c>
      <c r="T29" s="797">
        <f>IF('Sections rachis &amp; L pennes'!AH29="","",'Sections rachis &amp; L pennes'!AH29)</f>
        <v>99.629715343670441</v>
      </c>
      <c r="U29" s="783">
        <f>IF('Angles des pennes'!I64="","",'Angles des pennes'!I64)</f>
        <v>10.8</v>
      </c>
      <c r="V29" s="784" t="str">
        <f>IF('Angles des pennes'!J64="","",'Angles des pennes'!J64)</f>
        <v/>
      </c>
      <c r="W29" s="784" t="str">
        <f>IF('Angles des pennes'!K64="","",'Angles des pennes'!K64)</f>
        <v/>
      </c>
      <c r="X29" s="787" t="str">
        <f>IF('Angles des pennes'!L64="","",'Angles des pennes'!L64)</f>
        <v/>
      </c>
    </row>
    <row r="30" spans="1:24" s="345" customFormat="1" ht="13.5" thickBot="1">
      <c r="A30" s="345">
        <f t="shared" si="1"/>
        <v>99.951573567634654</v>
      </c>
      <c r="B30" s="657" t="s">
        <v>1252</v>
      </c>
      <c r="C30" s="798">
        <f>IF('Sections rachis &amp; L pennes'!Q30="","",'Sections rachis &amp; L pennes'!Q30)</f>
        <v>99.877149877149876</v>
      </c>
      <c r="D30" s="789" t="str">
        <f>IF('Angles des pennes'!D31="","",'Angles des pennes'!D31)</f>
        <v/>
      </c>
      <c r="E30" s="790">
        <f>IF('Angles des pennes'!E31="","",'Angles des pennes'!E31)</f>
        <v>4.3</v>
      </c>
      <c r="F30" s="790" t="str">
        <f>IF('Angles des pennes'!F31="","",'Angles des pennes'!F31)</f>
        <v/>
      </c>
      <c r="G30" s="793" t="str">
        <f>IF('Angles des pennes'!G31="","",'Angles des pennes'!G31)</f>
        <v/>
      </c>
      <c r="H30" s="798">
        <f>IF('Sections rachis &amp; L pennes'!V30="","",'Sections rachis &amp; L pennes'!V30)</f>
        <v>99.975429975429975</v>
      </c>
      <c r="I30" s="789" t="str">
        <f>IF('Angles des pennes'!I31="","",'Angles des pennes'!I31)</f>
        <v/>
      </c>
      <c r="J30" s="790">
        <f>IF('Angles des pennes'!J31="","",'Angles des pennes'!J31)</f>
        <v>4</v>
      </c>
      <c r="K30" s="790" t="str">
        <f>IF('Angles des pennes'!K31="","",'Angles des pennes'!K31)</f>
        <v/>
      </c>
      <c r="L30" s="793" t="str">
        <f>IF('Angles des pennes'!L31="","",'Angles des pennes'!L31)</f>
        <v/>
      </c>
      <c r="M30" s="781">
        <f t="shared" si="0"/>
        <v>0.556776436283</v>
      </c>
      <c r="N30" s="799" t="s">
        <v>1252</v>
      </c>
      <c r="O30" s="798">
        <f>IF('Sections rachis &amp; L pennes'!AC30="","",'Sections rachis &amp; L pennes'!AC30)</f>
        <v>99.976857208979396</v>
      </c>
      <c r="P30" s="783" t="str">
        <f>IF('Angles des pennes'!D65="","",'Angles des pennes'!D65)</f>
        <v/>
      </c>
      <c r="Q30" s="784" t="str">
        <f>IF('Angles des pennes'!E65="","",'Angles des pennes'!E65)</f>
        <v/>
      </c>
      <c r="R30" s="784" t="str">
        <f>IF('Angles des pennes'!F65="","",'Angles des pennes'!F65)</f>
        <v/>
      </c>
      <c r="S30" s="787">
        <f>IF('Angles des pennes'!G65="","",'Angles des pennes'!G65)</f>
        <v>5</v>
      </c>
      <c r="T30" s="798">
        <f>IF('Sections rachis &amp; L pennes'!AH30="","",'Sections rachis &amp; L pennes'!AH30)</f>
        <v>99.976857208979396</v>
      </c>
      <c r="U30" s="789" t="str">
        <f>IF('Angles des pennes'!I65="","",'Angles des pennes'!I65)</f>
        <v/>
      </c>
      <c r="V30" s="790" t="str">
        <f>IF('Angles des pennes'!J65="","",'Angles des pennes'!J65)</f>
        <v/>
      </c>
      <c r="W30" s="790" t="str">
        <f>IF('Angles des pennes'!K65="","",'Angles des pennes'!K65)</f>
        <v/>
      </c>
      <c r="X30" s="793">
        <f>IF('Angles des pennes'!L65="","",'Angles des pennes'!L65)</f>
        <v>3.7</v>
      </c>
    </row>
    <row r="31" spans="1:24" s="345" customFormat="1" ht="13.5" thickBot="1">
      <c r="A31" s="345">
        <f t="shared" si="1"/>
        <v>100</v>
      </c>
      <c r="B31" s="660" t="s">
        <v>1254</v>
      </c>
      <c r="C31" s="800">
        <f>IF('Sections rachis &amp; L pennes'!Q31="","",'Sections rachis &amp; L pennes'!Q31)</f>
        <v>100</v>
      </c>
      <c r="D31" s="801" t="str">
        <f>IF('Angles des pennes'!D32="","",'Angles des pennes'!D32)</f>
        <v/>
      </c>
      <c r="E31" s="802">
        <f>IF('Angles des pennes'!E32="","",'Angles des pennes'!E32)</f>
        <v>0.2</v>
      </c>
      <c r="F31" s="802" t="str">
        <f>IF('Angles des pennes'!F32="","",'Angles des pennes'!F32)</f>
        <v/>
      </c>
      <c r="G31" s="803" t="str">
        <f>IF('Angles des pennes'!G32="","",'Angles des pennes'!G32)</f>
        <v/>
      </c>
      <c r="H31" s="800" t="str">
        <f>IF('Sections rachis &amp; L pennes'!V31="","",'Sections rachis &amp; L pennes'!V31)</f>
        <v>XXX</v>
      </c>
      <c r="I31" s="801" t="str">
        <f>IF('Angles des pennes'!I32="","",'Angles des pennes'!I32)</f>
        <v/>
      </c>
      <c r="J31" s="802" t="str">
        <f>IF('Angles des pennes'!J32="","",'Angles des pennes'!J32)</f>
        <v/>
      </c>
      <c r="K31" s="802" t="str">
        <f>IF('Angles des pennes'!K32="","",'Angles des pennes'!K32)</f>
        <v/>
      </c>
      <c r="L31" s="803" t="str">
        <f>IF('Angles des pennes'!L32="","",'Angles des pennes'!L32)</f>
        <v/>
      </c>
      <c r="M31" s="781">
        <f t="shared" si="0"/>
        <v>1.2020815280171306</v>
      </c>
      <c r="N31" s="660" t="s">
        <v>1254</v>
      </c>
      <c r="O31" s="961">
        <f>IF('Sections rachis &amp; L pennes'!AC31="","",'Sections rachis &amp; L pennes'!AC31)</f>
        <v>100</v>
      </c>
      <c r="P31" s="789" t="str">
        <f>IF('Angles des pennes'!D66="","",'Angles des pennes'!D66)</f>
        <v/>
      </c>
      <c r="Q31" s="790">
        <f>IF('Angles des pennes'!E66="","",'Angles des pennes'!E66)</f>
        <v>1.9</v>
      </c>
      <c r="R31" s="790" t="str">
        <f>IF('Angles des pennes'!F66="","",'Angles des pennes'!F66)</f>
        <v/>
      </c>
      <c r="S31" s="793" t="str">
        <f>IF('Angles des pennes'!G66="","",'Angles des pennes'!G66)</f>
        <v/>
      </c>
      <c r="T31" s="961" t="str">
        <f>IF('Sections rachis &amp; L pennes'!AH31="","",'Sections rachis &amp; L pennes'!AH31)</f>
        <v>XXX</v>
      </c>
      <c r="U31" s="801" t="str">
        <f>IF('Angles des pennes'!I66="","",'Angles des pennes'!I66)</f>
        <v/>
      </c>
      <c r="V31" s="802" t="str">
        <f>IF('Angles des pennes'!J66="","",'Angles des pennes'!J66)</f>
        <v/>
      </c>
      <c r="W31" s="802" t="str">
        <f>IF('Angles des pennes'!K66="","",'Angles des pennes'!K66)</f>
        <v/>
      </c>
      <c r="X31" s="803" t="str">
        <f>IF('Angles des pennes'!L66="","",'Angles des pennes'!L66)</f>
        <v/>
      </c>
    </row>
    <row r="32" spans="1:24" s="345" customFormat="1">
      <c r="D32" s="805"/>
      <c r="E32" s="806"/>
      <c r="F32" s="807"/>
      <c r="G32" s="807"/>
      <c r="H32" s="807"/>
      <c r="I32" s="807"/>
      <c r="J32" s="807"/>
      <c r="K32" s="807"/>
      <c r="L32" s="807"/>
      <c r="M32" s="807"/>
      <c r="N32" s="807"/>
      <c r="O32" s="807"/>
      <c r="P32" s="807"/>
      <c r="Q32" s="807"/>
      <c r="R32" s="807"/>
      <c r="S32" s="808"/>
      <c r="T32" s="808"/>
    </row>
    <row r="33" spans="1:30" s="345" customFormat="1">
      <c r="B33" s="694"/>
      <c r="C33" s="814"/>
      <c r="D33" s="817"/>
      <c r="E33" s="811"/>
      <c r="F33" s="817"/>
      <c r="G33" s="476"/>
      <c r="H33" s="476"/>
      <c r="I33" s="476"/>
      <c r="J33" s="962"/>
      <c r="K33" s="476"/>
      <c r="L33" s="476"/>
      <c r="M33" s="476">
        <v>1</v>
      </c>
      <c r="N33" s="476"/>
      <c r="O33" s="476"/>
      <c r="P33" s="476"/>
      <c r="Q33" s="476"/>
      <c r="R33" s="817"/>
      <c r="S33" s="476"/>
      <c r="T33" s="476"/>
      <c r="U33" s="476"/>
      <c r="V33" s="476"/>
      <c r="W33" s="476"/>
      <c r="X33" s="476"/>
      <c r="Y33" s="476">
        <v>1</v>
      </c>
      <c r="Z33" s="476"/>
      <c r="AA33" s="476"/>
      <c r="AB33" s="476"/>
      <c r="AC33" s="476"/>
      <c r="AD33" s="476"/>
    </row>
    <row r="34" spans="1:30" s="345" customFormat="1" ht="14.25" customHeight="1" thickBot="1">
      <c r="B34" s="694"/>
      <c r="C34" s="814"/>
      <c r="D34" s="1003"/>
      <c r="E34" s="811"/>
      <c r="F34" s="1003"/>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tr">
        <f>IF(C16="","",C16)</f>
        <v/>
      </c>
      <c r="C35" s="809">
        <f>SUMIF(D$35:D$54,A35,B$35:B$54)</f>
        <v>5.3605555861977985</v>
      </c>
      <c r="D35" s="809">
        <f>IF(B35="",0,RANK(B35,B$35:B$54,1))</f>
        <v>0</v>
      </c>
      <c r="E35" s="814"/>
      <c r="F35" s="819">
        <v>1</v>
      </c>
      <c r="H35" s="1626" t="s">
        <v>1280</v>
      </c>
      <c r="I35" s="1627"/>
      <c r="J35" s="1627"/>
      <c r="K35" s="1627"/>
      <c r="L35" s="1627"/>
      <c r="M35" s="1627"/>
      <c r="N35" s="1627"/>
      <c r="O35" s="1627"/>
      <c r="P35" s="1627"/>
      <c r="Q35" s="1627"/>
      <c r="R35" s="1627"/>
      <c r="S35" s="1627"/>
      <c r="T35" s="1627"/>
      <c r="U35" s="1627"/>
      <c r="V35" s="1627"/>
      <c r="W35" s="1627"/>
      <c r="X35" s="1627"/>
      <c r="Y35" s="1627"/>
      <c r="Z35" s="1627"/>
      <c r="AA35" s="1628"/>
    </row>
    <row r="36" spans="1:30" s="345" customFormat="1" ht="15.75" customHeight="1" thickBot="1">
      <c r="A36" s="345">
        <v>2</v>
      </c>
      <c r="B36" s="818" t="str">
        <f>IF(O16="","",O16)</f>
        <v/>
      </c>
      <c r="C36" s="809">
        <f t="shared" ref="C36:C54" si="2">SUMIF(D$35:D$54,A36,B$35:B$54)</f>
        <v>10</v>
      </c>
      <c r="D36" s="809">
        <f t="shared" ref="D36:D54" si="3">IF(B36="",0,RANK(B36,B$35:B$54,1))</f>
        <v>0</v>
      </c>
      <c r="E36" s="1583" t="s">
        <v>1281</v>
      </c>
      <c r="F36" s="1584"/>
      <c r="G36" s="1585"/>
      <c r="H36" s="820">
        <f>IF($C35=0,"",$C35)</f>
        <v>5.3605555861977985</v>
      </c>
      <c r="I36" s="821">
        <f>IF($C36=0,"",$C36)</f>
        <v>10</v>
      </c>
      <c r="J36" s="821">
        <f>IF($C37=0,"",$C37)</f>
        <v>20</v>
      </c>
      <c r="K36" s="821">
        <f>IF($C38=0,"",$C38)</f>
        <v>26.922669813782981</v>
      </c>
      <c r="L36" s="821">
        <f>IF($C39=0,"",$C39)</f>
        <v>28.402760758696882</v>
      </c>
      <c r="M36" s="821">
        <f>IF($C40="",0,$C40)</f>
        <v>30</v>
      </c>
      <c r="N36" s="821">
        <f>IF($C41=0,"",$C41)</f>
        <v>40</v>
      </c>
      <c r="O36" s="821">
        <f>IF($C42=0,"",$C42)</f>
        <v>50</v>
      </c>
      <c r="P36" s="821">
        <f>IF($C43=0,"",$C43)</f>
        <v>60</v>
      </c>
      <c r="Q36" s="821">
        <f>IF($C44=0,"",$C44)</f>
        <v>70</v>
      </c>
      <c r="R36" s="821">
        <f>IF($C45=0,"",$C45)</f>
        <v>80</v>
      </c>
      <c r="S36" s="821">
        <f>IF($C46=0,"",$C46)</f>
        <v>90</v>
      </c>
      <c r="T36" s="821">
        <f>IF($C47=0,"",$C47)</f>
        <v>97.736572490101764</v>
      </c>
      <c r="U36" s="821">
        <f>IF($C48=0,"",$C48)</f>
        <v>98.474693898206965</v>
      </c>
      <c r="V36" s="821">
        <f>IF($C49=0,"",$C49)</f>
        <v>99.115172061249353</v>
      </c>
      <c r="W36" s="821">
        <f>IF($C50=0,"",$C50)</f>
        <v>99.665653482478291</v>
      </c>
      <c r="X36" s="821">
        <f>IF($C51=0,"",$C51)</f>
        <v>99.951573567634654</v>
      </c>
      <c r="Y36" s="821">
        <f>IF($C52=0,"",$C52)</f>
        <v>100</v>
      </c>
      <c r="Z36" s="821" t="str">
        <f>IF($C53=0,"",$C53)</f>
        <v/>
      </c>
      <c r="AA36" s="822" t="str">
        <f>IF($C54=0,"",$C54)</f>
        <v/>
      </c>
    </row>
    <row r="37" spans="1:30" s="345" customFormat="1" ht="13.5" customHeight="1">
      <c r="A37" s="345">
        <v>3</v>
      </c>
      <c r="B37" s="818">
        <f>IF(COUNTIF(C13,"")+COUNTIF(H13,"")+COUNTIF(O13,"")+COUNTIF(T13,"")=4,"",AVERAGE(C13,H13,O13,T13))</f>
        <v>5.3605555861977985</v>
      </c>
      <c r="C37" s="809">
        <f t="shared" si="2"/>
        <v>20</v>
      </c>
      <c r="D37" s="809">
        <f t="shared" si="3"/>
        <v>1</v>
      </c>
      <c r="E37" s="1623" t="s">
        <v>1282</v>
      </c>
      <c r="F37" s="1574" t="s">
        <v>1283</v>
      </c>
      <c r="G37" s="1575"/>
      <c r="H37" s="823">
        <f t="shared" ref="H37:AA37" si="4">IF(COUNTIF(H39:H42,"")=4,"",AVERAGE(H39:H42))</f>
        <v>46.8</v>
      </c>
      <c r="I37" s="824">
        <f t="shared" si="4"/>
        <v>24.25</v>
      </c>
      <c r="J37" s="824">
        <f t="shared" si="4"/>
        <v>14.774999999999999</v>
      </c>
      <c r="K37" s="824">
        <f t="shared" si="4"/>
        <v>12</v>
      </c>
      <c r="L37" s="824">
        <f t="shared" si="4"/>
        <v>13.399999999999999</v>
      </c>
      <c r="M37" s="824">
        <f t="shared" si="4"/>
        <v>12.65</v>
      </c>
      <c r="N37" s="824">
        <f t="shared" si="4"/>
        <v>10.55</v>
      </c>
      <c r="O37" s="824">
        <f t="shared" si="4"/>
        <v>20.2</v>
      </c>
      <c r="P37" s="824">
        <f t="shared" si="4"/>
        <v>18.974999999999998</v>
      </c>
      <c r="Q37" s="824">
        <f t="shared" si="4"/>
        <v>14.825000000000001</v>
      </c>
      <c r="R37" s="824">
        <f t="shared" si="4"/>
        <v>14.025</v>
      </c>
      <c r="S37" s="824">
        <f t="shared" si="4"/>
        <v>12.6</v>
      </c>
      <c r="T37" s="824">
        <f t="shared" si="4"/>
        <v>19.8</v>
      </c>
      <c r="U37" s="824">
        <f t="shared" si="4"/>
        <v>14.149999999999999</v>
      </c>
      <c r="V37" s="824">
        <f t="shared" si="4"/>
        <v>13.100000000000001</v>
      </c>
      <c r="W37" s="824">
        <f t="shared" si="4"/>
        <v>10.8</v>
      </c>
      <c r="X37" s="824" t="str">
        <f t="shared" si="4"/>
        <v/>
      </c>
      <c r="Y37" s="824" t="str">
        <f t="shared" si="4"/>
        <v/>
      </c>
      <c r="Z37" s="824" t="str">
        <f t="shared" si="4"/>
        <v/>
      </c>
      <c r="AA37" s="825" t="str">
        <f t="shared" si="4"/>
        <v/>
      </c>
    </row>
    <row r="38" spans="1:30" s="345" customFormat="1" ht="12.75" customHeight="1" thickBot="1">
      <c r="A38" s="345">
        <v>4</v>
      </c>
      <c r="B38" s="818">
        <f>IF(COUNTIF(C14,"")+COUNTIF(H14,"")+COUNTIF(O14,"")+COUNTIF(T14,"")=4,"",AVERAGE(C14,H14,O14,T14))</f>
        <v>26.922669813782981</v>
      </c>
      <c r="C38" s="809">
        <f t="shared" si="2"/>
        <v>26.922669813782981</v>
      </c>
      <c r="D38" s="809">
        <f t="shared" si="3"/>
        <v>4</v>
      </c>
      <c r="E38" s="1624"/>
      <c r="F38" s="1576" t="s">
        <v>1284</v>
      </c>
      <c r="G38" s="1577"/>
      <c r="H38" s="823">
        <f t="shared" ref="H38:AA38" si="5">IF(COUNTIF(H39:H42,"")=4,"",IF(COUNTIF(H39:H42,"")=3,0,STDEV(H39:H42)*$F$35))</f>
        <v>5.3740115370177621</v>
      </c>
      <c r="I38" s="824">
        <f t="shared" si="5"/>
        <v>4.7376154339498857</v>
      </c>
      <c r="J38" s="824">
        <f t="shared" si="5"/>
        <v>11.699394571230314</v>
      </c>
      <c r="K38" s="824">
        <f t="shared" si="5"/>
        <v>6.08111831820431</v>
      </c>
      <c r="L38" s="824">
        <f t="shared" si="5"/>
        <v>9.6166522241370469</v>
      </c>
      <c r="M38" s="824">
        <f t="shared" si="5"/>
        <v>4.8031239834091322</v>
      </c>
      <c r="N38" s="824">
        <f t="shared" si="5"/>
        <v>5.5943423801789809</v>
      </c>
      <c r="O38" s="824">
        <f t="shared" si="5"/>
        <v>13.59705850542683</v>
      </c>
      <c r="P38" s="824">
        <f t="shared" si="5"/>
        <v>8.1393591066291453</v>
      </c>
      <c r="Q38" s="824">
        <f t="shared" si="5"/>
        <v>3.3974254958718286</v>
      </c>
      <c r="R38" s="824">
        <f t="shared" si="5"/>
        <v>1.3696106502701171</v>
      </c>
      <c r="S38" s="824">
        <f t="shared" si="5"/>
        <v>0</v>
      </c>
      <c r="T38" s="824">
        <f t="shared" si="5"/>
        <v>0</v>
      </c>
      <c r="U38" s="824">
        <f t="shared" si="5"/>
        <v>6.7175144212722016</v>
      </c>
      <c r="V38" s="824">
        <f t="shared" si="5"/>
        <v>0.42426406871192823</v>
      </c>
      <c r="W38" s="824">
        <f t="shared" si="5"/>
        <v>0</v>
      </c>
      <c r="X38" s="824" t="str">
        <f t="shared" si="5"/>
        <v/>
      </c>
      <c r="Y38" s="824" t="str">
        <f t="shared" si="5"/>
        <v/>
      </c>
      <c r="Z38" s="824" t="str">
        <f t="shared" si="5"/>
        <v/>
      </c>
      <c r="AA38" s="825" t="str">
        <f t="shared" si="5"/>
        <v/>
      </c>
    </row>
    <row r="39" spans="1:30" s="345" customFormat="1" ht="12.75" customHeight="1">
      <c r="A39" s="345">
        <v>5</v>
      </c>
      <c r="B39" s="818">
        <f>IF(COUNTIF(C15,"")+COUNTIF(H15,"")+COUNTIF(O15,"")+COUNTIF(T15,"")=4,"",AVERAGE(C15,H15,O15,T15))</f>
        <v>28.402760758696882</v>
      </c>
      <c r="C39" s="809">
        <f t="shared" si="2"/>
        <v>28.402760758696882</v>
      </c>
      <c r="D39" s="809">
        <f t="shared" si="3"/>
        <v>5</v>
      </c>
      <c r="E39" s="1624"/>
      <c r="F39" s="1578">
        <f>G7</f>
        <v>57</v>
      </c>
      <c r="G39" s="826" t="s">
        <v>1285</v>
      </c>
      <c r="H39" s="827" t="str">
        <f>IF(H36="","",IF(SUMIF($A$13:$A$31,H36,$D$13:$D$31)=0,"",SUMIF($A$13:$A$31,H36,$D$13:$D$31)/$M$33))</f>
        <v/>
      </c>
      <c r="I39" s="828">
        <f t="shared" ref="I39:AA39" si="6">IF(I36="","",IF(SUMIF($A$13:$A$31,I36,$D$13:$D$31)=0,"",SUMIF($A$13:$A$31,I36,$D$13:$D$31)/$M$33))</f>
        <v>27.6</v>
      </c>
      <c r="J39" s="828">
        <f t="shared" si="6"/>
        <v>3.5</v>
      </c>
      <c r="K39" s="828" t="str">
        <f t="shared" si="6"/>
        <v/>
      </c>
      <c r="L39" s="828">
        <f t="shared" si="6"/>
        <v>6.6</v>
      </c>
      <c r="M39" s="828">
        <f t="shared" si="6"/>
        <v>8.4</v>
      </c>
      <c r="N39" s="828">
        <f t="shared" si="6"/>
        <v>13</v>
      </c>
      <c r="O39" s="828">
        <f t="shared" si="6"/>
        <v>40</v>
      </c>
      <c r="P39" s="828">
        <f t="shared" si="6"/>
        <v>21.7</v>
      </c>
      <c r="Q39" s="828">
        <f t="shared" si="6"/>
        <v>13.1</v>
      </c>
      <c r="R39" s="828">
        <f t="shared" si="6"/>
        <v>13.3</v>
      </c>
      <c r="S39" s="828" t="str">
        <f t="shared" si="6"/>
        <v/>
      </c>
      <c r="T39" s="828" t="str">
        <f t="shared" si="6"/>
        <v/>
      </c>
      <c r="U39" s="828">
        <f t="shared" si="6"/>
        <v>18.899999999999999</v>
      </c>
      <c r="V39" s="828" t="str">
        <f t="shared" si="6"/>
        <v/>
      </c>
      <c r="W39" s="828" t="str">
        <f t="shared" si="6"/>
        <v/>
      </c>
      <c r="X39" s="828" t="str">
        <f t="shared" si="6"/>
        <v/>
      </c>
      <c r="Y39" s="828" t="str">
        <f t="shared" si="6"/>
        <v/>
      </c>
      <c r="Z39" s="828" t="str">
        <f t="shared" si="6"/>
        <v/>
      </c>
      <c r="AA39" s="829" t="str">
        <f t="shared" si="6"/>
        <v/>
      </c>
    </row>
    <row r="40" spans="1:30" s="345" customFormat="1" ht="12.75" customHeight="1" thickBot="1">
      <c r="A40" s="345">
        <v>6</v>
      </c>
      <c r="B40" s="818">
        <f t="shared" ref="B40:B48" si="7">IF(C17="","",C17)</f>
        <v>10</v>
      </c>
      <c r="C40" s="809">
        <f t="shared" si="2"/>
        <v>30</v>
      </c>
      <c r="D40" s="809">
        <f t="shared" si="3"/>
        <v>2</v>
      </c>
      <c r="E40" s="1624"/>
      <c r="F40" s="1579"/>
      <c r="G40" s="830" t="s">
        <v>1286</v>
      </c>
      <c r="H40" s="823" t="str">
        <f>IF(H36="","",IF(SUMIF($A$13:$A$31,H36,$I$13:$I$31)=0,"",SUMIF($A$13:$A$31,H36,$I$13:$I$31)/$M$33))</f>
        <v/>
      </c>
      <c r="I40" s="824">
        <f t="shared" ref="I40:AA40" si="8">IF(I36="","",IF(SUMIF($A$13:$A$31,I36,$I$13:$I$31)=0,"",SUMIF($A$13:$A$31,I36,$I$13:$I$31)/$M$33))</f>
        <v>20.9</v>
      </c>
      <c r="J40" s="824">
        <f t="shared" si="8"/>
        <v>10.3</v>
      </c>
      <c r="K40" s="824">
        <f t="shared" si="8"/>
        <v>7.7</v>
      </c>
      <c r="L40" s="824" t="str">
        <f t="shared" si="8"/>
        <v/>
      </c>
      <c r="M40" s="824">
        <f t="shared" si="8"/>
        <v>14.1</v>
      </c>
      <c r="N40" s="824">
        <f t="shared" si="8"/>
        <v>3.3</v>
      </c>
      <c r="O40" s="824">
        <f t="shared" si="8"/>
        <v>18</v>
      </c>
      <c r="P40" s="824">
        <f t="shared" si="8"/>
        <v>28.1</v>
      </c>
      <c r="Q40" s="824">
        <f t="shared" si="8"/>
        <v>12.3</v>
      </c>
      <c r="R40" s="824">
        <f t="shared" si="8"/>
        <v>15.5</v>
      </c>
      <c r="S40" s="824" t="str">
        <f t="shared" si="8"/>
        <v/>
      </c>
      <c r="T40" s="824">
        <f t="shared" si="8"/>
        <v>19.8</v>
      </c>
      <c r="U40" s="824" t="str">
        <f t="shared" si="8"/>
        <v/>
      </c>
      <c r="V40" s="824">
        <f t="shared" si="8"/>
        <v>13.4</v>
      </c>
      <c r="W40" s="824" t="str">
        <f t="shared" si="8"/>
        <v/>
      </c>
      <c r="X40" s="824" t="str">
        <f t="shared" si="8"/>
        <v/>
      </c>
      <c r="Y40" s="824" t="str">
        <f t="shared" si="8"/>
        <v/>
      </c>
      <c r="Z40" s="824" t="str">
        <f t="shared" si="8"/>
        <v/>
      </c>
      <c r="AA40" s="825" t="str">
        <f t="shared" si="8"/>
        <v/>
      </c>
    </row>
    <row r="41" spans="1:30" s="345" customFormat="1" ht="12.75" customHeight="1">
      <c r="A41" s="345">
        <v>7</v>
      </c>
      <c r="B41" s="818">
        <f t="shared" si="7"/>
        <v>20</v>
      </c>
      <c r="C41" s="809">
        <f t="shared" si="2"/>
        <v>40</v>
      </c>
      <c r="D41" s="809">
        <f t="shared" si="3"/>
        <v>3</v>
      </c>
      <c r="E41" s="1624"/>
      <c r="F41" s="1578">
        <f>U7</f>
        <v>83</v>
      </c>
      <c r="G41" s="826" t="s">
        <v>1285</v>
      </c>
      <c r="H41" s="827">
        <f>IF(H36="","",IF(SUMIF($A$13:$A$31,H36,$P$13:$P$31)=0,"",SUMIF($A$13:$A$31,H36,$P$13:$P$31)/$Y$33))</f>
        <v>50.6</v>
      </c>
      <c r="I41" s="828" t="str">
        <f t="shared" ref="I41:AA41" si="9">IF(I36="","",IF(SUMIF($A$13:$A$31,I36,$P$13:$P$31)=0,"",SUMIF($A$13:$A$31,I36,$P$13:$P$31)/$Y$33))</f>
        <v/>
      </c>
      <c r="J41" s="828">
        <f t="shared" si="9"/>
        <v>31</v>
      </c>
      <c r="K41" s="828">
        <f t="shared" si="9"/>
        <v>16.3</v>
      </c>
      <c r="L41" s="828" t="str">
        <f t="shared" si="9"/>
        <v/>
      </c>
      <c r="M41" s="828">
        <f t="shared" si="9"/>
        <v>9.3000000000000007</v>
      </c>
      <c r="N41" s="828">
        <f t="shared" si="9"/>
        <v>16.399999999999999</v>
      </c>
      <c r="O41" s="828">
        <f t="shared" si="9"/>
        <v>12.6</v>
      </c>
      <c r="P41" s="828">
        <f t="shared" si="9"/>
        <v>17.399999999999999</v>
      </c>
      <c r="Q41" s="828">
        <f t="shared" si="9"/>
        <v>19.8</v>
      </c>
      <c r="R41" s="828">
        <f t="shared" si="9"/>
        <v>14.8</v>
      </c>
      <c r="S41" s="828">
        <f t="shared" si="9"/>
        <v>12.6</v>
      </c>
      <c r="T41" s="828" t="str">
        <f t="shared" si="9"/>
        <v/>
      </c>
      <c r="U41" s="828" t="str">
        <f t="shared" si="9"/>
        <v/>
      </c>
      <c r="V41" s="828">
        <f t="shared" si="9"/>
        <v>12.8</v>
      </c>
      <c r="W41" s="828" t="str">
        <f t="shared" si="9"/>
        <v/>
      </c>
      <c r="X41" s="828" t="str">
        <f t="shared" si="9"/>
        <v/>
      </c>
      <c r="Y41" s="828" t="str">
        <f t="shared" si="9"/>
        <v/>
      </c>
      <c r="Z41" s="828" t="str">
        <f t="shared" si="9"/>
        <v/>
      </c>
      <c r="AA41" s="829" t="str">
        <f t="shared" si="9"/>
        <v/>
      </c>
    </row>
    <row r="42" spans="1:30" s="345" customFormat="1" ht="13.5" customHeight="1" thickBot="1">
      <c r="A42" s="345">
        <v>8</v>
      </c>
      <c r="B42" s="818">
        <f t="shared" si="7"/>
        <v>30</v>
      </c>
      <c r="C42" s="809">
        <f t="shared" si="2"/>
        <v>50</v>
      </c>
      <c r="D42" s="809">
        <f t="shared" si="3"/>
        <v>6</v>
      </c>
      <c r="E42" s="1625"/>
      <c r="F42" s="1579"/>
      <c r="G42" s="830" t="s">
        <v>1286</v>
      </c>
      <c r="H42" s="831">
        <f>IF(H36="","",IF(SUMIF($A$13:$A$31,H36,$U$13:$U$31)=0,"",SUMIF($A$13:$A$31,H36,$U$13:$U$31)/$Y$33))</f>
        <v>43</v>
      </c>
      <c r="I42" s="832" t="str">
        <f t="shared" ref="I42:AA42" si="10">IF(I36="","",IF(SUMIF($A$13:$A$31,I36,$U$13:$U$31)=0,"",SUMIF($A$13:$A$31,I36,$U$13:$U$31)/$Y$33))</f>
        <v/>
      </c>
      <c r="J42" s="832">
        <f t="shared" si="10"/>
        <v>14.3</v>
      </c>
      <c r="K42" s="832" t="str">
        <f t="shared" si="10"/>
        <v/>
      </c>
      <c r="L42" s="832">
        <f t="shared" si="10"/>
        <v>20.2</v>
      </c>
      <c r="M42" s="832">
        <f t="shared" si="10"/>
        <v>18.8</v>
      </c>
      <c r="N42" s="832">
        <f t="shared" si="10"/>
        <v>9.5</v>
      </c>
      <c r="O42" s="832">
        <f t="shared" si="10"/>
        <v>10.199999999999999</v>
      </c>
      <c r="P42" s="832">
        <f t="shared" si="10"/>
        <v>8.6999999999999993</v>
      </c>
      <c r="Q42" s="832">
        <f t="shared" si="10"/>
        <v>14.1</v>
      </c>
      <c r="R42" s="832">
        <f t="shared" si="10"/>
        <v>12.5</v>
      </c>
      <c r="S42" s="832">
        <f t="shared" si="10"/>
        <v>12.6</v>
      </c>
      <c r="T42" s="832" t="str">
        <f t="shared" si="10"/>
        <v/>
      </c>
      <c r="U42" s="832">
        <f t="shared" si="10"/>
        <v>9.4</v>
      </c>
      <c r="V42" s="832" t="str">
        <f t="shared" si="10"/>
        <v/>
      </c>
      <c r="W42" s="832">
        <f t="shared" si="10"/>
        <v>10.8</v>
      </c>
      <c r="X42" s="832" t="str">
        <f t="shared" si="10"/>
        <v/>
      </c>
      <c r="Y42" s="832" t="str">
        <f t="shared" si="10"/>
        <v/>
      </c>
      <c r="Z42" s="832" t="str">
        <f t="shared" si="10"/>
        <v/>
      </c>
      <c r="AA42" s="833" t="str">
        <f t="shared" si="10"/>
        <v/>
      </c>
    </row>
    <row r="43" spans="1:30" s="345" customFormat="1" ht="12.75" customHeight="1">
      <c r="A43" s="345">
        <v>9</v>
      </c>
      <c r="B43" s="818">
        <f t="shared" si="7"/>
        <v>40</v>
      </c>
      <c r="C43" s="809">
        <f t="shared" si="2"/>
        <v>60</v>
      </c>
      <c r="D43" s="809">
        <f t="shared" si="3"/>
        <v>7</v>
      </c>
      <c r="E43" s="1590">
        <v>0</v>
      </c>
      <c r="F43" s="1574" t="s">
        <v>1283</v>
      </c>
      <c r="G43" s="1575"/>
      <c r="H43" s="834" t="str">
        <f t="shared" ref="H43:AA43" si="11">IF(COUNTIF(H45:H52,"")=8,"",AVERAGE(H45:H52))</f>
        <v/>
      </c>
      <c r="I43" s="835">
        <f t="shared" si="11"/>
        <v>32.549999999999997</v>
      </c>
      <c r="J43" s="835" t="str">
        <f t="shared" si="11"/>
        <v/>
      </c>
      <c r="K43" s="835" t="str">
        <f t="shared" si="11"/>
        <v/>
      </c>
      <c r="L43" s="835" t="str">
        <f t="shared" si="11"/>
        <v/>
      </c>
      <c r="M43" s="835" t="str">
        <f t="shared" si="11"/>
        <v/>
      </c>
      <c r="N43" s="835">
        <f t="shared" si="11"/>
        <v>13.6</v>
      </c>
      <c r="O43" s="835">
        <f t="shared" si="11"/>
        <v>9.8000000000000007</v>
      </c>
      <c r="P43" s="835">
        <f t="shared" si="11"/>
        <v>20.45</v>
      </c>
      <c r="Q43" s="835">
        <f t="shared" si="11"/>
        <v>14.2</v>
      </c>
      <c r="R43" s="835">
        <f t="shared" si="11"/>
        <v>17.933333333333334</v>
      </c>
      <c r="S43" s="835">
        <f t="shared" si="11"/>
        <v>19.799999999999997</v>
      </c>
      <c r="T43" s="835" t="str">
        <f t="shared" si="11"/>
        <v/>
      </c>
      <c r="U43" s="835">
        <f t="shared" si="11"/>
        <v>8.6999999999999993</v>
      </c>
      <c r="V43" s="835" t="str">
        <f t="shared" si="11"/>
        <v/>
      </c>
      <c r="W43" s="835">
        <f t="shared" si="11"/>
        <v>10.199999999999999</v>
      </c>
      <c r="X43" s="835">
        <f t="shared" si="11"/>
        <v>4.1500000000000004</v>
      </c>
      <c r="Y43" s="835">
        <f t="shared" si="11"/>
        <v>1.05</v>
      </c>
      <c r="Z43" s="835" t="str">
        <f t="shared" si="11"/>
        <v/>
      </c>
      <c r="AA43" s="836" t="str">
        <f t="shared" si="11"/>
        <v/>
      </c>
    </row>
    <row r="44" spans="1:30" s="345" customFormat="1" ht="13.5" customHeight="1" thickBot="1">
      <c r="A44" s="345">
        <v>10</v>
      </c>
      <c r="B44" s="818">
        <f t="shared" si="7"/>
        <v>50</v>
      </c>
      <c r="C44" s="809">
        <f t="shared" si="2"/>
        <v>70</v>
      </c>
      <c r="D44" s="809">
        <f t="shared" si="3"/>
        <v>8</v>
      </c>
      <c r="E44" s="1591"/>
      <c r="F44" s="1576" t="s">
        <v>1284</v>
      </c>
      <c r="G44" s="1577"/>
      <c r="H44" s="834" t="str">
        <f t="shared" ref="H44:AA44" si="12">IF(COUNTIF(H45:H52,"")=8,"",IF(COUNTIF(H45:H52,"")=7,0,STDEV(H45:H52)*$F$35))</f>
        <v/>
      </c>
      <c r="I44" s="835">
        <f t="shared" si="12"/>
        <v>6.1518289963229842</v>
      </c>
      <c r="J44" s="835" t="str">
        <f t="shared" si="12"/>
        <v/>
      </c>
      <c r="K44" s="835" t="str">
        <f t="shared" si="12"/>
        <v/>
      </c>
      <c r="L44" s="835" t="str">
        <f t="shared" si="12"/>
        <v/>
      </c>
      <c r="M44" s="835" t="str">
        <f t="shared" si="12"/>
        <v/>
      </c>
      <c r="N44" s="835">
        <f t="shared" si="12"/>
        <v>0</v>
      </c>
      <c r="O44" s="835">
        <f t="shared" si="12"/>
        <v>0</v>
      </c>
      <c r="P44" s="835">
        <f t="shared" si="12"/>
        <v>10.253048327204938</v>
      </c>
      <c r="Q44" s="835">
        <f t="shared" si="12"/>
        <v>0</v>
      </c>
      <c r="R44" s="835">
        <f t="shared" si="12"/>
        <v>3.9004273270160312</v>
      </c>
      <c r="S44" s="835">
        <f t="shared" si="12"/>
        <v>1.5556349186104039</v>
      </c>
      <c r="T44" s="835" t="str">
        <f t="shared" si="12"/>
        <v/>
      </c>
      <c r="U44" s="835">
        <f t="shared" si="12"/>
        <v>0</v>
      </c>
      <c r="V44" s="835" t="str">
        <f t="shared" si="12"/>
        <v/>
      </c>
      <c r="W44" s="835">
        <f t="shared" si="12"/>
        <v>5.9396969619670017</v>
      </c>
      <c r="X44" s="835">
        <f t="shared" si="12"/>
        <v>0.21213203435596412</v>
      </c>
      <c r="Y44" s="835">
        <f t="shared" si="12"/>
        <v>1.2020815280171306</v>
      </c>
      <c r="Z44" s="835" t="str">
        <f t="shared" si="12"/>
        <v/>
      </c>
      <c r="AA44" s="836" t="str">
        <f t="shared" si="12"/>
        <v/>
      </c>
    </row>
    <row r="45" spans="1:30" s="345" customFormat="1" ht="12.75" customHeight="1">
      <c r="A45" s="345">
        <v>11</v>
      </c>
      <c r="B45" s="818">
        <f t="shared" si="7"/>
        <v>60</v>
      </c>
      <c r="C45" s="809">
        <f t="shared" si="2"/>
        <v>80</v>
      </c>
      <c r="D45" s="809">
        <f t="shared" si="3"/>
        <v>9</v>
      </c>
      <c r="E45" s="1591"/>
      <c r="F45" s="1578">
        <f>G7</f>
        <v>57</v>
      </c>
      <c r="G45" s="1620" t="s">
        <v>1285</v>
      </c>
      <c r="H45" s="837" t="str">
        <f>IF(H36="","",IF(SUMIF($A$13:$A$31,H36,$E$13:$E$31)=0,"",SUMIF($A$13:$A$31,H36,$E$13:$E$31)/$M$33))</f>
        <v/>
      </c>
      <c r="I45" s="838" t="str">
        <f t="shared" ref="I45:AA45" si="13">IF(I36="","",IF(SUMIF($A$13:$A$31,I36,$E$13:$E$31)=0,"",SUMIF($A$13:$A$31,I36,$E$13:$E$31)/$M$33))</f>
        <v/>
      </c>
      <c r="J45" s="838" t="str">
        <f t="shared" si="13"/>
        <v/>
      </c>
      <c r="K45" s="838" t="str">
        <f t="shared" si="13"/>
        <v/>
      </c>
      <c r="L45" s="838" t="str">
        <f t="shared" si="13"/>
        <v/>
      </c>
      <c r="M45" s="838" t="str">
        <f t="shared" si="13"/>
        <v/>
      </c>
      <c r="N45" s="838">
        <f t="shared" si="13"/>
        <v>13.6</v>
      </c>
      <c r="O45" s="838" t="str">
        <f t="shared" si="13"/>
        <v/>
      </c>
      <c r="P45" s="838" t="str">
        <f t="shared" si="13"/>
        <v/>
      </c>
      <c r="Q45" s="838" t="str">
        <f t="shared" si="13"/>
        <v/>
      </c>
      <c r="R45" s="838" t="str">
        <f t="shared" si="13"/>
        <v/>
      </c>
      <c r="S45" s="838">
        <f t="shared" si="13"/>
        <v>20.9</v>
      </c>
      <c r="T45" s="838" t="str">
        <f t="shared" si="13"/>
        <v/>
      </c>
      <c r="U45" s="838" t="str">
        <f t="shared" si="13"/>
        <v/>
      </c>
      <c r="V45" s="838" t="str">
        <f t="shared" si="13"/>
        <v/>
      </c>
      <c r="W45" s="838">
        <f t="shared" si="13"/>
        <v>14.4</v>
      </c>
      <c r="X45" s="838">
        <f t="shared" si="13"/>
        <v>4.3</v>
      </c>
      <c r="Y45" s="838">
        <f t="shared" si="13"/>
        <v>0.2</v>
      </c>
      <c r="Z45" s="838" t="str">
        <f t="shared" si="13"/>
        <v/>
      </c>
      <c r="AA45" s="839" t="str">
        <f t="shared" si="13"/>
        <v/>
      </c>
    </row>
    <row r="46" spans="1:30" s="345" customFormat="1" ht="12.75" customHeight="1">
      <c r="A46" s="345">
        <v>12</v>
      </c>
      <c r="B46" s="818">
        <f t="shared" si="7"/>
        <v>70</v>
      </c>
      <c r="C46" s="809">
        <f t="shared" si="2"/>
        <v>90</v>
      </c>
      <c r="D46" s="809">
        <f t="shared" si="3"/>
        <v>10</v>
      </c>
      <c r="E46" s="1591"/>
      <c r="F46" s="1595"/>
      <c r="G46" s="1621"/>
      <c r="H46" s="834" t="str">
        <f>IF(H36="","",IF(SUMIF($A$13:$A$31,H36,$F$13:$F$31)=0,"",SUMIF($A$13:$A$31,H36,$F$13:$F$31)/$M$33))</f>
        <v/>
      </c>
      <c r="I46" s="835" t="str">
        <f t="shared" ref="I46:AA46" si="14">IF(I36="","",IF(SUMIF($A$13:$A$31,I36,$F$13:$F$31)=0,"",SUMIF($A$13:$A$31,I36,$F$13:$F$31)/$M$33))</f>
        <v/>
      </c>
      <c r="J46" s="835" t="str">
        <f t="shared" si="14"/>
        <v/>
      </c>
      <c r="K46" s="835" t="str">
        <f t="shared" si="14"/>
        <v/>
      </c>
      <c r="L46" s="835" t="str">
        <f t="shared" si="14"/>
        <v/>
      </c>
      <c r="M46" s="835" t="str">
        <f t="shared" si="14"/>
        <v/>
      </c>
      <c r="N46" s="835" t="str">
        <f t="shared" si="14"/>
        <v/>
      </c>
      <c r="O46" s="835" t="str">
        <f t="shared" si="14"/>
        <v/>
      </c>
      <c r="P46" s="835" t="str">
        <f t="shared" si="14"/>
        <v/>
      </c>
      <c r="Q46" s="835" t="str">
        <f t="shared" si="14"/>
        <v/>
      </c>
      <c r="R46" s="835" t="str">
        <f t="shared" si="14"/>
        <v/>
      </c>
      <c r="S46" s="835" t="str">
        <f t="shared" si="14"/>
        <v/>
      </c>
      <c r="T46" s="835" t="str">
        <f t="shared" si="14"/>
        <v/>
      </c>
      <c r="U46" s="835" t="str">
        <f t="shared" si="14"/>
        <v/>
      </c>
      <c r="V46" s="835" t="str">
        <f t="shared" si="14"/>
        <v/>
      </c>
      <c r="W46" s="835" t="str">
        <f t="shared" si="14"/>
        <v/>
      </c>
      <c r="X46" s="835" t="str">
        <f t="shared" si="14"/>
        <v/>
      </c>
      <c r="Y46" s="835" t="str">
        <f t="shared" si="14"/>
        <v/>
      </c>
      <c r="Z46" s="835" t="str">
        <f t="shared" si="14"/>
        <v/>
      </c>
      <c r="AA46" s="836" t="str">
        <f t="shared" si="14"/>
        <v/>
      </c>
    </row>
    <row r="47" spans="1:30" s="345" customFormat="1" ht="12.75" customHeight="1">
      <c r="A47" s="345">
        <v>13</v>
      </c>
      <c r="B47" s="818">
        <f t="shared" si="7"/>
        <v>80</v>
      </c>
      <c r="C47" s="809">
        <f t="shared" si="2"/>
        <v>97.736572490101764</v>
      </c>
      <c r="D47" s="809">
        <f t="shared" si="3"/>
        <v>11</v>
      </c>
      <c r="E47" s="1591"/>
      <c r="F47" s="1595"/>
      <c r="G47" s="1621" t="s">
        <v>1286</v>
      </c>
      <c r="H47" s="834" t="str">
        <f>IF(H36="","",IF(SUMIF($A$13:$A$31,H36,$J$13:$J$31)=0,"",SUMIF($A$13:$A$31,H36,$J$13:$J$31)/$M$33))</f>
        <v/>
      </c>
      <c r="I47" s="835" t="str">
        <f t="shared" ref="I47:AA47" si="15">IF(I36="","",IF(SUMIF($A$13:$A$31,I36,$J$13:$J$31)=0,"",SUMIF($A$13:$A$31,I36,$J$13:$J$31)/$M$33))</f>
        <v/>
      </c>
      <c r="J47" s="835" t="str">
        <f t="shared" si="15"/>
        <v/>
      </c>
      <c r="K47" s="835" t="str">
        <f t="shared" si="15"/>
        <v/>
      </c>
      <c r="L47" s="835" t="str">
        <f t="shared" si="15"/>
        <v/>
      </c>
      <c r="M47" s="835" t="str">
        <f t="shared" si="15"/>
        <v/>
      </c>
      <c r="N47" s="835" t="str">
        <f t="shared" si="15"/>
        <v/>
      </c>
      <c r="O47" s="835" t="str">
        <f t="shared" si="15"/>
        <v/>
      </c>
      <c r="P47" s="835">
        <f t="shared" si="15"/>
        <v>27.7</v>
      </c>
      <c r="Q47" s="835" t="str">
        <f t="shared" si="15"/>
        <v/>
      </c>
      <c r="R47" s="835">
        <f t="shared" si="15"/>
        <v>21.8</v>
      </c>
      <c r="S47" s="835">
        <f t="shared" si="15"/>
        <v>18.7</v>
      </c>
      <c r="T47" s="835" t="str">
        <f t="shared" si="15"/>
        <v/>
      </c>
      <c r="U47" s="835" t="str">
        <f t="shared" si="15"/>
        <v/>
      </c>
      <c r="V47" s="835" t="str">
        <f t="shared" si="15"/>
        <v/>
      </c>
      <c r="W47" s="835" t="str">
        <f t="shared" si="15"/>
        <v/>
      </c>
      <c r="X47" s="835">
        <f t="shared" si="15"/>
        <v>4</v>
      </c>
      <c r="Y47" s="835" t="str">
        <f t="shared" si="15"/>
        <v/>
      </c>
      <c r="Z47" s="835" t="str">
        <f t="shared" si="15"/>
        <v/>
      </c>
      <c r="AA47" s="836" t="str">
        <f t="shared" si="15"/>
        <v/>
      </c>
    </row>
    <row r="48" spans="1:30" s="345" customFormat="1" ht="13.5" customHeight="1" thickBot="1">
      <c r="A48" s="345">
        <v>14</v>
      </c>
      <c r="B48" s="818">
        <f t="shared" si="7"/>
        <v>90</v>
      </c>
      <c r="C48" s="809">
        <f t="shared" si="2"/>
        <v>98.474693898206965</v>
      </c>
      <c r="D48" s="809">
        <f t="shared" si="3"/>
        <v>12</v>
      </c>
      <c r="E48" s="1591"/>
      <c r="F48" s="1579"/>
      <c r="G48" s="1622"/>
      <c r="H48" s="834" t="str">
        <f>IF(H36="","",IF(SUMIF($A$13:$A$31,H36,$K$13:$K$31)=0,"",SUMIF($A$13:$A$31,H36,$K$13:$K$31)/$M$33))</f>
        <v/>
      </c>
      <c r="I48" s="835" t="str">
        <f t="shared" ref="I48:AA48" si="16">IF(I36="","",IF(SUMIF($A$13:$A$31,I36,$K$13:$K$31)=0,"",SUMIF($A$13:$A$31,I36,$K$13:$K$31)/$M$33))</f>
        <v/>
      </c>
      <c r="J48" s="835" t="str">
        <f t="shared" si="16"/>
        <v/>
      </c>
      <c r="K48" s="835" t="str">
        <f t="shared" si="16"/>
        <v/>
      </c>
      <c r="L48" s="835" t="str">
        <f t="shared" si="16"/>
        <v/>
      </c>
      <c r="M48" s="835" t="str">
        <f t="shared" si="16"/>
        <v/>
      </c>
      <c r="N48" s="835" t="str">
        <f t="shared" si="16"/>
        <v/>
      </c>
      <c r="O48" s="835" t="str">
        <f t="shared" si="16"/>
        <v/>
      </c>
      <c r="P48" s="835" t="str">
        <f t="shared" si="16"/>
        <v/>
      </c>
      <c r="Q48" s="835" t="str">
        <f t="shared" si="16"/>
        <v/>
      </c>
      <c r="R48" s="835" t="str">
        <f t="shared" si="16"/>
        <v/>
      </c>
      <c r="S48" s="835" t="str">
        <f t="shared" si="16"/>
        <v/>
      </c>
      <c r="T48" s="835" t="str">
        <f t="shared" si="16"/>
        <v/>
      </c>
      <c r="U48" s="835" t="str">
        <f t="shared" si="16"/>
        <v/>
      </c>
      <c r="V48" s="835" t="str">
        <f t="shared" si="16"/>
        <v/>
      </c>
      <c r="W48" s="835" t="str">
        <f t="shared" si="16"/>
        <v/>
      </c>
      <c r="X48" s="835" t="str">
        <f t="shared" si="16"/>
        <v/>
      </c>
      <c r="Y48" s="835" t="str">
        <f t="shared" si="16"/>
        <v/>
      </c>
      <c r="Z48" s="835" t="str">
        <f t="shared" si="16"/>
        <v/>
      </c>
      <c r="AA48" s="836" t="str">
        <f t="shared" si="16"/>
        <v/>
      </c>
    </row>
    <row r="49" spans="1:28" s="345" customFormat="1">
      <c r="A49" s="345">
        <v>15</v>
      </c>
      <c r="B49" s="818">
        <f t="shared" ref="B49:B54" si="17">IF(COUNTIF(C26,"")+COUNTIF(H26,"")+COUNTIF(O26,"")+COUNTIF(T26,"")=4,"",AVERAGE(C26,H26,O26,T26))</f>
        <v>97.736572490101764</v>
      </c>
      <c r="C49" s="809">
        <f t="shared" si="2"/>
        <v>99.115172061249353</v>
      </c>
      <c r="D49" s="809">
        <f t="shared" si="3"/>
        <v>13</v>
      </c>
      <c r="E49" s="1591"/>
      <c r="F49" s="1578">
        <f>U7</f>
        <v>83</v>
      </c>
      <c r="G49" s="1620" t="s">
        <v>1285</v>
      </c>
      <c r="H49" s="840" t="str">
        <f>IF(H36="","",IF(SUMIF($A$13:$A$31,H36,$Q$13:$Q$31)=0,"",SUMIF($A$13:$A$31,H36,$Q$13:$Q$31)/$Y$33))</f>
        <v/>
      </c>
      <c r="I49" s="841">
        <f t="shared" ref="I49:AA49" si="18">IF(I36="","",IF(SUMIF($A$13:$A$31,I36,$Q$13:$Q$31)=0,"",SUMIF($A$13:$A$31,I36,$Q$13:$Q$31)/$Y$33))</f>
        <v>28.2</v>
      </c>
      <c r="J49" s="841" t="str">
        <f t="shared" si="18"/>
        <v/>
      </c>
      <c r="K49" s="841" t="str">
        <f t="shared" si="18"/>
        <v/>
      </c>
      <c r="L49" s="841" t="str">
        <f t="shared" si="18"/>
        <v/>
      </c>
      <c r="M49" s="841" t="str">
        <f t="shared" si="18"/>
        <v/>
      </c>
      <c r="N49" s="841" t="str">
        <f t="shared" si="18"/>
        <v/>
      </c>
      <c r="O49" s="841">
        <f t="shared" si="18"/>
        <v>9.8000000000000007</v>
      </c>
      <c r="P49" s="841" t="str">
        <f t="shared" si="18"/>
        <v/>
      </c>
      <c r="Q49" s="841" t="str">
        <f t="shared" si="18"/>
        <v/>
      </c>
      <c r="R49" s="841">
        <f t="shared" si="18"/>
        <v>18</v>
      </c>
      <c r="S49" s="841" t="str">
        <f t="shared" si="18"/>
        <v/>
      </c>
      <c r="T49" s="841" t="str">
        <f t="shared" si="18"/>
        <v/>
      </c>
      <c r="U49" s="841">
        <f t="shared" si="18"/>
        <v>8.6999999999999993</v>
      </c>
      <c r="V49" s="841" t="str">
        <f t="shared" si="18"/>
        <v/>
      </c>
      <c r="W49" s="841">
        <f t="shared" si="18"/>
        <v>6</v>
      </c>
      <c r="X49" s="841" t="str">
        <f t="shared" si="18"/>
        <v/>
      </c>
      <c r="Y49" s="841">
        <f t="shared" si="18"/>
        <v>1.9</v>
      </c>
      <c r="Z49" s="841" t="str">
        <f t="shared" si="18"/>
        <v/>
      </c>
      <c r="AA49" s="842" t="str">
        <f t="shared" si="18"/>
        <v/>
      </c>
    </row>
    <row r="50" spans="1:28" s="345" customFormat="1">
      <c r="A50" s="345">
        <v>16</v>
      </c>
      <c r="B50" s="818">
        <f t="shared" si="17"/>
        <v>98.474693898206965</v>
      </c>
      <c r="C50" s="809">
        <f t="shared" si="2"/>
        <v>99.665653482478291</v>
      </c>
      <c r="D50" s="809">
        <f t="shared" si="3"/>
        <v>14</v>
      </c>
      <c r="E50" s="1591"/>
      <c r="F50" s="1595"/>
      <c r="G50" s="1621"/>
      <c r="H50" s="843" t="str">
        <f>IF(H36="","",IF(SUMIF($A$13:$A$31,H36,$R$13:$R$31)=0,"",SUMIF($A$13:$A$31,H36,$R$13:$R$31)/$Y$33))</f>
        <v/>
      </c>
      <c r="I50" s="844" t="str">
        <f t="shared" ref="I50:AA50" si="19">IF(I36="","",IF(SUMIF($A$13:$A$31,I36,$R$13:$R$31)=0,"",SUMIF($A$13:$A$31,I36,$R$13:$R$31)/$Y$33))</f>
        <v/>
      </c>
      <c r="J50" s="844" t="str">
        <f t="shared" si="19"/>
        <v/>
      </c>
      <c r="K50" s="844" t="str">
        <f t="shared" si="19"/>
        <v/>
      </c>
      <c r="L50" s="844" t="str">
        <f t="shared" si="19"/>
        <v/>
      </c>
      <c r="M50" s="844" t="str">
        <f t="shared" si="19"/>
        <v/>
      </c>
      <c r="N50" s="844" t="str">
        <f t="shared" si="19"/>
        <v/>
      </c>
      <c r="O50" s="844" t="str">
        <f t="shared" si="19"/>
        <v/>
      </c>
      <c r="P50" s="844" t="str">
        <f t="shared" si="19"/>
        <v/>
      </c>
      <c r="Q50" s="844" t="str">
        <f t="shared" si="19"/>
        <v/>
      </c>
      <c r="R50" s="844" t="str">
        <f t="shared" si="19"/>
        <v/>
      </c>
      <c r="S50" s="844" t="str">
        <f t="shared" si="19"/>
        <v/>
      </c>
      <c r="T50" s="844" t="str">
        <f t="shared" si="19"/>
        <v/>
      </c>
      <c r="U50" s="844" t="str">
        <f t="shared" si="19"/>
        <v/>
      </c>
      <c r="V50" s="844" t="str">
        <f t="shared" si="19"/>
        <v/>
      </c>
      <c r="W50" s="844" t="str">
        <f t="shared" si="19"/>
        <v/>
      </c>
      <c r="X50" s="844" t="str">
        <f t="shared" si="19"/>
        <v/>
      </c>
      <c r="Y50" s="844" t="str">
        <f t="shared" si="19"/>
        <v/>
      </c>
      <c r="Z50" s="844" t="str">
        <f t="shared" si="19"/>
        <v/>
      </c>
      <c r="AA50" s="845" t="str">
        <f t="shared" si="19"/>
        <v/>
      </c>
    </row>
    <row r="51" spans="1:28" s="345" customFormat="1">
      <c r="A51" s="345">
        <v>17</v>
      </c>
      <c r="B51" s="818">
        <f t="shared" si="17"/>
        <v>99.115172061249353</v>
      </c>
      <c r="C51" s="809">
        <f t="shared" si="2"/>
        <v>99.951573567634654</v>
      </c>
      <c r="D51" s="809">
        <f t="shared" si="3"/>
        <v>15</v>
      </c>
      <c r="E51" s="1591"/>
      <c r="F51" s="1595"/>
      <c r="G51" s="1621" t="s">
        <v>1286</v>
      </c>
      <c r="H51" s="843" t="str">
        <f>IF(H36="","",IF(SUMIF($A$13:$A$31,H36,$V$13:$V$31)=0,"",SUMIF($A$13:$A$31,H36,$V$13:$V$31)/$Y$33))</f>
        <v/>
      </c>
      <c r="I51" s="844">
        <f t="shared" ref="I51:AA51" si="20">IF(I36="","",IF(SUMIF($A$13:$A$31,I36,$V$13:$V$31)=0,"",SUMIF($A$13:$A$31,I36,$V$13:$V$31)/$Y$33))</f>
        <v>36.9</v>
      </c>
      <c r="J51" s="844" t="str">
        <f t="shared" si="20"/>
        <v/>
      </c>
      <c r="K51" s="844" t="str">
        <f t="shared" si="20"/>
        <v/>
      </c>
      <c r="L51" s="844" t="str">
        <f t="shared" si="20"/>
        <v/>
      </c>
      <c r="M51" s="844" t="str">
        <f t="shared" si="20"/>
        <v/>
      </c>
      <c r="N51" s="844" t="str">
        <f t="shared" si="20"/>
        <v/>
      </c>
      <c r="O51" s="844" t="str">
        <f t="shared" si="20"/>
        <v/>
      </c>
      <c r="P51" s="844">
        <f t="shared" si="20"/>
        <v>13.2</v>
      </c>
      <c r="Q51" s="844">
        <f t="shared" si="20"/>
        <v>14.2</v>
      </c>
      <c r="R51" s="844">
        <f t="shared" si="20"/>
        <v>14</v>
      </c>
      <c r="S51" s="844" t="str">
        <f t="shared" si="20"/>
        <v/>
      </c>
      <c r="T51" s="844" t="str">
        <f t="shared" si="20"/>
        <v/>
      </c>
      <c r="U51" s="844" t="str">
        <f t="shared" si="20"/>
        <v/>
      </c>
      <c r="V51" s="844" t="str">
        <f t="shared" si="20"/>
        <v/>
      </c>
      <c r="W51" s="844" t="str">
        <f t="shared" si="20"/>
        <v/>
      </c>
      <c r="X51" s="844" t="str">
        <f t="shared" si="20"/>
        <v/>
      </c>
      <c r="Y51" s="844" t="str">
        <f t="shared" si="20"/>
        <v/>
      </c>
      <c r="Z51" s="844" t="str">
        <f t="shared" si="20"/>
        <v/>
      </c>
      <c r="AA51" s="845" t="str">
        <f t="shared" si="20"/>
        <v/>
      </c>
    </row>
    <row r="52" spans="1:28" s="345" customFormat="1" ht="13.5" thickBot="1">
      <c r="A52" s="345">
        <v>18</v>
      </c>
      <c r="B52" s="818">
        <f t="shared" si="17"/>
        <v>99.665653482478291</v>
      </c>
      <c r="C52" s="809">
        <f t="shared" si="2"/>
        <v>100</v>
      </c>
      <c r="D52" s="809">
        <f t="shared" si="3"/>
        <v>16</v>
      </c>
      <c r="E52" s="1592"/>
      <c r="F52" s="1579"/>
      <c r="G52" s="1622"/>
      <c r="H52" s="846" t="str">
        <f>IF(H36="","",IF(SUMIF($A$13:$A$31,H36,$W$13:$W$31)=0,"",SUMIF($A$13:$A$31,H36,$W$13:$W$31)/$Y$33))</f>
        <v/>
      </c>
      <c r="I52" s="847" t="str">
        <f t="shared" ref="I52:AA52" si="21">IF(I36="","",IF(SUMIF($A$13:$A$31,I36,$W$13:$W$31)=0,"",SUMIF($A$13:$A$31,I36,$W$13:$W$31)/$Y$33))</f>
        <v/>
      </c>
      <c r="J52" s="847" t="str">
        <f t="shared" si="21"/>
        <v/>
      </c>
      <c r="K52" s="847" t="str">
        <f t="shared" si="21"/>
        <v/>
      </c>
      <c r="L52" s="847" t="str">
        <f t="shared" si="21"/>
        <v/>
      </c>
      <c r="M52" s="847" t="str">
        <f t="shared" si="21"/>
        <v/>
      </c>
      <c r="N52" s="847" t="str">
        <f t="shared" si="21"/>
        <v/>
      </c>
      <c r="O52" s="847" t="str">
        <f t="shared" si="21"/>
        <v/>
      </c>
      <c r="P52" s="847" t="str">
        <f t="shared" si="21"/>
        <v/>
      </c>
      <c r="Q52" s="847" t="str">
        <f t="shared" si="21"/>
        <v/>
      </c>
      <c r="R52" s="847" t="str">
        <f t="shared" si="21"/>
        <v/>
      </c>
      <c r="S52" s="847" t="str">
        <f t="shared" si="21"/>
        <v/>
      </c>
      <c r="T52" s="847" t="str">
        <f t="shared" si="21"/>
        <v/>
      </c>
      <c r="U52" s="847" t="str">
        <f t="shared" si="21"/>
        <v/>
      </c>
      <c r="V52" s="847" t="str">
        <f t="shared" si="21"/>
        <v/>
      </c>
      <c r="W52" s="847" t="str">
        <f t="shared" si="21"/>
        <v/>
      </c>
      <c r="X52" s="847" t="str">
        <f t="shared" si="21"/>
        <v/>
      </c>
      <c r="Y52" s="847" t="str">
        <f t="shared" si="21"/>
        <v/>
      </c>
      <c r="Z52" s="847" t="str">
        <f t="shared" si="21"/>
        <v/>
      </c>
      <c r="AA52" s="848" t="str">
        <f t="shared" si="21"/>
        <v/>
      </c>
    </row>
    <row r="53" spans="1:28" s="345" customFormat="1">
      <c r="A53" s="345">
        <v>19</v>
      </c>
      <c r="B53" s="818">
        <f t="shared" si="17"/>
        <v>99.951573567634654</v>
      </c>
      <c r="C53" s="809">
        <f t="shared" si="2"/>
        <v>0</v>
      </c>
      <c r="D53" s="809">
        <f t="shared" si="3"/>
        <v>17</v>
      </c>
      <c r="E53" s="1623" t="s">
        <v>1287</v>
      </c>
      <c r="F53" s="1574" t="s">
        <v>1283</v>
      </c>
      <c r="G53" s="1575"/>
      <c r="H53" s="834">
        <f t="shared" ref="H53:AA53" si="22">IF(COUNTIF(H55:H58,"")=4,"",AVERAGE(H55:H58))</f>
        <v>36</v>
      </c>
      <c r="I53" s="835">
        <f t="shared" si="22"/>
        <v>17.899999999999999</v>
      </c>
      <c r="J53" s="835">
        <f t="shared" si="22"/>
        <v>13.8</v>
      </c>
      <c r="K53" s="835">
        <f t="shared" si="22"/>
        <v>17.149999999999999</v>
      </c>
      <c r="L53" s="835">
        <f t="shared" si="22"/>
        <v>12.2</v>
      </c>
      <c r="M53" s="835">
        <f t="shared" si="22"/>
        <v>16.274999999999999</v>
      </c>
      <c r="N53" s="835">
        <f t="shared" si="22"/>
        <v>12.250000000000002</v>
      </c>
      <c r="O53" s="835">
        <f t="shared" si="22"/>
        <v>25.299999999999997</v>
      </c>
      <c r="P53" s="835">
        <f t="shared" si="22"/>
        <v>21.5</v>
      </c>
      <c r="Q53" s="835">
        <f t="shared" si="22"/>
        <v>16.899999999999999</v>
      </c>
      <c r="R53" s="835">
        <f t="shared" si="22"/>
        <v>16.175000000000001</v>
      </c>
      <c r="S53" s="835">
        <f t="shared" si="22"/>
        <v>14.8</v>
      </c>
      <c r="T53" s="835">
        <f t="shared" si="22"/>
        <v>15.333333333333336</v>
      </c>
      <c r="U53" s="835">
        <f t="shared" si="22"/>
        <v>13</v>
      </c>
      <c r="V53" s="835">
        <f t="shared" si="22"/>
        <v>9.4499999999999993</v>
      </c>
      <c r="W53" s="835">
        <f t="shared" si="22"/>
        <v>11.1</v>
      </c>
      <c r="X53" s="835">
        <f t="shared" si="22"/>
        <v>4.3499999999999996</v>
      </c>
      <c r="Y53" s="835" t="str">
        <f t="shared" si="22"/>
        <v/>
      </c>
      <c r="Z53" s="835" t="str">
        <f t="shared" si="22"/>
        <v/>
      </c>
      <c r="AA53" s="836" t="str">
        <f t="shared" si="22"/>
        <v/>
      </c>
    </row>
    <row r="54" spans="1:28" s="345" customFormat="1" ht="13.5" thickBot="1">
      <c r="A54" s="345">
        <v>20</v>
      </c>
      <c r="B54" s="818">
        <f t="shared" si="17"/>
        <v>100</v>
      </c>
      <c r="C54" s="809">
        <f t="shared" si="2"/>
        <v>0</v>
      </c>
      <c r="D54" s="809">
        <f t="shared" si="3"/>
        <v>18</v>
      </c>
      <c r="E54" s="1624"/>
      <c r="F54" s="1576" t="s">
        <v>1284</v>
      </c>
      <c r="G54" s="1577"/>
      <c r="H54" s="834">
        <f t="shared" ref="H54:AA54" si="23">IF(COUNTIF(H55:H58,"")=4,"",IF(COUNTIF(H55:H58,"")=3,0,STDEV(H55:H58)*$F$35))</f>
        <v>21.920310216782973</v>
      </c>
      <c r="I54" s="835">
        <f t="shared" si="23"/>
        <v>0</v>
      </c>
      <c r="J54" s="835">
        <f t="shared" si="23"/>
        <v>0.42426406871192823</v>
      </c>
      <c r="K54" s="835">
        <f t="shared" si="23"/>
        <v>2.0506096654409891</v>
      </c>
      <c r="L54" s="835">
        <f t="shared" si="23"/>
        <v>8.4852813742385695</v>
      </c>
      <c r="M54" s="835">
        <f t="shared" si="23"/>
        <v>6.4639384279245808</v>
      </c>
      <c r="N54" s="835">
        <f t="shared" si="23"/>
        <v>5.1778373863998421</v>
      </c>
      <c r="O54" s="835">
        <f t="shared" si="23"/>
        <v>17.386489007272289</v>
      </c>
      <c r="P54" s="835">
        <f t="shared" si="23"/>
        <v>4.3984845875217813</v>
      </c>
      <c r="Q54" s="835">
        <f t="shared" si="23"/>
        <v>4.695387807909662</v>
      </c>
      <c r="R54" s="835">
        <f t="shared" si="23"/>
        <v>1.2996794476587941</v>
      </c>
      <c r="S54" s="835">
        <f t="shared" si="23"/>
        <v>0</v>
      </c>
      <c r="T54" s="835">
        <f t="shared" si="23"/>
        <v>4.9963319879020505</v>
      </c>
      <c r="U54" s="835">
        <f t="shared" si="23"/>
        <v>0</v>
      </c>
      <c r="V54" s="835">
        <f t="shared" si="23"/>
        <v>5.4447222151364194</v>
      </c>
      <c r="W54" s="835">
        <f t="shared" si="23"/>
        <v>0</v>
      </c>
      <c r="X54" s="835">
        <f t="shared" si="23"/>
        <v>0.91923881554251508</v>
      </c>
      <c r="Y54" s="835" t="str">
        <f t="shared" si="23"/>
        <v/>
      </c>
      <c r="Z54" s="835" t="str">
        <f t="shared" si="23"/>
        <v/>
      </c>
      <c r="AA54" s="836" t="str">
        <f t="shared" si="23"/>
        <v/>
      </c>
    </row>
    <row r="55" spans="1:28" s="345" customFormat="1">
      <c r="E55" s="1624"/>
      <c r="F55" s="1578">
        <f>G7</f>
        <v>57</v>
      </c>
      <c r="G55" s="982" t="s">
        <v>1285</v>
      </c>
      <c r="H55" s="827">
        <f>IF(H36="","",IF(SUMIF($A$13:$A$31,H36,$G$13:$G$31)=0,"",SUMIF($A$13:$A$31,H36,$G$13:$G$31)/$M$33))</f>
        <v>51.5</v>
      </c>
      <c r="I55" s="828" t="str">
        <f t="shared" ref="I55:AA55" si="24">IF(I36="","",IF(SUMIF($A$13:$A$31,I36,$G$13:$G$31)=0,"",SUMIF($A$13:$A$31,I36,$G$13:$G$31)/$M$33))</f>
        <v/>
      </c>
      <c r="J55" s="828" t="str">
        <f t="shared" si="24"/>
        <v/>
      </c>
      <c r="K55" s="828">
        <f t="shared" si="24"/>
        <v>15.7</v>
      </c>
      <c r="L55" s="828" t="str">
        <f t="shared" si="24"/>
        <v/>
      </c>
      <c r="M55" s="828">
        <f t="shared" si="24"/>
        <v>8.4</v>
      </c>
      <c r="N55" s="828">
        <f t="shared" si="24"/>
        <v>16.8</v>
      </c>
      <c r="O55" s="828">
        <f t="shared" si="24"/>
        <v>45</v>
      </c>
      <c r="P55" s="828">
        <f t="shared" si="24"/>
        <v>21.2</v>
      </c>
      <c r="Q55" s="828">
        <f t="shared" si="24"/>
        <v>14.2</v>
      </c>
      <c r="R55" s="828">
        <f t="shared" si="24"/>
        <v>15.3</v>
      </c>
      <c r="S55" s="828" t="str">
        <f t="shared" si="24"/>
        <v/>
      </c>
      <c r="T55" s="828">
        <f t="shared" si="24"/>
        <v>21.1</v>
      </c>
      <c r="U55" s="828" t="str">
        <f t="shared" si="24"/>
        <v/>
      </c>
      <c r="V55" s="828">
        <f t="shared" si="24"/>
        <v>13.3</v>
      </c>
      <c r="W55" s="828" t="str">
        <f t="shared" si="24"/>
        <v/>
      </c>
      <c r="X55" s="828" t="str">
        <f t="shared" si="24"/>
        <v/>
      </c>
      <c r="Y55" s="828" t="str">
        <f t="shared" si="24"/>
        <v/>
      </c>
      <c r="Z55" s="828" t="str">
        <f t="shared" si="24"/>
        <v/>
      </c>
      <c r="AA55" s="829" t="str">
        <f t="shared" si="24"/>
        <v/>
      </c>
    </row>
    <row r="56" spans="1:28" s="345" customFormat="1" ht="13.5" thickBot="1">
      <c r="E56" s="1624"/>
      <c r="F56" s="1579"/>
      <c r="G56" s="983" t="s">
        <v>1286</v>
      </c>
      <c r="H56" s="823">
        <f>IF(H36="","",IF(SUMIF($A$13:$A$31,H36,$L$13:$L$31)=0,"",SUMIF($A$13:$A$31,H36,$L$13:$L$31)/$M$33))</f>
        <v>20.5</v>
      </c>
      <c r="I56" s="824">
        <f t="shared" ref="I56:AA56" si="25">IF(I36="","",IF(SUMIF($A$13:$A$31,I36,$L$13:$L$31)=0,"",SUMIF($A$13:$A$31,I36,$L$13:$L$31)/$M$33))</f>
        <v>17.899999999999999</v>
      </c>
      <c r="J56" s="824" t="str">
        <f t="shared" si="25"/>
        <v/>
      </c>
      <c r="K56" s="824" t="str">
        <f t="shared" si="25"/>
        <v/>
      </c>
      <c r="L56" s="824">
        <f t="shared" si="25"/>
        <v>6.2</v>
      </c>
      <c r="M56" s="824">
        <f t="shared" si="25"/>
        <v>13.8</v>
      </c>
      <c r="N56" s="824">
        <f t="shared" si="25"/>
        <v>4.8</v>
      </c>
      <c r="O56" s="824" t="str">
        <f t="shared" si="25"/>
        <v/>
      </c>
      <c r="P56" s="824">
        <f t="shared" si="25"/>
        <v>26</v>
      </c>
      <c r="Q56" s="824">
        <f t="shared" si="25"/>
        <v>15.3</v>
      </c>
      <c r="R56" s="824">
        <f t="shared" si="25"/>
        <v>18.100000000000001</v>
      </c>
      <c r="S56" s="824" t="str">
        <f t="shared" si="25"/>
        <v/>
      </c>
      <c r="T56" s="824" t="str">
        <f t="shared" si="25"/>
        <v/>
      </c>
      <c r="U56" s="824">
        <f t="shared" si="25"/>
        <v>13</v>
      </c>
      <c r="V56" s="824" t="str">
        <f t="shared" si="25"/>
        <v/>
      </c>
      <c r="W56" s="824">
        <f t="shared" si="25"/>
        <v>11.1</v>
      </c>
      <c r="X56" s="824" t="str">
        <f t="shared" si="25"/>
        <v/>
      </c>
      <c r="Y56" s="824" t="str">
        <f t="shared" si="25"/>
        <v/>
      </c>
      <c r="Z56" s="824" t="str">
        <f t="shared" si="25"/>
        <v/>
      </c>
      <c r="AA56" s="825" t="str">
        <f t="shared" si="25"/>
        <v/>
      </c>
    </row>
    <row r="57" spans="1:28" s="345" customFormat="1">
      <c r="E57" s="1624"/>
      <c r="F57" s="1578">
        <f>U7</f>
        <v>83</v>
      </c>
      <c r="G57" s="982" t="s">
        <v>1285</v>
      </c>
      <c r="H57" s="823" t="str">
        <f>IF(H36="","",IF(SUMIF($A$13:$A$31,H36,$S$13:$S$31)=0,"",SUMIF($A$13:$A$31,H36,$S$13:$S$31)/$Y$33))</f>
        <v/>
      </c>
      <c r="I57" s="824" t="str">
        <f t="shared" ref="I57:AA57" si="26">IF(I36="","",IF(SUMIF($A$13:$A$31,I36,$S$13:$S$31)=0,"",SUMIF($A$13:$A$31,I36,$S$13:$S$31)/$Y$33))</f>
        <v/>
      </c>
      <c r="J57" s="824">
        <f t="shared" si="26"/>
        <v>14.1</v>
      </c>
      <c r="K57" s="824" t="str">
        <f t="shared" si="26"/>
        <v/>
      </c>
      <c r="L57" s="824">
        <f t="shared" si="26"/>
        <v>18.2</v>
      </c>
      <c r="M57" s="824">
        <f t="shared" si="26"/>
        <v>22.8</v>
      </c>
      <c r="N57" s="824">
        <f t="shared" si="26"/>
        <v>13.8</v>
      </c>
      <c r="O57" s="824">
        <f t="shared" si="26"/>
        <v>18.8</v>
      </c>
      <c r="P57" s="824">
        <f t="shared" si="26"/>
        <v>15.6</v>
      </c>
      <c r="Q57" s="824">
        <f t="shared" si="26"/>
        <v>23.9</v>
      </c>
      <c r="R57" s="824">
        <f t="shared" si="26"/>
        <v>15.5</v>
      </c>
      <c r="S57" s="824" t="str">
        <f t="shared" si="26"/>
        <v/>
      </c>
      <c r="T57" s="824">
        <f t="shared" si="26"/>
        <v>12.3</v>
      </c>
      <c r="U57" s="824" t="str">
        <f t="shared" si="26"/>
        <v/>
      </c>
      <c r="V57" s="824" t="str">
        <f t="shared" si="26"/>
        <v/>
      </c>
      <c r="W57" s="824" t="str">
        <f t="shared" si="26"/>
        <v/>
      </c>
      <c r="X57" s="824">
        <f t="shared" si="26"/>
        <v>5</v>
      </c>
      <c r="Y57" s="824" t="str">
        <f t="shared" si="26"/>
        <v/>
      </c>
      <c r="Z57" s="824" t="str">
        <f t="shared" si="26"/>
        <v/>
      </c>
      <c r="AA57" s="825" t="str">
        <f t="shared" si="26"/>
        <v/>
      </c>
    </row>
    <row r="58" spans="1:28" s="345" customFormat="1" ht="13.5" thickBot="1">
      <c r="E58" s="1625"/>
      <c r="F58" s="1579"/>
      <c r="G58" s="983" t="s">
        <v>1286</v>
      </c>
      <c r="H58" s="831" t="str">
        <f>IF(H36="","",IF(SUMIF($A$13:$A$31,H36,$X$13:$X$31)=0,"",SUMIF($A$13:$A$31,H36,$X$13:$X$31)/$Y$33))</f>
        <v/>
      </c>
      <c r="I58" s="832" t="str">
        <f t="shared" ref="I58:AA58" si="27">IF(I36="","",IF(SUMIF($A$13:$A$31,I36,$X$13:$X$31)=0,"",SUMIF($A$13:$A$31,I36,$X$13:$X$31)/$Y$33))</f>
        <v/>
      </c>
      <c r="J58" s="832">
        <f t="shared" si="27"/>
        <v>13.5</v>
      </c>
      <c r="K58" s="832">
        <f t="shared" si="27"/>
        <v>18.600000000000001</v>
      </c>
      <c r="L58" s="832" t="str">
        <f t="shared" si="27"/>
        <v/>
      </c>
      <c r="M58" s="832">
        <f t="shared" si="27"/>
        <v>20.100000000000001</v>
      </c>
      <c r="N58" s="832">
        <f t="shared" si="27"/>
        <v>13.6</v>
      </c>
      <c r="O58" s="832">
        <f t="shared" si="27"/>
        <v>12.1</v>
      </c>
      <c r="P58" s="832">
        <f t="shared" si="27"/>
        <v>23.2</v>
      </c>
      <c r="Q58" s="832">
        <f t="shared" si="27"/>
        <v>14.2</v>
      </c>
      <c r="R58" s="832">
        <f t="shared" si="27"/>
        <v>15.8</v>
      </c>
      <c r="S58" s="832">
        <f t="shared" si="27"/>
        <v>14.8</v>
      </c>
      <c r="T58" s="832">
        <f t="shared" si="27"/>
        <v>12.6</v>
      </c>
      <c r="U58" s="832" t="str">
        <f t="shared" si="27"/>
        <v/>
      </c>
      <c r="V58" s="832">
        <f t="shared" si="27"/>
        <v>5.6</v>
      </c>
      <c r="W58" s="832" t="str">
        <f t="shared" si="27"/>
        <v/>
      </c>
      <c r="X58" s="832">
        <f t="shared" si="27"/>
        <v>3.7</v>
      </c>
      <c r="Y58" s="832" t="str">
        <f t="shared" si="27"/>
        <v/>
      </c>
      <c r="Z58" s="832" t="str">
        <f t="shared" si="27"/>
        <v/>
      </c>
      <c r="AA58" s="833" t="str">
        <f t="shared" si="27"/>
        <v/>
      </c>
    </row>
    <row r="59" spans="1:28" s="345" customFormat="1">
      <c r="E59" s="1586" t="s">
        <v>1283</v>
      </c>
      <c r="F59" s="1587"/>
      <c r="G59" s="1618"/>
      <c r="H59" s="834">
        <f t="shared" ref="H59:AA59" si="28">IF(COUNTIF(H39:H42,"")+COUNTIF(H45:H52,"")+COUNTIF(H55:H58,"")=16,"",AVERAGE(H39:H42,H45:H52,H55:H58))</f>
        <v>41.4</v>
      </c>
      <c r="I59" s="835">
        <f t="shared" si="28"/>
        <v>26.3</v>
      </c>
      <c r="J59" s="835">
        <f t="shared" si="28"/>
        <v>14.449999999999998</v>
      </c>
      <c r="K59" s="835">
        <f t="shared" si="28"/>
        <v>14.575000000000001</v>
      </c>
      <c r="L59" s="835">
        <f t="shared" si="28"/>
        <v>12.8</v>
      </c>
      <c r="M59" s="835">
        <f t="shared" si="28"/>
        <v>14.462499999999999</v>
      </c>
      <c r="N59" s="835">
        <f t="shared" si="28"/>
        <v>11.644444444444444</v>
      </c>
      <c r="O59" s="835">
        <f t="shared" si="28"/>
        <v>20.8125</v>
      </c>
      <c r="P59" s="835">
        <f t="shared" si="28"/>
        <v>20.279999999999998</v>
      </c>
      <c r="Q59" s="835">
        <f t="shared" si="28"/>
        <v>15.677777777777777</v>
      </c>
      <c r="R59" s="835">
        <f t="shared" si="28"/>
        <v>15.872727272727275</v>
      </c>
      <c r="S59" s="835">
        <f t="shared" si="28"/>
        <v>15.919999999999998</v>
      </c>
      <c r="T59" s="835">
        <f t="shared" si="28"/>
        <v>16.45</v>
      </c>
      <c r="U59" s="835">
        <f t="shared" si="28"/>
        <v>12.5</v>
      </c>
      <c r="V59" s="835">
        <f t="shared" si="28"/>
        <v>11.275</v>
      </c>
      <c r="W59" s="835">
        <f t="shared" si="28"/>
        <v>10.575000000000001</v>
      </c>
      <c r="X59" s="835">
        <f t="shared" si="28"/>
        <v>4.25</v>
      </c>
      <c r="Y59" s="835">
        <f t="shared" si="28"/>
        <v>1.05</v>
      </c>
      <c r="Z59" s="835" t="str">
        <f t="shared" si="28"/>
        <v/>
      </c>
      <c r="AA59" s="836" t="str">
        <f t="shared" si="28"/>
        <v/>
      </c>
      <c r="AB59" s="851">
        <v>1</v>
      </c>
    </row>
    <row r="60" spans="1:28" s="345" customFormat="1" ht="13.5" thickBot="1">
      <c r="E60" s="1588" t="s">
        <v>1284</v>
      </c>
      <c r="F60" s="1589"/>
      <c r="G60" s="1619"/>
      <c r="H60" s="831">
        <f t="shared" ref="H60:AA60" si="29">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14.44552987374758</v>
      </c>
      <c r="I60" s="832">
        <f t="shared" si="29"/>
        <v>7.3719061307100233</v>
      </c>
      <c r="J60" s="832">
        <f t="shared" si="29"/>
        <v>9.0782707604477206</v>
      </c>
      <c r="K60" s="832">
        <f t="shared" si="29"/>
        <v>4.7507017025558085</v>
      </c>
      <c r="L60" s="832">
        <f t="shared" si="29"/>
        <v>7.4368452092716453</v>
      </c>
      <c r="M60" s="832">
        <f t="shared" si="29"/>
        <v>5.6167956040026006</v>
      </c>
      <c r="N60" s="832">
        <f t="shared" si="29"/>
        <v>4.8010704824838575</v>
      </c>
      <c r="O60" s="832">
        <f t="shared" si="29"/>
        <v>13.848201275668572</v>
      </c>
      <c r="P60" s="832">
        <f t="shared" si="29"/>
        <v>6.4526996934099854</v>
      </c>
      <c r="Q60" s="832">
        <f t="shared" si="29"/>
        <v>3.7389095261111125</v>
      </c>
      <c r="R60" s="832">
        <f t="shared" si="29"/>
        <v>2.6054139437298218</v>
      </c>
      <c r="S60" s="832">
        <f t="shared" si="29"/>
        <v>3.7359068510871696</v>
      </c>
      <c r="T60" s="832">
        <f t="shared" si="29"/>
        <v>4.650806381693398</v>
      </c>
      <c r="U60" s="832">
        <f t="shared" si="29"/>
        <v>4.6640468836980284</v>
      </c>
      <c r="V60" s="832">
        <f t="shared" si="29"/>
        <v>3.792426663760291</v>
      </c>
      <c r="W60" s="832">
        <f t="shared" si="29"/>
        <v>3.4586847211042464</v>
      </c>
      <c r="X60" s="832">
        <f t="shared" si="29"/>
        <v>0.556776436283</v>
      </c>
      <c r="Y60" s="832">
        <f t="shared" si="29"/>
        <v>1.2020815280171306</v>
      </c>
      <c r="Z60" s="832" t="str">
        <f t="shared" si="29"/>
        <v/>
      </c>
      <c r="AA60" s="833" t="str">
        <f t="shared" si="29"/>
        <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99" t="s">
        <v>1313</v>
      </c>
      <c r="I65" s="1600"/>
      <c r="J65" s="1600"/>
      <c r="K65" s="1600"/>
      <c r="L65" s="1600"/>
      <c r="M65" s="1600"/>
      <c r="N65" s="1600"/>
      <c r="O65" s="1600"/>
      <c r="P65" s="1600"/>
      <c r="Q65" s="1600"/>
      <c r="R65" s="1600"/>
      <c r="S65" s="1600"/>
      <c r="T65" s="1600"/>
      <c r="U65" s="1600"/>
      <c r="V65" s="1600"/>
      <c r="W65" s="1600"/>
      <c r="X65" s="1600"/>
      <c r="Y65" s="1600"/>
      <c r="Z65" s="1600"/>
      <c r="AA65" s="1601"/>
    </row>
    <row r="66" spans="5:27" s="345" customFormat="1" ht="13.5" thickBot="1">
      <c r="F66" s="854"/>
      <c r="G66" s="855"/>
      <c r="H66" s="1602"/>
      <c r="I66" s="1603"/>
      <c r="J66" s="1603"/>
      <c r="K66" s="1603"/>
      <c r="L66" s="1603"/>
      <c r="M66" s="1603"/>
      <c r="N66" s="1603"/>
      <c r="O66" s="1603"/>
      <c r="P66" s="1603"/>
      <c r="Q66" s="1603"/>
      <c r="R66" s="1603"/>
      <c r="S66" s="1603"/>
      <c r="T66" s="1603"/>
      <c r="U66" s="1603"/>
      <c r="V66" s="1603"/>
      <c r="W66" s="1603"/>
      <c r="X66" s="1603"/>
      <c r="Y66" s="1603"/>
      <c r="Z66" s="1603"/>
      <c r="AA66" s="1604"/>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0">IF(H37="","",RANK(H36,$H$36:$AA$36,1))</f>
        <v>1</v>
      </c>
      <c r="I68" s="860">
        <f t="shared" si="30"/>
        <v>2</v>
      </c>
      <c r="J68" s="860">
        <f t="shared" si="30"/>
        <v>3</v>
      </c>
      <c r="K68" s="860">
        <f t="shared" si="30"/>
        <v>4</v>
      </c>
      <c r="L68" s="860">
        <f t="shared" si="30"/>
        <v>5</v>
      </c>
      <c r="M68" s="860">
        <f t="shared" si="30"/>
        <v>6</v>
      </c>
      <c r="N68" s="860">
        <f t="shared" si="30"/>
        <v>7</v>
      </c>
      <c r="O68" s="860">
        <f t="shared" si="30"/>
        <v>8</v>
      </c>
      <c r="P68" s="860">
        <f t="shared" si="30"/>
        <v>9</v>
      </c>
      <c r="Q68" s="860">
        <f t="shared" si="30"/>
        <v>10</v>
      </c>
      <c r="R68" s="860">
        <f t="shared" si="30"/>
        <v>11</v>
      </c>
      <c r="S68" s="860">
        <f t="shared" si="30"/>
        <v>12</v>
      </c>
      <c r="T68" s="860">
        <f t="shared" si="30"/>
        <v>13</v>
      </c>
      <c r="U68" s="860">
        <f t="shared" si="30"/>
        <v>14</v>
      </c>
      <c r="V68" s="860">
        <f t="shared" si="30"/>
        <v>15</v>
      </c>
      <c r="W68" s="860">
        <f t="shared" si="30"/>
        <v>16</v>
      </c>
      <c r="X68" s="860" t="str">
        <f t="shared" si="30"/>
        <v/>
      </c>
      <c r="Y68" s="860" t="str">
        <f t="shared" si="30"/>
        <v/>
      </c>
      <c r="Z68" s="860" t="str">
        <f t="shared" si="30"/>
        <v/>
      </c>
      <c r="AA68" s="861" t="str">
        <f t="shared" si="30"/>
        <v/>
      </c>
    </row>
    <row r="69" spans="5:27" s="345" customFormat="1" ht="13.5" thickBot="1">
      <c r="F69" s="854"/>
      <c r="G69" s="855"/>
      <c r="H69" s="859">
        <f t="shared" ref="H69:AA69" si="31">IF(H68="","",RANK(H68,$H$68:$AA$68,1))</f>
        <v>1</v>
      </c>
      <c r="I69" s="860">
        <f t="shared" si="31"/>
        <v>2</v>
      </c>
      <c r="J69" s="860">
        <f t="shared" si="31"/>
        <v>3</v>
      </c>
      <c r="K69" s="860">
        <f t="shared" si="31"/>
        <v>4</v>
      </c>
      <c r="L69" s="860">
        <f t="shared" si="31"/>
        <v>5</v>
      </c>
      <c r="M69" s="860">
        <f t="shared" si="31"/>
        <v>6</v>
      </c>
      <c r="N69" s="860">
        <f t="shared" si="31"/>
        <v>7</v>
      </c>
      <c r="O69" s="860">
        <f t="shared" si="31"/>
        <v>8</v>
      </c>
      <c r="P69" s="860">
        <f t="shared" si="31"/>
        <v>9</v>
      </c>
      <c r="Q69" s="860">
        <f t="shared" si="31"/>
        <v>10</v>
      </c>
      <c r="R69" s="860">
        <f t="shared" si="31"/>
        <v>11</v>
      </c>
      <c r="S69" s="860">
        <f t="shared" si="31"/>
        <v>12</v>
      </c>
      <c r="T69" s="860">
        <f t="shared" si="31"/>
        <v>13</v>
      </c>
      <c r="U69" s="860">
        <f t="shared" si="31"/>
        <v>14</v>
      </c>
      <c r="V69" s="860">
        <f t="shared" si="31"/>
        <v>15</v>
      </c>
      <c r="W69" s="860">
        <f t="shared" si="31"/>
        <v>16</v>
      </c>
      <c r="X69" s="860" t="str">
        <f t="shared" si="31"/>
        <v/>
      </c>
      <c r="Y69" s="860" t="str">
        <f t="shared" si="31"/>
        <v/>
      </c>
      <c r="Z69" s="860" t="str">
        <f t="shared" si="31"/>
        <v/>
      </c>
      <c r="AA69" s="861" t="str">
        <f t="shared" si="31"/>
        <v/>
      </c>
    </row>
    <row r="70" spans="5:27" s="345" customFormat="1" ht="13.5" thickBot="1">
      <c r="E70" s="1605" t="s">
        <v>1281</v>
      </c>
      <c r="F70" s="1606"/>
      <c r="G70" s="1606"/>
      <c r="H70" s="862">
        <f>IF(SUMIF($H$69:$AA$69,H$67,$H$36:$AA$36)=0,"",SUMIF($H$69:$AA$69,H$67,$H$36:$AA$36))</f>
        <v>5.3605555861977985</v>
      </c>
      <c r="I70" s="863">
        <f>IF(SUMIF($H$69:$AA$69,I$67,$H$36:$AA$36)=0,"",SUMIF($H$69:$AA$69,I$67,$H$36:$AA$36))</f>
        <v>10</v>
      </c>
      <c r="J70" s="863">
        <f t="shared" ref="J70:AA70" si="32">IF(SUMIF($H$69:$AA$69,J$67,$H$36:$AA$36)=0,"",SUMIF($H$69:$AA$69,J$67,$H$36:$AA$36))</f>
        <v>20</v>
      </c>
      <c r="K70" s="863">
        <f t="shared" si="32"/>
        <v>26.922669813782981</v>
      </c>
      <c r="L70" s="863">
        <f t="shared" si="32"/>
        <v>28.402760758696882</v>
      </c>
      <c r="M70" s="863">
        <f t="shared" si="32"/>
        <v>30</v>
      </c>
      <c r="N70" s="863">
        <f t="shared" si="32"/>
        <v>40</v>
      </c>
      <c r="O70" s="863">
        <f t="shared" si="32"/>
        <v>50</v>
      </c>
      <c r="P70" s="863">
        <f t="shared" si="32"/>
        <v>60</v>
      </c>
      <c r="Q70" s="863">
        <f t="shared" si="32"/>
        <v>70</v>
      </c>
      <c r="R70" s="863">
        <f t="shared" si="32"/>
        <v>80</v>
      </c>
      <c r="S70" s="863">
        <f t="shared" si="32"/>
        <v>90</v>
      </c>
      <c r="T70" s="863">
        <f t="shared" si="32"/>
        <v>97.736572490101764</v>
      </c>
      <c r="U70" s="863">
        <f t="shared" si="32"/>
        <v>98.474693898206965</v>
      </c>
      <c r="V70" s="863">
        <f t="shared" si="32"/>
        <v>99.115172061249353</v>
      </c>
      <c r="W70" s="863">
        <f t="shared" si="32"/>
        <v>99.665653482478291</v>
      </c>
      <c r="X70" s="863" t="str">
        <f t="shared" si="32"/>
        <v/>
      </c>
      <c r="Y70" s="863" t="str">
        <f t="shared" si="32"/>
        <v/>
      </c>
      <c r="Z70" s="863" t="str">
        <f t="shared" si="32"/>
        <v/>
      </c>
      <c r="AA70" s="864" t="str">
        <f t="shared" si="32"/>
        <v/>
      </c>
    </row>
    <row r="71" spans="5:27" s="345" customFormat="1">
      <c r="E71" s="1574" t="s">
        <v>1283</v>
      </c>
      <c r="F71" s="1593"/>
      <c r="G71" s="1575"/>
      <c r="H71" s="865">
        <f>IF(SUMIF($H$36:$AA$36,H$70,$H37:$AA37)=0,"",SUMIF($H$36:$AA$36,H$70,$H37:$AA37)/$AB$59)</f>
        <v>46.8</v>
      </c>
      <c r="I71" s="866">
        <f t="shared" ref="I71:AA71" si="33">IF(SUMIF($H$36:$AA$36,I$70,$H37:$AA37)=0,"",SUMIF($H$36:$AA$36,I$70,$H37:$AA37)/$AB$59)</f>
        <v>24.25</v>
      </c>
      <c r="J71" s="866">
        <f t="shared" si="33"/>
        <v>14.774999999999999</v>
      </c>
      <c r="K71" s="866">
        <f t="shared" si="33"/>
        <v>12</v>
      </c>
      <c r="L71" s="866">
        <f t="shared" si="33"/>
        <v>13.399999999999999</v>
      </c>
      <c r="M71" s="866">
        <f t="shared" si="33"/>
        <v>12.65</v>
      </c>
      <c r="N71" s="866">
        <f t="shared" si="33"/>
        <v>10.55</v>
      </c>
      <c r="O71" s="866">
        <f t="shared" si="33"/>
        <v>20.2</v>
      </c>
      <c r="P71" s="866">
        <f t="shared" si="33"/>
        <v>18.974999999999998</v>
      </c>
      <c r="Q71" s="866">
        <f t="shared" si="33"/>
        <v>14.825000000000001</v>
      </c>
      <c r="R71" s="866">
        <f t="shared" si="33"/>
        <v>14.025</v>
      </c>
      <c r="S71" s="866">
        <f t="shared" si="33"/>
        <v>12.6</v>
      </c>
      <c r="T71" s="866">
        <f t="shared" si="33"/>
        <v>19.8</v>
      </c>
      <c r="U71" s="866">
        <f t="shared" si="33"/>
        <v>14.149999999999999</v>
      </c>
      <c r="V71" s="866">
        <f t="shared" si="33"/>
        <v>13.100000000000001</v>
      </c>
      <c r="W71" s="866">
        <f t="shared" si="33"/>
        <v>10.8</v>
      </c>
      <c r="X71" s="866" t="str">
        <f t="shared" si="33"/>
        <v/>
      </c>
      <c r="Y71" s="866" t="str">
        <f t="shared" si="33"/>
        <v/>
      </c>
      <c r="Z71" s="866" t="str">
        <f t="shared" si="33"/>
        <v/>
      </c>
      <c r="AA71" s="867" t="str">
        <f t="shared" si="33"/>
        <v/>
      </c>
    </row>
    <row r="72" spans="5:27" s="345" customFormat="1" ht="13.5" thickBot="1">
      <c r="E72" s="1576" t="s">
        <v>1284</v>
      </c>
      <c r="F72" s="1594"/>
      <c r="G72" s="1577"/>
      <c r="H72" s="868">
        <f>IF(SUMIF($H$36:$AA$36,H$70,$H37:$AA37)=0,"",SUMIF($H$36:$AA$36,H$70,$H38:$AA38)/$AB$59)</f>
        <v>5.3740115370177621</v>
      </c>
      <c r="I72" s="869">
        <f t="shared" ref="I72:AA72" si="34">IF(SUMIF($H$36:$AA$36,I$70,$H37:$AA37)=0,"",SUMIF($H$36:$AA$36,I$70,$H38:$AA38)/$AB$59)</f>
        <v>4.7376154339498857</v>
      </c>
      <c r="J72" s="869">
        <f t="shared" si="34"/>
        <v>11.699394571230314</v>
      </c>
      <c r="K72" s="869">
        <f t="shared" si="34"/>
        <v>6.08111831820431</v>
      </c>
      <c r="L72" s="869">
        <f t="shared" si="34"/>
        <v>9.6166522241370469</v>
      </c>
      <c r="M72" s="869">
        <f t="shared" si="34"/>
        <v>4.8031239834091322</v>
      </c>
      <c r="N72" s="869">
        <f t="shared" si="34"/>
        <v>5.5943423801789809</v>
      </c>
      <c r="O72" s="869">
        <f t="shared" si="34"/>
        <v>13.59705850542683</v>
      </c>
      <c r="P72" s="869">
        <f t="shared" si="34"/>
        <v>8.1393591066291453</v>
      </c>
      <c r="Q72" s="869">
        <f t="shared" si="34"/>
        <v>3.3974254958718286</v>
      </c>
      <c r="R72" s="869">
        <f t="shared" si="34"/>
        <v>1.3696106502701171</v>
      </c>
      <c r="S72" s="869">
        <f t="shared" si="34"/>
        <v>0</v>
      </c>
      <c r="T72" s="869">
        <f t="shared" si="34"/>
        <v>0</v>
      </c>
      <c r="U72" s="869">
        <f t="shared" si="34"/>
        <v>6.7175144212722016</v>
      </c>
      <c r="V72" s="869">
        <f t="shared" si="34"/>
        <v>0.42426406871192823</v>
      </c>
      <c r="W72" s="869">
        <f t="shared" si="34"/>
        <v>0</v>
      </c>
      <c r="X72" s="869" t="str">
        <f t="shared" si="34"/>
        <v/>
      </c>
      <c r="Y72" s="869" t="str">
        <f t="shared" si="34"/>
        <v/>
      </c>
      <c r="Z72" s="869" t="str">
        <f t="shared" si="34"/>
        <v/>
      </c>
      <c r="AA72" s="870" t="str">
        <f t="shared" si="34"/>
        <v/>
      </c>
    </row>
    <row r="73" spans="5:27" s="345" customFormat="1">
      <c r="F73" s="854"/>
      <c r="H73" s="871" t="str">
        <f t="shared" ref="H73:AA73" si="35">IF(H43="","",RANK(H36,$H$36:$AA$36,1))</f>
        <v/>
      </c>
      <c r="I73" s="872">
        <f t="shared" si="35"/>
        <v>2</v>
      </c>
      <c r="J73" s="872" t="str">
        <f t="shared" si="35"/>
        <v/>
      </c>
      <c r="K73" s="872" t="str">
        <f t="shared" si="35"/>
        <v/>
      </c>
      <c r="L73" s="872" t="str">
        <f t="shared" si="35"/>
        <v/>
      </c>
      <c r="M73" s="872" t="str">
        <f t="shared" si="35"/>
        <v/>
      </c>
      <c r="N73" s="872">
        <f t="shared" si="35"/>
        <v>7</v>
      </c>
      <c r="O73" s="872">
        <f t="shared" si="35"/>
        <v>8</v>
      </c>
      <c r="P73" s="872">
        <f t="shared" si="35"/>
        <v>9</v>
      </c>
      <c r="Q73" s="872">
        <f t="shared" si="35"/>
        <v>10</v>
      </c>
      <c r="R73" s="872">
        <f t="shared" si="35"/>
        <v>11</v>
      </c>
      <c r="S73" s="872">
        <f t="shared" si="35"/>
        <v>12</v>
      </c>
      <c r="T73" s="872" t="str">
        <f t="shared" si="35"/>
        <v/>
      </c>
      <c r="U73" s="872">
        <f t="shared" si="35"/>
        <v>14</v>
      </c>
      <c r="V73" s="872" t="str">
        <f t="shared" si="35"/>
        <v/>
      </c>
      <c r="W73" s="872">
        <f t="shared" si="35"/>
        <v>16</v>
      </c>
      <c r="X73" s="872">
        <f t="shared" si="35"/>
        <v>17</v>
      </c>
      <c r="Y73" s="872">
        <f t="shared" si="35"/>
        <v>18</v>
      </c>
      <c r="Z73" s="872" t="str">
        <f t="shared" si="35"/>
        <v/>
      </c>
      <c r="AA73" s="873" t="str">
        <f t="shared" si="35"/>
        <v/>
      </c>
    </row>
    <row r="74" spans="5:27" s="345" customFormat="1" ht="13.5" thickBot="1">
      <c r="F74" s="854"/>
      <c r="H74" s="874" t="str">
        <f t="shared" ref="H74:AA74" si="36">IF(H73="","",RANK(H73,$H$73:$AA$73,1))</f>
        <v/>
      </c>
      <c r="I74" s="875">
        <f t="shared" si="36"/>
        <v>1</v>
      </c>
      <c r="J74" s="875" t="str">
        <f t="shared" si="36"/>
        <v/>
      </c>
      <c r="K74" s="875" t="str">
        <f t="shared" si="36"/>
        <v/>
      </c>
      <c r="L74" s="875" t="str">
        <f t="shared" si="36"/>
        <v/>
      </c>
      <c r="M74" s="875" t="str">
        <f t="shared" si="36"/>
        <v/>
      </c>
      <c r="N74" s="875">
        <f t="shared" si="36"/>
        <v>2</v>
      </c>
      <c r="O74" s="875">
        <f t="shared" si="36"/>
        <v>3</v>
      </c>
      <c r="P74" s="875">
        <f t="shared" si="36"/>
        <v>4</v>
      </c>
      <c r="Q74" s="875">
        <f t="shared" si="36"/>
        <v>5</v>
      </c>
      <c r="R74" s="875">
        <f t="shared" si="36"/>
        <v>6</v>
      </c>
      <c r="S74" s="875">
        <f t="shared" si="36"/>
        <v>7</v>
      </c>
      <c r="T74" s="875" t="str">
        <f t="shared" si="36"/>
        <v/>
      </c>
      <c r="U74" s="875">
        <f t="shared" si="36"/>
        <v>8</v>
      </c>
      <c r="V74" s="875" t="str">
        <f t="shared" si="36"/>
        <v/>
      </c>
      <c r="W74" s="875">
        <f t="shared" si="36"/>
        <v>9</v>
      </c>
      <c r="X74" s="875">
        <f t="shared" si="36"/>
        <v>10</v>
      </c>
      <c r="Y74" s="875">
        <f t="shared" si="36"/>
        <v>11</v>
      </c>
      <c r="Z74" s="875" t="str">
        <f t="shared" si="36"/>
        <v/>
      </c>
      <c r="AA74" s="876" t="str">
        <f t="shared" si="36"/>
        <v/>
      </c>
    </row>
    <row r="75" spans="5:27" s="345" customFormat="1" ht="13.5" thickBot="1">
      <c r="E75" s="1605" t="s">
        <v>1281</v>
      </c>
      <c r="F75" s="1606"/>
      <c r="G75" s="1607"/>
      <c r="H75" s="877">
        <f>IF(SUMIF($H$74:$AA$74,H$67,$H$36:$AA$36)=0,"",SUMIF($H$74:$AA$74,H$67,$H$36:$AA$36))</f>
        <v>10</v>
      </c>
      <c r="I75" s="878">
        <f>IF(SUMIF($H$74:$AA$74,I$67,$H$36:$AA$36)=0,"",SUMIF($H$74:$AA$74,I$67,$H$36:$AA$36))</f>
        <v>40</v>
      </c>
      <c r="J75" s="878">
        <f t="shared" ref="J75:AA75" si="37">IF(SUMIF($H$74:$AA$74,J$67,$H$36:$AA$36)=0,"",SUMIF($H$74:$AA$74,J$67,$H$36:$AA$36))</f>
        <v>50</v>
      </c>
      <c r="K75" s="878">
        <f t="shared" si="37"/>
        <v>60</v>
      </c>
      <c r="L75" s="878">
        <f t="shared" si="37"/>
        <v>70</v>
      </c>
      <c r="M75" s="878">
        <f t="shared" si="37"/>
        <v>80</v>
      </c>
      <c r="N75" s="878">
        <f t="shared" si="37"/>
        <v>90</v>
      </c>
      <c r="O75" s="878">
        <f t="shared" si="37"/>
        <v>98.474693898206965</v>
      </c>
      <c r="P75" s="878">
        <f t="shared" si="37"/>
        <v>99.665653482478291</v>
      </c>
      <c r="Q75" s="878">
        <f t="shared" si="37"/>
        <v>99.951573567634654</v>
      </c>
      <c r="R75" s="878">
        <f t="shared" si="37"/>
        <v>100</v>
      </c>
      <c r="S75" s="878" t="str">
        <f t="shared" si="37"/>
        <v/>
      </c>
      <c r="T75" s="878" t="str">
        <f t="shared" si="37"/>
        <v/>
      </c>
      <c r="U75" s="878" t="str">
        <f t="shared" si="37"/>
        <v/>
      </c>
      <c r="V75" s="878" t="str">
        <f t="shared" si="37"/>
        <v/>
      </c>
      <c r="W75" s="878" t="str">
        <f t="shared" si="37"/>
        <v/>
      </c>
      <c r="X75" s="878" t="str">
        <f t="shared" si="37"/>
        <v/>
      </c>
      <c r="Y75" s="878" t="str">
        <f t="shared" si="37"/>
        <v/>
      </c>
      <c r="Z75" s="878" t="str">
        <f t="shared" si="37"/>
        <v/>
      </c>
      <c r="AA75" s="879" t="str">
        <f t="shared" si="37"/>
        <v/>
      </c>
    </row>
    <row r="76" spans="5:27" s="345" customFormat="1">
      <c r="E76" s="1574" t="s">
        <v>1283</v>
      </c>
      <c r="F76" s="1593"/>
      <c r="G76" s="1575"/>
      <c r="H76" s="880">
        <f>IF(SUMIF($H$36:$AA$36,H$75,$H43:$AA43)=0,"",SUMIF($H$36:$AA$36,H$75,$H43:$AA43)/$AB$59)</f>
        <v>32.549999999999997</v>
      </c>
      <c r="I76" s="881">
        <f t="shared" ref="I76:AA76" si="38">IF(SUMIF($H$36:$AA$36,I$75,$H43:$AA43)=0,"",SUMIF($H$36:$AA$36,I$75,$H43:$AA43)/$AB$59)</f>
        <v>13.6</v>
      </c>
      <c r="J76" s="881">
        <f t="shared" si="38"/>
        <v>9.8000000000000007</v>
      </c>
      <c r="K76" s="881">
        <f t="shared" si="38"/>
        <v>20.45</v>
      </c>
      <c r="L76" s="881">
        <f t="shared" si="38"/>
        <v>14.2</v>
      </c>
      <c r="M76" s="881">
        <f t="shared" si="38"/>
        <v>17.933333333333334</v>
      </c>
      <c r="N76" s="881">
        <f t="shared" si="38"/>
        <v>19.799999999999997</v>
      </c>
      <c r="O76" s="881">
        <f t="shared" si="38"/>
        <v>8.6999999999999993</v>
      </c>
      <c r="P76" s="881">
        <f t="shared" si="38"/>
        <v>10.199999999999999</v>
      </c>
      <c r="Q76" s="881">
        <f t="shared" si="38"/>
        <v>4.1500000000000004</v>
      </c>
      <c r="R76" s="881">
        <f t="shared" si="38"/>
        <v>1.05</v>
      </c>
      <c r="S76" s="881" t="str">
        <f t="shared" si="38"/>
        <v/>
      </c>
      <c r="T76" s="881" t="str">
        <f t="shared" si="38"/>
        <v/>
      </c>
      <c r="U76" s="881" t="str">
        <f t="shared" si="38"/>
        <v/>
      </c>
      <c r="V76" s="881" t="str">
        <f t="shared" si="38"/>
        <v/>
      </c>
      <c r="W76" s="881" t="str">
        <f t="shared" si="38"/>
        <v/>
      </c>
      <c r="X76" s="881" t="str">
        <f t="shared" si="38"/>
        <v/>
      </c>
      <c r="Y76" s="881" t="str">
        <f t="shared" si="38"/>
        <v/>
      </c>
      <c r="Z76" s="881" t="str">
        <f t="shared" si="38"/>
        <v/>
      </c>
      <c r="AA76" s="882" t="str">
        <f t="shared" si="38"/>
        <v/>
      </c>
    </row>
    <row r="77" spans="5:27" s="345" customFormat="1" ht="13.5" thickBot="1">
      <c r="E77" s="1576" t="s">
        <v>1284</v>
      </c>
      <c r="F77" s="1594"/>
      <c r="G77" s="1577"/>
      <c r="H77" s="883">
        <f>IF(SUMIF($H$36:$AA$36,H$75,$H43:$AA43)=0,"",SUMIF($H$36:$AA$36,H$75,$H44:$AA44)/$AB$59)</f>
        <v>6.1518289963229842</v>
      </c>
      <c r="I77" s="884">
        <f t="shared" ref="I77:AA77" si="39">IF(SUMIF($H$36:$AA$36,I$75,$H43:$AA43)=0,"",SUMIF($H$36:$AA$36,I$75,$H44:$AA44)/$AB$59)</f>
        <v>0</v>
      </c>
      <c r="J77" s="884">
        <f t="shared" si="39"/>
        <v>0</v>
      </c>
      <c r="K77" s="884">
        <f t="shared" si="39"/>
        <v>10.253048327204938</v>
      </c>
      <c r="L77" s="884">
        <f t="shared" si="39"/>
        <v>0</v>
      </c>
      <c r="M77" s="884">
        <f t="shared" si="39"/>
        <v>3.9004273270160312</v>
      </c>
      <c r="N77" s="884">
        <f t="shared" si="39"/>
        <v>1.5556349186104039</v>
      </c>
      <c r="O77" s="884">
        <f t="shared" si="39"/>
        <v>0</v>
      </c>
      <c r="P77" s="884">
        <f t="shared" si="39"/>
        <v>5.9396969619670017</v>
      </c>
      <c r="Q77" s="884">
        <f t="shared" si="39"/>
        <v>0.21213203435596412</v>
      </c>
      <c r="R77" s="884">
        <f t="shared" si="39"/>
        <v>1.2020815280171306</v>
      </c>
      <c r="S77" s="884" t="str">
        <f t="shared" si="39"/>
        <v/>
      </c>
      <c r="T77" s="884" t="str">
        <f t="shared" si="39"/>
        <v/>
      </c>
      <c r="U77" s="884" t="str">
        <f t="shared" si="39"/>
        <v/>
      </c>
      <c r="V77" s="884" t="str">
        <f t="shared" si="39"/>
        <v/>
      </c>
      <c r="W77" s="884" t="str">
        <f t="shared" si="39"/>
        <v/>
      </c>
      <c r="X77" s="884" t="str">
        <f t="shared" si="39"/>
        <v/>
      </c>
      <c r="Y77" s="884" t="str">
        <f t="shared" si="39"/>
        <v/>
      </c>
      <c r="Z77" s="884" t="str">
        <f t="shared" si="39"/>
        <v/>
      </c>
      <c r="AA77" s="885" t="str">
        <f t="shared" si="39"/>
        <v/>
      </c>
    </row>
    <row r="78" spans="5:27" s="345" customFormat="1">
      <c r="F78" s="854"/>
      <c r="H78" s="886">
        <f t="shared" ref="H78:AA78" si="40">IF(H53="","",RANK(H36,$H$36:$AA$36,1))</f>
        <v>1</v>
      </c>
      <c r="I78" s="887">
        <f t="shared" si="40"/>
        <v>2</v>
      </c>
      <c r="J78" s="887">
        <f t="shared" si="40"/>
        <v>3</v>
      </c>
      <c r="K78" s="887">
        <f t="shared" si="40"/>
        <v>4</v>
      </c>
      <c r="L78" s="887">
        <f t="shared" si="40"/>
        <v>5</v>
      </c>
      <c r="M78" s="887">
        <f t="shared" si="40"/>
        <v>6</v>
      </c>
      <c r="N78" s="887">
        <f t="shared" si="40"/>
        <v>7</v>
      </c>
      <c r="O78" s="887">
        <f t="shared" si="40"/>
        <v>8</v>
      </c>
      <c r="P78" s="887">
        <f t="shared" si="40"/>
        <v>9</v>
      </c>
      <c r="Q78" s="887">
        <f t="shared" si="40"/>
        <v>10</v>
      </c>
      <c r="R78" s="887">
        <f t="shared" si="40"/>
        <v>11</v>
      </c>
      <c r="S78" s="887">
        <f t="shared" si="40"/>
        <v>12</v>
      </c>
      <c r="T78" s="887">
        <f t="shared" si="40"/>
        <v>13</v>
      </c>
      <c r="U78" s="887">
        <f t="shared" si="40"/>
        <v>14</v>
      </c>
      <c r="V78" s="887">
        <f t="shared" si="40"/>
        <v>15</v>
      </c>
      <c r="W78" s="887">
        <f t="shared" si="40"/>
        <v>16</v>
      </c>
      <c r="X78" s="887">
        <f t="shared" si="40"/>
        <v>17</v>
      </c>
      <c r="Y78" s="887" t="str">
        <f t="shared" si="40"/>
        <v/>
      </c>
      <c r="Z78" s="887" t="str">
        <f t="shared" si="40"/>
        <v/>
      </c>
      <c r="AA78" s="888" t="str">
        <f t="shared" si="40"/>
        <v/>
      </c>
    </row>
    <row r="79" spans="5:27" s="345" customFormat="1" ht="13.5" thickBot="1">
      <c r="F79" s="854"/>
      <c r="H79" s="859">
        <f t="shared" ref="H79:AA79" si="41">IF(H78="","",RANK(H78,$H$78:$AA$78,1))</f>
        <v>1</v>
      </c>
      <c r="I79" s="860">
        <f t="shared" si="41"/>
        <v>2</v>
      </c>
      <c r="J79" s="860">
        <f t="shared" si="41"/>
        <v>3</v>
      </c>
      <c r="K79" s="860">
        <f t="shared" si="41"/>
        <v>4</v>
      </c>
      <c r="L79" s="860">
        <f t="shared" si="41"/>
        <v>5</v>
      </c>
      <c r="M79" s="860">
        <f t="shared" si="41"/>
        <v>6</v>
      </c>
      <c r="N79" s="860">
        <f t="shared" si="41"/>
        <v>7</v>
      </c>
      <c r="O79" s="860">
        <f t="shared" si="41"/>
        <v>8</v>
      </c>
      <c r="P79" s="860">
        <f t="shared" si="41"/>
        <v>9</v>
      </c>
      <c r="Q79" s="860">
        <f t="shared" si="41"/>
        <v>10</v>
      </c>
      <c r="R79" s="860">
        <f t="shared" si="41"/>
        <v>11</v>
      </c>
      <c r="S79" s="860">
        <f t="shared" si="41"/>
        <v>12</v>
      </c>
      <c r="T79" s="860">
        <f t="shared" si="41"/>
        <v>13</v>
      </c>
      <c r="U79" s="860">
        <f t="shared" si="41"/>
        <v>14</v>
      </c>
      <c r="V79" s="860">
        <f t="shared" si="41"/>
        <v>15</v>
      </c>
      <c r="W79" s="860">
        <f t="shared" si="41"/>
        <v>16</v>
      </c>
      <c r="X79" s="860">
        <f t="shared" si="41"/>
        <v>17</v>
      </c>
      <c r="Y79" s="860" t="str">
        <f t="shared" si="41"/>
        <v/>
      </c>
      <c r="Z79" s="860" t="str">
        <f t="shared" si="41"/>
        <v/>
      </c>
      <c r="AA79" s="861" t="str">
        <f t="shared" si="41"/>
        <v/>
      </c>
    </row>
    <row r="80" spans="5:27" s="345" customFormat="1" ht="13.5" thickBot="1">
      <c r="E80" s="1605" t="s">
        <v>1281</v>
      </c>
      <c r="F80" s="1606"/>
      <c r="G80" s="1607"/>
      <c r="H80" s="862">
        <f>IF(SUMIF($H$79:$AA$79,H$67,$H$36:$AA$36)=0,"",SUMIF($H$79:$AA$79,H$67,$H$36:$AA$36))</f>
        <v>5.3605555861977985</v>
      </c>
      <c r="I80" s="863">
        <f>IF(SUMIF($H$79:$AA$79,I$67,$H$36:$AA$36)=0,"",SUMIF($H$79:$AA$79,I$67,$H$36:$AA$36))</f>
        <v>10</v>
      </c>
      <c r="J80" s="863">
        <f t="shared" ref="J80:AA80" si="42">IF(SUMIF($H$79:$AA$79,J$67,$H$36:$AA$36)=0,"",SUMIF($H$79:$AA$79,J$67,$H$36:$AA$36))</f>
        <v>20</v>
      </c>
      <c r="K80" s="863">
        <f t="shared" si="42"/>
        <v>26.922669813782981</v>
      </c>
      <c r="L80" s="863">
        <f t="shared" si="42"/>
        <v>28.402760758696882</v>
      </c>
      <c r="M80" s="863">
        <f t="shared" si="42"/>
        <v>30</v>
      </c>
      <c r="N80" s="863">
        <f t="shared" si="42"/>
        <v>40</v>
      </c>
      <c r="O80" s="863">
        <f t="shared" si="42"/>
        <v>50</v>
      </c>
      <c r="P80" s="863">
        <f t="shared" si="42"/>
        <v>60</v>
      </c>
      <c r="Q80" s="863">
        <f t="shared" si="42"/>
        <v>70</v>
      </c>
      <c r="R80" s="863">
        <f t="shared" si="42"/>
        <v>80</v>
      </c>
      <c r="S80" s="863">
        <f t="shared" si="42"/>
        <v>90</v>
      </c>
      <c r="T80" s="863">
        <f t="shared" si="42"/>
        <v>97.736572490101764</v>
      </c>
      <c r="U80" s="863">
        <f t="shared" si="42"/>
        <v>98.474693898206965</v>
      </c>
      <c r="V80" s="863">
        <f t="shared" si="42"/>
        <v>99.115172061249353</v>
      </c>
      <c r="W80" s="863">
        <f t="shared" si="42"/>
        <v>99.665653482478291</v>
      </c>
      <c r="X80" s="863">
        <f t="shared" si="42"/>
        <v>99.951573567634654</v>
      </c>
      <c r="Y80" s="863" t="str">
        <f t="shared" si="42"/>
        <v/>
      </c>
      <c r="Z80" s="863" t="str">
        <f t="shared" si="42"/>
        <v/>
      </c>
      <c r="AA80" s="864" t="str">
        <f t="shared" si="42"/>
        <v/>
      </c>
    </row>
    <row r="81" spans="5:28" s="345" customFormat="1">
      <c r="E81" s="1574" t="s">
        <v>1283</v>
      </c>
      <c r="F81" s="1593"/>
      <c r="G81" s="1575"/>
      <c r="H81" s="865">
        <f>IF(SUMIF($H$36:$AA$36,H$80,$H53:$AA53)=0,"",SUMIF($H$36:$AA$36,H$80,$H53:$AA53)/$AB$59)</f>
        <v>36</v>
      </c>
      <c r="I81" s="866">
        <f t="shared" ref="I81:AA81" si="43">IF(SUMIF($H$36:$AA$36,I$80,$H53:$AA53)=0,"",SUMIF($H$36:$AA$36,I$80,$H53:$AA53)/$AB$59)</f>
        <v>17.899999999999999</v>
      </c>
      <c r="J81" s="866">
        <f t="shared" si="43"/>
        <v>13.8</v>
      </c>
      <c r="K81" s="866">
        <f t="shared" si="43"/>
        <v>17.149999999999999</v>
      </c>
      <c r="L81" s="866">
        <f t="shared" si="43"/>
        <v>12.2</v>
      </c>
      <c r="M81" s="866">
        <f t="shared" si="43"/>
        <v>16.274999999999999</v>
      </c>
      <c r="N81" s="866">
        <f t="shared" si="43"/>
        <v>12.250000000000002</v>
      </c>
      <c r="O81" s="866">
        <f t="shared" si="43"/>
        <v>25.299999999999997</v>
      </c>
      <c r="P81" s="866">
        <f t="shared" si="43"/>
        <v>21.5</v>
      </c>
      <c r="Q81" s="866">
        <f t="shared" si="43"/>
        <v>16.899999999999999</v>
      </c>
      <c r="R81" s="866">
        <f t="shared" si="43"/>
        <v>16.175000000000001</v>
      </c>
      <c r="S81" s="866">
        <f t="shared" si="43"/>
        <v>14.8</v>
      </c>
      <c r="T81" s="866">
        <f t="shared" si="43"/>
        <v>15.333333333333336</v>
      </c>
      <c r="U81" s="866">
        <f t="shared" si="43"/>
        <v>13</v>
      </c>
      <c r="V81" s="866">
        <f t="shared" si="43"/>
        <v>9.4499999999999993</v>
      </c>
      <c r="W81" s="866">
        <f t="shared" si="43"/>
        <v>11.1</v>
      </c>
      <c r="X81" s="866">
        <f t="shared" si="43"/>
        <v>4.3499999999999996</v>
      </c>
      <c r="Y81" s="866" t="str">
        <f t="shared" si="43"/>
        <v/>
      </c>
      <c r="Z81" s="866" t="str">
        <f t="shared" si="43"/>
        <v/>
      </c>
      <c r="AA81" s="867" t="str">
        <f t="shared" si="43"/>
        <v/>
      </c>
    </row>
    <row r="82" spans="5:28" s="345" customFormat="1" ht="13.5" thickBot="1">
      <c r="E82" s="1576" t="s">
        <v>1284</v>
      </c>
      <c r="F82" s="1594"/>
      <c r="G82" s="1577"/>
      <c r="H82" s="868">
        <f>IF(SUMIF($H$36:$AA$36,H$80,$H53:$AA53)=0,"",SUMIF($H$36:$AA$36,H$80,$H54:$AA54)/$AB$59)</f>
        <v>21.920310216782973</v>
      </c>
      <c r="I82" s="869">
        <f t="shared" ref="I82:AA82" si="44">IF(SUMIF($H$36:$AA$36,I$80,$H53:$AA53)=0,"",SUMIF($H$36:$AA$36,I$80,$H54:$AA54)/$AB$59)</f>
        <v>0</v>
      </c>
      <c r="J82" s="869">
        <f t="shared" si="44"/>
        <v>0.42426406871192823</v>
      </c>
      <c r="K82" s="869">
        <f t="shared" si="44"/>
        <v>2.0506096654409891</v>
      </c>
      <c r="L82" s="869">
        <f t="shared" si="44"/>
        <v>8.4852813742385695</v>
      </c>
      <c r="M82" s="869">
        <f t="shared" si="44"/>
        <v>6.4639384279245808</v>
      </c>
      <c r="N82" s="869">
        <f t="shared" si="44"/>
        <v>5.1778373863998421</v>
      </c>
      <c r="O82" s="869">
        <f t="shared" si="44"/>
        <v>17.386489007272289</v>
      </c>
      <c r="P82" s="869">
        <f t="shared" si="44"/>
        <v>4.3984845875217813</v>
      </c>
      <c r="Q82" s="869">
        <f t="shared" si="44"/>
        <v>4.695387807909662</v>
      </c>
      <c r="R82" s="869">
        <f t="shared" si="44"/>
        <v>1.2996794476587941</v>
      </c>
      <c r="S82" s="869">
        <f t="shared" si="44"/>
        <v>0</v>
      </c>
      <c r="T82" s="869">
        <f t="shared" si="44"/>
        <v>4.9963319879020505</v>
      </c>
      <c r="U82" s="869">
        <f t="shared" si="44"/>
        <v>0</v>
      </c>
      <c r="V82" s="869">
        <f t="shared" si="44"/>
        <v>5.4447222151364194</v>
      </c>
      <c r="W82" s="869">
        <f t="shared" si="44"/>
        <v>0</v>
      </c>
      <c r="X82" s="869">
        <f t="shared" si="44"/>
        <v>0.91923881554251508</v>
      </c>
      <c r="Y82" s="869" t="str">
        <f t="shared" si="44"/>
        <v/>
      </c>
      <c r="Z82" s="869" t="str">
        <f t="shared" si="44"/>
        <v/>
      </c>
      <c r="AA82" s="870" t="str">
        <f t="shared" si="44"/>
        <v/>
      </c>
    </row>
    <row r="83" spans="5:28" s="345" customFormat="1">
      <c r="F83" s="889"/>
      <c r="H83" s="871">
        <f t="shared" ref="H83:AA83" si="45">IF(H59="","",RANK(H36,$H$36:$AA$36,1))</f>
        <v>1</v>
      </c>
      <c r="I83" s="872">
        <f t="shared" si="45"/>
        <v>2</v>
      </c>
      <c r="J83" s="872">
        <f t="shared" si="45"/>
        <v>3</v>
      </c>
      <c r="K83" s="872">
        <f t="shared" si="45"/>
        <v>4</v>
      </c>
      <c r="L83" s="872">
        <f t="shared" si="45"/>
        <v>5</v>
      </c>
      <c r="M83" s="872">
        <f t="shared" si="45"/>
        <v>6</v>
      </c>
      <c r="N83" s="872">
        <f t="shared" si="45"/>
        <v>7</v>
      </c>
      <c r="O83" s="872">
        <f t="shared" si="45"/>
        <v>8</v>
      </c>
      <c r="P83" s="872">
        <f t="shared" si="45"/>
        <v>9</v>
      </c>
      <c r="Q83" s="872">
        <f t="shared" si="45"/>
        <v>10</v>
      </c>
      <c r="R83" s="872">
        <f t="shared" si="45"/>
        <v>11</v>
      </c>
      <c r="S83" s="872">
        <f t="shared" si="45"/>
        <v>12</v>
      </c>
      <c r="T83" s="872">
        <f t="shared" si="45"/>
        <v>13</v>
      </c>
      <c r="U83" s="872">
        <f t="shared" si="45"/>
        <v>14</v>
      </c>
      <c r="V83" s="872">
        <f t="shared" si="45"/>
        <v>15</v>
      </c>
      <c r="W83" s="872">
        <f t="shared" si="45"/>
        <v>16</v>
      </c>
      <c r="X83" s="872">
        <f t="shared" si="45"/>
        <v>17</v>
      </c>
      <c r="Y83" s="872">
        <f t="shared" si="45"/>
        <v>18</v>
      </c>
      <c r="Z83" s="872" t="str">
        <f t="shared" si="45"/>
        <v/>
      </c>
      <c r="AA83" s="873" t="str">
        <f t="shared" si="45"/>
        <v/>
      </c>
    </row>
    <row r="84" spans="5:28" s="345" customFormat="1" ht="13.5" thickBot="1">
      <c r="F84" s="889"/>
      <c r="H84" s="874">
        <f t="shared" ref="H84:AA84" si="46">IF(H83="","",RANK(H83,$H$83:$AA$83,1))</f>
        <v>1</v>
      </c>
      <c r="I84" s="875">
        <f t="shared" si="46"/>
        <v>2</v>
      </c>
      <c r="J84" s="875">
        <f t="shared" si="46"/>
        <v>3</v>
      </c>
      <c r="K84" s="875">
        <f t="shared" si="46"/>
        <v>4</v>
      </c>
      <c r="L84" s="875">
        <f t="shared" si="46"/>
        <v>5</v>
      </c>
      <c r="M84" s="875">
        <f t="shared" si="46"/>
        <v>6</v>
      </c>
      <c r="N84" s="875">
        <f t="shared" si="46"/>
        <v>7</v>
      </c>
      <c r="O84" s="875">
        <f t="shared" si="46"/>
        <v>8</v>
      </c>
      <c r="P84" s="875">
        <f t="shared" si="46"/>
        <v>9</v>
      </c>
      <c r="Q84" s="875">
        <f t="shared" si="46"/>
        <v>10</v>
      </c>
      <c r="R84" s="875">
        <f t="shared" si="46"/>
        <v>11</v>
      </c>
      <c r="S84" s="875">
        <f t="shared" si="46"/>
        <v>12</v>
      </c>
      <c r="T84" s="875">
        <f t="shared" si="46"/>
        <v>13</v>
      </c>
      <c r="U84" s="875">
        <f t="shared" si="46"/>
        <v>14</v>
      </c>
      <c r="V84" s="875">
        <f t="shared" si="46"/>
        <v>15</v>
      </c>
      <c r="W84" s="875">
        <f t="shared" si="46"/>
        <v>16</v>
      </c>
      <c r="X84" s="875">
        <f t="shared" si="46"/>
        <v>17</v>
      </c>
      <c r="Y84" s="875">
        <f t="shared" si="46"/>
        <v>18</v>
      </c>
      <c r="Z84" s="875" t="str">
        <f t="shared" si="46"/>
        <v/>
      </c>
      <c r="AA84" s="876" t="str">
        <f t="shared" si="46"/>
        <v/>
      </c>
    </row>
    <row r="85" spans="5:28" s="345" customFormat="1" ht="13.5" thickBot="1">
      <c r="E85" s="1605" t="s">
        <v>1281</v>
      </c>
      <c r="F85" s="1606"/>
      <c r="G85" s="1607"/>
      <c r="H85" s="877">
        <f>IF(SUMIF($H$84:$AA$84,H$67,$H$36:$AA$36)=0,"",SUMIF($H$84:$AA$84,H$67,$H$36:$AA$36))</f>
        <v>5.3605555861977985</v>
      </c>
      <c r="I85" s="878">
        <f>IF(SUMIF($H$84:$AA$84,I$67,$H$36:$AA$36)=0,"",SUMIF($H$84:$AA$84,I$67,$H$36:$AA$36))</f>
        <v>10</v>
      </c>
      <c r="J85" s="878">
        <f t="shared" ref="J85:AA85" si="47">IF(SUMIF($H$84:$AA$84,J$67,$H$36:$AA$36)=0,"",SUMIF($H$84:$AA$84,J$67,$H$36:$AA$36))</f>
        <v>20</v>
      </c>
      <c r="K85" s="878">
        <f t="shared" si="47"/>
        <v>26.922669813782981</v>
      </c>
      <c r="L85" s="878">
        <f t="shared" si="47"/>
        <v>28.402760758696882</v>
      </c>
      <c r="M85" s="878">
        <f t="shared" si="47"/>
        <v>30</v>
      </c>
      <c r="N85" s="878">
        <f t="shared" si="47"/>
        <v>40</v>
      </c>
      <c r="O85" s="878">
        <f t="shared" si="47"/>
        <v>50</v>
      </c>
      <c r="P85" s="878">
        <f t="shared" si="47"/>
        <v>60</v>
      </c>
      <c r="Q85" s="878">
        <f t="shared" si="47"/>
        <v>70</v>
      </c>
      <c r="R85" s="878">
        <f t="shared" si="47"/>
        <v>80</v>
      </c>
      <c r="S85" s="878">
        <f t="shared" si="47"/>
        <v>90</v>
      </c>
      <c r="T85" s="878">
        <f t="shared" si="47"/>
        <v>97.736572490101764</v>
      </c>
      <c r="U85" s="878">
        <f t="shared" si="47"/>
        <v>98.474693898206965</v>
      </c>
      <c r="V85" s="878">
        <f t="shared" si="47"/>
        <v>99.115172061249353</v>
      </c>
      <c r="W85" s="878">
        <f t="shared" si="47"/>
        <v>99.665653482478291</v>
      </c>
      <c r="X85" s="878">
        <f t="shared" si="47"/>
        <v>99.951573567634654</v>
      </c>
      <c r="Y85" s="878">
        <f t="shared" si="47"/>
        <v>100</v>
      </c>
      <c r="Z85" s="878" t="str">
        <f t="shared" si="47"/>
        <v/>
      </c>
      <c r="AA85" s="879" t="str">
        <f t="shared" si="47"/>
        <v/>
      </c>
    </row>
    <row r="86" spans="5:28" s="345" customFormat="1">
      <c r="E86" s="1574" t="s">
        <v>1283</v>
      </c>
      <c r="F86" s="1593"/>
      <c r="G86" s="1575"/>
      <c r="H86" s="880">
        <f>IF(SUMIF($H$36:$AA$36,H$85,$H59:$AA59)=0,"",SUMIF($H$36:$AA$36,H$85,$H59:$AA59)/$AB$59)</f>
        <v>41.4</v>
      </c>
      <c r="I86" s="881">
        <f t="shared" ref="I86:AA86" si="48">IF(SUMIF($H$36:$AA$36,I$85,$H59:$AA59)=0,"",SUMIF($H$36:$AA$36,I$85,$H59:$AA59)/$AB$59)</f>
        <v>26.3</v>
      </c>
      <c r="J86" s="881">
        <f t="shared" si="48"/>
        <v>14.449999999999998</v>
      </c>
      <c r="K86" s="881">
        <f t="shared" si="48"/>
        <v>14.575000000000001</v>
      </c>
      <c r="L86" s="881">
        <f t="shared" si="48"/>
        <v>12.8</v>
      </c>
      <c r="M86" s="881">
        <f t="shared" si="48"/>
        <v>14.462499999999999</v>
      </c>
      <c r="N86" s="881">
        <f t="shared" si="48"/>
        <v>11.644444444444444</v>
      </c>
      <c r="O86" s="881">
        <f t="shared" si="48"/>
        <v>20.8125</v>
      </c>
      <c r="P86" s="881">
        <f t="shared" si="48"/>
        <v>20.279999999999998</v>
      </c>
      <c r="Q86" s="881">
        <f t="shared" si="48"/>
        <v>15.677777777777777</v>
      </c>
      <c r="R86" s="881">
        <f t="shared" si="48"/>
        <v>15.872727272727275</v>
      </c>
      <c r="S86" s="881">
        <f t="shared" si="48"/>
        <v>15.919999999999998</v>
      </c>
      <c r="T86" s="881">
        <f t="shared" si="48"/>
        <v>16.45</v>
      </c>
      <c r="U86" s="881">
        <f t="shared" si="48"/>
        <v>12.5</v>
      </c>
      <c r="V86" s="881">
        <f t="shared" si="48"/>
        <v>11.275</v>
      </c>
      <c r="W86" s="881">
        <f t="shared" si="48"/>
        <v>10.575000000000001</v>
      </c>
      <c r="X86" s="881">
        <f t="shared" si="48"/>
        <v>4.25</v>
      </c>
      <c r="Y86" s="881">
        <f t="shared" si="48"/>
        <v>1.05</v>
      </c>
      <c r="Z86" s="881" t="str">
        <f t="shared" si="48"/>
        <v/>
      </c>
      <c r="AA86" s="882" t="str">
        <f t="shared" si="48"/>
        <v/>
      </c>
      <c r="AB86" s="851">
        <v>1</v>
      </c>
    </row>
    <row r="87" spans="5:28" s="345" customFormat="1" ht="13.5" thickBot="1">
      <c r="E87" s="1576" t="s">
        <v>1284</v>
      </c>
      <c r="F87" s="1594"/>
      <c r="G87" s="1577"/>
      <c r="H87" s="883">
        <f>IF(SUMIF($H$36:$AA$36,H$85,$H59:$AA59)=0,"",SUMIF($H$36:$AA$36,H$85,$H60:$AA60)/$AB$59)</f>
        <v>14.44552987374758</v>
      </c>
      <c r="I87" s="884">
        <f t="shared" ref="I87:AA87" si="49">IF(SUMIF($H$36:$AA$36,I$85,$H59:$AA59)=0,"",SUMIF($H$36:$AA$36,I$85,$H60:$AA60)/$AB$59)</f>
        <v>7.3719061307100233</v>
      </c>
      <c r="J87" s="884">
        <f t="shared" si="49"/>
        <v>9.0782707604477206</v>
      </c>
      <c r="K87" s="884">
        <f t="shared" si="49"/>
        <v>4.7507017025558085</v>
      </c>
      <c r="L87" s="884">
        <f t="shared" si="49"/>
        <v>7.4368452092716453</v>
      </c>
      <c r="M87" s="884">
        <f t="shared" si="49"/>
        <v>5.6167956040026006</v>
      </c>
      <c r="N87" s="884">
        <f t="shared" si="49"/>
        <v>4.8010704824838575</v>
      </c>
      <c r="O87" s="884">
        <f t="shared" si="49"/>
        <v>13.848201275668572</v>
      </c>
      <c r="P87" s="884">
        <f t="shared" si="49"/>
        <v>6.4526996934099854</v>
      </c>
      <c r="Q87" s="884">
        <f t="shared" si="49"/>
        <v>3.7389095261111125</v>
      </c>
      <c r="R87" s="884">
        <f t="shared" si="49"/>
        <v>2.6054139437298218</v>
      </c>
      <c r="S87" s="884">
        <f t="shared" si="49"/>
        <v>3.7359068510871696</v>
      </c>
      <c r="T87" s="884">
        <f t="shared" si="49"/>
        <v>4.650806381693398</v>
      </c>
      <c r="U87" s="884">
        <f t="shared" si="49"/>
        <v>4.6640468836980284</v>
      </c>
      <c r="V87" s="884">
        <f t="shared" si="49"/>
        <v>3.792426663760291</v>
      </c>
      <c r="W87" s="884">
        <f t="shared" si="49"/>
        <v>3.4586847211042464</v>
      </c>
      <c r="X87" s="884">
        <f t="shared" si="49"/>
        <v>0.556776436283</v>
      </c>
      <c r="Y87" s="884">
        <f t="shared" si="49"/>
        <v>1.2020815280171306</v>
      </c>
      <c r="Z87" s="884" t="str">
        <f t="shared" si="49"/>
        <v/>
      </c>
      <c r="AA87" s="885" t="str">
        <f t="shared" si="49"/>
        <v/>
      </c>
    </row>
    <row r="88" spans="5:28" s="345" customFormat="1">
      <c r="F88" s="889"/>
      <c r="R88" s="694"/>
    </row>
    <row r="89" spans="5:28" s="345" customFormat="1">
      <c r="F89" s="889"/>
      <c r="R89" s="694"/>
    </row>
    <row r="90" spans="5:28" s="345" customFormat="1">
      <c r="R90" s="694"/>
    </row>
    <row r="91" spans="5:28" s="345" customFormat="1">
      <c r="R91" s="694"/>
    </row>
    <row r="92" spans="5:28" s="345" customFormat="1">
      <c r="R92" s="694"/>
    </row>
    <row r="93" spans="5:28" s="345" customFormat="1">
      <c r="R93" s="694"/>
    </row>
    <row r="94" spans="5:28" s="345" customFormat="1">
      <c r="R94" s="694"/>
    </row>
    <row r="95" spans="5:28" s="345" customFormat="1">
      <c r="R95" s="694"/>
    </row>
    <row r="96" spans="5:28" s="345" customFormat="1">
      <c r="R96" s="694"/>
    </row>
    <row r="97" spans="18:18" s="345" customFormat="1">
      <c r="R97" s="694"/>
    </row>
    <row r="98" spans="18:18" s="345" customFormat="1">
      <c r="R98" s="694"/>
    </row>
    <row r="99" spans="18:18" s="345" customFormat="1">
      <c r="R99" s="694"/>
    </row>
    <row r="100" spans="18:18" s="345" customFormat="1">
      <c r="R100" s="694"/>
    </row>
    <row r="101" spans="18:18" s="345" customFormat="1">
      <c r="R101" s="694"/>
    </row>
  </sheetData>
  <sheetProtection sheet="1" objects="1" scenarios="1" selectLockedCells="1" selectUnlockedCells="1"/>
  <mergeCells count="55">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3:E58"/>
    <mergeCell ref="F53:G53"/>
    <mergeCell ref="F54:G54"/>
    <mergeCell ref="F55:F56"/>
    <mergeCell ref="F57:F58"/>
    <mergeCell ref="E43:E52"/>
    <mergeCell ref="F43:G43"/>
    <mergeCell ref="F44:G44"/>
    <mergeCell ref="F45:F48"/>
    <mergeCell ref="G45:G46"/>
    <mergeCell ref="G47:G48"/>
    <mergeCell ref="F49:F52"/>
    <mergeCell ref="G49:G50"/>
    <mergeCell ref="G51:G52"/>
    <mergeCell ref="D5:J5"/>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s>
  <conditionalFormatting sqref="I13:L31 D13:G31">
    <cfRule type="cellIs" priority="1" stopIfTrue="1" operator="equal">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01"/>
  <sheetViews>
    <sheetView topLeftCell="J1" workbookViewId="0">
      <selection activeCell="D5" sqref="D5:J5"/>
    </sheetView>
  </sheetViews>
  <sheetFormatPr baseColWidth="10" defaultRowHeight="12.75"/>
  <sheetData>
    <row r="1" spans="1:24" s="345" customFormat="1" ht="18">
      <c r="B1" s="345">
        <f>0.001</f>
        <v>1E-3</v>
      </c>
      <c r="D1" s="1228" t="s">
        <v>1101</v>
      </c>
      <c r="E1" s="1228"/>
      <c r="L1" s="1249" t="str">
        <f>IF('Stipe=phyllotaxie&amp;croissance'!S9&gt;0,'Stipe=phyllotaxie&amp;croissance'!S9,"")</f>
        <v/>
      </c>
      <c r="M1" s="1249"/>
      <c r="N1" s="975"/>
      <c r="O1" s="975"/>
    </row>
    <row r="2" spans="1:24" s="345" customFormat="1" ht="18">
      <c r="D2" s="974"/>
      <c r="E2" s="974"/>
    </row>
    <row r="3" spans="1:24" s="345" customFormat="1" ht="15.75">
      <c r="D3" s="1323" t="s">
        <v>1102</v>
      </c>
      <c r="E3" s="1323"/>
      <c r="F3" s="1323"/>
      <c r="G3" s="1323"/>
      <c r="H3" s="1323"/>
      <c r="I3" s="978"/>
      <c r="J3" s="1322" t="str">
        <f>IF('Stipe=phyllotaxie&amp;croissance'!$E$11&gt;0,'Stipe=phyllotaxie&amp;croissance'!$E$11,"")</f>
        <v>Rochdi</v>
      </c>
      <c r="K3" s="1322"/>
      <c r="Q3" s="1323" t="s">
        <v>1103</v>
      </c>
      <c r="R3" s="1323"/>
      <c r="S3" s="1323"/>
      <c r="T3" s="1323"/>
      <c r="U3" s="1512" t="str">
        <f>IF('Stipe=phyllotaxie&amp;croissance'!$E$10&gt;0,'Stipe=phyllotaxie&amp;croissance'!$E$10,"")</f>
        <v>01</v>
      </c>
      <c r="V3" s="1512"/>
      <c r="W3" s="980"/>
    </row>
    <row r="4" spans="1:24" s="345" customFormat="1" ht="18">
      <c r="D4" s="974"/>
      <c r="E4" s="974"/>
    </row>
    <row r="5" spans="1:24" s="345" customFormat="1" ht="18">
      <c r="D5" s="1319" t="s">
        <v>1372</v>
      </c>
      <c r="E5" s="1319"/>
      <c r="F5" s="1319"/>
      <c r="G5" s="1319"/>
      <c r="H5" s="1319"/>
      <c r="I5" s="1319"/>
      <c r="J5" s="1319"/>
      <c r="K5" s="446"/>
      <c r="L5" s="446"/>
      <c r="M5" s="446"/>
      <c r="N5" s="976"/>
      <c r="O5" s="976"/>
    </row>
    <row r="6" spans="1:24" s="345" customFormat="1" ht="13.5" thickBot="1"/>
    <row r="7" spans="1:24" s="345" customFormat="1" ht="15.75" thickBot="1">
      <c r="D7" s="1496" t="s">
        <v>1229</v>
      </c>
      <c r="E7" s="1497"/>
      <c r="F7" s="1497"/>
      <c r="G7" s="577">
        <f>IF('Folioles=disposition&amp;groupes'!$D$7&gt;0,'Folioles=disposition&amp;groupes'!$D$7,"")</f>
        <v>57</v>
      </c>
      <c r="R7" s="1498" t="s">
        <v>1229</v>
      </c>
      <c r="S7" s="1499"/>
      <c r="T7" s="1513"/>
      <c r="U7" s="577">
        <f>IF('Folioles=disposition&amp;groupes'!$P$7&gt;0,'Folioles=disposition&amp;groupes'!$P$7,"")</f>
        <v>83</v>
      </c>
    </row>
    <row r="8" spans="1:24" s="345" customFormat="1"/>
    <row r="9" spans="1:24" s="345" customFormat="1" ht="15">
      <c r="C9" s="582"/>
      <c r="D9" s="1514" t="s">
        <v>1365</v>
      </c>
      <c r="E9" s="1514"/>
      <c r="F9" s="1514"/>
      <c r="Q9" s="582"/>
      <c r="R9" s="1514" t="s">
        <v>1366</v>
      </c>
      <c r="S9" s="1514"/>
      <c r="T9" s="1514"/>
    </row>
    <row r="10" spans="1:24" s="345" customFormat="1" ht="13.5" thickBot="1"/>
    <row r="11" spans="1:24" s="345" customFormat="1" ht="15.75" thickBot="1">
      <c r="C11" s="1520" t="s">
        <v>1233</v>
      </c>
      <c r="D11" s="1520" t="s">
        <v>1237</v>
      </c>
      <c r="E11" s="1521"/>
      <c r="F11" s="1521"/>
      <c r="G11" s="1522"/>
      <c r="H11" s="1520" t="s">
        <v>1233</v>
      </c>
      <c r="I11" s="1520" t="s">
        <v>1238</v>
      </c>
      <c r="J11" s="1521"/>
      <c r="K11" s="1521"/>
      <c r="L11" s="1522"/>
      <c r="M11" s="583"/>
      <c r="O11" s="1520" t="s">
        <v>1233</v>
      </c>
      <c r="P11" s="1520" t="s">
        <v>1237</v>
      </c>
      <c r="Q11" s="1521"/>
      <c r="R11" s="1521"/>
      <c r="S11" s="1522"/>
      <c r="T11" s="1520" t="s">
        <v>1233</v>
      </c>
      <c r="U11" s="1520" t="s">
        <v>1238</v>
      </c>
      <c r="V11" s="1521"/>
      <c r="W11" s="1521"/>
      <c r="X11" s="1522"/>
    </row>
    <row r="12" spans="1:24" s="345" customFormat="1" ht="13.5" thickBot="1">
      <c r="C12" s="1523"/>
      <c r="D12" s="584" t="s">
        <v>1239</v>
      </c>
      <c r="E12" s="585" t="s">
        <v>1240</v>
      </c>
      <c r="F12" s="585" t="s">
        <v>1240</v>
      </c>
      <c r="G12" s="586" t="s">
        <v>1241</v>
      </c>
      <c r="H12" s="1523"/>
      <c r="I12" s="584" t="s">
        <v>1239</v>
      </c>
      <c r="J12" s="585" t="s">
        <v>1240</v>
      </c>
      <c r="K12" s="585" t="s">
        <v>1240</v>
      </c>
      <c r="L12" s="586" t="s">
        <v>1241</v>
      </c>
      <c r="M12" s="587"/>
      <c r="O12" s="1523"/>
      <c r="P12" s="584" t="s">
        <v>1239</v>
      </c>
      <c r="Q12" s="585" t="s">
        <v>1240</v>
      </c>
      <c r="R12" s="585" t="s">
        <v>1240</v>
      </c>
      <c r="S12" s="586" t="s">
        <v>1241</v>
      </c>
      <c r="T12" s="1523"/>
      <c r="U12" s="584" t="s">
        <v>1239</v>
      </c>
      <c r="V12" s="585" t="s">
        <v>1240</v>
      </c>
      <c r="W12" s="585" t="s">
        <v>1240</v>
      </c>
      <c r="X12" s="586" t="s">
        <v>1241</v>
      </c>
    </row>
    <row r="13" spans="1:24" s="345" customFormat="1">
      <c r="A13" s="345">
        <f>IF(COUNTIF(C13,"")+COUNTIF(H13,"")+COUNTIF(O13,"")+COUNTIF(T13,"")=4,"",AVERAGE(C13,H13,O13,T13))</f>
        <v>5.3605555861977985</v>
      </c>
      <c r="B13" s="595" t="s">
        <v>1243</v>
      </c>
      <c r="C13" s="775">
        <f>IF('Sections rachis &amp; L pennes'!Q13="","",'Sections rachis &amp; L pennes'!Q13)</f>
        <v>5.15970515970516</v>
      </c>
      <c r="D13" s="776" t="str">
        <f>IF('Angles des pennes'!AB14="","",90-'Angles des pennes'!AB14)</f>
        <v/>
      </c>
      <c r="E13" s="777" t="str">
        <f>IF('Angles des pennes'!AC14="","",90-'Angles des pennes'!AC14)</f>
        <v/>
      </c>
      <c r="F13" s="777" t="str">
        <f>IF('Angles des pennes'!AD14="","",90-'Angles des pennes'!AD14)</f>
        <v/>
      </c>
      <c r="G13" s="780">
        <f>IF('Angles des pennes'!AE14="","",90-'Angles des pennes'!AE14)</f>
        <v>-21</v>
      </c>
      <c r="H13" s="775">
        <f>IF('Sections rachis &amp; L pennes'!V13="","",'Sections rachis &amp; L pennes'!V13)</f>
        <v>5.4054054054054053</v>
      </c>
      <c r="I13" s="776" t="str">
        <f>IF('Angles des pennes'!AG14="","",90-'Angles des pennes'!AG14)</f>
        <v/>
      </c>
      <c r="J13" s="777" t="str">
        <f>IF('Angles des pennes'!AH14="","",90-'Angles des pennes'!AH14)</f>
        <v/>
      </c>
      <c r="K13" s="777" t="str">
        <f>IF('Angles des pennes'!AI14="","",90-'Angles des pennes'!AI14)</f>
        <v/>
      </c>
      <c r="L13" s="780">
        <f>IF('Angles des pennes'!AJ14="","",90-'Angles des pennes'!AJ14)</f>
        <v>45</v>
      </c>
      <c r="M13" s="781">
        <f t="shared" ref="M13:M30" si="0">IF(COUNTIF(D13:G13,"")+COUNTIF(I13:L13,"")+COUNTIF(P13:S13,"")+COUNTIF(U13:X13,"")=16,"",IF(COUNTIF(D13:G13,"")+COUNTIF(I13:L13,"")+COUNTIF(P13:S13,"")+COUNTIF(U13:X13,"")=15,0,STDEV(D13:G13,I13:L13,P13:S13,U13:X13)))</f>
        <v>36.370626884891607</v>
      </c>
      <c r="N13" s="595" t="s">
        <v>1243</v>
      </c>
      <c r="O13" s="775">
        <f>IF('Sections rachis &amp; L pennes'!AC13="","",'Sections rachis &amp; L pennes'!AC13)</f>
        <v>5.3228419347373288</v>
      </c>
      <c r="P13" s="776">
        <f>IF('Angles des pennes'!AB48="","",90-'Angles des pennes'!AB48)</f>
        <v>59.7</v>
      </c>
      <c r="Q13" s="777" t="str">
        <f>IF('Angles des pennes'!AC48="","",90-'Angles des pennes'!AC48)</f>
        <v/>
      </c>
      <c r="R13" s="777" t="str">
        <f>IF('Angles des pennes'!AD48="","",90-'Angles des pennes'!AD48)</f>
        <v/>
      </c>
      <c r="S13" s="780" t="str">
        <f>IF('Angles des pennes'!AE48="","",90-'Angles des pennes'!AE48)</f>
        <v/>
      </c>
      <c r="T13" s="775">
        <f>IF('Sections rachis &amp; L pennes'!AH13="","",'Sections rachis &amp; L pennes'!AH13)</f>
        <v>5.5542698449432999</v>
      </c>
      <c r="U13" s="776">
        <f>IF('Angles des pennes'!AG48="","",90-'Angles des pennes'!AG48)</f>
        <v>47</v>
      </c>
      <c r="V13" s="777" t="str">
        <f>IF('Angles des pennes'!AH48="","",90-'Angles des pennes'!AH48)</f>
        <v/>
      </c>
      <c r="W13" s="777" t="str">
        <f>IF('Angles des pennes'!AI48="","",90-'Angles des pennes'!AI48)</f>
        <v/>
      </c>
      <c r="X13" s="780" t="str">
        <f>IF('Angles des pennes'!AJ48="","",90-'Angles des pennes'!AJ48)</f>
        <v/>
      </c>
    </row>
    <row r="14" spans="1:24" s="345" customFormat="1">
      <c r="A14" s="345">
        <f t="shared" ref="A14:A31" si="1">IF(COUNTIF(C14,"")+COUNTIF(H14,"")+COUNTIF(O14,"")+COUNTIF(T14,"")=4,"",AVERAGE(C14,H14,O14,T14))</f>
        <v>26.922669813782981</v>
      </c>
      <c r="B14" s="609" t="s">
        <v>1244</v>
      </c>
      <c r="C14" s="782">
        <f>IF('Sections rachis &amp; L pennes'!Q14="","",'Sections rachis &amp; L pennes'!Q14)</f>
        <v>27.346437346437348</v>
      </c>
      <c r="D14" s="783" t="str">
        <f>IF('Angles des pennes'!AB15="","",90-'Angles des pennes'!AB15)</f>
        <v/>
      </c>
      <c r="E14" s="784" t="str">
        <f>IF('Angles des pennes'!AC15="","",90-'Angles des pennes'!AC15)</f>
        <v/>
      </c>
      <c r="F14" s="784" t="str">
        <f>IF('Angles des pennes'!AD15="","",90-'Angles des pennes'!AD15)</f>
        <v/>
      </c>
      <c r="G14" s="787">
        <f>IF('Angles des pennes'!AE15="","",90-'Angles des pennes'!AE15)</f>
        <v>-46.900000000000006</v>
      </c>
      <c r="H14" s="782">
        <f>IF('Sections rachis &amp; L pennes'!V14="","",'Sections rachis &amp; L pennes'!V14)</f>
        <v>28.157248157248159</v>
      </c>
      <c r="I14" s="783">
        <f>IF('Angles des pennes'!AG15="","",90-'Angles des pennes'!AG15)</f>
        <v>65.400000000000006</v>
      </c>
      <c r="J14" s="784" t="str">
        <f>IF('Angles des pennes'!AH15="","",90-'Angles des pennes'!AH15)</f>
        <v/>
      </c>
      <c r="K14" s="784" t="str">
        <f>IF('Angles des pennes'!AI15="","",90-'Angles des pennes'!AI15)</f>
        <v/>
      </c>
      <c r="L14" s="787" t="str">
        <f>IF('Angles des pennes'!AJ15="","",90-'Angles des pennes'!AJ15)</f>
        <v/>
      </c>
      <c r="M14" s="781">
        <f t="shared" si="0"/>
        <v>70.291725449491324</v>
      </c>
      <c r="N14" s="609" t="s">
        <v>1244</v>
      </c>
      <c r="O14" s="782">
        <f>IF('Sections rachis &amp; L pennes'!AC14="","",'Sections rachis &amp; L pennes'!AC14)</f>
        <v>26.429067345521869</v>
      </c>
      <c r="P14" s="783">
        <f>IF('Angles des pennes'!AB49="","",90-'Angles des pennes'!AB49)</f>
        <v>63.8</v>
      </c>
      <c r="Q14" s="784" t="str">
        <f>IF('Angles des pennes'!AC49="","",90-'Angles des pennes'!AC49)</f>
        <v/>
      </c>
      <c r="R14" s="784" t="str">
        <f>IF('Angles des pennes'!AD49="","",90-'Angles des pennes'!AD49)</f>
        <v/>
      </c>
      <c r="S14" s="787" t="str">
        <f>IF('Angles des pennes'!AE49="","",90-'Angles des pennes'!AE49)</f>
        <v/>
      </c>
      <c r="T14" s="782">
        <f>IF('Sections rachis &amp; L pennes'!AH14="","",'Sections rachis &amp; L pennes'!AH14)</f>
        <v>25.757926405924554</v>
      </c>
      <c r="U14" s="783" t="str">
        <f>IF('Angles des pennes'!AG49="","",90-'Angles des pennes'!AG49)</f>
        <v/>
      </c>
      <c r="V14" s="784" t="str">
        <f>IF('Angles des pennes'!AH49="","",90-'Angles des pennes'!AH49)</f>
        <v/>
      </c>
      <c r="W14" s="784" t="str">
        <f>IF('Angles des pennes'!AI49="","",90-'Angles des pennes'!AI49)</f>
        <v/>
      </c>
      <c r="X14" s="787">
        <f>IF('Angles des pennes'!AJ49="","",90-'Angles des pennes'!AJ49)</f>
        <v>-65.900000000000006</v>
      </c>
    </row>
    <row r="15" spans="1:24" s="345" customFormat="1" ht="13.5" thickBot="1">
      <c r="A15" s="345">
        <f t="shared" si="1"/>
        <v>28.402760758696882</v>
      </c>
      <c r="B15" s="620" t="s">
        <v>1245</v>
      </c>
      <c r="C15" s="788">
        <f>IF('Sections rachis &amp; L pennes'!Q15="","",'Sections rachis &amp; L pennes'!Q15)</f>
        <v>30.466830466830466</v>
      </c>
      <c r="D15" s="789">
        <f>IF('Angles des pennes'!AB16="","",90-'Angles des pennes'!AB16)</f>
        <v>61.8</v>
      </c>
      <c r="E15" s="790" t="str">
        <f>IF('Angles des pennes'!AC16="","",90-'Angles des pennes'!AC16)</f>
        <v/>
      </c>
      <c r="F15" s="790" t="str">
        <f>IF('Angles des pennes'!AD16="","",90-'Angles des pennes'!AD16)</f>
        <v/>
      </c>
      <c r="G15" s="793" t="str">
        <f>IF('Angles des pennes'!AE16="","",90-'Angles des pennes'!AE16)</f>
        <v/>
      </c>
      <c r="H15" s="788">
        <f>IF('Sections rachis &amp; L pennes'!V15="","",'Sections rachis &amp; L pennes'!V15)</f>
        <v>28.55036855036855</v>
      </c>
      <c r="I15" s="789" t="str">
        <f>IF('Angles des pennes'!AG16="","",90-'Angles des pennes'!AG16)</f>
        <v/>
      </c>
      <c r="J15" s="790" t="str">
        <f>IF('Angles des pennes'!AH16="","",90-'Angles des pennes'!AH16)</f>
        <v/>
      </c>
      <c r="K15" s="790" t="str">
        <f>IF('Angles des pennes'!AI16="","",90-'Angles des pennes'!AI16)</f>
        <v/>
      </c>
      <c r="L15" s="793">
        <f>IF('Angles des pennes'!AJ16="","",90-'Angles des pennes'!AJ16)</f>
        <v>-55.400000000000006</v>
      </c>
      <c r="M15" s="781">
        <f t="shared" si="0"/>
        <v>73.240215501230381</v>
      </c>
      <c r="N15" s="620" t="s">
        <v>1245</v>
      </c>
      <c r="O15" s="782">
        <f>IF('Sections rachis &amp; L pennes'!AC15="","",'Sections rachis &amp; L pennes'!AC15)</f>
        <v>26.799352001851421</v>
      </c>
      <c r="P15" s="789" t="str">
        <f>IF('Angles des pennes'!AB50="","",90-'Angles des pennes'!AB50)</f>
        <v/>
      </c>
      <c r="Q15" s="790" t="str">
        <f>IF('Angles des pennes'!AC50="","",90-'Angles des pennes'!AC50)</f>
        <v/>
      </c>
      <c r="R15" s="790" t="str">
        <f>IF('Angles des pennes'!AD50="","",90-'Angles des pennes'!AD50)</f>
        <v/>
      </c>
      <c r="S15" s="793">
        <f>IF('Angles des pennes'!AE50="","",90-'Angles des pennes'!AE50)</f>
        <v>-68.800000000000011</v>
      </c>
      <c r="T15" s="782">
        <f>IF('Sections rachis &amp; L pennes'!AH15="","",'Sections rachis &amp; L pennes'!AH15)</f>
        <v>27.794492015737095</v>
      </c>
      <c r="U15" s="789">
        <f>IF('Angles des pennes'!AG50="","",90-'Angles des pennes'!AG50)</f>
        <v>66.900000000000006</v>
      </c>
      <c r="V15" s="790" t="str">
        <f>IF('Angles des pennes'!AH50="","",90-'Angles des pennes'!AH50)</f>
        <v/>
      </c>
      <c r="W15" s="790" t="str">
        <f>IF('Angles des pennes'!AI50="","",90-'Angles des pennes'!AI50)</f>
        <v/>
      </c>
      <c r="X15" s="793" t="str">
        <f>IF('Angles des pennes'!AJ50="","",90-'Angles des pennes'!AJ50)</f>
        <v/>
      </c>
    </row>
    <row r="16" spans="1:24" s="345" customFormat="1">
      <c r="A16" s="345" t="str">
        <f t="shared" si="1"/>
        <v/>
      </c>
      <c r="C16" s="775" t="str">
        <f>IF('Sections rachis &amp; L pennes'!Q16="","",'Sections rachis &amp; L pennes'!Q16)</f>
        <v/>
      </c>
      <c r="D16" s="776" t="str">
        <f>IF('Angles des pennes'!AB17="","",90-'Angles des pennes'!AB17)</f>
        <v/>
      </c>
      <c r="E16" s="777" t="str">
        <f>IF('Angles des pennes'!AC17="","",90-'Angles des pennes'!AC17)</f>
        <v/>
      </c>
      <c r="F16" s="777" t="str">
        <f>IF('Angles des pennes'!AD17="","",90-'Angles des pennes'!AD17)</f>
        <v/>
      </c>
      <c r="G16" s="780" t="str">
        <f>IF('Angles des pennes'!AE17="","",90-'Angles des pennes'!AE17)</f>
        <v/>
      </c>
      <c r="H16" s="775" t="str">
        <f>IF('Sections rachis &amp; L pennes'!V16="","",'Sections rachis &amp; L pennes'!V16)</f>
        <v/>
      </c>
      <c r="I16" s="776" t="str">
        <f>IF('Angles des pennes'!AG17="","",90-'Angles des pennes'!AG17)</f>
        <v/>
      </c>
      <c r="J16" s="777" t="str">
        <f>IF('Angles des pennes'!AH17="","",90-'Angles des pennes'!AH17)</f>
        <v/>
      </c>
      <c r="K16" s="777" t="str">
        <f>IF('Angles des pennes'!AI17="","",90-'Angles des pennes'!AI17)</f>
        <v/>
      </c>
      <c r="L16" s="780" t="str">
        <f>IF('Angles des pennes'!AJ17="","",90-'Angles des pennes'!AJ17)</f>
        <v/>
      </c>
      <c r="M16" s="781" t="str">
        <f t="shared" si="0"/>
        <v/>
      </c>
      <c r="O16" s="782" t="str">
        <f>IF('Sections rachis &amp; L pennes'!AC16="","",'Sections rachis &amp; L pennes'!AC16)</f>
        <v/>
      </c>
      <c r="P16" s="776" t="str">
        <f>IF('Angles des pennes'!AB51="","",90-'Angles des pennes'!AB51)</f>
        <v/>
      </c>
      <c r="Q16" s="777" t="str">
        <f>IF('Angles des pennes'!AC51="","",90-'Angles des pennes'!AC51)</f>
        <v/>
      </c>
      <c r="R16" s="777" t="str">
        <f>IF('Angles des pennes'!AD51="","",90-'Angles des pennes'!AD51)</f>
        <v/>
      </c>
      <c r="S16" s="780" t="str">
        <f>IF('Angles des pennes'!AE51="","",90-'Angles des pennes'!AE51)</f>
        <v/>
      </c>
      <c r="T16" s="782" t="str">
        <f>IF('Sections rachis &amp; L pennes'!AH16="","",'Sections rachis &amp; L pennes'!AH16)</f>
        <v/>
      </c>
      <c r="U16" s="776" t="str">
        <f>IF('Angles des pennes'!AG51="","",90-'Angles des pennes'!AG51)</f>
        <v/>
      </c>
      <c r="V16" s="777" t="str">
        <f>IF('Angles des pennes'!AH51="","",90-'Angles des pennes'!AH51)</f>
        <v/>
      </c>
      <c r="W16" s="777" t="str">
        <f>IF('Angles des pennes'!AI51="","",90-'Angles des pennes'!AI51)</f>
        <v/>
      </c>
      <c r="X16" s="780" t="str">
        <f>IF('Angles des pennes'!AJ51="","",90-'Angles des pennes'!AJ51)</f>
        <v/>
      </c>
    </row>
    <row r="17" spans="1:24" s="345" customFormat="1">
      <c r="A17" s="345">
        <f t="shared" si="1"/>
        <v>10</v>
      </c>
      <c r="C17" s="782">
        <f>IF('Sections rachis &amp; L pennes'!Q17="","",'Sections rachis &amp; L pennes'!Q17)</f>
        <v>10</v>
      </c>
      <c r="D17" s="783">
        <f>IF('Angles des pennes'!AB18="","",90-'Angles des pennes'!AB18)</f>
        <v>29.299999999999997</v>
      </c>
      <c r="E17" s="784" t="str">
        <f>IF('Angles des pennes'!AC18="","",90-'Angles des pennes'!AC18)</f>
        <v/>
      </c>
      <c r="F17" s="784" t="str">
        <f>IF('Angles des pennes'!AD18="","",90-'Angles des pennes'!AD18)</f>
        <v/>
      </c>
      <c r="G17" s="787" t="str">
        <f>IF('Angles des pennes'!AE18="","",90-'Angles des pennes'!AE18)</f>
        <v/>
      </c>
      <c r="H17" s="782">
        <f>IF('Sections rachis &amp; L pennes'!V17="","",'Sections rachis &amp; L pennes'!V17)</f>
        <v>10</v>
      </c>
      <c r="I17" s="783">
        <f>IF('Angles des pennes'!AG18="","",90-'Angles des pennes'!AG18)</f>
        <v>69.099999999999994</v>
      </c>
      <c r="J17" s="784" t="str">
        <f>IF('Angles des pennes'!AH18="","",90-'Angles des pennes'!AH18)</f>
        <v/>
      </c>
      <c r="K17" s="784" t="str">
        <f>IF('Angles des pennes'!AI18="","",90-'Angles des pennes'!AI18)</f>
        <v/>
      </c>
      <c r="L17" s="787">
        <f>IF('Angles des pennes'!AJ18="","",90-'Angles des pennes'!AJ18)</f>
        <v>-35.299999999999997</v>
      </c>
      <c r="M17" s="781">
        <f t="shared" si="0"/>
        <v>57.269250038742427</v>
      </c>
      <c r="O17" s="782">
        <f>IF('Sections rachis &amp; L pennes'!AC17="","",'Sections rachis &amp; L pennes'!AC17)</f>
        <v>10</v>
      </c>
      <c r="P17" s="783" t="str">
        <f>IF('Angles des pennes'!AB52="","",90-'Angles des pennes'!AB52)</f>
        <v/>
      </c>
      <c r="Q17" s="784">
        <f>IF('Angles des pennes'!AC52="","",90-'Angles des pennes'!AC52)</f>
        <v>-58.199999999999989</v>
      </c>
      <c r="R17" s="784" t="str">
        <f>IF('Angles des pennes'!AD52="","",90-'Angles des pennes'!AD52)</f>
        <v/>
      </c>
      <c r="S17" s="787" t="str">
        <f>IF('Angles des pennes'!AE52="","",90-'Angles des pennes'!AE52)</f>
        <v/>
      </c>
      <c r="T17" s="782">
        <f>IF('Sections rachis &amp; L pennes'!AH17="","",'Sections rachis &amp; L pennes'!AH17)</f>
        <v>10</v>
      </c>
      <c r="U17" s="783" t="str">
        <f>IF('Angles des pennes'!AG52="","",90-'Angles des pennes'!AG52)</f>
        <v/>
      </c>
      <c r="V17" s="784">
        <f>IF('Angles des pennes'!AH52="","",90-'Angles des pennes'!AH52)</f>
        <v>61</v>
      </c>
      <c r="W17" s="784" t="str">
        <f>IF('Angles des pennes'!AI52="","",90-'Angles des pennes'!AI52)</f>
        <v/>
      </c>
      <c r="X17" s="787" t="str">
        <f>IF('Angles des pennes'!AJ52="","",90-'Angles des pennes'!AJ52)</f>
        <v/>
      </c>
    </row>
    <row r="18" spans="1:24" s="345" customFormat="1">
      <c r="A18" s="345">
        <f t="shared" si="1"/>
        <v>20</v>
      </c>
      <c r="C18" s="782">
        <f>IF('Sections rachis &amp; L pennes'!Q18="","",'Sections rachis &amp; L pennes'!Q18)</f>
        <v>20</v>
      </c>
      <c r="D18" s="783">
        <f>IF('Angles des pennes'!AB19="","",90-'Angles des pennes'!AB19)</f>
        <v>73.7</v>
      </c>
      <c r="E18" s="784" t="str">
        <f>IF('Angles des pennes'!AC19="","",90-'Angles des pennes'!AC19)</f>
        <v/>
      </c>
      <c r="F18" s="784" t="str">
        <f>IF('Angles des pennes'!AD19="","",90-'Angles des pennes'!AD19)</f>
        <v/>
      </c>
      <c r="G18" s="787" t="str">
        <f>IF('Angles des pennes'!AE19="","",90-'Angles des pennes'!AE19)</f>
        <v/>
      </c>
      <c r="H18" s="782">
        <f>IF('Sections rachis &amp; L pennes'!V18="","",'Sections rachis &amp; L pennes'!V18)</f>
        <v>20</v>
      </c>
      <c r="I18" s="783">
        <f>IF('Angles des pennes'!AG19="","",90-'Angles des pennes'!AG19)</f>
        <v>67.400000000000006</v>
      </c>
      <c r="J18" s="784" t="str">
        <f>IF('Angles des pennes'!AH19="","",90-'Angles des pennes'!AH19)</f>
        <v/>
      </c>
      <c r="K18" s="784" t="str">
        <f>IF('Angles des pennes'!AI19="","",90-'Angles des pennes'!AI19)</f>
        <v/>
      </c>
      <c r="L18" s="787" t="str">
        <f>IF('Angles des pennes'!AJ19="","",90-'Angles des pennes'!AJ19)</f>
        <v/>
      </c>
      <c r="M18" s="781">
        <f t="shared" si="0"/>
        <v>65.942298008688383</v>
      </c>
      <c r="O18" s="782">
        <f>IF('Sections rachis &amp; L pennes'!AC18="","",'Sections rachis &amp; L pennes'!AC18)</f>
        <v>20</v>
      </c>
      <c r="P18" s="783">
        <f>IF('Angles des pennes'!AB53="","",90-'Angles des pennes'!AB53)</f>
        <v>60.2</v>
      </c>
      <c r="Q18" s="784" t="str">
        <f>IF('Angles des pennes'!AC53="","",90-'Angles des pennes'!AC53)</f>
        <v/>
      </c>
      <c r="R18" s="784" t="str">
        <f>IF('Angles des pennes'!AD53="","",90-'Angles des pennes'!AD53)</f>
        <v/>
      </c>
      <c r="S18" s="787">
        <f>IF('Angles des pennes'!AE53="","",90-'Angles des pennes'!AE53)</f>
        <v>-51</v>
      </c>
      <c r="T18" s="782">
        <f>IF('Sections rachis &amp; L pennes'!AH18="","",'Sections rachis &amp; L pennes'!AH18)</f>
        <v>20</v>
      </c>
      <c r="U18" s="783">
        <f>IF('Angles des pennes'!AG53="","",90-'Angles des pennes'!AG53)</f>
        <v>66.5</v>
      </c>
      <c r="V18" s="784" t="str">
        <f>IF('Angles des pennes'!AH53="","",90-'Angles des pennes'!AH53)</f>
        <v/>
      </c>
      <c r="W18" s="784" t="str">
        <f>IF('Angles des pennes'!AI53="","",90-'Angles des pennes'!AI53)</f>
        <v/>
      </c>
      <c r="X18" s="787">
        <f>IF('Angles des pennes'!AJ53="","",90-'Angles des pennes'!AJ53)</f>
        <v>-69</v>
      </c>
    </row>
    <row r="19" spans="1:24" s="345" customFormat="1">
      <c r="A19" s="345">
        <f t="shared" si="1"/>
        <v>30</v>
      </c>
      <c r="C19" s="782">
        <f>IF('Sections rachis &amp; L pennes'!Q19="","",'Sections rachis &amp; L pennes'!Q19)</f>
        <v>30</v>
      </c>
      <c r="D19" s="783">
        <f>IF('Angles des pennes'!AB20="","",90-'Angles des pennes'!AB20)</f>
        <v>56</v>
      </c>
      <c r="E19" s="784" t="str">
        <f>IF('Angles des pennes'!AC20="","",90-'Angles des pennes'!AC20)</f>
        <v/>
      </c>
      <c r="F19" s="784" t="str">
        <f>IF('Angles des pennes'!AD20="","",90-'Angles des pennes'!AD20)</f>
        <v/>
      </c>
      <c r="G19" s="787">
        <f>IF('Angles des pennes'!AE20="","",90-'Angles des pennes'!AE20)</f>
        <v>-22.599999999999994</v>
      </c>
      <c r="H19" s="782">
        <f>IF('Sections rachis &amp; L pennes'!V19="","",'Sections rachis &amp; L pennes'!V19)</f>
        <v>30</v>
      </c>
      <c r="I19" s="783">
        <f>IF('Angles des pennes'!AG20="","",90-'Angles des pennes'!AG20)</f>
        <v>70.3</v>
      </c>
      <c r="J19" s="784" t="str">
        <f>IF('Angles des pennes'!AH20="","",90-'Angles des pennes'!AH20)</f>
        <v/>
      </c>
      <c r="K19" s="784" t="str">
        <f>IF('Angles des pennes'!AI20="","",90-'Angles des pennes'!AI20)</f>
        <v/>
      </c>
      <c r="L19" s="787">
        <f>IF('Angles des pennes'!AJ20="","",90-'Angles des pennes'!AJ20)</f>
        <v>-41</v>
      </c>
      <c r="M19" s="781">
        <f t="shared" si="0"/>
        <v>61.505539820177411</v>
      </c>
      <c r="O19" s="782">
        <f>IF('Sections rachis &amp; L pennes'!AC19="","",'Sections rachis &amp; L pennes'!AC19)</f>
        <v>30</v>
      </c>
      <c r="P19" s="783">
        <f>IF('Angles des pennes'!AB54="","",90-'Angles des pennes'!AB54)</f>
        <v>64.8</v>
      </c>
      <c r="Q19" s="784" t="str">
        <f>IF('Angles des pennes'!AC54="","",90-'Angles des pennes'!AC54)</f>
        <v/>
      </c>
      <c r="R19" s="784" t="str">
        <f>IF('Angles des pennes'!AD54="","",90-'Angles des pennes'!AD54)</f>
        <v/>
      </c>
      <c r="S19" s="787">
        <f>IF('Angles des pennes'!AE54="","",90-'Angles des pennes'!AE54)</f>
        <v>-61.300000000000011</v>
      </c>
      <c r="T19" s="782">
        <f>IF('Sections rachis &amp; L pennes'!AH19="","",'Sections rachis &amp; L pennes'!AH19)</f>
        <v>30</v>
      </c>
      <c r="U19" s="783">
        <f>IF('Angles des pennes'!AG54="","",90-'Angles des pennes'!AG54)</f>
        <v>66.900000000000006</v>
      </c>
      <c r="V19" s="784" t="str">
        <f>IF('Angles des pennes'!AH54="","",90-'Angles des pennes'!AH54)</f>
        <v/>
      </c>
      <c r="W19" s="784" t="str">
        <f>IF('Angles des pennes'!AI54="","",90-'Angles des pennes'!AI54)</f>
        <v/>
      </c>
      <c r="X19" s="787">
        <f>IF('Angles des pennes'!AJ54="","",90-'Angles des pennes'!AJ54)</f>
        <v>-65.900000000000006</v>
      </c>
    </row>
    <row r="20" spans="1:24" s="345" customFormat="1">
      <c r="A20" s="345">
        <f t="shared" si="1"/>
        <v>40</v>
      </c>
      <c r="C20" s="782">
        <f>IF('Sections rachis &amp; L pennes'!Q20="","",'Sections rachis &amp; L pennes'!Q20)</f>
        <v>40</v>
      </c>
      <c r="D20" s="783">
        <f>IF('Angles des pennes'!AB21="","",90-'Angles des pennes'!AB21)</f>
        <v>59.8</v>
      </c>
      <c r="E20" s="784">
        <f>IF('Angles des pennes'!AC21="","",90-'Angles des pennes'!AC21)</f>
        <v>22.299999999999997</v>
      </c>
      <c r="F20" s="784" t="str">
        <f>IF('Angles des pennes'!AD21="","",90-'Angles des pennes'!AD21)</f>
        <v/>
      </c>
      <c r="G20" s="787">
        <f>IF('Angles des pennes'!AE21="","",90-'Angles des pennes'!AE21)</f>
        <v>-34.799999999999997</v>
      </c>
      <c r="H20" s="782">
        <f>IF('Sections rachis &amp; L pennes'!V20="","",'Sections rachis &amp; L pennes'!V20)</f>
        <v>40</v>
      </c>
      <c r="I20" s="783">
        <f>IF('Angles des pennes'!AG21="","",90-'Angles des pennes'!AG21)</f>
        <v>40.1</v>
      </c>
      <c r="J20" s="784" t="str">
        <f>IF('Angles des pennes'!AH21="","",90-'Angles des pennes'!AH21)</f>
        <v/>
      </c>
      <c r="K20" s="784" t="str">
        <f>IF('Angles des pennes'!AI21="","",90-'Angles des pennes'!AI21)</f>
        <v/>
      </c>
      <c r="L20" s="787">
        <f>IF('Angles des pennes'!AJ21="","",90-'Angles des pennes'!AJ21)</f>
        <v>-45</v>
      </c>
      <c r="M20" s="781">
        <f t="shared" si="0"/>
        <v>49.408782395215709</v>
      </c>
      <c r="O20" s="782">
        <f>IF('Sections rachis &amp; L pennes'!AC20="","",'Sections rachis &amp; L pennes'!AC20)</f>
        <v>40</v>
      </c>
      <c r="P20" s="783">
        <f>IF('Angles des pennes'!AB55="","",90-'Angles des pennes'!AB55)</f>
        <v>55.3</v>
      </c>
      <c r="Q20" s="784" t="str">
        <f>IF('Angles des pennes'!AC55="","",90-'Angles des pennes'!AC55)</f>
        <v/>
      </c>
      <c r="R20" s="784" t="str">
        <f>IF('Angles des pennes'!AD55="","",90-'Angles des pennes'!AD55)</f>
        <v/>
      </c>
      <c r="S20" s="787">
        <f>IF('Angles des pennes'!AE55="","",90-'Angles des pennes'!AE55)</f>
        <v>-44.300000000000011</v>
      </c>
      <c r="T20" s="782">
        <f>IF('Sections rachis &amp; L pennes'!AH20="","",'Sections rachis &amp; L pennes'!AH20)</f>
        <v>40</v>
      </c>
      <c r="U20" s="783">
        <f>IF('Angles des pennes'!AG55="","",90-'Angles des pennes'!AG55)</f>
        <v>42.2</v>
      </c>
      <c r="V20" s="784" t="str">
        <f>IF('Angles des pennes'!AH55="","",90-'Angles des pennes'!AH55)</f>
        <v/>
      </c>
      <c r="W20" s="784" t="str">
        <f>IF('Angles des pennes'!AI55="","",90-'Angles des pennes'!AI55)</f>
        <v/>
      </c>
      <c r="X20" s="787">
        <f>IF('Angles des pennes'!AJ55="","",90-'Angles des pennes'!AJ55)</f>
        <v>-62.699999999999989</v>
      </c>
    </row>
    <row r="21" spans="1:24" s="345" customFormat="1">
      <c r="A21" s="345">
        <f t="shared" si="1"/>
        <v>50</v>
      </c>
      <c r="C21" s="782">
        <f>IF('Sections rachis &amp; L pennes'!Q21="","",'Sections rachis &amp; L pennes'!Q21)</f>
        <v>50</v>
      </c>
      <c r="D21" s="783">
        <f>IF('Angles des pennes'!AB22="","",90-'Angles des pennes'!AB22)</f>
        <v>41.6</v>
      </c>
      <c r="E21" s="784" t="str">
        <f>IF('Angles des pennes'!AC22="","",90-'Angles des pennes'!AC22)</f>
        <v/>
      </c>
      <c r="F21" s="784" t="str">
        <f>IF('Angles des pennes'!AD22="","",90-'Angles des pennes'!AD22)</f>
        <v/>
      </c>
      <c r="G21" s="787">
        <f>IF('Angles des pennes'!AE22="","",90-'Angles des pennes'!AE22)</f>
        <v>-45.599999999999994</v>
      </c>
      <c r="H21" s="782">
        <f>IF('Sections rachis &amp; L pennes'!V21="","",'Sections rachis &amp; L pennes'!V21)</f>
        <v>50</v>
      </c>
      <c r="I21" s="783">
        <f>IF('Angles des pennes'!AG22="","",90-'Angles des pennes'!AG22)</f>
        <v>31.700000000000003</v>
      </c>
      <c r="J21" s="784" t="str">
        <f>IF('Angles des pennes'!AH22="","",90-'Angles des pennes'!AH22)</f>
        <v/>
      </c>
      <c r="K21" s="784" t="str">
        <f>IF('Angles des pennes'!AI22="","",90-'Angles des pennes'!AI22)</f>
        <v/>
      </c>
      <c r="L21" s="787" t="str">
        <f>IF('Angles des pennes'!AJ22="","",90-'Angles des pennes'!AJ22)</f>
        <v/>
      </c>
      <c r="M21" s="781">
        <f t="shared" si="0"/>
        <v>48.332078596192936</v>
      </c>
      <c r="O21" s="782">
        <f>IF('Sections rachis &amp; L pennes'!AC21="","",'Sections rachis &amp; L pennes'!AC21)</f>
        <v>50</v>
      </c>
      <c r="P21" s="783">
        <f>IF('Angles des pennes'!AB56="","",90-'Angles des pennes'!AB56)</f>
        <v>48.3</v>
      </c>
      <c r="Q21" s="784">
        <f>IF('Angles des pennes'!AC56="","",90-'Angles des pennes'!AC56)</f>
        <v>-18.5</v>
      </c>
      <c r="R21" s="784" t="str">
        <f>IF('Angles des pennes'!AD56="","",90-'Angles des pennes'!AD56)</f>
        <v/>
      </c>
      <c r="S21" s="787">
        <f>IF('Angles des pennes'!AE56="","",90-'Angles des pennes'!AE56)</f>
        <v>-68.199999999999989</v>
      </c>
      <c r="T21" s="782">
        <f>IF('Sections rachis &amp; L pennes'!AH21="","",'Sections rachis &amp; L pennes'!AH21)</f>
        <v>50</v>
      </c>
      <c r="U21" s="783">
        <f>IF('Angles des pennes'!AG56="","",90-'Angles des pennes'!AG56)</f>
        <v>36</v>
      </c>
      <c r="V21" s="784" t="str">
        <f>IF('Angles des pennes'!AH56="","",90-'Angles des pennes'!AH56)</f>
        <v/>
      </c>
      <c r="W21" s="784" t="str">
        <f>IF('Angles des pennes'!AI56="","",90-'Angles des pennes'!AI56)</f>
        <v/>
      </c>
      <c r="X21" s="787">
        <f>IF('Angles des pennes'!AJ56="","",90-'Angles des pennes'!AJ56)</f>
        <v>-55</v>
      </c>
    </row>
    <row r="22" spans="1:24" s="345" customFormat="1">
      <c r="A22" s="345">
        <f t="shared" si="1"/>
        <v>60</v>
      </c>
      <c r="C22" s="782">
        <f>IF('Sections rachis &amp; L pennes'!Q22="","",'Sections rachis &amp; L pennes'!Q22)</f>
        <v>60</v>
      </c>
      <c r="D22" s="783">
        <f>IF('Angles des pennes'!AB23="","",90-'Angles des pennes'!AB23)</f>
        <v>41.4</v>
      </c>
      <c r="E22" s="784" t="str">
        <f>IF('Angles des pennes'!AC23="","",90-'Angles des pennes'!AC23)</f>
        <v/>
      </c>
      <c r="F22" s="784" t="str">
        <f>IF('Angles des pennes'!AD23="","",90-'Angles des pennes'!AD23)</f>
        <v/>
      </c>
      <c r="G22" s="787">
        <f>IF('Angles des pennes'!AE23="","",90-'Angles des pennes'!AE23)</f>
        <v>-20</v>
      </c>
      <c r="H22" s="782">
        <f>IF('Sections rachis &amp; L pennes'!V22="","",'Sections rachis &amp; L pennes'!V22)</f>
        <v>60</v>
      </c>
      <c r="I22" s="783">
        <f>IF('Angles des pennes'!AG23="","",90-'Angles des pennes'!AG23)</f>
        <v>30</v>
      </c>
      <c r="J22" s="784">
        <f>IF('Angles des pennes'!AH23="","",90-'Angles des pennes'!AH23)</f>
        <v>2.7999999999999972</v>
      </c>
      <c r="K22" s="784" t="str">
        <f>IF('Angles des pennes'!AI23="","",90-'Angles des pennes'!AI23)</f>
        <v/>
      </c>
      <c r="L22" s="787">
        <f>IF('Angles des pennes'!AJ23="","",90-'Angles des pennes'!AJ23)</f>
        <v>-39.599999999999994</v>
      </c>
      <c r="M22" s="781">
        <f t="shared" si="0"/>
        <v>32.49938290012426</v>
      </c>
      <c r="O22" s="782">
        <f>IF('Sections rachis &amp; L pennes'!AC22="","",'Sections rachis &amp; L pennes'!AC22)</f>
        <v>60</v>
      </c>
      <c r="P22" s="783">
        <f>IF('Angles des pennes'!AB57="","",90-'Angles des pennes'!AB57)</f>
        <v>23.599999999999994</v>
      </c>
      <c r="Q22" s="784" t="str">
        <f>IF('Angles des pennes'!AC57="","",90-'Angles des pennes'!AC57)</f>
        <v/>
      </c>
      <c r="R22" s="784" t="str">
        <f>IF('Angles des pennes'!AD57="","",90-'Angles des pennes'!AD57)</f>
        <v/>
      </c>
      <c r="S22" s="787">
        <f>IF('Angles des pennes'!AE57="","",90-'Angles des pennes'!AE57)</f>
        <v>-46.699999999999989</v>
      </c>
      <c r="T22" s="782">
        <f>IF('Sections rachis &amp; L pennes'!AH22="","",'Sections rachis &amp; L pennes'!AH22)</f>
        <v>60</v>
      </c>
      <c r="U22" s="783">
        <f>IF('Angles des pennes'!AG57="","",90-'Angles des pennes'!AG57)</f>
        <v>3.5999999999999943</v>
      </c>
      <c r="V22" s="784">
        <f>IF('Angles des pennes'!AH57="","",90-'Angles des pennes'!AH57)</f>
        <v>-6</v>
      </c>
      <c r="W22" s="784" t="str">
        <f>IF('Angles des pennes'!AI57="","",90-'Angles des pennes'!AI57)</f>
        <v/>
      </c>
      <c r="X22" s="787">
        <f>IF('Angles des pennes'!AJ57="","",90-'Angles des pennes'!AJ57)</f>
        <v>-50</v>
      </c>
    </row>
    <row r="23" spans="1:24" s="345" customFormat="1">
      <c r="A23" s="345">
        <f t="shared" si="1"/>
        <v>70</v>
      </c>
      <c r="C23" s="782">
        <f>IF('Sections rachis &amp; L pennes'!Q23="","",'Sections rachis &amp; L pennes'!Q23)</f>
        <v>70</v>
      </c>
      <c r="D23" s="783">
        <f>IF('Angles des pennes'!AB24="","",90-'Angles des pennes'!AB24)</f>
        <v>10.900000000000006</v>
      </c>
      <c r="E23" s="784" t="str">
        <f>IF('Angles des pennes'!AC24="","",90-'Angles des pennes'!AC24)</f>
        <v/>
      </c>
      <c r="F23" s="784" t="str">
        <f>IF('Angles des pennes'!AD24="","",90-'Angles des pennes'!AD24)</f>
        <v/>
      </c>
      <c r="G23" s="787">
        <f>IF('Angles des pennes'!AE24="","",90-'Angles des pennes'!AE24)</f>
        <v>-17.900000000000006</v>
      </c>
      <c r="H23" s="782">
        <f>IF('Sections rachis &amp; L pennes'!V23="","",'Sections rachis &amp; L pennes'!V23)</f>
        <v>70</v>
      </c>
      <c r="I23" s="783">
        <f>IF('Angles des pennes'!AG24="","",90-'Angles des pennes'!AG24)</f>
        <v>23</v>
      </c>
      <c r="J23" s="784" t="str">
        <f>IF('Angles des pennes'!AH24="","",90-'Angles des pennes'!AH24)</f>
        <v/>
      </c>
      <c r="K23" s="784" t="str">
        <f>IF('Angles des pennes'!AI24="","",90-'Angles des pennes'!AI24)</f>
        <v/>
      </c>
      <c r="L23" s="787">
        <f>IF('Angles des pennes'!AJ24="","",90-'Angles des pennes'!AJ24)</f>
        <v>-48.099999999999994</v>
      </c>
      <c r="M23" s="781">
        <f t="shared" si="0"/>
        <v>32.389581658304884</v>
      </c>
      <c r="O23" s="782">
        <f>IF('Sections rachis &amp; L pennes'!AC23="","",'Sections rachis &amp; L pennes'!AC23)</f>
        <v>70</v>
      </c>
      <c r="P23" s="783">
        <f>IF('Angles des pennes'!AB58="","",90-'Angles des pennes'!AB58)</f>
        <v>23.400000000000006</v>
      </c>
      <c r="Q23" s="784" t="str">
        <f>IF('Angles des pennes'!AC58="","",90-'Angles des pennes'!AC58)</f>
        <v/>
      </c>
      <c r="R23" s="784" t="str">
        <f>IF('Angles des pennes'!AD58="","",90-'Angles des pennes'!AD58)</f>
        <v/>
      </c>
      <c r="S23" s="787">
        <f>IF('Angles des pennes'!AE58="","",90-'Angles des pennes'!AE58)</f>
        <v>-23.400000000000006</v>
      </c>
      <c r="T23" s="782">
        <f>IF('Sections rachis &amp; L pennes'!AH23="","",'Sections rachis &amp; L pennes'!AH23)</f>
        <v>70</v>
      </c>
      <c r="U23" s="783">
        <f>IF('Angles des pennes'!AG58="","",90-'Angles des pennes'!AG58)</f>
        <v>19.799999999999997</v>
      </c>
      <c r="V23" s="784">
        <f>IF('Angles des pennes'!AH58="","",90-'Angles des pennes'!AH58)</f>
        <v>8.5</v>
      </c>
      <c r="W23" s="784" t="str">
        <f>IF('Angles des pennes'!AI58="","",90-'Angles des pennes'!AI58)</f>
        <v/>
      </c>
      <c r="X23" s="787">
        <f>IF('Angles des pennes'!AJ58="","",90-'Angles des pennes'!AJ58)</f>
        <v>-63.699999999999989</v>
      </c>
    </row>
    <row r="24" spans="1:24" s="345" customFormat="1">
      <c r="A24" s="345">
        <f t="shared" si="1"/>
        <v>80</v>
      </c>
      <c r="C24" s="782">
        <f>IF('Sections rachis &amp; L pennes'!Q24="","",'Sections rachis &amp; L pennes'!Q24)</f>
        <v>80</v>
      </c>
      <c r="D24" s="783">
        <f>IF('Angles des pennes'!AB25="","",90-'Angles des pennes'!AB25)</f>
        <v>38.700000000000003</v>
      </c>
      <c r="E24" s="784" t="str">
        <f>IF('Angles des pennes'!AC25="","",90-'Angles des pennes'!AC25)</f>
        <v/>
      </c>
      <c r="F24" s="784" t="str">
        <f>IF('Angles des pennes'!AD25="","",90-'Angles des pennes'!AD25)</f>
        <v/>
      </c>
      <c r="G24" s="787">
        <f>IF('Angles des pennes'!AE25="","",90-'Angles des pennes'!AE25)</f>
        <v>-44.199999999999989</v>
      </c>
      <c r="H24" s="782">
        <f>IF('Sections rachis &amp; L pennes'!V24="","",'Sections rachis &amp; L pennes'!V24)</f>
        <v>80</v>
      </c>
      <c r="I24" s="783">
        <f>IF('Angles des pennes'!AG25="","",90-'Angles des pennes'!AG25)</f>
        <v>15.5</v>
      </c>
      <c r="J24" s="784">
        <f>IF('Angles des pennes'!AH25="","",90-'Angles des pennes'!AH25)</f>
        <v>-24.799999999999997</v>
      </c>
      <c r="K24" s="784" t="str">
        <f>IF('Angles des pennes'!AI25="","",90-'Angles des pennes'!AI25)</f>
        <v/>
      </c>
      <c r="L24" s="787">
        <f>IF('Angles des pennes'!AJ25="","",90-'Angles des pennes'!AJ25)</f>
        <v>-55.800000000000011</v>
      </c>
      <c r="M24" s="781">
        <f t="shared" si="0"/>
        <v>34.159138268883879</v>
      </c>
      <c r="O24" s="782">
        <f>IF('Sections rachis &amp; L pennes'!AC24="","",'Sections rachis &amp; L pennes'!AC24)</f>
        <v>80</v>
      </c>
      <c r="P24" s="783">
        <f>IF('Angles des pennes'!AB59="","",90-'Angles des pennes'!AB59)</f>
        <v>31.9</v>
      </c>
      <c r="Q24" s="784">
        <f>IF('Angles des pennes'!AC59="","",90-'Angles des pennes'!AC59)</f>
        <v>1.5</v>
      </c>
      <c r="R24" s="784" t="str">
        <f>IF('Angles des pennes'!AD59="","",90-'Angles des pennes'!AD59)</f>
        <v/>
      </c>
      <c r="S24" s="787">
        <f>IF('Angles des pennes'!AE59="","",90-'Angles des pennes'!AE59)</f>
        <v>-41.599999999999994</v>
      </c>
      <c r="T24" s="782">
        <f>IF('Sections rachis &amp; L pennes'!AH24="","",'Sections rachis &amp; L pennes'!AH24)</f>
        <v>80</v>
      </c>
      <c r="U24" s="783">
        <f>IF('Angles des pennes'!AG59="","",90-'Angles des pennes'!AG59)</f>
        <v>1.5999999999999943</v>
      </c>
      <c r="V24" s="784">
        <f>IF('Angles des pennes'!AH59="","",90-'Angles des pennes'!AH59)</f>
        <v>-15.400000000000006</v>
      </c>
      <c r="W24" s="784" t="str">
        <f>IF('Angles des pennes'!AI59="","",90-'Angles des pennes'!AI59)</f>
        <v/>
      </c>
      <c r="X24" s="787">
        <f>IF('Angles des pennes'!AJ59="","",90-'Angles des pennes'!AJ59)</f>
        <v>-57.5</v>
      </c>
    </row>
    <row r="25" spans="1:24" s="345" customFormat="1" ht="13.5" thickBot="1">
      <c r="A25" s="345">
        <f t="shared" si="1"/>
        <v>90</v>
      </c>
      <c r="C25" s="794">
        <f>IF('Sections rachis &amp; L pennes'!Q25="","",'Sections rachis &amp; L pennes'!Q25)</f>
        <v>90</v>
      </c>
      <c r="D25" s="783" t="str">
        <f>IF('Angles des pennes'!AB26="","",90-'Angles des pennes'!AB26)</f>
        <v/>
      </c>
      <c r="E25" s="784">
        <f>IF('Angles des pennes'!AC26="","",90-'Angles des pennes'!AC26)</f>
        <v>12.299999999999997</v>
      </c>
      <c r="F25" s="784" t="str">
        <f>IF('Angles des pennes'!AD26="","",90-'Angles des pennes'!AD26)</f>
        <v/>
      </c>
      <c r="G25" s="787" t="str">
        <f>IF('Angles des pennes'!AE26="","",90-'Angles des pennes'!AE26)</f>
        <v/>
      </c>
      <c r="H25" s="794">
        <f>IF('Sections rachis &amp; L pennes'!V25="","",'Sections rachis &amp; L pennes'!V25)</f>
        <v>90</v>
      </c>
      <c r="I25" s="783" t="str">
        <f>IF('Angles des pennes'!AG26="","",90-'Angles des pennes'!AG26)</f>
        <v/>
      </c>
      <c r="J25" s="784">
        <f>IF('Angles des pennes'!AH26="","",90-'Angles des pennes'!AH26)</f>
        <v>5.5</v>
      </c>
      <c r="K25" s="784" t="str">
        <f>IF('Angles des pennes'!AI26="","",90-'Angles des pennes'!AI26)</f>
        <v/>
      </c>
      <c r="L25" s="787" t="str">
        <f>IF('Angles des pennes'!AJ26="","",90-'Angles des pennes'!AJ26)</f>
        <v/>
      </c>
      <c r="M25" s="781">
        <f t="shared" si="0"/>
        <v>27.459788782873044</v>
      </c>
      <c r="O25" s="794">
        <f>IF('Sections rachis &amp; L pennes'!AC25="","",'Sections rachis &amp; L pennes'!AC25)</f>
        <v>90</v>
      </c>
      <c r="P25" s="783">
        <f>IF('Angles des pennes'!AB60="","",90-'Angles des pennes'!AB60)</f>
        <v>2.7000000000000028</v>
      </c>
      <c r="Q25" s="784" t="str">
        <f>IF('Angles des pennes'!AC60="","",90-'Angles des pennes'!AC60)</f>
        <v/>
      </c>
      <c r="R25" s="784" t="str">
        <f>IF('Angles des pennes'!AD60="","",90-'Angles des pennes'!AD60)</f>
        <v/>
      </c>
      <c r="S25" s="787" t="str">
        <f>IF('Angles des pennes'!AE60="","",90-'Angles des pennes'!AE60)</f>
        <v/>
      </c>
      <c r="T25" s="788">
        <f>IF('Sections rachis &amp; L pennes'!AH25="","",'Sections rachis &amp; L pennes'!AH25)</f>
        <v>90</v>
      </c>
      <c r="U25" s="783">
        <f>IF('Angles des pennes'!AG60="","",90-'Angles des pennes'!AG60)</f>
        <v>11.299999999999997</v>
      </c>
      <c r="V25" s="784" t="str">
        <f>IF('Angles des pennes'!AH60="","",90-'Angles des pennes'!AH60)</f>
        <v/>
      </c>
      <c r="W25" s="784" t="str">
        <f>IF('Angles des pennes'!AI60="","",90-'Angles des pennes'!AI60)</f>
        <v/>
      </c>
      <c r="X25" s="787">
        <f>IF('Angles des pennes'!AJ60="","",90-'Angles des pennes'!AJ60)</f>
        <v>-52.800000000000011</v>
      </c>
    </row>
    <row r="26" spans="1:24" s="345" customFormat="1">
      <c r="A26" s="345">
        <f t="shared" si="1"/>
        <v>97.736572490101764</v>
      </c>
      <c r="B26" s="648" t="s">
        <v>1247</v>
      </c>
      <c r="C26" s="795">
        <f>IF('Sections rachis &amp; L pennes'!Q26="","",'Sections rachis &amp; L pennes'!Q26)</f>
        <v>97.59213759213759</v>
      </c>
      <c r="D26" s="776" t="str">
        <f>IF('Angles des pennes'!AB27="","",90-'Angles des pennes'!AB27)</f>
        <v/>
      </c>
      <c r="E26" s="777" t="str">
        <f>IF('Angles des pennes'!AC27="","",90-'Angles des pennes'!AC27)</f>
        <v/>
      </c>
      <c r="F26" s="777" t="str">
        <f>IF('Angles des pennes'!AD27="","",90-'Angles des pennes'!AD27)</f>
        <v/>
      </c>
      <c r="G26" s="780">
        <f>IF('Angles des pennes'!AE27="","",90-'Angles des pennes'!AE27)</f>
        <v>-54.599999999999994</v>
      </c>
      <c r="H26" s="795">
        <f>IF('Sections rachis &amp; L pennes'!V26="","",'Sections rachis &amp; L pennes'!V26)</f>
        <v>97.54299754299754</v>
      </c>
      <c r="I26" s="776">
        <f>IF('Angles des pennes'!AG27="","",90-'Angles des pennes'!AG27)</f>
        <v>39.700000000000003</v>
      </c>
      <c r="J26" s="777" t="str">
        <f>IF('Angles des pennes'!AH27="","",90-'Angles des pennes'!AH27)</f>
        <v/>
      </c>
      <c r="K26" s="777" t="str">
        <f>IF('Angles des pennes'!AI27="","",90-'Angles des pennes'!AI27)</f>
        <v/>
      </c>
      <c r="L26" s="780" t="str">
        <f>IF('Angles des pennes'!AJ27="","",90-'Angles des pennes'!AJ27)</f>
        <v/>
      </c>
      <c r="M26" s="781">
        <f t="shared" si="0"/>
        <v>46.578285355588889</v>
      </c>
      <c r="N26" s="648" t="s">
        <v>1247</v>
      </c>
      <c r="O26" s="795">
        <f>IF('Sections rachis &amp; L pennes'!AC26="","",'Sections rachis &amp; L pennes'!AC26)</f>
        <v>98.032862763249241</v>
      </c>
      <c r="P26" s="1057" t="str">
        <f>IF('Angles des pennes'!AB61="","",90-'Angles des pennes'!AB61)</f>
        <v/>
      </c>
      <c r="Q26" s="1058" t="str">
        <f>IF('Angles des pennes'!AC61="","",90-'Angles des pennes'!AC61)</f>
        <v/>
      </c>
      <c r="R26" s="779" t="str">
        <f>IF('Angles des pennes'!AD61="","",90-'Angles des pennes'!AD61)</f>
        <v/>
      </c>
      <c r="S26" s="780">
        <f>IF('Angles des pennes'!AE61="","",90-'Angles des pennes'!AE61)</f>
        <v>-46</v>
      </c>
      <c r="T26" s="796">
        <f>IF('Sections rachis &amp; L pennes'!AH26="","",'Sections rachis &amp; L pennes'!AH26)</f>
        <v>97.778292062022672</v>
      </c>
      <c r="U26" s="776" t="str">
        <f>IF('Angles des pennes'!AG61="","",90-'Angles des pennes'!AG61)</f>
        <v/>
      </c>
      <c r="V26" s="777" t="str">
        <f>IF('Angles des pennes'!AH61="","",90-'Angles des pennes'!AH61)</f>
        <v/>
      </c>
      <c r="W26" s="777" t="str">
        <f>IF('Angles des pennes'!AI61="","",90-'Angles des pennes'!AI61)</f>
        <v/>
      </c>
      <c r="X26" s="780">
        <f>IF('Angles des pennes'!AJ61="","",90-'Angles des pennes'!AJ61)</f>
        <v>-58.099999999999994</v>
      </c>
    </row>
    <row r="27" spans="1:24" s="345" customFormat="1">
      <c r="A27" s="345">
        <f t="shared" si="1"/>
        <v>98.474693898206965</v>
      </c>
      <c r="B27" s="653" t="s">
        <v>1248</v>
      </c>
      <c r="C27" s="797">
        <f>IF('Sections rachis &amp; L pennes'!Q27="","",'Sections rachis &amp; L pennes'!Q27)</f>
        <v>98.599508599508596</v>
      </c>
      <c r="D27" s="783">
        <f>IF('Angles des pennes'!AB28="","",90-'Angles des pennes'!AB28)</f>
        <v>31.1</v>
      </c>
      <c r="E27" s="784" t="str">
        <f>IF('Angles des pennes'!AC28="","",90-'Angles des pennes'!AC28)</f>
        <v/>
      </c>
      <c r="F27" s="784" t="str">
        <f>IF('Angles des pennes'!AD28="","",90-'Angles des pennes'!AD28)</f>
        <v/>
      </c>
      <c r="G27" s="787" t="str">
        <f>IF('Angles des pennes'!AE28="","",90-'Angles des pennes'!AE28)</f>
        <v/>
      </c>
      <c r="H27" s="797">
        <f>IF('Sections rachis &amp; L pennes'!V27="","",'Sections rachis &amp; L pennes'!V27)</f>
        <v>97.960687960687963</v>
      </c>
      <c r="I27" s="783" t="str">
        <f>IF('Angles des pennes'!AG28="","",90-'Angles des pennes'!AG28)</f>
        <v/>
      </c>
      <c r="J27" s="784" t="str">
        <f>IF('Angles des pennes'!AH28="","",90-'Angles des pennes'!AH28)</f>
        <v/>
      </c>
      <c r="K27" s="784" t="str">
        <f>IF('Angles des pennes'!AI28="","",90-'Angles des pennes'!AI28)</f>
        <v/>
      </c>
      <c r="L27" s="787">
        <f>IF('Angles des pennes'!AJ28="","",90-'Angles des pennes'!AJ28)</f>
        <v>-45.699999999999989</v>
      </c>
      <c r="M27" s="781">
        <f t="shared" si="0"/>
        <v>32.820420472626488</v>
      </c>
      <c r="N27" s="653" t="s">
        <v>1248</v>
      </c>
      <c r="O27" s="797">
        <f>IF('Sections rachis &amp; L pennes'!AC27="","",'Sections rachis &amp; L pennes'!AC27)</f>
        <v>98.704003702846563</v>
      </c>
      <c r="P27" s="1059" t="str">
        <f>IF('Angles des pennes'!AB62="","",90-'Angles des pennes'!AB62)</f>
        <v/>
      </c>
      <c r="Q27" s="1060">
        <f>IF('Angles des pennes'!AC62="","",90-'Angles des pennes'!AC62)</f>
        <v>-2.2000000000000028</v>
      </c>
      <c r="R27" s="786" t="str">
        <f>IF('Angles des pennes'!AD62="","",90-'Angles des pennes'!AD62)</f>
        <v/>
      </c>
      <c r="S27" s="787" t="str">
        <f>IF('Angles des pennes'!AE62="","",90-'Angles des pennes'!AE62)</f>
        <v/>
      </c>
      <c r="T27" s="797">
        <f>IF('Sections rachis &amp; L pennes'!AH27="","",'Sections rachis &amp; L pennes'!AH27)</f>
        <v>98.634575329784766</v>
      </c>
      <c r="U27" s="783">
        <f>IF('Angles des pennes'!AG62="","",90-'Angles des pennes'!AG62)</f>
        <v>13.200000000000003</v>
      </c>
      <c r="V27" s="784" t="str">
        <f>IF('Angles des pennes'!AH62="","",90-'Angles des pennes'!AH62)</f>
        <v/>
      </c>
      <c r="W27" s="784" t="str">
        <f>IF('Angles des pennes'!AI62="","",90-'Angles des pennes'!AI62)</f>
        <v/>
      </c>
      <c r="X27" s="787" t="str">
        <f>IF('Angles des pennes'!AJ62="","",90-'Angles des pennes'!AJ62)</f>
        <v/>
      </c>
    </row>
    <row r="28" spans="1:24" s="345" customFormat="1">
      <c r="A28" s="345">
        <f t="shared" si="1"/>
        <v>99.115172061249353</v>
      </c>
      <c r="B28" s="653" t="s">
        <v>1249</v>
      </c>
      <c r="C28" s="797">
        <f>IF('Sections rachis &amp; L pennes'!Q28="","",'Sections rachis &amp; L pennes'!Q28)</f>
        <v>99.017199017199019</v>
      </c>
      <c r="D28" s="783" t="str">
        <f>IF('Angles des pennes'!AB29="","",90-'Angles des pennes'!AB29)</f>
        <v/>
      </c>
      <c r="E28" s="784" t="str">
        <f>IF('Angles des pennes'!AC29="","",90-'Angles des pennes'!AC29)</f>
        <v/>
      </c>
      <c r="F28" s="784" t="str">
        <f>IF('Angles des pennes'!AD29="","",90-'Angles des pennes'!AD29)</f>
        <v/>
      </c>
      <c r="G28" s="787">
        <f>IF('Angles des pennes'!AE29="","",90-'Angles des pennes'!AE29)</f>
        <v>-37.799999999999997</v>
      </c>
      <c r="H28" s="797">
        <f>IF('Sections rachis &amp; L pennes'!V28="","",'Sections rachis &amp; L pennes'!V28)</f>
        <v>99.017199017199019</v>
      </c>
      <c r="I28" s="783">
        <f>IF('Angles des pennes'!AG29="","",90-'Angles des pennes'!AG29)</f>
        <v>5.5</v>
      </c>
      <c r="J28" s="784" t="str">
        <f>IF('Angles des pennes'!AH29="","",90-'Angles des pennes'!AH29)</f>
        <v/>
      </c>
      <c r="K28" s="784" t="str">
        <f>IF('Angles des pennes'!AI29="","",90-'Angles des pennes'!AI29)</f>
        <v/>
      </c>
      <c r="L28" s="787" t="str">
        <f>IF('Angles des pennes'!AJ29="","",90-'Angles des pennes'!AJ29)</f>
        <v/>
      </c>
      <c r="M28" s="781">
        <f t="shared" si="0"/>
        <v>28.43618586707203</v>
      </c>
      <c r="N28" s="653" t="s">
        <v>1249</v>
      </c>
      <c r="O28" s="797">
        <f>IF('Sections rachis &amp; L pennes'!AC28="","",'Sections rachis &amp; L pennes'!AC28)</f>
        <v>99.352001851423282</v>
      </c>
      <c r="P28" s="1059">
        <f>IF('Angles des pennes'!AB63="","",90-'Angles des pennes'!AB63)</f>
        <v>-38.199999999999989</v>
      </c>
      <c r="Q28" s="1060" t="str">
        <f>IF('Angles des pennes'!AC63="","",90-'Angles des pennes'!AC63)</f>
        <v/>
      </c>
      <c r="R28" s="786" t="str">
        <f>IF('Angles des pennes'!AD63="","",90-'Angles des pennes'!AD63)</f>
        <v/>
      </c>
      <c r="S28" s="787" t="str">
        <f>IF('Angles des pennes'!AE63="","",90-'Angles des pennes'!AE63)</f>
        <v/>
      </c>
      <c r="T28" s="797">
        <f>IF('Sections rachis &amp; L pennes'!AH28="","",'Sections rachis &amp; L pennes'!AH28)</f>
        <v>99.074288359176109</v>
      </c>
      <c r="U28" s="783" t="str">
        <f>IF('Angles des pennes'!AG63="","",90-'Angles des pennes'!AG63)</f>
        <v/>
      </c>
      <c r="V28" s="784" t="str">
        <f>IF('Angles des pennes'!AH63="","",90-'Angles des pennes'!AH63)</f>
        <v/>
      </c>
      <c r="W28" s="784" t="str">
        <f>IF('Angles des pennes'!AI63="","",90-'Angles des pennes'!AI63)</f>
        <v/>
      </c>
      <c r="X28" s="787">
        <f>IF('Angles des pennes'!AJ63="","",90-'Angles des pennes'!AJ63)</f>
        <v>-62.900000000000006</v>
      </c>
    </row>
    <row r="29" spans="1:24" s="345" customFormat="1">
      <c r="A29" s="345">
        <f t="shared" si="1"/>
        <v>99.665653482478291</v>
      </c>
      <c r="B29" s="653" t="s">
        <v>1251</v>
      </c>
      <c r="C29" s="797">
        <f>IF('Sections rachis &amp; L pennes'!Q29="","",'Sections rachis &amp; L pennes'!Q29)</f>
        <v>99.656019656019652</v>
      </c>
      <c r="D29" s="783" t="str">
        <f>IF('Angles des pennes'!AB30="","",90-'Angles des pennes'!AB30)</f>
        <v/>
      </c>
      <c r="E29" s="784">
        <f>IF('Angles des pennes'!AC30="","",90-'Angles des pennes'!AC30)</f>
        <v>-25.200000000000003</v>
      </c>
      <c r="F29" s="784" t="str">
        <f>IF('Angles des pennes'!AD30="","",90-'Angles des pennes'!AD30)</f>
        <v/>
      </c>
      <c r="G29" s="787" t="str">
        <f>IF('Angles des pennes'!AE30="","",90-'Angles des pennes'!AE30)</f>
        <v/>
      </c>
      <c r="H29" s="797">
        <f>IF('Sections rachis &amp; L pennes'!V29="","",'Sections rachis &amp; L pennes'!V29)</f>
        <v>99.631449631449627</v>
      </c>
      <c r="I29" s="783" t="str">
        <f>IF('Angles des pennes'!AG30="","",90-'Angles des pennes'!AG30)</f>
        <v/>
      </c>
      <c r="J29" s="784" t="str">
        <f>IF('Angles des pennes'!AH30="","",90-'Angles des pennes'!AH30)</f>
        <v/>
      </c>
      <c r="K29" s="784" t="str">
        <f>IF('Angles des pennes'!AI30="","",90-'Angles des pennes'!AI30)</f>
        <v/>
      </c>
      <c r="L29" s="787">
        <f>IF('Angles des pennes'!AJ30="","",90-'Angles des pennes'!AJ30)</f>
        <v>-27.5</v>
      </c>
      <c r="M29" s="781">
        <f t="shared" si="0"/>
        <v>11.719606079841858</v>
      </c>
      <c r="N29" s="653" t="s">
        <v>1251</v>
      </c>
      <c r="O29" s="797">
        <f>IF('Sections rachis &amp; L pennes'!AC29="","",'Sections rachis &amp; L pennes'!AC29)</f>
        <v>99.745429298773431</v>
      </c>
      <c r="P29" s="1059" t="str">
        <f>IF('Angles des pennes'!AB64="","",90-'Angles des pennes'!AB64)</f>
        <v/>
      </c>
      <c r="Q29" s="1060">
        <f>IF('Angles des pennes'!AC64="","",90-'Angles des pennes'!AC64)</f>
        <v>-40</v>
      </c>
      <c r="R29" s="786" t="str">
        <f>IF('Angles des pennes'!AD64="","",90-'Angles des pennes'!AD64)</f>
        <v/>
      </c>
      <c r="S29" s="787" t="str">
        <f>IF('Angles des pennes'!AE64="","",90-'Angles des pennes'!AE64)</f>
        <v/>
      </c>
      <c r="T29" s="797">
        <f>IF('Sections rachis &amp; L pennes'!AH29="","",'Sections rachis &amp; L pennes'!AH29)</f>
        <v>99.629715343670441</v>
      </c>
      <c r="U29" s="783">
        <f>IF('Angles des pennes'!AG64="","",90-'Angles des pennes'!AG64)</f>
        <v>-50.400000000000006</v>
      </c>
      <c r="V29" s="784" t="str">
        <f>IF('Angles des pennes'!AH64="","",90-'Angles des pennes'!AH64)</f>
        <v/>
      </c>
      <c r="W29" s="784" t="str">
        <f>IF('Angles des pennes'!AI64="","",90-'Angles des pennes'!AI64)</f>
        <v/>
      </c>
      <c r="X29" s="787" t="str">
        <f>IF('Angles des pennes'!AJ64="","",90-'Angles des pennes'!AJ64)</f>
        <v/>
      </c>
    </row>
    <row r="30" spans="1:24" s="345" customFormat="1" ht="13.5" thickBot="1">
      <c r="A30" s="345">
        <f t="shared" si="1"/>
        <v>99.951573567634654</v>
      </c>
      <c r="B30" s="657" t="s">
        <v>1252</v>
      </c>
      <c r="C30" s="798">
        <f>IF('Sections rachis &amp; L pennes'!Q30="","",'Sections rachis &amp; L pennes'!Q30)</f>
        <v>99.877149877149876</v>
      </c>
      <c r="D30" s="1061" t="str">
        <f>IF('Angles des pennes'!AB31="","",90-'Angles des pennes'!AB31)</f>
        <v/>
      </c>
      <c r="E30" s="1062">
        <f>IF('Angles des pennes'!AC31="","",90-'Angles des pennes'!AC31)</f>
        <v>-58.800000000000011</v>
      </c>
      <c r="F30" s="1062" t="str">
        <f>IF('Angles des pennes'!AD31="","",90-'Angles des pennes'!AD31)</f>
        <v/>
      </c>
      <c r="G30" s="1063" t="str">
        <f>IF('Angles des pennes'!AE31="","",90-'Angles des pennes'!AE31)</f>
        <v/>
      </c>
      <c r="H30" s="798">
        <f>IF('Sections rachis &amp; L pennes'!V30="","",'Sections rachis &amp; L pennes'!V30)</f>
        <v>99.975429975429975</v>
      </c>
      <c r="I30" s="789" t="str">
        <f>IF('Angles des pennes'!AG31="","",90-'Angles des pennes'!AG31)</f>
        <v/>
      </c>
      <c r="J30" s="790">
        <f>IF('Angles des pennes'!AH31="","",90-'Angles des pennes'!AH31)</f>
        <v>-58.800000000000011</v>
      </c>
      <c r="K30" s="790" t="str">
        <f>IF('Angles des pennes'!AI31="","",90-'Angles des pennes'!AI31)</f>
        <v/>
      </c>
      <c r="L30" s="793" t="str">
        <f>IF('Angles des pennes'!AJ31="","",90-'Angles des pennes'!AJ31)</f>
        <v/>
      </c>
      <c r="M30" s="781">
        <f t="shared" si="0"/>
        <v>3.2622844756397349</v>
      </c>
      <c r="N30" s="799" t="s">
        <v>1252</v>
      </c>
      <c r="O30" s="798">
        <f>IF('Sections rachis &amp; L pennes'!AC30="","",'Sections rachis &amp; L pennes'!AC30)</f>
        <v>99.976857208979396</v>
      </c>
      <c r="P30" s="1064" t="str">
        <f>IF('Angles des pennes'!AB65="","",90-'Angles des pennes'!AB65)</f>
        <v/>
      </c>
      <c r="Q30" s="1065" t="str">
        <f>IF('Angles des pennes'!AC65="","",90-'Angles des pennes'!AC65)</f>
        <v/>
      </c>
      <c r="R30" s="792" t="str">
        <f>IF('Angles des pennes'!AD65="","",90-'Angles des pennes'!AD65)</f>
        <v/>
      </c>
      <c r="S30" s="793">
        <f>IF('Angles des pennes'!AE65="","",90-'Angles des pennes'!AE65)</f>
        <v>-53.099999999999994</v>
      </c>
      <c r="T30" s="798">
        <f>IF('Sections rachis &amp; L pennes'!AH30="","",'Sections rachis &amp; L pennes'!AH30)</f>
        <v>99.976857208979396</v>
      </c>
      <c r="U30" s="789" t="str">
        <f>IF('Angles des pennes'!AG65="","",90-'Angles des pennes'!AG65)</f>
        <v/>
      </c>
      <c r="V30" s="790" t="str">
        <f>IF('Angles des pennes'!AH65="","",90-'Angles des pennes'!AH65)</f>
        <v/>
      </c>
      <c r="W30" s="790" t="str">
        <f>IF('Angles des pennes'!AI65="","",90-'Angles des pennes'!AI65)</f>
        <v/>
      </c>
      <c r="X30" s="793">
        <f>IF('Angles des pennes'!AJ65="","",90-'Angles des pennes'!AJ65)</f>
        <v>-60.599999999999994</v>
      </c>
    </row>
    <row r="31" spans="1:24" s="345" customFormat="1" ht="13.5" thickBot="1">
      <c r="A31" s="345">
        <f t="shared" si="1"/>
        <v>100</v>
      </c>
      <c r="B31" s="660" t="s">
        <v>1254</v>
      </c>
      <c r="C31" s="1066">
        <f>IF('Sections rachis &amp; L pennes'!Q31="","",'Sections rachis &amp; L pennes'!Q31)</f>
        <v>100</v>
      </c>
      <c r="D31" s="1067" t="str">
        <f>IF('Angles des pennes'!AB32="","",90-'Angles des pennes'!AB32)</f>
        <v/>
      </c>
      <c r="E31" s="802">
        <f>IF('Angles des pennes'!AC32="","",90-'Angles des pennes'!AC32)</f>
        <v>-5</v>
      </c>
      <c r="F31" s="802" t="str">
        <f>IF('Angles des pennes'!AD32="","",90-'Angles des pennes'!AD32)</f>
        <v/>
      </c>
      <c r="G31" s="803" t="str">
        <f>IF('Angles des pennes'!AE32="","",90-'Angles des pennes'!AE32)</f>
        <v/>
      </c>
      <c r="H31" s="1068" t="str">
        <f>IF('Sections rachis &amp; L pennes'!V31="","",'Sections rachis &amp; L pennes'!V31)</f>
        <v>XXX</v>
      </c>
      <c r="I31" s="801" t="str">
        <f>IF('Angles des pennes'!AG32="","",90-'Angles des pennes'!AG32)</f>
        <v/>
      </c>
      <c r="J31" s="802" t="str">
        <f>IF('Angles des pennes'!AH32="","",90-'Angles des pennes'!AH32)</f>
        <v/>
      </c>
      <c r="K31" s="802" t="str">
        <f>IF('Angles des pennes'!AI32="","",90-'Angles des pennes'!AI32)</f>
        <v/>
      </c>
      <c r="L31" s="803" t="str">
        <f>IF('Angles des pennes'!AJ32="","",90-'Angles des pennes'!AJ32)</f>
        <v/>
      </c>
      <c r="M31" s="781">
        <f>IF(COUNTIF(E31:G31,"")+COUNTIF(I31:L31,"")+COUNTIF(P31:S31,"")+COUNTIF(U31:X31,"")=16,"",IF(COUNTIF(E31:G31,"")+COUNTIF(I31:L31,"")+COUNTIF(P31:S31,"")+COUNTIF(U31:X31,"")=15,0,STDEV(E31:G31,I31:L31,P31:S31,U31:X31)))</f>
        <v>19.798989873223331</v>
      </c>
      <c r="N31" s="660" t="s">
        <v>1254</v>
      </c>
      <c r="O31" s="961">
        <f>IF('Sections rachis &amp; L pennes'!AC31="","",'Sections rachis &amp; L pennes'!AC31)</f>
        <v>100</v>
      </c>
      <c r="P31" s="1069" t="str">
        <f>IF('Angles des pennes'!AB66="","",90-'Angles des pennes'!AB66)</f>
        <v/>
      </c>
      <c r="Q31" s="1070">
        <f>IF('Angles des pennes'!AC66="","",90-'Angles des pennes'!AC66)</f>
        <v>-33</v>
      </c>
      <c r="R31" s="1071" t="str">
        <f>IF('Angles des pennes'!AD66="","",90-'Angles des pennes'!AD66)</f>
        <v/>
      </c>
      <c r="S31" s="803" t="str">
        <f>IF('Angles des pennes'!AE66="","",90-'Angles des pennes'!AE66)</f>
        <v/>
      </c>
      <c r="T31" s="961" t="str">
        <f>IF('Sections rachis &amp; L pennes'!AH31="","",'Sections rachis &amp; L pennes'!AH31)</f>
        <v>XXX</v>
      </c>
      <c r="U31" s="801" t="str">
        <f>IF('Angles des pennes'!AG66="","",90-'Angles des pennes'!AG66)</f>
        <v/>
      </c>
      <c r="V31" s="802" t="str">
        <f>IF('Angles des pennes'!AH66="","",90-'Angles des pennes'!AH66)</f>
        <v/>
      </c>
      <c r="W31" s="802" t="str">
        <f>IF('Angles des pennes'!AI66="","",90-'Angles des pennes'!AI66)</f>
        <v/>
      </c>
      <c r="X31" s="803" t="str">
        <f>IF('Angles des pennes'!AJ66="","",90-'Angles des pennes'!AJ66)</f>
        <v/>
      </c>
    </row>
    <row r="32" spans="1:24" s="345" customFormat="1">
      <c r="D32" s="805"/>
      <c r="E32" s="806"/>
      <c r="F32" s="807"/>
      <c r="G32" s="807"/>
      <c r="H32" s="807"/>
      <c r="I32" s="807"/>
      <c r="J32" s="807"/>
      <c r="K32" s="807"/>
      <c r="L32" s="807"/>
      <c r="M32" s="807"/>
      <c r="N32" s="807"/>
      <c r="O32" s="807"/>
      <c r="P32" s="807"/>
      <c r="Q32" s="807"/>
      <c r="R32" s="807"/>
      <c r="S32" s="808"/>
      <c r="T32" s="808"/>
    </row>
    <row r="33" spans="1:30" s="345" customFormat="1">
      <c r="B33" s="694"/>
      <c r="C33" s="814"/>
      <c r="D33" s="817"/>
      <c r="E33" s="811"/>
      <c r="F33" s="817"/>
      <c r="G33" s="476"/>
      <c r="H33" s="476"/>
      <c r="I33" s="476"/>
      <c r="J33" s="962"/>
      <c r="K33" s="476"/>
      <c r="L33" s="476"/>
      <c r="M33" s="476">
        <v>1</v>
      </c>
      <c r="N33" s="476"/>
      <c r="O33" s="476"/>
      <c r="P33" s="476"/>
      <c r="Q33" s="476"/>
      <c r="R33" s="817"/>
      <c r="S33" s="476"/>
      <c r="T33" s="476"/>
      <c r="U33" s="476"/>
      <c r="V33" s="476"/>
      <c r="W33" s="476"/>
      <c r="X33" s="476"/>
      <c r="Y33" s="476">
        <v>1</v>
      </c>
      <c r="Z33" s="476"/>
      <c r="AA33" s="476"/>
      <c r="AB33" s="476"/>
      <c r="AC33" s="476"/>
      <c r="AD33" s="476"/>
    </row>
    <row r="34" spans="1:30" s="345" customFormat="1" ht="14.25" customHeight="1" thickBot="1">
      <c r="B34" s="694"/>
      <c r="C34" s="814"/>
      <c r="D34" s="1003"/>
      <c r="E34" s="811"/>
      <c r="F34" s="1003"/>
      <c r="G34" s="476"/>
      <c r="H34" s="476"/>
      <c r="I34" s="476"/>
      <c r="J34" s="476"/>
      <c r="K34" s="476"/>
      <c r="L34" s="476"/>
      <c r="M34" s="476"/>
      <c r="N34" s="476"/>
      <c r="O34" s="476"/>
      <c r="P34" s="476"/>
      <c r="Q34" s="476"/>
      <c r="R34" s="817"/>
      <c r="S34" s="476"/>
      <c r="T34" s="476"/>
      <c r="U34" s="476"/>
      <c r="V34" s="476"/>
      <c r="W34" s="476"/>
      <c r="X34" s="476"/>
      <c r="Y34" s="476"/>
      <c r="Z34" s="476"/>
      <c r="AA34" s="476"/>
      <c r="AB34" s="476"/>
      <c r="AC34" s="476"/>
      <c r="AD34" s="476"/>
    </row>
    <row r="35" spans="1:30" s="345" customFormat="1" ht="16.5" thickBot="1">
      <c r="A35" s="345">
        <v>1</v>
      </c>
      <c r="B35" s="818" t="str">
        <f>IF(C16="","",C16)</f>
        <v/>
      </c>
      <c r="C35" s="809">
        <f>SUMIF(D$35:D$54,A35,B$35:B$54)</f>
        <v>5.3605555861977985</v>
      </c>
      <c r="D35" s="809">
        <f>IF(B35="",0,RANK(B35,B$35:B$54,1))</f>
        <v>0</v>
      </c>
      <c r="E35" s="814"/>
      <c r="F35" s="819">
        <v>1</v>
      </c>
      <c r="H35" s="1580" t="s">
        <v>1280</v>
      </c>
      <c r="I35" s="1581"/>
      <c r="J35" s="1581"/>
      <c r="K35" s="1581"/>
      <c r="L35" s="1581"/>
      <c r="M35" s="1581"/>
      <c r="N35" s="1581"/>
      <c r="O35" s="1581"/>
      <c r="P35" s="1581"/>
      <c r="Q35" s="1581"/>
      <c r="R35" s="1581"/>
      <c r="S35" s="1581"/>
      <c r="T35" s="1581"/>
      <c r="U35" s="1581"/>
      <c r="V35" s="1581"/>
      <c r="W35" s="1581"/>
      <c r="X35" s="1581"/>
      <c r="Y35" s="1581"/>
      <c r="Z35" s="1581"/>
      <c r="AA35" s="1582"/>
    </row>
    <row r="36" spans="1:30" s="345" customFormat="1" ht="15.75" customHeight="1" thickBot="1">
      <c r="A36" s="345">
        <v>2</v>
      </c>
      <c r="B36" s="818" t="str">
        <f>IF(O16="","",O16)</f>
        <v/>
      </c>
      <c r="C36" s="809">
        <f t="shared" ref="C36:C54" si="2">SUMIF(D$35:D$54,A36,B$35:B$54)</f>
        <v>10</v>
      </c>
      <c r="D36" s="809">
        <f t="shared" ref="D36:D54" si="3">IF(B36="",0,RANK(B36,B$35:B$54,1))</f>
        <v>0</v>
      </c>
      <c r="E36" s="1583" t="s">
        <v>1281</v>
      </c>
      <c r="F36" s="1584"/>
      <c r="G36" s="1585"/>
      <c r="H36" s="820">
        <f>IF($C35=0,"",$C35)</f>
        <v>5.3605555861977985</v>
      </c>
      <c r="I36" s="821">
        <f>IF($C36=0,"",$C36)</f>
        <v>10</v>
      </c>
      <c r="J36" s="821">
        <f>IF($C37=0,"",$C37)</f>
        <v>20</v>
      </c>
      <c r="K36" s="821">
        <f>IF($C38=0,"",$C38)</f>
        <v>26.922669813782981</v>
      </c>
      <c r="L36" s="821">
        <f>IF($C39=0,"",$C39)</f>
        <v>28.402760758696882</v>
      </c>
      <c r="M36" s="821">
        <f>IF($C40="",0,$C40)</f>
        <v>30</v>
      </c>
      <c r="N36" s="821">
        <f>IF($C41=0,"",$C41)</f>
        <v>40</v>
      </c>
      <c r="O36" s="821">
        <f>IF($C42=0,"",$C42)</f>
        <v>50</v>
      </c>
      <c r="P36" s="821">
        <f>IF($C43=0,"",$C43)</f>
        <v>60</v>
      </c>
      <c r="Q36" s="821">
        <f>IF($C44=0,"",$C44)</f>
        <v>70</v>
      </c>
      <c r="R36" s="821">
        <f>IF($C45=0,"",$C45)</f>
        <v>80</v>
      </c>
      <c r="S36" s="821">
        <f>IF($C46=0,"",$C46)</f>
        <v>90</v>
      </c>
      <c r="T36" s="821">
        <f>IF($C47=0,"",$C47)</f>
        <v>97.736572490101764</v>
      </c>
      <c r="U36" s="821">
        <f>IF($C48=0,"",$C48)</f>
        <v>98.474693898206965</v>
      </c>
      <c r="V36" s="821">
        <f>IF($C49=0,"",$C49)</f>
        <v>99.115172061249353</v>
      </c>
      <c r="W36" s="821">
        <f>IF($C50=0,"",$C50)</f>
        <v>99.665653482478291</v>
      </c>
      <c r="X36" s="821">
        <f>IF($C51=0,"",$C51)</f>
        <v>99.951573567634654</v>
      </c>
      <c r="Y36" s="821">
        <f>IF($C52=0,"",$C52)</f>
        <v>100</v>
      </c>
      <c r="Z36" s="821" t="str">
        <f>IF($C53=0,"",$C53)</f>
        <v/>
      </c>
      <c r="AA36" s="822" t="str">
        <f>IF($C54=0,"",$C54)</f>
        <v/>
      </c>
    </row>
    <row r="37" spans="1:30" s="345" customFormat="1" ht="13.5" customHeight="1">
      <c r="A37" s="345">
        <v>3</v>
      </c>
      <c r="B37" s="818">
        <f>IF(COUNTIF(C13,"")+COUNTIF(H13,"")+COUNTIF(O13,"")+COUNTIF(T13,"")=4,"",AVERAGE(C13,H13,O13,T13))</f>
        <v>5.3605555861977985</v>
      </c>
      <c r="C37" s="809">
        <f t="shared" si="2"/>
        <v>20</v>
      </c>
      <c r="D37" s="809">
        <f t="shared" si="3"/>
        <v>1</v>
      </c>
      <c r="E37" s="1571" t="s">
        <v>1282</v>
      </c>
      <c r="F37" s="1574" t="s">
        <v>1283</v>
      </c>
      <c r="G37" s="1575"/>
      <c r="H37" s="823">
        <f t="shared" ref="H37:AA37" si="4">IF(COUNTIF(H39:H42,"")=4,"",AVERAGE(H39:H42))</f>
        <v>53.35</v>
      </c>
      <c r="I37" s="824">
        <f t="shared" si="4"/>
        <v>49.199999999999996</v>
      </c>
      <c r="J37" s="824">
        <f t="shared" si="4"/>
        <v>66.95</v>
      </c>
      <c r="K37" s="824">
        <f t="shared" si="4"/>
        <v>64.599999999999994</v>
      </c>
      <c r="L37" s="824">
        <f t="shared" si="4"/>
        <v>64.349999999999994</v>
      </c>
      <c r="M37" s="824">
        <f t="shared" si="4"/>
        <v>64.5</v>
      </c>
      <c r="N37" s="824">
        <f t="shared" si="4"/>
        <v>49.349999999999994</v>
      </c>
      <c r="O37" s="824">
        <f t="shared" si="4"/>
        <v>39.400000000000006</v>
      </c>
      <c r="P37" s="824">
        <f t="shared" si="4"/>
        <v>24.65</v>
      </c>
      <c r="Q37" s="824">
        <f t="shared" si="4"/>
        <v>19.275000000000002</v>
      </c>
      <c r="R37" s="824">
        <f t="shared" si="4"/>
        <v>21.924999999999997</v>
      </c>
      <c r="S37" s="824">
        <f t="shared" si="4"/>
        <v>7</v>
      </c>
      <c r="T37" s="824">
        <f t="shared" si="4"/>
        <v>39.700000000000003</v>
      </c>
      <c r="U37" s="824">
        <f t="shared" si="4"/>
        <v>22.150000000000002</v>
      </c>
      <c r="V37" s="824">
        <f t="shared" si="4"/>
        <v>-16.349999999999994</v>
      </c>
      <c r="W37" s="824">
        <f t="shared" si="4"/>
        <v>-50.400000000000006</v>
      </c>
      <c r="X37" s="824" t="str">
        <f t="shared" si="4"/>
        <v/>
      </c>
      <c r="Y37" s="824" t="str">
        <f t="shared" si="4"/>
        <v/>
      </c>
      <c r="Z37" s="824" t="str">
        <f t="shared" si="4"/>
        <v/>
      </c>
      <c r="AA37" s="825" t="str">
        <f t="shared" si="4"/>
        <v/>
      </c>
    </row>
    <row r="38" spans="1:30" s="345" customFormat="1" ht="12.75" customHeight="1" thickBot="1">
      <c r="A38" s="345">
        <v>4</v>
      </c>
      <c r="B38" s="818">
        <f>IF(COUNTIF(C14,"")+COUNTIF(H14,"")+COUNTIF(O14,"")+COUNTIF(T14,"")=4,"",AVERAGE(C14,H14,O14,T14))</f>
        <v>26.922669813782981</v>
      </c>
      <c r="C38" s="809">
        <f t="shared" si="2"/>
        <v>26.922669813782981</v>
      </c>
      <c r="D38" s="809">
        <f t="shared" si="3"/>
        <v>4</v>
      </c>
      <c r="E38" s="1572"/>
      <c r="F38" s="1576" t="s">
        <v>1284</v>
      </c>
      <c r="G38" s="1577"/>
      <c r="H38" s="823">
        <f t="shared" ref="H38:AA38" si="5">IF(COUNTIF(H39:H42,"")=4,"",IF(COUNTIF(H39:H42,"")=3,0,STDEV(H39:H42)*$F$35))</f>
        <v>8.980256121069127</v>
      </c>
      <c r="I38" s="824">
        <f t="shared" si="5"/>
        <v>28.1428498912246</v>
      </c>
      <c r="J38" s="824">
        <f t="shared" si="5"/>
        <v>5.5235857918565907</v>
      </c>
      <c r="K38" s="824">
        <f t="shared" si="5"/>
        <v>1.131370849898482</v>
      </c>
      <c r="L38" s="824">
        <f t="shared" si="5"/>
        <v>3.6062445840513986</v>
      </c>
      <c r="M38" s="824">
        <f t="shared" si="5"/>
        <v>6.103004724450626</v>
      </c>
      <c r="N38" s="824">
        <f t="shared" si="5"/>
        <v>9.6831468714119087</v>
      </c>
      <c r="O38" s="824">
        <f t="shared" si="5"/>
        <v>7.1856338157001085</v>
      </c>
      <c r="P38" s="824">
        <f t="shared" si="5"/>
        <v>15.847081750278187</v>
      </c>
      <c r="Q38" s="824">
        <f t="shared" si="5"/>
        <v>5.8111243891923898</v>
      </c>
      <c r="R38" s="824">
        <f t="shared" si="5"/>
        <v>16.686196890444116</v>
      </c>
      <c r="S38" s="824">
        <f t="shared" si="5"/>
        <v>6.0811183182043056</v>
      </c>
      <c r="T38" s="824">
        <f t="shared" si="5"/>
        <v>0</v>
      </c>
      <c r="U38" s="824">
        <f t="shared" si="5"/>
        <v>12.657211383239193</v>
      </c>
      <c r="V38" s="824">
        <f t="shared" si="5"/>
        <v>30.900566337852119</v>
      </c>
      <c r="W38" s="824">
        <f t="shared" si="5"/>
        <v>0</v>
      </c>
      <c r="X38" s="824" t="str">
        <f t="shared" si="5"/>
        <v/>
      </c>
      <c r="Y38" s="824" t="str">
        <f t="shared" si="5"/>
        <v/>
      </c>
      <c r="Z38" s="824" t="str">
        <f t="shared" si="5"/>
        <v/>
      </c>
      <c r="AA38" s="825" t="str">
        <f t="shared" si="5"/>
        <v/>
      </c>
    </row>
    <row r="39" spans="1:30" s="345" customFormat="1" ht="12.75" customHeight="1">
      <c r="A39" s="345">
        <v>5</v>
      </c>
      <c r="B39" s="818">
        <f>IF(COUNTIF(C15,"")+COUNTIF(H15,"")+COUNTIF(O15,"")+COUNTIF(T15,"")=4,"",AVERAGE(C15,H15,O15,T15))</f>
        <v>28.402760758696882</v>
      </c>
      <c r="C39" s="809">
        <f t="shared" si="2"/>
        <v>28.402760758696882</v>
      </c>
      <c r="D39" s="809">
        <f t="shared" si="3"/>
        <v>5</v>
      </c>
      <c r="E39" s="1572"/>
      <c r="F39" s="1578">
        <f>G7</f>
        <v>57</v>
      </c>
      <c r="G39" s="826" t="s">
        <v>1285</v>
      </c>
      <c r="H39" s="827" t="str">
        <f>IF(H36="","",IF(SUMIF($A$13:$A$31,H36,$D$13:$D$31)=0,"",SUMIF($A$13:$A$31,H36,$D$13:$D$31)/$M$33))</f>
        <v/>
      </c>
      <c r="I39" s="828">
        <f t="shared" ref="I39:AA39" si="6">IF(I36="","",IF(SUMIF($A$13:$A$31,I36,$D$13:$D$31)=0,"",SUMIF($A$13:$A$31,I36,$D$13:$D$31)/$M$33))</f>
        <v>29.299999999999997</v>
      </c>
      <c r="J39" s="828">
        <f t="shared" si="6"/>
        <v>73.7</v>
      </c>
      <c r="K39" s="828" t="str">
        <f t="shared" si="6"/>
        <v/>
      </c>
      <c r="L39" s="828">
        <f t="shared" si="6"/>
        <v>61.8</v>
      </c>
      <c r="M39" s="828">
        <f t="shared" si="6"/>
        <v>56</v>
      </c>
      <c r="N39" s="828">
        <f t="shared" si="6"/>
        <v>59.8</v>
      </c>
      <c r="O39" s="828">
        <f t="shared" si="6"/>
        <v>41.6</v>
      </c>
      <c r="P39" s="828">
        <f t="shared" si="6"/>
        <v>41.4</v>
      </c>
      <c r="Q39" s="828">
        <f t="shared" si="6"/>
        <v>10.900000000000006</v>
      </c>
      <c r="R39" s="828">
        <f t="shared" si="6"/>
        <v>38.700000000000003</v>
      </c>
      <c r="S39" s="828" t="str">
        <f t="shared" si="6"/>
        <v/>
      </c>
      <c r="T39" s="828" t="str">
        <f t="shared" si="6"/>
        <v/>
      </c>
      <c r="U39" s="828">
        <f t="shared" si="6"/>
        <v>31.1</v>
      </c>
      <c r="V39" s="828" t="str">
        <f t="shared" si="6"/>
        <v/>
      </c>
      <c r="W39" s="828" t="str">
        <f t="shared" si="6"/>
        <v/>
      </c>
      <c r="X39" s="828" t="str">
        <f t="shared" si="6"/>
        <v/>
      </c>
      <c r="Y39" s="828" t="str">
        <f t="shared" si="6"/>
        <v/>
      </c>
      <c r="Z39" s="828" t="str">
        <f t="shared" si="6"/>
        <v/>
      </c>
      <c r="AA39" s="829" t="str">
        <f t="shared" si="6"/>
        <v/>
      </c>
    </row>
    <row r="40" spans="1:30" s="345" customFormat="1" ht="12.75" customHeight="1" thickBot="1">
      <c r="A40" s="345">
        <v>6</v>
      </c>
      <c r="B40" s="818">
        <f t="shared" ref="B40:B48" si="7">IF(C17="","",C17)</f>
        <v>10</v>
      </c>
      <c r="C40" s="809">
        <f t="shared" si="2"/>
        <v>30</v>
      </c>
      <c r="D40" s="809">
        <f t="shared" si="3"/>
        <v>2</v>
      </c>
      <c r="E40" s="1572"/>
      <c r="F40" s="1579"/>
      <c r="G40" s="830" t="s">
        <v>1286</v>
      </c>
      <c r="H40" s="823" t="str">
        <f>IF(H36="","",IF(SUMIF($A$13:$A$31,H36,$I$13:$I$31)=0,"",SUMIF($A$13:$A$31,H36,$I$13:$I$31)/$M$33))</f>
        <v/>
      </c>
      <c r="I40" s="824">
        <f t="shared" ref="I40:AA40" si="8">IF(I36="","",IF(SUMIF($A$13:$A$31,I36,$I$13:$I$31)=0,"",SUMIF($A$13:$A$31,I36,$I$13:$I$31)/$M$33))</f>
        <v>69.099999999999994</v>
      </c>
      <c r="J40" s="824">
        <f t="shared" si="8"/>
        <v>67.400000000000006</v>
      </c>
      <c r="K40" s="824">
        <f t="shared" si="8"/>
        <v>65.400000000000006</v>
      </c>
      <c r="L40" s="824" t="str">
        <f t="shared" si="8"/>
        <v/>
      </c>
      <c r="M40" s="824">
        <f t="shared" si="8"/>
        <v>70.3</v>
      </c>
      <c r="N40" s="824">
        <f t="shared" si="8"/>
        <v>40.1</v>
      </c>
      <c r="O40" s="824">
        <f t="shared" si="8"/>
        <v>31.700000000000003</v>
      </c>
      <c r="P40" s="824">
        <f t="shared" si="8"/>
        <v>30</v>
      </c>
      <c r="Q40" s="824">
        <f t="shared" si="8"/>
        <v>23</v>
      </c>
      <c r="R40" s="824">
        <f t="shared" si="8"/>
        <v>15.5</v>
      </c>
      <c r="S40" s="824" t="str">
        <f t="shared" si="8"/>
        <v/>
      </c>
      <c r="T40" s="824">
        <f t="shared" si="8"/>
        <v>39.700000000000003</v>
      </c>
      <c r="U40" s="824" t="str">
        <f t="shared" si="8"/>
        <v/>
      </c>
      <c r="V40" s="824">
        <f t="shared" si="8"/>
        <v>5.5</v>
      </c>
      <c r="W40" s="824" t="str">
        <f t="shared" si="8"/>
        <v/>
      </c>
      <c r="X40" s="824" t="str">
        <f t="shared" si="8"/>
        <v/>
      </c>
      <c r="Y40" s="824" t="str">
        <f t="shared" si="8"/>
        <v/>
      </c>
      <c r="Z40" s="824" t="str">
        <f t="shared" si="8"/>
        <v/>
      </c>
      <c r="AA40" s="825" t="str">
        <f t="shared" si="8"/>
        <v/>
      </c>
    </row>
    <row r="41" spans="1:30" s="345" customFormat="1" ht="12.75" customHeight="1">
      <c r="A41" s="345">
        <v>7</v>
      </c>
      <c r="B41" s="818">
        <f t="shared" si="7"/>
        <v>20</v>
      </c>
      <c r="C41" s="809">
        <f t="shared" si="2"/>
        <v>40</v>
      </c>
      <c r="D41" s="809">
        <f t="shared" si="3"/>
        <v>3</v>
      </c>
      <c r="E41" s="1572"/>
      <c r="F41" s="1578">
        <f>U7</f>
        <v>83</v>
      </c>
      <c r="G41" s="826" t="s">
        <v>1285</v>
      </c>
      <c r="H41" s="827">
        <f>IF(H36="","",IF(SUMIF($A$13:$A$31,H36,$P$13:$P$31)=0,"",SUMIF($A$13:$A$31,H36,$P$13:$P$31)/$Y$33))</f>
        <v>59.7</v>
      </c>
      <c r="I41" s="828" t="str">
        <f t="shared" ref="I41:AA41" si="9">IF(I36="","",IF(SUMIF($A$13:$A$31,I36,$P$13:$P$31)=0,"",SUMIF($A$13:$A$31,I36,$P$13:$P$31)/$Y$33))</f>
        <v/>
      </c>
      <c r="J41" s="828">
        <f t="shared" si="9"/>
        <v>60.2</v>
      </c>
      <c r="K41" s="828">
        <f t="shared" si="9"/>
        <v>63.8</v>
      </c>
      <c r="L41" s="828" t="str">
        <f t="shared" si="9"/>
        <v/>
      </c>
      <c r="M41" s="828">
        <f t="shared" si="9"/>
        <v>64.8</v>
      </c>
      <c r="N41" s="828">
        <f t="shared" si="9"/>
        <v>55.3</v>
      </c>
      <c r="O41" s="828">
        <f t="shared" si="9"/>
        <v>48.3</v>
      </c>
      <c r="P41" s="828">
        <f t="shared" si="9"/>
        <v>23.599999999999994</v>
      </c>
      <c r="Q41" s="828">
        <f t="shared" si="9"/>
        <v>23.400000000000006</v>
      </c>
      <c r="R41" s="828">
        <f t="shared" si="9"/>
        <v>31.9</v>
      </c>
      <c r="S41" s="828">
        <f t="shared" si="9"/>
        <v>2.7000000000000028</v>
      </c>
      <c r="T41" s="828" t="str">
        <f t="shared" si="9"/>
        <v/>
      </c>
      <c r="U41" s="828" t="str">
        <f t="shared" si="9"/>
        <v/>
      </c>
      <c r="V41" s="828">
        <f t="shared" si="9"/>
        <v>-38.199999999999989</v>
      </c>
      <c r="W41" s="828" t="str">
        <f t="shared" si="9"/>
        <v/>
      </c>
      <c r="X41" s="828" t="str">
        <f t="shared" si="9"/>
        <v/>
      </c>
      <c r="Y41" s="828" t="str">
        <f t="shared" si="9"/>
        <v/>
      </c>
      <c r="Z41" s="828" t="str">
        <f t="shared" si="9"/>
        <v/>
      </c>
      <c r="AA41" s="829" t="str">
        <f t="shared" si="9"/>
        <v/>
      </c>
    </row>
    <row r="42" spans="1:30" s="345" customFormat="1" ht="13.5" customHeight="1" thickBot="1">
      <c r="A42" s="345">
        <v>8</v>
      </c>
      <c r="B42" s="818">
        <f t="shared" si="7"/>
        <v>30</v>
      </c>
      <c r="C42" s="809">
        <f t="shared" si="2"/>
        <v>50</v>
      </c>
      <c r="D42" s="809">
        <f t="shared" si="3"/>
        <v>6</v>
      </c>
      <c r="E42" s="1573"/>
      <c r="F42" s="1579"/>
      <c r="G42" s="830" t="s">
        <v>1286</v>
      </c>
      <c r="H42" s="831">
        <f>IF(H36="","",IF(SUMIF($A$13:$A$31,H36,$U$13:$U$31)=0,"",SUMIF($A$13:$A$31,H36,$U$13:$U$31)/$Y$33))</f>
        <v>47</v>
      </c>
      <c r="I42" s="832" t="str">
        <f t="shared" ref="I42:AA42" si="10">IF(I36="","",IF(SUMIF($A$13:$A$31,I36,$U$13:$U$31)=0,"",SUMIF($A$13:$A$31,I36,$U$13:$U$31)/$Y$33))</f>
        <v/>
      </c>
      <c r="J42" s="832">
        <f t="shared" si="10"/>
        <v>66.5</v>
      </c>
      <c r="K42" s="832" t="str">
        <f t="shared" si="10"/>
        <v/>
      </c>
      <c r="L42" s="832">
        <f t="shared" si="10"/>
        <v>66.900000000000006</v>
      </c>
      <c r="M42" s="832">
        <f t="shared" si="10"/>
        <v>66.900000000000006</v>
      </c>
      <c r="N42" s="832">
        <f t="shared" si="10"/>
        <v>42.2</v>
      </c>
      <c r="O42" s="832">
        <f t="shared" si="10"/>
        <v>36</v>
      </c>
      <c r="P42" s="832">
        <f t="shared" si="10"/>
        <v>3.5999999999999943</v>
      </c>
      <c r="Q42" s="832">
        <f t="shared" si="10"/>
        <v>19.799999999999997</v>
      </c>
      <c r="R42" s="832">
        <f t="shared" si="10"/>
        <v>1.5999999999999943</v>
      </c>
      <c r="S42" s="832">
        <f t="shared" si="10"/>
        <v>11.299999999999997</v>
      </c>
      <c r="T42" s="832" t="str">
        <f t="shared" si="10"/>
        <v/>
      </c>
      <c r="U42" s="832">
        <f t="shared" si="10"/>
        <v>13.200000000000003</v>
      </c>
      <c r="V42" s="832" t="str">
        <f t="shared" si="10"/>
        <v/>
      </c>
      <c r="W42" s="832">
        <f t="shared" si="10"/>
        <v>-50.400000000000006</v>
      </c>
      <c r="X42" s="832" t="str">
        <f t="shared" si="10"/>
        <v/>
      </c>
      <c r="Y42" s="832" t="str">
        <f t="shared" si="10"/>
        <v/>
      </c>
      <c r="Z42" s="832" t="str">
        <f t="shared" si="10"/>
        <v/>
      </c>
      <c r="AA42" s="833" t="str">
        <f t="shared" si="10"/>
        <v/>
      </c>
    </row>
    <row r="43" spans="1:30" s="345" customFormat="1" ht="12.75" customHeight="1">
      <c r="A43" s="345">
        <v>9</v>
      </c>
      <c r="B43" s="818">
        <f t="shared" si="7"/>
        <v>40</v>
      </c>
      <c r="C43" s="809">
        <f t="shared" si="2"/>
        <v>60</v>
      </c>
      <c r="D43" s="809">
        <f t="shared" si="3"/>
        <v>7</v>
      </c>
      <c r="E43" s="1590">
        <v>0</v>
      </c>
      <c r="F43" s="1574" t="s">
        <v>1283</v>
      </c>
      <c r="G43" s="1593"/>
      <c r="H43" s="834" t="str">
        <f t="shared" ref="H43:AA43" si="11">IF(COUNTIF(H45:H52,"")=8,"",AVERAGE(H45:H52))</f>
        <v/>
      </c>
      <c r="I43" s="835">
        <f t="shared" si="11"/>
        <v>1.4000000000000057</v>
      </c>
      <c r="J43" s="835" t="str">
        <f t="shared" si="11"/>
        <v/>
      </c>
      <c r="K43" s="835" t="str">
        <f t="shared" si="11"/>
        <v/>
      </c>
      <c r="L43" s="835" t="str">
        <f t="shared" si="11"/>
        <v/>
      </c>
      <c r="M43" s="835" t="str">
        <f t="shared" si="11"/>
        <v/>
      </c>
      <c r="N43" s="835">
        <f t="shared" si="11"/>
        <v>22.299999999999997</v>
      </c>
      <c r="O43" s="835">
        <f t="shared" si="11"/>
        <v>-18.5</v>
      </c>
      <c r="P43" s="835">
        <f t="shared" si="11"/>
        <v>-1.6000000000000014</v>
      </c>
      <c r="Q43" s="835">
        <f t="shared" si="11"/>
        <v>8.5</v>
      </c>
      <c r="R43" s="835">
        <f t="shared" si="11"/>
        <v>-12.9</v>
      </c>
      <c r="S43" s="835">
        <f t="shared" si="11"/>
        <v>8.8999999999999986</v>
      </c>
      <c r="T43" s="835" t="str">
        <f t="shared" si="11"/>
        <v/>
      </c>
      <c r="U43" s="835">
        <f t="shared" si="11"/>
        <v>-2.2000000000000028</v>
      </c>
      <c r="V43" s="835" t="str">
        <f t="shared" si="11"/>
        <v/>
      </c>
      <c r="W43" s="835">
        <f t="shared" si="11"/>
        <v>-32.6</v>
      </c>
      <c r="X43" s="835">
        <f t="shared" si="11"/>
        <v>-58.800000000000011</v>
      </c>
      <c r="Y43" s="835">
        <f t="shared" si="11"/>
        <v>-19</v>
      </c>
      <c r="Z43" s="835" t="str">
        <f t="shared" si="11"/>
        <v/>
      </c>
      <c r="AA43" s="836" t="str">
        <f t="shared" si="11"/>
        <v/>
      </c>
    </row>
    <row r="44" spans="1:30" s="345" customFormat="1" ht="13.5" customHeight="1" thickBot="1">
      <c r="A44" s="345">
        <v>10</v>
      </c>
      <c r="B44" s="818">
        <f t="shared" si="7"/>
        <v>50</v>
      </c>
      <c r="C44" s="809">
        <f t="shared" si="2"/>
        <v>70</v>
      </c>
      <c r="D44" s="809">
        <f t="shared" si="3"/>
        <v>8</v>
      </c>
      <c r="E44" s="1591"/>
      <c r="F44" s="1576" t="s">
        <v>1284</v>
      </c>
      <c r="G44" s="1594"/>
      <c r="H44" s="834" t="str">
        <f t="shared" ref="H44:AA44" si="12">IF(COUNTIF(H45:H52,"")=8,"",IF(COUNTIF(H45:H52,"")=7,0,STDEV(H45:H52)*$F$35))</f>
        <v/>
      </c>
      <c r="I44" s="835">
        <f t="shared" si="12"/>
        <v>84.287128317436455</v>
      </c>
      <c r="J44" s="835" t="str">
        <f t="shared" si="12"/>
        <v/>
      </c>
      <c r="K44" s="835" t="str">
        <f t="shared" si="12"/>
        <v/>
      </c>
      <c r="L44" s="835" t="str">
        <f t="shared" si="12"/>
        <v/>
      </c>
      <c r="M44" s="835" t="str">
        <f t="shared" si="12"/>
        <v/>
      </c>
      <c r="N44" s="835">
        <f t="shared" si="12"/>
        <v>0</v>
      </c>
      <c r="O44" s="835">
        <f t="shared" si="12"/>
        <v>0</v>
      </c>
      <c r="P44" s="835">
        <f t="shared" si="12"/>
        <v>6.2225396744416157</v>
      </c>
      <c r="Q44" s="835">
        <f t="shared" si="12"/>
        <v>0</v>
      </c>
      <c r="R44" s="835">
        <f t="shared" si="12"/>
        <v>13.327040181525678</v>
      </c>
      <c r="S44" s="835">
        <f t="shared" si="12"/>
        <v>4.8083261120685208</v>
      </c>
      <c r="T44" s="835" t="str">
        <f t="shared" si="12"/>
        <v/>
      </c>
      <c r="U44" s="835">
        <f t="shared" si="12"/>
        <v>0</v>
      </c>
      <c r="V44" s="835" t="str">
        <f t="shared" si="12"/>
        <v/>
      </c>
      <c r="W44" s="835">
        <f t="shared" si="12"/>
        <v>10.465180361560902</v>
      </c>
      <c r="X44" s="835">
        <f t="shared" si="12"/>
        <v>0</v>
      </c>
      <c r="Y44" s="835">
        <f t="shared" si="12"/>
        <v>19.798989873223331</v>
      </c>
      <c r="Z44" s="835" t="str">
        <f t="shared" si="12"/>
        <v/>
      </c>
      <c r="AA44" s="836" t="str">
        <f t="shared" si="12"/>
        <v/>
      </c>
    </row>
    <row r="45" spans="1:30" s="345" customFormat="1">
      <c r="A45" s="345">
        <v>11</v>
      </c>
      <c r="B45" s="818">
        <f t="shared" si="7"/>
        <v>60</v>
      </c>
      <c r="C45" s="809">
        <f t="shared" si="2"/>
        <v>80</v>
      </c>
      <c r="D45" s="809">
        <f t="shared" si="3"/>
        <v>9</v>
      </c>
      <c r="E45" s="1591"/>
      <c r="F45" s="1578">
        <f>G7</f>
        <v>57</v>
      </c>
      <c r="G45" s="1596" t="s">
        <v>1285</v>
      </c>
      <c r="H45" s="837" t="str">
        <f>IF(H36="","",IF(SUMIF($A$13:$A$31,H36,$E$13:$E$31)=0,"",SUMIF($A$13:$A$31,H36,$E$13:$E$31)/$M$33))</f>
        <v/>
      </c>
      <c r="I45" s="838" t="str">
        <f t="shared" ref="I45:AA45" si="13">IF(I36="","",IF(SUMIF($A$13:$A$31,I36,$E$13:$E$31)=0,"",SUMIF($A$13:$A$31,I36,$E$13:$E$31)/$M$33))</f>
        <v/>
      </c>
      <c r="J45" s="838" t="str">
        <f t="shared" si="13"/>
        <v/>
      </c>
      <c r="K45" s="838" t="str">
        <f t="shared" si="13"/>
        <v/>
      </c>
      <c r="L45" s="838" t="str">
        <f t="shared" si="13"/>
        <v/>
      </c>
      <c r="M45" s="838" t="str">
        <f t="shared" si="13"/>
        <v/>
      </c>
      <c r="N45" s="838">
        <f t="shared" si="13"/>
        <v>22.299999999999997</v>
      </c>
      <c r="O45" s="838" t="str">
        <f t="shared" si="13"/>
        <v/>
      </c>
      <c r="P45" s="838" t="str">
        <f t="shared" si="13"/>
        <v/>
      </c>
      <c r="Q45" s="838" t="str">
        <f t="shared" si="13"/>
        <v/>
      </c>
      <c r="R45" s="838" t="str">
        <f t="shared" si="13"/>
        <v/>
      </c>
      <c r="S45" s="838">
        <f t="shared" si="13"/>
        <v>12.299999999999997</v>
      </c>
      <c r="T45" s="838" t="str">
        <f t="shared" si="13"/>
        <v/>
      </c>
      <c r="U45" s="838" t="str">
        <f t="shared" si="13"/>
        <v/>
      </c>
      <c r="V45" s="838" t="str">
        <f t="shared" si="13"/>
        <v/>
      </c>
      <c r="W45" s="838">
        <f t="shared" si="13"/>
        <v>-25.200000000000003</v>
      </c>
      <c r="X45" s="838">
        <f t="shared" si="13"/>
        <v>-58.800000000000011</v>
      </c>
      <c r="Y45" s="838">
        <f t="shared" si="13"/>
        <v>-5</v>
      </c>
      <c r="Z45" s="838" t="str">
        <f t="shared" si="13"/>
        <v/>
      </c>
      <c r="AA45" s="839" t="str">
        <f t="shared" si="13"/>
        <v/>
      </c>
    </row>
    <row r="46" spans="1:30" s="345" customFormat="1">
      <c r="A46" s="345">
        <v>12</v>
      </c>
      <c r="B46" s="818">
        <f t="shared" si="7"/>
        <v>70</v>
      </c>
      <c r="C46" s="809">
        <f t="shared" si="2"/>
        <v>90</v>
      </c>
      <c r="D46" s="809">
        <f t="shared" si="3"/>
        <v>10</v>
      </c>
      <c r="E46" s="1591"/>
      <c r="F46" s="1595"/>
      <c r="G46" s="1597"/>
      <c r="H46" s="834" t="str">
        <f>IF(H36="","",IF(SUMIF($A$13:$A$31,H36,$F$13:$F$31)=0,"",SUMIF($A$13:$A$31,H36,$F$13:$F$31)/$M$33))</f>
        <v/>
      </c>
      <c r="I46" s="835" t="str">
        <f t="shared" ref="I46:AA46" si="14">IF(I36="","",IF(SUMIF($A$13:$A$31,I36,$F$13:$F$31)=0,"",SUMIF($A$13:$A$31,I36,$F$13:$F$31)/$M$33))</f>
        <v/>
      </c>
      <c r="J46" s="835" t="str">
        <f t="shared" si="14"/>
        <v/>
      </c>
      <c r="K46" s="835" t="str">
        <f t="shared" si="14"/>
        <v/>
      </c>
      <c r="L46" s="835" t="str">
        <f t="shared" si="14"/>
        <v/>
      </c>
      <c r="M46" s="835" t="str">
        <f t="shared" si="14"/>
        <v/>
      </c>
      <c r="N46" s="835" t="str">
        <f t="shared" si="14"/>
        <v/>
      </c>
      <c r="O46" s="835" t="str">
        <f t="shared" si="14"/>
        <v/>
      </c>
      <c r="P46" s="835" t="str">
        <f t="shared" si="14"/>
        <v/>
      </c>
      <c r="Q46" s="835" t="str">
        <f t="shared" si="14"/>
        <v/>
      </c>
      <c r="R46" s="835" t="str">
        <f t="shared" si="14"/>
        <v/>
      </c>
      <c r="S46" s="835" t="str">
        <f t="shared" si="14"/>
        <v/>
      </c>
      <c r="T46" s="835" t="str">
        <f t="shared" si="14"/>
        <v/>
      </c>
      <c r="U46" s="835" t="str">
        <f t="shared" si="14"/>
        <v/>
      </c>
      <c r="V46" s="835" t="str">
        <f t="shared" si="14"/>
        <v/>
      </c>
      <c r="W46" s="835" t="str">
        <f t="shared" si="14"/>
        <v/>
      </c>
      <c r="X46" s="835" t="str">
        <f t="shared" si="14"/>
        <v/>
      </c>
      <c r="Y46" s="835" t="str">
        <f t="shared" si="14"/>
        <v/>
      </c>
      <c r="Z46" s="835" t="str">
        <f t="shared" si="14"/>
        <v/>
      </c>
      <c r="AA46" s="836" t="str">
        <f t="shared" si="14"/>
        <v/>
      </c>
    </row>
    <row r="47" spans="1:30" s="345" customFormat="1">
      <c r="A47" s="345">
        <v>13</v>
      </c>
      <c r="B47" s="818">
        <f t="shared" si="7"/>
        <v>80</v>
      </c>
      <c r="C47" s="809">
        <f t="shared" si="2"/>
        <v>97.736572490101764</v>
      </c>
      <c r="D47" s="809">
        <f t="shared" si="3"/>
        <v>11</v>
      </c>
      <c r="E47" s="1591"/>
      <c r="F47" s="1595"/>
      <c r="G47" s="1597" t="s">
        <v>1286</v>
      </c>
      <c r="H47" s="834" t="str">
        <f>IF(H36="","",IF(SUMIF($A$13:$A$31,H36,$J$13:$J$31)=0,"",SUMIF($A$13:$A$31,H36,$J$13:$J$31)/$M$33))</f>
        <v/>
      </c>
      <c r="I47" s="835" t="str">
        <f t="shared" ref="I47:AA47" si="15">IF(I36="","",IF(SUMIF($A$13:$A$31,I36,$J$13:$J$31)=0,"",SUMIF($A$13:$A$31,I36,$J$13:$J$31)/$M$33))</f>
        <v/>
      </c>
      <c r="J47" s="835" t="str">
        <f t="shared" si="15"/>
        <v/>
      </c>
      <c r="K47" s="835" t="str">
        <f t="shared" si="15"/>
        <v/>
      </c>
      <c r="L47" s="835" t="str">
        <f t="shared" si="15"/>
        <v/>
      </c>
      <c r="M47" s="835" t="str">
        <f t="shared" si="15"/>
        <v/>
      </c>
      <c r="N47" s="835" t="str">
        <f t="shared" si="15"/>
        <v/>
      </c>
      <c r="O47" s="835" t="str">
        <f t="shared" si="15"/>
        <v/>
      </c>
      <c r="P47" s="835">
        <f t="shared" si="15"/>
        <v>2.7999999999999972</v>
      </c>
      <c r="Q47" s="835" t="str">
        <f t="shared" si="15"/>
        <v/>
      </c>
      <c r="R47" s="835">
        <f t="shared" si="15"/>
        <v>-24.799999999999997</v>
      </c>
      <c r="S47" s="835">
        <f t="shared" si="15"/>
        <v>5.5</v>
      </c>
      <c r="T47" s="835" t="str">
        <f t="shared" si="15"/>
        <v/>
      </c>
      <c r="U47" s="835" t="str">
        <f t="shared" si="15"/>
        <v/>
      </c>
      <c r="V47" s="835" t="str">
        <f t="shared" si="15"/>
        <v/>
      </c>
      <c r="W47" s="835" t="str">
        <f t="shared" si="15"/>
        <v/>
      </c>
      <c r="X47" s="835">
        <f t="shared" si="15"/>
        <v>-58.800000000000011</v>
      </c>
      <c r="Y47" s="835" t="str">
        <f t="shared" si="15"/>
        <v/>
      </c>
      <c r="Z47" s="835" t="str">
        <f t="shared" si="15"/>
        <v/>
      </c>
      <c r="AA47" s="836" t="str">
        <f t="shared" si="15"/>
        <v/>
      </c>
    </row>
    <row r="48" spans="1:30" s="345" customFormat="1" ht="13.5" thickBot="1">
      <c r="A48" s="345">
        <v>14</v>
      </c>
      <c r="B48" s="818">
        <f t="shared" si="7"/>
        <v>90</v>
      </c>
      <c r="C48" s="809">
        <f t="shared" si="2"/>
        <v>98.474693898206965</v>
      </c>
      <c r="D48" s="809">
        <f t="shared" si="3"/>
        <v>12</v>
      </c>
      <c r="E48" s="1591"/>
      <c r="F48" s="1579"/>
      <c r="G48" s="1598"/>
      <c r="H48" s="834" t="str">
        <f>IF(H36="","",IF(SUMIF($A$13:$A$31,H36,$K$13:$K$31)=0,"",SUMIF($A$13:$A$31,H36,$K$13:$K$31)/$M$33))</f>
        <v/>
      </c>
      <c r="I48" s="835" t="str">
        <f t="shared" ref="I48:AA48" si="16">IF(I36="","",IF(SUMIF($A$13:$A$31,I36,$K$13:$K$31)=0,"",SUMIF($A$13:$A$31,I36,$K$13:$K$31)/$M$33))</f>
        <v/>
      </c>
      <c r="J48" s="835" t="str">
        <f t="shared" si="16"/>
        <v/>
      </c>
      <c r="K48" s="835" t="str">
        <f t="shared" si="16"/>
        <v/>
      </c>
      <c r="L48" s="835" t="str">
        <f t="shared" si="16"/>
        <v/>
      </c>
      <c r="M48" s="835" t="str">
        <f t="shared" si="16"/>
        <v/>
      </c>
      <c r="N48" s="835" t="str">
        <f t="shared" si="16"/>
        <v/>
      </c>
      <c r="O48" s="835" t="str">
        <f t="shared" si="16"/>
        <v/>
      </c>
      <c r="P48" s="835" t="str">
        <f t="shared" si="16"/>
        <v/>
      </c>
      <c r="Q48" s="835" t="str">
        <f t="shared" si="16"/>
        <v/>
      </c>
      <c r="R48" s="835" t="str">
        <f t="shared" si="16"/>
        <v/>
      </c>
      <c r="S48" s="835" t="str">
        <f t="shared" si="16"/>
        <v/>
      </c>
      <c r="T48" s="835" t="str">
        <f t="shared" si="16"/>
        <v/>
      </c>
      <c r="U48" s="835" t="str">
        <f t="shared" si="16"/>
        <v/>
      </c>
      <c r="V48" s="835" t="str">
        <f t="shared" si="16"/>
        <v/>
      </c>
      <c r="W48" s="835" t="str">
        <f t="shared" si="16"/>
        <v/>
      </c>
      <c r="X48" s="835" t="str">
        <f t="shared" si="16"/>
        <v/>
      </c>
      <c r="Y48" s="835" t="str">
        <f t="shared" si="16"/>
        <v/>
      </c>
      <c r="Z48" s="835" t="str">
        <f t="shared" si="16"/>
        <v/>
      </c>
      <c r="AA48" s="836" t="str">
        <f t="shared" si="16"/>
        <v/>
      </c>
    </row>
    <row r="49" spans="1:28" s="345" customFormat="1">
      <c r="A49" s="345">
        <v>15</v>
      </c>
      <c r="B49" s="818">
        <f t="shared" ref="B49:B54" si="17">IF(COUNTIF(C26,"")+COUNTIF(H26,"")+COUNTIF(O26,"")+COUNTIF(T26,"")=4,"",AVERAGE(C26,H26,O26,T26))</f>
        <v>97.736572490101764</v>
      </c>
      <c r="C49" s="809">
        <f t="shared" si="2"/>
        <v>99.115172061249353</v>
      </c>
      <c r="D49" s="809">
        <f t="shared" si="3"/>
        <v>13</v>
      </c>
      <c r="E49" s="1591"/>
      <c r="F49" s="1578">
        <f>U7</f>
        <v>83</v>
      </c>
      <c r="G49" s="1596" t="s">
        <v>1285</v>
      </c>
      <c r="H49" s="840" t="str">
        <f>IF(H36="","",IF(SUMIF($A$13:$A$31,H36,$Q$13:$Q$31)=0,"",SUMIF($A$13:$A$31,H36,$Q$13:$Q$31)/$Y$33))</f>
        <v/>
      </c>
      <c r="I49" s="841">
        <f t="shared" ref="I49:AA49" si="18">IF(I36="","",IF(SUMIF($A$13:$A$31,I36,$Q$13:$Q$31)=0,"",SUMIF($A$13:$A$31,I36,$Q$13:$Q$31)/$Y$33))</f>
        <v>-58.199999999999989</v>
      </c>
      <c r="J49" s="841" t="str">
        <f t="shared" si="18"/>
        <v/>
      </c>
      <c r="K49" s="841" t="str">
        <f t="shared" si="18"/>
        <v/>
      </c>
      <c r="L49" s="841" t="str">
        <f t="shared" si="18"/>
        <v/>
      </c>
      <c r="M49" s="841" t="str">
        <f t="shared" si="18"/>
        <v/>
      </c>
      <c r="N49" s="841" t="str">
        <f t="shared" si="18"/>
        <v/>
      </c>
      <c r="O49" s="841">
        <f t="shared" si="18"/>
        <v>-18.5</v>
      </c>
      <c r="P49" s="841" t="str">
        <f t="shared" si="18"/>
        <v/>
      </c>
      <c r="Q49" s="841" t="str">
        <f t="shared" si="18"/>
        <v/>
      </c>
      <c r="R49" s="841">
        <f t="shared" si="18"/>
        <v>1.5</v>
      </c>
      <c r="S49" s="841" t="str">
        <f t="shared" si="18"/>
        <v/>
      </c>
      <c r="T49" s="841" t="str">
        <f t="shared" si="18"/>
        <v/>
      </c>
      <c r="U49" s="841">
        <f t="shared" si="18"/>
        <v>-2.2000000000000028</v>
      </c>
      <c r="V49" s="841" t="str">
        <f t="shared" si="18"/>
        <v/>
      </c>
      <c r="W49" s="841">
        <f t="shared" si="18"/>
        <v>-40</v>
      </c>
      <c r="X49" s="841" t="str">
        <f t="shared" si="18"/>
        <v/>
      </c>
      <c r="Y49" s="841">
        <f t="shared" si="18"/>
        <v>-33</v>
      </c>
      <c r="Z49" s="841" t="str">
        <f t="shared" si="18"/>
        <v/>
      </c>
      <c r="AA49" s="842" t="str">
        <f t="shared" si="18"/>
        <v/>
      </c>
    </row>
    <row r="50" spans="1:28" s="345" customFormat="1">
      <c r="A50" s="345">
        <v>16</v>
      </c>
      <c r="B50" s="818">
        <f t="shared" si="17"/>
        <v>98.474693898206965</v>
      </c>
      <c r="C50" s="809">
        <f t="shared" si="2"/>
        <v>99.665653482478291</v>
      </c>
      <c r="D50" s="809">
        <f t="shared" si="3"/>
        <v>14</v>
      </c>
      <c r="E50" s="1591"/>
      <c r="F50" s="1595"/>
      <c r="G50" s="1597"/>
      <c r="H50" s="843" t="str">
        <f>IF(H36="","",IF(SUMIF($A$13:$A$31,H36,$R$13:$R$31)=0,"",SUMIF($A$13:$A$31,H36,$R$13:$R$31)/$Y$33))</f>
        <v/>
      </c>
      <c r="I50" s="844" t="str">
        <f t="shared" ref="I50:AA50" si="19">IF(I36="","",IF(SUMIF($A$13:$A$31,I36,$R$13:$R$31)=0,"",SUMIF($A$13:$A$31,I36,$R$13:$R$31)/$Y$33))</f>
        <v/>
      </c>
      <c r="J50" s="844" t="str">
        <f t="shared" si="19"/>
        <v/>
      </c>
      <c r="K50" s="844" t="str">
        <f t="shared" si="19"/>
        <v/>
      </c>
      <c r="L50" s="844" t="str">
        <f t="shared" si="19"/>
        <v/>
      </c>
      <c r="M50" s="844" t="str">
        <f t="shared" si="19"/>
        <v/>
      </c>
      <c r="N50" s="844" t="str">
        <f t="shared" si="19"/>
        <v/>
      </c>
      <c r="O50" s="844" t="str">
        <f t="shared" si="19"/>
        <v/>
      </c>
      <c r="P50" s="844" t="str">
        <f t="shared" si="19"/>
        <v/>
      </c>
      <c r="Q50" s="844" t="str">
        <f t="shared" si="19"/>
        <v/>
      </c>
      <c r="R50" s="844" t="str">
        <f t="shared" si="19"/>
        <v/>
      </c>
      <c r="S50" s="844" t="str">
        <f t="shared" si="19"/>
        <v/>
      </c>
      <c r="T50" s="844" t="str">
        <f t="shared" si="19"/>
        <v/>
      </c>
      <c r="U50" s="844" t="str">
        <f t="shared" si="19"/>
        <v/>
      </c>
      <c r="V50" s="844" t="str">
        <f t="shared" si="19"/>
        <v/>
      </c>
      <c r="W50" s="844" t="str">
        <f t="shared" si="19"/>
        <v/>
      </c>
      <c r="X50" s="844" t="str">
        <f t="shared" si="19"/>
        <v/>
      </c>
      <c r="Y50" s="844" t="str">
        <f t="shared" si="19"/>
        <v/>
      </c>
      <c r="Z50" s="844" t="str">
        <f t="shared" si="19"/>
        <v/>
      </c>
      <c r="AA50" s="845" t="str">
        <f t="shared" si="19"/>
        <v/>
      </c>
    </row>
    <row r="51" spans="1:28" s="345" customFormat="1">
      <c r="A51" s="345">
        <v>17</v>
      </c>
      <c r="B51" s="818">
        <f t="shared" si="17"/>
        <v>99.115172061249353</v>
      </c>
      <c r="C51" s="809">
        <f t="shared" si="2"/>
        <v>99.951573567634654</v>
      </c>
      <c r="D51" s="809">
        <f t="shared" si="3"/>
        <v>15</v>
      </c>
      <c r="E51" s="1591"/>
      <c r="F51" s="1595"/>
      <c r="G51" s="1597" t="s">
        <v>1286</v>
      </c>
      <c r="H51" s="843" t="str">
        <f>IF(H36="","",IF(SUMIF($A$13:$A$31,H36,$V$13:$V$31)=0,"",SUMIF($A$13:$A$31,H36,$V$13:$V$31)/$Y$33))</f>
        <v/>
      </c>
      <c r="I51" s="844">
        <f t="shared" ref="I51:AA51" si="20">IF(I36="","",IF(SUMIF($A$13:$A$31,I36,$V$13:$V$31)=0,"",SUMIF($A$13:$A$31,I36,$V$13:$V$31)/$Y$33))</f>
        <v>61</v>
      </c>
      <c r="J51" s="844" t="str">
        <f t="shared" si="20"/>
        <v/>
      </c>
      <c r="K51" s="844" t="str">
        <f t="shared" si="20"/>
        <v/>
      </c>
      <c r="L51" s="844" t="str">
        <f t="shared" si="20"/>
        <v/>
      </c>
      <c r="M51" s="844" t="str">
        <f t="shared" si="20"/>
        <v/>
      </c>
      <c r="N51" s="844" t="str">
        <f t="shared" si="20"/>
        <v/>
      </c>
      <c r="O51" s="844" t="str">
        <f t="shared" si="20"/>
        <v/>
      </c>
      <c r="P51" s="844">
        <f t="shared" si="20"/>
        <v>-6</v>
      </c>
      <c r="Q51" s="844">
        <f t="shared" si="20"/>
        <v>8.5</v>
      </c>
      <c r="R51" s="844">
        <f t="shared" si="20"/>
        <v>-15.400000000000006</v>
      </c>
      <c r="S51" s="844" t="str">
        <f t="shared" si="20"/>
        <v/>
      </c>
      <c r="T51" s="844" t="str">
        <f t="shared" si="20"/>
        <v/>
      </c>
      <c r="U51" s="844" t="str">
        <f t="shared" si="20"/>
        <v/>
      </c>
      <c r="V51" s="844" t="str">
        <f t="shared" si="20"/>
        <v/>
      </c>
      <c r="W51" s="844" t="str">
        <f t="shared" si="20"/>
        <v/>
      </c>
      <c r="X51" s="844" t="str">
        <f t="shared" si="20"/>
        <v/>
      </c>
      <c r="Y51" s="844" t="str">
        <f t="shared" si="20"/>
        <v/>
      </c>
      <c r="Z51" s="844" t="str">
        <f t="shared" si="20"/>
        <v/>
      </c>
      <c r="AA51" s="845" t="str">
        <f t="shared" si="20"/>
        <v/>
      </c>
    </row>
    <row r="52" spans="1:28" s="345" customFormat="1" ht="13.5" thickBot="1">
      <c r="A52" s="345">
        <v>18</v>
      </c>
      <c r="B52" s="818">
        <f t="shared" si="17"/>
        <v>99.665653482478291</v>
      </c>
      <c r="C52" s="809">
        <f t="shared" si="2"/>
        <v>100</v>
      </c>
      <c r="D52" s="809">
        <f t="shared" si="3"/>
        <v>16</v>
      </c>
      <c r="E52" s="1592"/>
      <c r="F52" s="1579"/>
      <c r="G52" s="1598"/>
      <c r="H52" s="846" t="str">
        <f>IF(H36="","",IF(SUMIF($A$13:$A$31,H36,$W$13:$W$31)=0,"",SUMIF($A$13:$A$31,H36,$W$13:$W$31)/$Y$33))</f>
        <v/>
      </c>
      <c r="I52" s="847" t="str">
        <f t="shared" ref="I52:AA52" si="21">IF(I36="","",IF(SUMIF($A$13:$A$31,I36,$W$13:$W$31)=0,"",SUMIF($A$13:$A$31,I36,$W$13:$W$31)/$Y$33))</f>
        <v/>
      </c>
      <c r="J52" s="847" t="str">
        <f t="shared" si="21"/>
        <v/>
      </c>
      <c r="K52" s="847" t="str">
        <f t="shared" si="21"/>
        <v/>
      </c>
      <c r="L52" s="847" t="str">
        <f t="shared" si="21"/>
        <v/>
      </c>
      <c r="M52" s="847" t="str">
        <f t="shared" si="21"/>
        <v/>
      </c>
      <c r="N52" s="847" t="str">
        <f t="shared" si="21"/>
        <v/>
      </c>
      <c r="O52" s="847" t="str">
        <f t="shared" si="21"/>
        <v/>
      </c>
      <c r="P52" s="847" t="str">
        <f t="shared" si="21"/>
        <v/>
      </c>
      <c r="Q52" s="847" t="str">
        <f t="shared" si="21"/>
        <v/>
      </c>
      <c r="R52" s="847" t="str">
        <f t="shared" si="21"/>
        <v/>
      </c>
      <c r="S52" s="847" t="str">
        <f t="shared" si="21"/>
        <v/>
      </c>
      <c r="T52" s="847" t="str">
        <f t="shared" si="21"/>
        <v/>
      </c>
      <c r="U52" s="847" t="str">
        <f t="shared" si="21"/>
        <v/>
      </c>
      <c r="V52" s="847" t="str">
        <f t="shared" si="21"/>
        <v/>
      </c>
      <c r="W52" s="847" t="str">
        <f t="shared" si="21"/>
        <v/>
      </c>
      <c r="X52" s="847" t="str">
        <f t="shared" si="21"/>
        <v/>
      </c>
      <c r="Y52" s="847" t="str">
        <f t="shared" si="21"/>
        <v/>
      </c>
      <c r="Z52" s="847" t="str">
        <f t="shared" si="21"/>
        <v/>
      </c>
      <c r="AA52" s="848" t="str">
        <f t="shared" si="21"/>
        <v/>
      </c>
    </row>
    <row r="53" spans="1:28" s="345" customFormat="1">
      <c r="A53" s="345">
        <v>19</v>
      </c>
      <c r="B53" s="818">
        <f t="shared" si="17"/>
        <v>99.951573567634654</v>
      </c>
      <c r="C53" s="809">
        <f t="shared" si="2"/>
        <v>0</v>
      </c>
      <c r="D53" s="809">
        <f t="shared" si="3"/>
        <v>17</v>
      </c>
      <c r="E53" s="1571" t="s">
        <v>1287</v>
      </c>
      <c r="F53" s="1574" t="s">
        <v>1283</v>
      </c>
      <c r="G53" s="1593"/>
      <c r="H53" s="834">
        <f t="shared" ref="H53:AA53" si="22">IF(COUNTIF(H55:H58,"")=4,"",AVERAGE(H55:H58))</f>
        <v>12</v>
      </c>
      <c r="I53" s="835">
        <f t="shared" si="22"/>
        <v>-35.299999999999997</v>
      </c>
      <c r="J53" s="835">
        <f t="shared" si="22"/>
        <v>-60</v>
      </c>
      <c r="K53" s="835">
        <f t="shared" si="22"/>
        <v>-56.400000000000006</v>
      </c>
      <c r="L53" s="835">
        <f t="shared" si="22"/>
        <v>-62.100000000000009</v>
      </c>
      <c r="M53" s="835">
        <f t="shared" si="22"/>
        <v>-47.7</v>
      </c>
      <c r="N53" s="835">
        <f t="shared" si="22"/>
        <v>-46.7</v>
      </c>
      <c r="O53" s="835">
        <f t="shared" si="22"/>
        <v>-56.266666666666659</v>
      </c>
      <c r="P53" s="835">
        <f t="shared" si="22"/>
        <v>-39.074999999999996</v>
      </c>
      <c r="Q53" s="835">
        <f t="shared" si="22"/>
        <v>-38.274999999999999</v>
      </c>
      <c r="R53" s="835">
        <f t="shared" si="22"/>
        <v>-49.774999999999999</v>
      </c>
      <c r="S53" s="835">
        <f t="shared" si="22"/>
        <v>-52.800000000000011</v>
      </c>
      <c r="T53" s="835">
        <f t="shared" si="22"/>
        <v>-52.9</v>
      </c>
      <c r="U53" s="835">
        <f t="shared" si="22"/>
        <v>-45.699999999999989</v>
      </c>
      <c r="V53" s="835">
        <f t="shared" si="22"/>
        <v>-50.35</v>
      </c>
      <c r="W53" s="835">
        <f t="shared" si="22"/>
        <v>-27.5</v>
      </c>
      <c r="X53" s="835">
        <f t="shared" si="22"/>
        <v>-56.849999999999994</v>
      </c>
      <c r="Y53" s="835" t="str">
        <f t="shared" si="22"/>
        <v/>
      </c>
      <c r="Z53" s="835" t="str">
        <f t="shared" si="22"/>
        <v/>
      </c>
      <c r="AA53" s="836" t="str">
        <f t="shared" si="22"/>
        <v/>
      </c>
    </row>
    <row r="54" spans="1:28" s="345" customFormat="1" ht="13.5" thickBot="1">
      <c r="A54" s="345">
        <v>20</v>
      </c>
      <c r="B54" s="818">
        <f t="shared" si="17"/>
        <v>100</v>
      </c>
      <c r="C54" s="809">
        <f t="shared" si="2"/>
        <v>0</v>
      </c>
      <c r="D54" s="809">
        <f t="shared" si="3"/>
        <v>18</v>
      </c>
      <c r="E54" s="1572"/>
      <c r="F54" s="1576" t="s">
        <v>1284</v>
      </c>
      <c r="G54" s="1594"/>
      <c r="H54" s="834">
        <f t="shared" ref="H54:AA54" si="23">IF(COUNTIF(H55:H58,"")=4,"",IF(COUNTIF(H55:H58,"")=3,0,STDEV(H55:H58)*$F$35))</f>
        <v>46.669047558312137</v>
      </c>
      <c r="I54" s="835">
        <f t="shared" si="23"/>
        <v>0</v>
      </c>
      <c r="J54" s="835">
        <f t="shared" si="23"/>
        <v>12.727922061357855</v>
      </c>
      <c r="K54" s="835">
        <f t="shared" si="23"/>
        <v>13.435028842544403</v>
      </c>
      <c r="L54" s="835">
        <f t="shared" si="23"/>
        <v>9.4752308678997235</v>
      </c>
      <c r="M54" s="835">
        <f t="shared" si="23"/>
        <v>19.925695303635791</v>
      </c>
      <c r="N54" s="835">
        <f t="shared" si="23"/>
        <v>11.637009925234208</v>
      </c>
      <c r="O54" s="835">
        <f t="shared" si="23"/>
        <v>11.353119982336725</v>
      </c>
      <c r="P54" s="835">
        <f t="shared" si="23"/>
        <v>13.436610435671634</v>
      </c>
      <c r="Q54" s="835">
        <f t="shared" si="23"/>
        <v>21.442694948785391</v>
      </c>
      <c r="R54" s="835">
        <f t="shared" si="23"/>
        <v>8.039226745568687</v>
      </c>
      <c r="S54" s="835">
        <f t="shared" si="23"/>
        <v>0</v>
      </c>
      <c r="T54" s="835">
        <f t="shared" si="23"/>
        <v>6.2265560304232359</v>
      </c>
      <c r="U54" s="835">
        <f t="shared" si="23"/>
        <v>0</v>
      </c>
      <c r="V54" s="835">
        <f t="shared" si="23"/>
        <v>17.748380207782347</v>
      </c>
      <c r="W54" s="835">
        <f t="shared" si="23"/>
        <v>0</v>
      </c>
      <c r="X54" s="835">
        <f t="shared" si="23"/>
        <v>5.3033008588991066</v>
      </c>
      <c r="Y54" s="835" t="str">
        <f t="shared" si="23"/>
        <v/>
      </c>
      <c r="Z54" s="835" t="str">
        <f t="shared" si="23"/>
        <v/>
      </c>
      <c r="AA54" s="836" t="str">
        <f t="shared" si="23"/>
        <v/>
      </c>
    </row>
    <row r="55" spans="1:28" s="345" customFormat="1">
      <c r="E55" s="1572"/>
      <c r="F55" s="1578">
        <f>G7</f>
        <v>57</v>
      </c>
      <c r="G55" s="982" t="s">
        <v>1285</v>
      </c>
      <c r="H55" s="827">
        <f>IF(H36="","",IF(SUMIF($A$13:$A$31,H36,$G$13:$G$31)=0,"",SUMIF($A$13:$A$31,H36,$G$13:$G$31)/$M$33))</f>
        <v>-21</v>
      </c>
      <c r="I55" s="828" t="str">
        <f t="shared" ref="I55:AA55" si="24">IF(I36="","",IF(SUMIF($A$13:$A$31,I36,$G$13:$G$31)=0,"",SUMIF($A$13:$A$31,I36,$G$13:$G$31)/$M$33))</f>
        <v/>
      </c>
      <c r="J55" s="828" t="str">
        <f t="shared" si="24"/>
        <v/>
      </c>
      <c r="K55" s="828">
        <f t="shared" si="24"/>
        <v>-46.900000000000006</v>
      </c>
      <c r="L55" s="828" t="str">
        <f t="shared" si="24"/>
        <v/>
      </c>
      <c r="M55" s="828">
        <f t="shared" si="24"/>
        <v>-22.599999999999994</v>
      </c>
      <c r="N55" s="828">
        <f t="shared" si="24"/>
        <v>-34.799999999999997</v>
      </c>
      <c r="O55" s="828">
        <f t="shared" si="24"/>
        <v>-45.599999999999994</v>
      </c>
      <c r="P55" s="828">
        <f t="shared" si="24"/>
        <v>-20</v>
      </c>
      <c r="Q55" s="828">
        <f t="shared" si="24"/>
        <v>-17.900000000000006</v>
      </c>
      <c r="R55" s="828">
        <f t="shared" si="24"/>
        <v>-44.199999999999989</v>
      </c>
      <c r="S55" s="828" t="str">
        <f t="shared" si="24"/>
        <v/>
      </c>
      <c r="T55" s="828">
        <f t="shared" si="24"/>
        <v>-54.599999999999994</v>
      </c>
      <c r="U55" s="828" t="str">
        <f t="shared" si="24"/>
        <v/>
      </c>
      <c r="V55" s="828">
        <f t="shared" si="24"/>
        <v>-37.799999999999997</v>
      </c>
      <c r="W55" s="828" t="str">
        <f t="shared" si="24"/>
        <v/>
      </c>
      <c r="X55" s="828" t="str">
        <f t="shared" si="24"/>
        <v/>
      </c>
      <c r="Y55" s="828" t="str">
        <f t="shared" si="24"/>
        <v/>
      </c>
      <c r="Z55" s="828" t="str">
        <f t="shared" si="24"/>
        <v/>
      </c>
      <c r="AA55" s="829" t="str">
        <f t="shared" si="24"/>
        <v/>
      </c>
    </row>
    <row r="56" spans="1:28" s="345" customFormat="1" ht="13.5" thickBot="1">
      <c r="E56" s="1572"/>
      <c r="F56" s="1579"/>
      <c r="G56" s="983" t="s">
        <v>1286</v>
      </c>
      <c r="H56" s="823">
        <f>IF(H36="","",IF(SUMIF($A$13:$A$31,H36,$L$13:$L$31)=0,"",SUMIF($A$13:$A$31,H36,$L$13:$L$31)/$M$33))</f>
        <v>45</v>
      </c>
      <c r="I56" s="824">
        <f t="shared" ref="I56:AA56" si="25">IF(I36="","",IF(SUMIF($A$13:$A$31,I36,$L$13:$L$31)=0,"",SUMIF($A$13:$A$31,I36,$L$13:$L$31)/$M$33))</f>
        <v>-35.299999999999997</v>
      </c>
      <c r="J56" s="824" t="str">
        <f t="shared" si="25"/>
        <v/>
      </c>
      <c r="K56" s="824" t="str">
        <f t="shared" si="25"/>
        <v/>
      </c>
      <c r="L56" s="824">
        <f t="shared" si="25"/>
        <v>-55.400000000000006</v>
      </c>
      <c r="M56" s="824">
        <f t="shared" si="25"/>
        <v>-41</v>
      </c>
      <c r="N56" s="824">
        <f t="shared" si="25"/>
        <v>-45</v>
      </c>
      <c r="O56" s="824" t="str">
        <f t="shared" si="25"/>
        <v/>
      </c>
      <c r="P56" s="824">
        <f t="shared" si="25"/>
        <v>-39.599999999999994</v>
      </c>
      <c r="Q56" s="824">
        <f t="shared" si="25"/>
        <v>-48.099999999999994</v>
      </c>
      <c r="R56" s="824">
        <f t="shared" si="25"/>
        <v>-55.800000000000011</v>
      </c>
      <c r="S56" s="824" t="str">
        <f t="shared" si="25"/>
        <v/>
      </c>
      <c r="T56" s="824" t="str">
        <f t="shared" si="25"/>
        <v/>
      </c>
      <c r="U56" s="824">
        <f t="shared" si="25"/>
        <v>-45.699999999999989</v>
      </c>
      <c r="V56" s="824" t="str">
        <f t="shared" si="25"/>
        <v/>
      </c>
      <c r="W56" s="824">
        <f t="shared" si="25"/>
        <v>-27.5</v>
      </c>
      <c r="X56" s="824" t="str">
        <f t="shared" si="25"/>
        <v/>
      </c>
      <c r="Y56" s="824" t="str">
        <f t="shared" si="25"/>
        <v/>
      </c>
      <c r="Z56" s="824" t="str">
        <f t="shared" si="25"/>
        <v/>
      </c>
      <c r="AA56" s="825" t="str">
        <f t="shared" si="25"/>
        <v/>
      </c>
    </row>
    <row r="57" spans="1:28" s="345" customFormat="1">
      <c r="E57" s="1572"/>
      <c r="F57" s="1578">
        <f>U7</f>
        <v>83</v>
      </c>
      <c r="G57" s="982" t="s">
        <v>1285</v>
      </c>
      <c r="H57" s="823" t="str">
        <f>IF(H36="","",IF(SUMIF($A$13:$A$31,H36,$S$13:$S$31)=0,"",SUMIF($A$13:$A$31,H36,$S$13:$S$31)/$Y$33))</f>
        <v/>
      </c>
      <c r="I57" s="824" t="str">
        <f t="shared" ref="I57:AA57" si="26">IF(I36="","",IF(SUMIF($A$13:$A$31,I36,$S$13:$S$31)=0,"",SUMIF($A$13:$A$31,I36,$S$13:$S$31)/$Y$33))</f>
        <v/>
      </c>
      <c r="J57" s="824">
        <f t="shared" si="26"/>
        <v>-51</v>
      </c>
      <c r="K57" s="824" t="str">
        <f t="shared" si="26"/>
        <v/>
      </c>
      <c r="L57" s="824">
        <f t="shared" si="26"/>
        <v>-68.800000000000011</v>
      </c>
      <c r="M57" s="824">
        <f t="shared" si="26"/>
        <v>-61.300000000000011</v>
      </c>
      <c r="N57" s="824">
        <f t="shared" si="26"/>
        <v>-44.300000000000011</v>
      </c>
      <c r="O57" s="824">
        <f t="shared" si="26"/>
        <v>-68.199999999999989</v>
      </c>
      <c r="P57" s="824">
        <f t="shared" si="26"/>
        <v>-46.699999999999989</v>
      </c>
      <c r="Q57" s="824">
        <f t="shared" si="26"/>
        <v>-23.400000000000006</v>
      </c>
      <c r="R57" s="824">
        <f t="shared" si="26"/>
        <v>-41.599999999999994</v>
      </c>
      <c r="S57" s="824" t="str">
        <f t="shared" si="26"/>
        <v/>
      </c>
      <c r="T57" s="824">
        <f t="shared" si="26"/>
        <v>-46</v>
      </c>
      <c r="U57" s="824" t="str">
        <f t="shared" si="26"/>
        <v/>
      </c>
      <c r="V57" s="824" t="str">
        <f t="shared" si="26"/>
        <v/>
      </c>
      <c r="W57" s="824" t="str">
        <f t="shared" si="26"/>
        <v/>
      </c>
      <c r="X57" s="824">
        <f t="shared" si="26"/>
        <v>-53.099999999999994</v>
      </c>
      <c r="Y57" s="824" t="str">
        <f t="shared" si="26"/>
        <v/>
      </c>
      <c r="Z57" s="824" t="str">
        <f t="shared" si="26"/>
        <v/>
      </c>
      <c r="AA57" s="825" t="str">
        <f t="shared" si="26"/>
        <v/>
      </c>
    </row>
    <row r="58" spans="1:28" s="345" customFormat="1" ht="13.5" thickBot="1">
      <c r="E58" s="1573"/>
      <c r="F58" s="1579"/>
      <c r="G58" s="983" t="s">
        <v>1286</v>
      </c>
      <c r="H58" s="831" t="str">
        <f>IF(H36="","",IF(SUMIF($A$13:$A$31,H36,$X$13:$X$31)=0,"",SUMIF($A$13:$A$31,H36,$X$13:$X$31)/$Y$33))</f>
        <v/>
      </c>
      <c r="I58" s="832" t="str">
        <f t="shared" ref="I58:AA58" si="27">IF(I36="","",IF(SUMIF($A$13:$A$31,I36,$X$13:$X$31)=0,"",SUMIF($A$13:$A$31,I36,$X$13:$X$31)/$Y$33))</f>
        <v/>
      </c>
      <c r="J58" s="832">
        <f t="shared" si="27"/>
        <v>-69</v>
      </c>
      <c r="K58" s="832">
        <f t="shared" si="27"/>
        <v>-65.900000000000006</v>
      </c>
      <c r="L58" s="832" t="str">
        <f t="shared" si="27"/>
        <v/>
      </c>
      <c r="M58" s="832">
        <f t="shared" si="27"/>
        <v>-65.900000000000006</v>
      </c>
      <c r="N58" s="832">
        <f t="shared" si="27"/>
        <v>-62.699999999999989</v>
      </c>
      <c r="O58" s="832">
        <f t="shared" si="27"/>
        <v>-55</v>
      </c>
      <c r="P58" s="832">
        <f t="shared" si="27"/>
        <v>-50</v>
      </c>
      <c r="Q58" s="832">
        <f t="shared" si="27"/>
        <v>-63.699999999999989</v>
      </c>
      <c r="R58" s="832">
        <f t="shared" si="27"/>
        <v>-57.5</v>
      </c>
      <c r="S58" s="832">
        <f t="shared" si="27"/>
        <v>-52.800000000000011</v>
      </c>
      <c r="T58" s="832">
        <f t="shared" si="27"/>
        <v>-58.099999999999994</v>
      </c>
      <c r="U58" s="832" t="str">
        <f t="shared" si="27"/>
        <v/>
      </c>
      <c r="V58" s="832">
        <f t="shared" si="27"/>
        <v>-62.900000000000006</v>
      </c>
      <c r="W58" s="832" t="str">
        <f t="shared" si="27"/>
        <v/>
      </c>
      <c r="X58" s="832">
        <f t="shared" si="27"/>
        <v>-60.599999999999994</v>
      </c>
      <c r="Y58" s="832" t="str">
        <f t="shared" si="27"/>
        <v/>
      </c>
      <c r="Z58" s="832" t="str">
        <f t="shared" si="27"/>
        <v/>
      </c>
      <c r="AA58" s="833" t="str">
        <f t="shared" si="27"/>
        <v/>
      </c>
    </row>
    <row r="59" spans="1:28" s="345" customFormat="1">
      <c r="E59" s="1586" t="s">
        <v>1283</v>
      </c>
      <c r="F59" s="1587"/>
      <c r="G59" s="1587"/>
      <c r="H59" s="834">
        <f t="shared" ref="H59:AA59" si="28">IF(COUNTIF(H39:H42,"")+COUNTIF(H45:H52,"")+COUNTIF(H55:H58,"")=16,"",AVERAGE(H39:H42,H45:H52,H55:H58))</f>
        <v>32.674999999999997</v>
      </c>
      <c r="I59" s="835">
        <f t="shared" si="28"/>
        <v>13.180000000000001</v>
      </c>
      <c r="J59" s="835">
        <f t="shared" si="28"/>
        <v>24.633333333333336</v>
      </c>
      <c r="K59" s="835">
        <f t="shared" si="28"/>
        <v>4.0999999999999943</v>
      </c>
      <c r="L59" s="835">
        <f t="shared" si="28"/>
        <v>1.1249999999999929</v>
      </c>
      <c r="M59" s="835">
        <f t="shared" si="28"/>
        <v>8.3999999999999986</v>
      </c>
      <c r="N59" s="835">
        <f t="shared" si="28"/>
        <v>3.6555555555555532</v>
      </c>
      <c r="O59" s="835">
        <f t="shared" si="28"/>
        <v>-3.712499999999995</v>
      </c>
      <c r="P59" s="835">
        <f t="shared" si="28"/>
        <v>-6.089999999999999</v>
      </c>
      <c r="Q59" s="835">
        <f t="shared" si="28"/>
        <v>-7.4999999999999982</v>
      </c>
      <c r="R59" s="835">
        <f t="shared" si="28"/>
        <v>-13.645454545454548</v>
      </c>
      <c r="S59" s="835">
        <f t="shared" si="28"/>
        <v>-4.2000000000000028</v>
      </c>
      <c r="T59" s="835">
        <f t="shared" si="28"/>
        <v>-29.749999999999996</v>
      </c>
      <c r="U59" s="835">
        <f t="shared" si="28"/>
        <v>-0.8999999999999968</v>
      </c>
      <c r="V59" s="835">
        <f t="shared" si="28"/>
        <v>-33.349999999999994</v>
      </c>
      <c r="W59" s="835">
        <f t="shared" si="28"/>
        <v>-35.775000000000006</v>
      </c>
      <c r="X59" s="835">
        <f t="shared" si="28"/>
        <v>-57.825000000000003</v>
      </c>
      <c r="Y59" s="835">
        <f t="shared" si="28"/>
        <v>-19</v>
      </c>
      <c r="Z59" s="835" t="str">
        <f t="shared" si="28"/>
        <v/>
      </c>
      <c r="AA59" s="836" t="str">
        <f t="shared" si="28"/>
        <v/>
      </c>
      <c r="AB59" s="851">
        <v>1</v>
      </c>
    </row>
    <row r="60" spans="1:28" s="345" customFormat="1" ht="13.5" thickBot="1">
      <c r="E60" s="1588" t="s">
        <v>1284</v>
      </c>
      <c r="F60" s="1589"/>
      <c r="G60" s="1589"/>
      <c r="H60" s="831">
        <f t="shared" ref="H60:AA60" si="29">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36.370626884891607</v>
      </c>
      <c r="I60" s="832">
        <f t="shared" si="29"/>
        <v>57.269250038742427</v>
      </c>
      <c r="J60" s="832">
        <f t="shared" si="29"/>
        <v>65.942298008688383</v>
      </c>
      <c r="K60" s="832">
        <f t="shared" si="29"/>
        <v>70.291725449491324</v>
      </c>
      <c r="L60" s="832">
        <f t="shared" si="29"/>
        <v>73.240215501230395</v>
      </c>
      <c r="M60" s="832">
        <f t="shared" si="29"/>
        <v>61.505539820177404</v>
      </c>
      <c r="N60" s="832">
        <f t="shared" si="29"/>
        <v>49.408782395215702</v>
      </c>
      <c r="O60" s="832">
        <f t="shared" si="29"/>
        <v>48.332078596192936</v>
      </c>
      <c r="P60" s="832">
        <f t="shared" si="29"/>
        <v>32.499382900124253</v>
      </c>
      <c r="Q60" s="832">
        <f t="shared" si="29"/>
        <v>32.389581658304884</v>
      </c>
      <c r="R60" s="832">
        <f t="shared" si="29"/>
        <v>34.159138268883879</v>
      </c>
      <c r="S60" s="832">
        <f t="shared" si="29"/>
        <v>27.459788782873044</v>
      </c>
      <c r="T60" s="832">
        <f t="shared" si="29"/>
        <v>46.578285355588889</v>
      </c>
      <c r="U60" s="832">
        <f t="shared" si="29"/>
        <v>32.820420472626481</v>
      </c>
      <c r="V60" s="832">
        <f t="shared" si="29"/>
        <v>28.43618586707203</v>
      </c>
      <c r="W60" s="832">
        <f t="shared" si="29"/>
        <v>11.719606079841858</v>
      </c>
      <c r="X60" s="832">
        <f t="shared" si="29"/>
        <v>3.2622844756397349</v>
      </c>
      <c r="Y60" s="832">
        <f t="shared" si="29"/>
        <v>19.798989873223331</v>
      </c>
      <c r="Z60" s="832" t="str">
        <f t="shared" si="29"/>
        <v/>
      </c>
      <c r="AA60" s="833" t="str">
        <f t="shared" si="29"/>
        <v/>
      </c>
    </row>
    <row r="61" spans="1:28" s="345" customFormat="1">
      <c r="R61" s="694"/>
    </row>
    <row r="62" spans="1:28" s="345" customFormat="1">
      <c r="F62" s="854"/>
      <c r="G62" s="853"/>
      <c r="H62" s="816"/>
      <c r="R62" s="694"/>
    </row>
    <row r="63" spans="1:28" s="345" customFormat="1">
      <c r="F63" s="854"/>
      <c r="G63" s="853"/>
      <c r="H63" s="816"/>
    </row>
    <row r="64" spans="1:28" s="345" customFormat="1" ht="13.5" thickBot="1">
      <c r="F64" s="854"/>
      <c r="G64" s="853"/>
      <c r="H64" s="816"/>
      <c r="R64" s="694"/>
    </row>
    <row r="65" spans="5:27" s="345" customFormat="1">
      <c r="F65" s="854"/>
      <c r="G65" s="853"/>
      <c r="H65" s="1599" t="s">
        <v>1314</v>
      </c>
      <c r="I65" s="1600"/>
      <c r="J65" s="1600"/>
      <c r="K65" s="1600"/>
      <c r="L65" s="1600"/>
      <c r="M65" s="1600"/>
      <c r="N65" s="1600"/>
      <c r="O65" s="1600"/>
      <c r="P65" s="1600"/>
      <c r="Q65" s="1600"/>
      <c r="R65" s="1600"/>
      <c r="S65" s="1600"/>
      <c r="T65" s="1600"/>
      <c r="U65" s="1600"/>
      <c r="V65" s="1600"/>
      <c r="W65" s="1600"/>
      <c r="X65" s="1600"/>
      <c r="Y65" s="1600"/>
      <c r="Z65" s="1600"/>
      <c r="AA65" s="1601"/>
    </row>
    <row r="66" spans="5:27" s="345" customFormat="1" ht="13.5" thickBot="1">
      <c r="F66" s="854"/>
      <c r="G66" s="855"/>
      <c r="H66" s="1602"/>
      <c r="I66" s="1603"/>
      <c r="J66" s="1603"/>
      <c r="K66" s="1603"/>
      <c r="L66" s="1603"/>
      <c r="M66" s="1603"/>
      <c r="N66" s="1603"/>
      <c r="O66" s="1603"/>
      <c r="P66" s="1603"/>
      <c r="Q66" s="1603"/>
      <c r="R66" s="1603"/>
      <c r="S66" s="1603"/>
      <c r="T66" s="1603"/>
      <c r="U66" s="1603"/>
      <c r="V66" s="1603"/>
      <c r="W66" s="1603"/>
      <c r="X66" s="1603"/>
      <c r="Y66" s="1603"/>
      <c r="Z66" s="1603"/>
      <c r="AA66" s="1604"/>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0">IF(H37="","",RANK(H36,$H$36:$AA$36,1))</f>
        <v>1</v>
      </c>
      <c r="I68" s="860">
        <f t="shared" si="30"/>
        <v>2</v>
      </c>
      <c r="J68" s="860">
        <f t="shared" si="30"/>
        <v>3</v>
      </c>
      <c r="K68" s="860">
        <f t="shared" si="30"/>
        <v>4</v>
      </c>
      <c r="L68" s="860">
        <f t="shared" si="30"/>
        <v>5</v>
      </c>
      <c r="M68" s="860">
        <f t="shared" si="30"/>
        <v>6</v>
      </c>
      <c r="N68" s="860">
        <f t="shared" si="30"/>
        <v>7</v>
      </c>
      <c r="O68" s="860">
        <f t="shared" si="30"/>
        <v>8</v>
      </c>
      <c r="P68" s="860">
        <f t="shared" si="30"/>
        <v>9</v>
      </c>
      <c r="Q68" s="860">
        <f t="shared" si="30"/>
        <v>10</v>
      </c>
      <c r="R68" s="860">
        <f t="shared" si="30"/>
        <v>11</v>
      </c>
      <c r="S68" s="860">
        <f t="shared" si="30"/>
        <v>12</v>
      </c>
      <c r="T68" s="860">
        <f t="shared" si="30"/>
        <v>13</v>
      </c>
      <c r="U68" s="860">
        <f t="shared" si="30"/>
        <v>14</v>
      </c>
      <c r="V68" s="860">
        <f t="shared" si="30"/>
        <v>15</v>
      </c>
      <c r="W68" s="860">
        <f t="shared" si="30"/>
        <v>16</v>
      </c>
      <c r="X68" s="860" t="str">
        <f t="shared" si="30"/>
        <v/>
      </c>
      <c r="Y68" s="860" t="str">
        <f t="shared" si="30"/>
        <v/>
      </c>
      <c r="Z68" s="860" t="str">
        <f t="shared" si="30"/>
        <v/>
      </c>
      <c r="AA68" s="861" t="str">
        <f t="shared" si="30"/>
        <v/>
      </c>
    </row>
    <row r="69" spans="5:27" s="345" customFormat="1" ht="13.5" thickBot="1">
      <c r="F69" s="854"/>
      <c r="G69" s="855"/>
      <c r="H69" s="859">
        <f t="shared" ref="H69:AA69" si="31">IF(H68="","",RANK(H68,$H$68:$AA$68,1))</f>
        <v>1</v>
      </c>
      <c r="I69" s="860">
        <f t="shared" si="31"/>
        <v>2</v>
      </c>
      <c r="J69" s="860">
        <f t="shared" si="31"/>
        <v>3</v>
      </c>
      <c r="K69" s="860">
        <f t="shared" si="31"/>
        <v>4</v>
      </c>
      <c r="L69" s="860">
        <f t="shared" si="31"/>
        <v>5</v>
      </c>
      <c r="M69" s="860">
        <f t="shared" si="31"/>
        <v>6</v>
      </c>
      <c r="N69" s="860">
        <f t="shared" si="31"/>
        <v>7</v>
      </c>
      <c r="O69" s="860">
        <f t="shared" si="31"/>
        <v>8</v>
      </c>
      <c r="P69" s="860">
        <f t="shared" si="31"/>
        <v>9</v>
      </c>
      <c r="Q69" s="860">
        <f t="shared" si="31"/>
        <v>10</v>
      </c>
      <c r="R69" s="860">
        <f t="shared" si="31"/>
        <v>11</v>
      </c>
      <c r="S69" s="860">
        <f t="shared" si="31"/>
        <v>12</v>
      </c>
      <c r="T69" s="860">
        <f t="shared" si="31"/>
        <v>13</v>
      </c>
      <c r="U69" s="860">
        <f t="shared" si="31"/>
        <v>14</v>
      </c>
      <c r="V69" s="860">
        <f t="shared" si="31"/>
        <v>15</v>
      </c>
      <c r="W69" s="860">
        <f t="shared" si="31"/>
        <v>16</v>
      </c>
      <c r="X69" s="860" t="str">
        <f t="shared" si="31"/>
        <v/>
      </c>
      <c r="Y69" s="860" t="str">
        <f t="shared" si="31"/>
        <v/>
      </c>
      <c r="Z69" s="860" t="str">
        <f t="shared" si="31"/>
        <v/>
      </c>
      <c r="AA69" s="861" t="str">
        <f t="shared" si="31"/>
        <v/>
      </c>
    </row>
    <row r="70" spans="5:27" s="345" customFormat="1" ht="13.5" thickBot="1">
      <c r="E70" s="1605" t="s">
        <v>1281</v>
      </c>
      <c r="F70" s="1606"/>
      <c r="G70" s="1606"/>
      <c r="H70" s="862">
        <f>IF(SUMIF($H$69:$AA$69,H$67,$H$36:$AA$36)=0,"",SUMIF($H$69:$AA$69,H$67,$H$36:$AA$36))</f>
        <v>5.3605555861977985</v>
      </c>
      <c r="I70" s="863">
        <f>IF(SUMIF($H$69:$AA$69,I$67,$H$36:$AA$36)=0,"",SUMIF($H$69:$AA$69,I$67,$H$36:$AA$36))</f>
        <v>10</v>
      </c>
      <c r="J70" s="863">
        <f t="shared" ref="J70:AA70" si="32">IF(SUMIF($H$69:$AA$69,J$67,$H$36:$AA$36)=0,"",SUMIF($H$69:$AA$69,J$67,$H$36:$AA$36))</f>
        <v>20</v>
      </c>
      <c r="K70" s="863">
        <f t="shared" si="32"/>
        <v>26.922669813782981</v>
      </c>
      <c r="L70" s="863">
        <f t="shared" si="32"/>
        <v>28.402760758696882</v>
      </c>
      <c r="M70" s="863">
        <f t="shared" si="32"/>
        <v>30</v>
      </c>
      <c r="N70" s="863">
        <f t="shared" si="32"/>
        <v>40</v>
      </c>
      <c r="O70" s="863">
        <f t="shared" si="32"/>
        <v>50</v>
      </c>
      <c r="P70" s="863">
        <f t="shared" si="32"/>
        <v>60</v>
      </c>
      <c r="Q70" s="863">
        <f t="shared" si="32"/>
        <v>70</v>
      </c>
      <c r="R70" s="863">
        <f t="shared" si="32"/>
        <v>80</v>
      </c>
      <c r="S70" s="863">
        <f t="shared" si="32"/>
        <v>90</v>
      </c>
      <c r="T70" s="863">
        <f t="shared" si="32"/>
        <v>97.736572490101764</v>
      </c>
      <c r="U70" s="863">
        <f t="shared" si="32"/>
        <v>98.474693898206965</v>
      </c>
      <c r="V70" s="863">
        <f t="shared" si="32"/>
        <v>99.115172061249353</v>
      </c>
      <c r="W70" s="863">
        <f t="shared" si="32"/>
        <v>99.665653482478291</v>
      </c>
      <c r="X70" s="863" t="str">
        <f t="shared" si="32"/>
        <v/>
      </c>
      <c r="Y70" s="863" t="str">
        <f t="shared" si="32"/>
        <v/>
      </c>
      <c r="Z70" s="863" t="str">
        <f t="shared" si="32"/>
        <v/>
      </c>
      <c r="AA70" s="864" t="str">
        <f t="shared" si="32"/>
        <v/>
      </c>
    </row>
    <row r="71" spans="5:27" s="345" customFormat="1">
      <c r="E71" s="1574" t="s">
        <v>1283</v>
      </c>
      <c r="F71" s="1593"/>
      <c r="G71" s="1575"/>
      <c r="H71" s="865">
        <f>IF(SUMIF($H$36:$AA$36,H$70,$H37:$AA37)=0,"",SUMIF($H$36:$AA$36,H$70,$H37:$AA37)/$AB$59)</f>
        <v>53.35</v>
      </c>
      <c r="I71" s="866">
        <f t="shared" ref="I71:AA71" si="33">IF(SUMIF($H$36:$AA$36,I$70,$H37:$AA37)=0,"",SUMIF($H$36:$AA$36,I$70,$H37:$AA37)/$AB$59)</f>
        <v>49.199999999999996</v>
      </c>
      <c r="J71" s="866">
        <f t="shared" si="33"/>
        <v>66.95</v>
      </c>
      <c r="K71" s="866">
        <f t="shared" si="33"/>
        <v>64.599999999999994</v>
      </c>
      <c r="L71" s="866">
        <f t="shared" si="33"/>
        <v>64.349999999999994</v>
      </c>
      <c r="M71" s="866">
        <f t="shared" si="33"/>
        <v>64.5</v>
      </c>
      <c r="N71" s="866">
        <f t="shared" si="33"/>
        <v>49.349999999999994</v>
      </c>
      <c r="O71" s="866">
        <f t="shared" si="33"/>
        <v>39.400000000000006</v>
      </c>
      <c r="P71" s="866">
        <f t="shared" si="33"/>
        <v>24.65</v>
      </c>
      <c r="Q71" s="866">
        <f t="shared" si="33"/>
        <v>19.275000000000002</v>
      </c>
      <c r="R71" s="866">
        <f t="shared" si="33"/>
        <v>21.924999999999997</v>
      </c>
      <c r="S71" s="866">
        <f t="shared" si="33"/>
        <v>7</v>
      </c>
      <c r="T71" s="866">
        <f t="shared" si="33"/>
        <v>39.700000000000003</v>
      </c>
      <c r="U71" s="866">
        <f t="shared" si="33"/>
        <v>22.150000000000002</v>
      </c>
      <c r="V71" s="866">
        <f t="shared" si="33"/>
        <v>-16.349999999999994</v>
      </c>
      <c r="W71" s="866">
        <f t="shared" si="33"/>
        <v>-50.400000000000006</v>
      </c>
      <c r="X71" s="866" t="str">
        <f t="shared" si="33"/>
        <v/>
      </c>
      <c r="Y71" s="866" t="str">
        <f t="shared" si="33"/>
        <v/>
      </c>
      <c r="Z71" s="866" t="str">
        <f t="shared" si="33"/>
        <v/>
      </c>
      <c r="AA71" s="867" t="str">
        <f t="shared" si="33"/>
        <v/>
      </c>
    </row>
    <row r="72" spans="5:27" s="345" customFormat="1" ht="13.5" thickBot="1">
      <c r="E72" s="1576" t="s">
        <v>1284</v>
      </c>
      <c r="F72" s="1594"/>
      <c r="G72" s="1577"/>
      <c r="H72" s="868">
        <f>IF(SUMIF($H$36:$AA$36,H$70,$H37:$AA37)=0,"",SUMIF($H$36:$AA$36,H$70,$H38:$AA38)/$AB$59)</f>
        <v>8.980256121069127</v>
      </c>
      <c r="I72" s="869">
        <f t="shared" ref="I72:AA72" si="34">IF(SUMIF($H$36:$AA$36,I$70,$H37:$AA37)=0,"",SUMIF($H$36:$AA$36,I$70,$H38:$AA38)/$AB$59)</f>
        <v>28.1428498912246</v>
      </c>
      <c r="J72" s="869">
        <f t="shared" si="34"/>
        <v>5.5235857918565907</v>
      </c>
      <c r="K72" s="869">
        <f t="shared" si="34"/>
        <v>1.131370849898482</v>
      </c>
      <c r="L72" s="869">
        <f t="shared" si="34"/>
        <v>3.6062445840513986</v>
      </c>
      <c r="M72" s="869">
        <f t="shared" si="34"/>
        <v>6.103004724450626</v>
      </c>
      <c r="N72" s="869">
        <f t="shared" si="34"/>
        <v>9.6831468714119087</v>
      </c>
      <c r="O72" s="869">
        <f t="shared" si="34"/>
        <v>7.1856338157001085</v>
      </c>
      <c r="P72" s="869">
        <f t="shared" si="34"/>
        <v>15.847081750278187</v>
      </c>
      <c r="Q72" s="869">
        <f t="shared" si="34"/>
        <v>5.8111243891923898</v>
      </c>
      <c r="R72" s="869">
        <f t="shared" si="34"/>
        <v>16.686196890444116</v>
      </c>
      <c r="S72" s="869">
        <f t="shared" si="34"/>
        <v>6.0811183182043056</v>
      </c>
      <c r="T72" s="869">
        <f t="shared" si="34"/>
        <v>0</v>
      </c>
      <c r="U72" s="869">
        <f t="shared" si="34"/>
        <v>12.657211383239193</v>
      </c>
      <c r="V72" s="869">
        <f t="shared" si="34"/>
        <v>30.900566337852119</v>
      </c>
      <c r="W72" s="869">
        <f t="shared" si="34"/>
        <v>0</v>
      </c>
      <c r="X72" s="869" t="str">
        <f t="shared" si="34"/>
        <v/>
      </c>
      <c r="Y72" s="869" t="str">
        <f t="shared" si="34"/>
        <v/>
      </c>
      <c r="Z72" s="869" t="str">
        <f t="shared" si="34"/>
        <v/>
      </c>
      <c r="AA72" s="870" t="str">
        <f t="shared" si="34"/>
        <v/>
      </c>
    </row>
    <row r="73" spans="5:27" s="345" customFormat="1">
      <c r="F73" s="854"/>
      <c r="H73" s="871" t="str">
        <f t="shared" ref="H73:AA73" si="35">IF(H43="","",RANK(H36,$H$36:$AA$36,1))</f>
        <v/>
      </c>
      <c r="I73" s="872">
        <f t="shared" si="35"/>
        <v>2</v>
      </c>
      <c r="J73" s="872" t="str">
        <f t="shared" si="35"/>
        <v/>
      </c>
      <c r="K73" s="872" t="str">
        <f t="shared" si="35"/>
        <v/>
      </c>
      <c r="L73" s="872" t="str">
        <f t="shared" si="35"/>
        <v/>
      </c>
      <c r="M73" s="872" t="str">
        <f t="shared" si="35"/>
        <v/>
      </c>
      <c r="N73" s="872">
        <f t="shared" si="35"/>
        <v>7</v>
      </c>
      <c r="O73" s="872">
        <f t="shared" si="35"/>
        <v>8</v>
      </c>
      <c r="P73" s="872">
        <f t="shared" si="35"/>
        <v>9</v>
      </c>
      <c r="Q73" s="872">
        <f t="shared" si="35"/>
        <v>10</v>
      </c>
      <c r="R73" s="872">
        <f t="shared" si="35"/>
        <v>11</v>
      </c>
      <c r="S73" s="872">
        <f t="shared" si="35"/>
        <v>12</v>
      </c>
      <c r="T73" s="872" t="str">
        <f t="shared" si="35"/>
        <v/>
      </c>
      <c r="U73" s="872">
        <f t="shared" si="35"/>
        <v>14</v>
      </c>
      <c r="V73" s="872" t="str">
        <f t="shared" si="35"/>
        <v/>
      </c>
      <c r="W73" s="872">
        <f t="shared" si="35"/>
        <v>16</v>
      </c>
      <c r="X73" s="872">
        <f t="shared" si="35"/>
        <v>17</v>
      </c>
      <c r="Y73" s="872">
        <f t="shared" si="35"/>
        <v>18</v>
      </c>
      <c r="Z73" s="872" t="str">
        <f t="shared" si="35"/>
        <v/>
      </c>
      <c r="AA73" s="873" t="str">
        <f t="shared" si="35"/>
        <v/>
      </c>
    </row>
    <row r="74" spans="5:27" s="345" customFormat="1" ht="13.5" thickBot="1">
      <c r="F74" s="854"/>
      <c r="H74" s="874" t="str">
        <f t="shared" ref="H74:AA74" si="36">IF(H73="","",RANK(H73,$H$73:$AA$73,1))</f>
        <v/>
      </c>
      <c r="I74" s="875">
        <f t="shared" si="36"/>
        <v>1</v>
      </c>
      <c r="J74" s="875" t="str">
        <f t="shared" si="36"/>
        <v/>
      </c>
      <c r="K74" s="875" t="str">
        <f t="shared" si="36"/>
        <v/>
      </c>
      <c r="L74" s="875" t="str">
        <f t="shared" si="36"/>
        <v/>
      </c>
      <c r="M74" s="875" t="str">
        <f t="shared" si="36"/>
        <v/>
      </c>
      <c r="N74" s="875">
        <f t="shared" si="36"/>
        <v>2</v>
      </c>
      <c r="O74" s="875">
        <f t="shared" si="36"/>
        <v>3</v>
      </c>
      <c r="P74" s="875">
        <f t="shared" si="36"/>
        <v>4</v>
      </c>
      <c r="Q74" s="875">
        <f t="shared" si="36"/>
        <v>5</v>
      </c>
      <c r="R74" s="875">
        <f t="shared" si="36"/>
        <v>6</v>
      </c>
      <c r="S74" s="875">
        <f t="shared" si="36"/>
        <v>7</v>
      </c>
      <c r="T74" s="875" t="str">
        <f t="shared" si="36"/>
        <v/>
      </c>
      <c r="U74" s="875">
        <f t="shared" si="36"/>
        <v>8</v>
      </c>
      <c r="V74" s="875" t="str">
        <f t="shared" si="36"/>
        <v/>
      </c>
      <c r="W74" s="875">
        <f t="shared" si="36"/>
        <v>9</v>
      </c>
      <c r="X74" s="875">
        <f t="shared" si="36"/>
        <v>10</v>
      </c>
      <c r="Y74" s="875">
        <f t="shared" si="36"/>
        <v>11</v>
      </c>
      <c r="Z74" s="875" t="str">
        <f t="shared" si="36"/>
        <v/>
      </c>
      <c r="AA74" s="876" t="str">
        <f t="shared" si="36"/>
        <v/>
      </c>
    </row>
    <row r="75" spans="5:27" s="345" customFormat="1" ht="13.5" thickBot="1">
      <c r="E75" s="1605" t="s">
        <v>1281</v>
      </c>
      <c r="F75" s="1606"/>
      <c r="G75" s="1607"/>
      <c r="H75" s="877">
        <f>IF(SUMIF($H$74:$AA$74,H$67,$H$36:$AA$36)=0,"",SUMIF($H$74:$AA$74,H$67,$H$36:$AA$36))</f>
        <v>10</v>
      </c>
      <c r="I75" s="878">
        <f>IF(SUMIF($H$74:$AA$74,I$67,$H$36:$AA$36)=0,"",SUMIF($H$74:$AA$74,I$67,$H$36:$AA$36))</f>
        <v>40</v>
      </c>
      <c r="J75" s="878">
        <f t="shared" ref="J75:AA75" si="37">IF(SUMIF($H$74:$AA$74,J$67,$H$36:$AA$36)=0,"",SUMIF($H$74:$AA$74,J$67,$H$36:$AA$36))</f>
        <v>50</v>
      </c>
      <c r="K75" s="878">
        <f t="shared" si="37"/>
        <v>60</v>
      </c>
      <c r="L75" s="878">
        <f t="shared" si="37"/>
        <v>70</v>
      </c>
      <c r="M75" s="878">
        <f t="shared" si="37"/>
        <v>80</v>
      </c>
      <c r="N75" s="878">
        <f t="shared" si="37"/>
        <v>90</v>
      </c>
      <c r="O75" s="878">
        <f t="shared" si="37"/>
        <v>98.474693898206965</v>
      </c>
      <c r="P75" s="878">
        <f t="shared" si="37"/>
        <v>99.665653482478291</v>
      </c>
      <c r="Q75" s="878">
        <f t="shared" si="37"/>
        <v>99.951573567634654</v>
      </c>
      <c r="R75" s="878">
        <f t="shared" si="37"/>
        <v>100</v>
      </c>
      <c r="S75" s="878" t="str">
        <f t="shared" si="37"/>
        <v/>
      </c>
      <c r="T75" s="878" t="str">
        <f t="shared" si="37"/>
        <v/>
      </c>
      <c r="U75" s="878" t="str">
        <f t="shared" si="37"/>
        <v/>
      </c>
      <c r="V75" s="878" t="str">
        <f t="shared" si="37"/>
        <v/>
      </c>
      <c r="W75" s="878" t="str">
        <f t="shared" si="37"/>
        <v/>
      </c>
      <c r="X75" s="878" t="str">
        <f t="shared" si="37"/>
        <v/>
      </c>
      <c r="Y75" s="878" t="str">
        <f t="shared" si="37"/>
        <v/>
      </c>
      <c r="Z75" s="878" t="str">
        <f t="shared" si="37"/>
        <v/>
      </c>
      <c r="AA75" s="879" t="str">
        <f t="shared" si="37"/>
        <v/>
      </c>
    </row>
    <row r="76" spans="5:27" s="345" customFormat="1">
      <c r="E76" s="1574" t="s">
        <v>1283</v>
      </c>
      <c r="F76" s="1593"/>
      <c r="G76" s="1575"/>
      <c r="H76" s="880">
        <f>IF(SUMIF($H$36:$AA$36,H$75,$H43:$AA43)=0,"",SUMIF($H$36:$AA$36,H$75,$H43:$AA43)/$AB$59)</f>
        <v>1.4000000000000057</v>
      </c>
      <c r="I76" s="881">
        <f t="shared" ref="I76:AA76" si="38">IF(SUMIF($H$36:$AA$36,I$75,$H43:$AA43)=0,"",SUMIF($H$36:$AA$36,I$75,$H43:$AA43)/$AB$59)</f>
        <v>22.299999999999997</v>
      </c>
      <c r="J76" s="881">
        <f t="shared" si="38"/>
        <v>-18.5</v>
      </c>
      <c r="K76" s="881">
        <f t="shared" si="38"/>
        <v>-1.6000000000000014</v>
      </c>
      <c r="L76" s="881">
        <f t="shared" si="38"/>
        <v>8.5</v>
      </c>
      <c r="M76" s="881">
        <f t="shared" si="38"/>
        <v>-12.9</v>
      </c>
      <c r="N76" s="881">
        <f t="shared" si="38"/>
        <v>8.8999999999999986</v>
      </c>
      <c r="O76" s="881">
        <f t="shared" si="38"/>
        <v>-2.2000000000000028</v>
      </c>
      <c r="P76" s="881">
        <f t="shared" si="38"/>
        <v>-32.6</v>
      </c>
      <c r="Q76" s="881">
        <f t="shared" si="38"/>
        <v>-58.800000000000011</v>
      </c>
      <c r="R76" s="881">
        <f t="shared" si="38"/>
        <v>-19</v>
      </c>
      <c r="S76" s="881" t="str">
        <f t="shared" si="38"/>
        <v/>
      </c>
      <c r="T76" s="881" t="str">
        <f t="shared" si="38"/>
        <v/>
      </c>
      <c r="U76" s="881" t="str">
        <f t="shared" si="38"/>
        <v/>
      </c>
      <c r="V76" s="881" t="str">
        <f t="shared" si="38"/>
        <v/>
      </c>
      <c r="W76" s="881" t="str">
        <f t="shared" si="38"/>
        <v/>
      </c>
      <c r="X76" s="881" t="str">
        <f t="shared" si="38"/>
        <v/>
      </c>
      <c r="Y76" s="881" t="str">
        <f t="shared" si="38"/>
        <v/>
      </c>
      <c r="Z76" s="881" t="str">
        <f t="shared" si="38"/>
        <v/>
      </c>
      <c r="AA76" s="882" t="str">
        <f t="shared" si="38"/>
        <v/>
      </c>
    </row>
    <row r="77" spans="5:27" s="345" customFormat="1" ht="13.5" thickBot="1">
      <c r="E77" s="1576" t="s">
        <v>1284</v>
      </c>
      <c r="F77" s="1594"/>
      <c r="G77" s="1577"/>
      <c r="H77" s="883">
        <f>IF(SUMIF($H$36:$AA$36,H$75,$H43:$AA43)=0,"",SUMIF($H$36:$AA$36,H$75,$H44:$AA44)/$AB$59)</f>
        <v>84.287128317436455</v>
      </c>
      <c r="I77" s="884">
        <f t="shared" ref="I77:AA77" si="39">IF(SUMIF($H$36:$AA$36,I$75,$H43:$AA43)=0,"",SUMIF($H$36:$AA$36,I$75,$H44:$AA44)/$AB$59)</f>
        <v>0</v>
      </c>
      <c r="J77" s="884">
        <f t="shared" si="39"/>
        <v>0</v>
      </c>
      <c r="K77" s="884">
        <f t="shared" si="39"/>
        <v>6.2225396744416157</v>
      </c>
      <c r="L77" s="884">
        <f t="shared" si="39"/>
        <v>0</v>
      </c>
      <c r="M77" s="884">
        <f t="shared" si="39"/>
        <v>13.327040181525678</v>
      </c>
      <c r="N77" s="884">
        <f t="shared" si="39"/>
        <v>4.8083261120685208</v>
      </c>
      <c r="O77" s="884">
        <f t="shared" si="39"/>
        <v>0</v>
      </c>
      <c r="P77" s="884">
        <f t="shared" si="39"/>
        <v>10.465180361560902</v>
      </c>
      <c r="Q77" s="884">
        <f t="shared" si="39"/>
        <v>0</v>
      </c>
      <c r="R77" s="884">
        <f t="shared" si="39"/>
        <v>19.798989873223331</v>
      </c>
      <c r="S77" s="884" t="str">
        <f t="shared" si="39"/>
        <v/>
      </c>
      <c r="T77" s="884" t="str">
        <f t="shared" si="39"/>
        <v/>
      </c>
      <c r="U77" s="884" t="str">
        <f t="shared" si="39"/>
        <v/>
      </c>
      <c r="V77" s="884" t="str">
        <f t="shared" si="39"/>
        <v/>
      </c>
      <c r="W77" s="884" t="str">
        <f t="shared" si="39"/>
        <v/>
      </c>
      <c r="X77" s="884" t="str">
        <f t="shared" si="39"/>
        <v/>
      </c>
      <c r="Y77" s="884" t="str">
        <f t="shared" si="39"/>
        <v/>
      </c>
      <c r="Z77" s="884" t="str">
        <f t="shared" si="39"/>
        <v/>
      </c>
      <c r="AA77" s="885" t="str">
        <f t="shared" si="39"/>
        <v/>
      </c>
    </row>
    <row r="78" spans="5:27" s="345" customFormat="1">
      <c r="F78" s="854"/>
      <c r="H78" s="886">
        <f t="shared" ref="H78:AA78" si="40">IF(H53="","",RANK(H36,$H$36:$AA$36,1))</f>
        <v>1</v>
      </c>
      <c r="I78" s="887">
        <f t="shared" si="40"/>
        <v>2</v>
      </c>
      <c r="J78" s="887">
        <f t="shared" si="40"/>
        <v>3</v>
      </c>
      <c r="K78" s="887">
        <f t="shared" si="40"/>
        <v>4</v>
      </c>
      <c r="L78" s="887">
        <f t="shared" si="40"/>
        <v>5</v>
      </c>
      <c r="M78" s="887">
        <f t="shared" si="40"/>
        <v>6</v>
      </c>
      <c r="N78" s="887">
        <f t="shared" si="40"/>
        <v>7</v>
      </c>
      <c r="O78" s="887">
        <f t="shared" si="40"/>
        <v>8</v>
      </c>
      <c r="P78" s="887">
        <f t="shared" si="40"/>
        <v>9</v>
      </c>
      <c r="Q78" s="887">
        <f t="shared" si="40"/>
        <v>10</v>
      </c>
      <c r="R78" s="887">
        <f t="shared" si="40"/>
        <v>11</v>
      </c>
      <c r="S78" s="887">
        <f t="shared" si="40"/>
        <v>12</v>
      </c>
      <c r="T78" s="887">
        <f t="shared" si="40"/>
        <v>13</v>
      </c>
      <c r="U78" s="887">
        <f t="shared" si="40"/>
        <v>14</v>
      </c>
      <c r="V78" s="887">
        <f t="shared" si="40"/>
        <v>15</v>
      </c>
      <c r="W78" s="887">
        <f t="shared" si="40"/>
        <v>16</v>
      </c>
      <c r="X78" s="887">
        <f t="shared" si="40"/>
        <v>17</v>
      </c>
      <c r="Y78" s="887" t="str">
        <f t="shared" si="40"/>
        <v/>
      </c>
      <c r="Z78" s="887" t="str">
        <f t="shared" si="40"/>
        <v/>
      </c>
      <c r="AA78" s="888" t="str">
        <f t="shared" si="40"/>
        <v/>
      </c>
    </row>
    <row r="79" spans="5:27" s="345" customFormat="1" ht="13.5" thickBot="1">
      <c r="F79" s="854"/>
      <c r="H79" s="859">
        <f t="shared" ref="H79:AA79" si="41">IF(H78="","",RANK(H78,$H$78:$AA$78,1))</f>
        <v>1</v>
      </c>
      <c r="I79" s="860">
        <f t="shared" si="41"/>
        <v>2</v>
      </c>
      <c r="J79" s="860">
        <f t="shared" si="41"/>
        <v>3</v>
      </c>
      <c r="K79" s="860">
        <f t="shared" si="41"/>
        <v>4</v>
      </c>
      <c r="L79" s="860">
        <f t="shared" si="41"/>
        <v>5</v>
      </c>
      <c r="M79" s="860">
        <f t="shared" si="41"/>
        <v>6</v>
      </c>
      <c r="N79" s="860">
        <f t="shared" si="41"/>
        <v>7</v>
      </c>
      <c r="O79" s="860">
        <f t="shared" si="41"/>
        <v>8</v>
      </c>
      <c r="P79" s="860">
        <f t="shared" si="41"/>
        <v>9</v>
      </c>
      <c r="Q79" s="860">
        <f t="shared" si="41"/>
        <v>10</v>
      </c>
      <c r="R79" s="860">
        <f t="shared" si="41"/>
        <v>11</v>
      </c>
      <c r="S79" s="860">
        <f t="shared" si="41"/>
        <v>12</v>
      </c>
      <c r="T79" s="860">
        <f t="shared" si="41"/>
        <v>13</v>
      </c>
      <c r="U79" s="860">
        <f t="shared" si="41"/>
        <v>14</v>
      </c>
      <c r="V79" s="860">
        <f t="shared" si="41"/>
        <v>15</v>
      </c>
      <c r="W79" s="860">
        <f t="shared" si="41"/>
        <v>16</v>
      </c>
      <c r="X79" s="860">
        <f t="shared" si="41"/>
        <v>17</v>
      </c>
      <c r="Y79" s="860" t="str">
        <f t="shared" si="41"/>
        <v/>
      </c>
      <c r="Z79" s="860" t="str">
        <f t="shared" si="41"/>
        <v/>
      </c>
      <c r="AA79" s="861" t="str">
        <f t="shared" si="41"/>
        <v/>
      </c>
    </row>
    <row r="80" spans="5:27" s="345" customFormat="1" ht="13.5" thickBot="1">
      <c r="E80" s="1605" t="s">
        <v>1281</v>
      </c>
      <c r="F80" s="1606"/>
      <c r="G80" s="1607"/>
      <c r="H80" s="862">
        <f>IF(SUMIF($H$79:$AA$79,H$67,$H$36:$AA$36)=0,"",SUMIF($H$79:$AA$79,H$67,$H$36:$AA$36))</f>
        <v>5.3605555861977985</v>
      </c>
      <c r="I80" s="863">
        <f>IF(SUMIF($H$79:$AA$79,I$67,$H$36:$AA$36)=0,"",SUMIF($H$79:$AA$79,I$67,$H$36:$AA$36))</f>
        <v>10</v>
      </c>
      <c r="J80" s="863">
        <f t="shared" ref="J80:AA80" si="42">IF(SUMIF($H$79:$AA$79,J$67,$H$36:$AA$36)=0,"",SUMIF($H$79:$AA$79,J$67,$H$36:$AA$36))</f>
        <v>20</v>
      </c>
      <c r="K80" s="863">
        <f t="shared" si="42"/>
        <v>26.922669813782981</v>
      </c>
      <c r="L80" s="863">
        <f t="shared" si="42"/>
        <v>28.402760758696882</v>
      </c>
      <c r="M80" s="863">
        <f t="shared" si="42"/>
        <v>30</v>
      </c>
      <c r="N80" s="863">
        <f t="shared" si="42"/>
        <v>40</v>
      </c>
      <c r="O80" s="863">
        <f t="shared" si="42"/>
        <v>50</v>
      </c>
      <c r="P80" s="863">
        <f t="shared" si="42"/>
        <v>60</v>
      </c>
      <c r="Q80" s="863">
        <f t="shared" si="42"/>
        <v>70</v>
      </c>
      <c r="R80" s="863">
        <f t="shared" si="42"/>
        <v>80</v>
      </c>
      <c r="S80" s="863">
        <f t="shared" si="42"/>
        <v>90</v>
      </c>
      <c r="T80" s="863">
        <f t="shared" si="42"/>
        <v>97.736572490101764</v>
      </c>
      <c r="U80" s="863">
        <f t="shared" si="42"/>
        <v>98.474693898206965</v>
      </c>
      <c r="V80" s="863">
        <f t="shared" si="42"/>
        <v>99.115172061249353</v>
      </c>
      <c r="W80" s="863">
        <f t="shared" si="42"/>
        <v>99.665653482478291</v>
      </c>
      <c r="X80" s="863">
        <f t="shared" si="42"/>
        <v>99.951573567634654</v>
      </c>
      <c r="Y80" s="863" t="str">
        <f t="shared" si="42"/>
        <v/>
      </c>
      <c r="Z80" s="863" t="str">
        <f t="shared" si="42"/>
        <v/>
      </c>
      <c r="AA80" s="864" t="str">
        <f t="shared" si="42"/>
        <v/>
      </c>
    </row>
    <row r="81" spans="5:28" s="345" customFormat="1">
      <c r="E81" s="1574" t="s">
        <v>1283</v>
      </c>
      <c r="F81" s="1593"/>
      <c r="G81" s="1575"/>
      <c r="H81" s="865">
        <f>IF(SUMIF($H$36:$AA$36,H$80,$H53:$AA53)=0,"",SUMIF($H$36:$AA$36,H$80,$H53:$AA53)/$AB$59)</f>
        <v>12</v>
      </c>
      <c r="I81" s="866">
        <f t="shared" ref="I81:AA81" si="43">IF(SUMIF($H$36:$AA$36,I$80,$H53:$AA53)=0,"",SUMIF($H$36:$AA$36,I$80,$H53:$AA53)/$AB$59)</f>
        <v>-35.299999999999997</v>
      </c>
      <c r="J81" s="866">
        <f t="shared" si="43"/>
        <v>-60</v>
      </c>
      <c r="K81" s="866">
        <f t="shared" si="43"/>
        <v>-56.400000000000006</v>
      </c>
      <c r="L81" s="866">
        <f t="shared" si="43"/>
        <v>-62.100000000000009</v>
      </c>
      <c r="M81" s="866">
        <f t="shared" si="43"/>
        <v>-47.7</v>
      </c>
      <c r="N81" s="866">
        <f t="shared" si="43"/>
        <v>-46.7</v>
      </c>
      <c r="O81" s="866">
        <f t="shared" si="43"/>
        <v>-56.266666666666659</v>
      </c>
      <c r="P81" s="866">
        <f t="shared" si="43"/>
        <v>-39.074999999999996</v>
      </c>
      <c r="Q81" s="866">
        <f t="shared" si="43"/>
        <v>-38.274999999999999</v>
      </c>
      <c r="R81" s="866">
        <f t="shared" si="43"/>
        <v>-49.774999999999999</v>
      </c>
      <c r="S81" s="866">
        <f t="shared" si="43"/>
        <v>-52.800000000000011</v>
      </c>
      <c r="T81" s="866">
        <f t="shared" si="43"/>
        <v>-52.9</v>
      </c>
      <c r="U81" s="866">
        <f t="shared" si="43"/>
        <v>-45.699999999999989</v>
      </c>
      <c r="V81" s="866">
        <f t="shared" si="43"/>
        <v>-50.35</v>
      </c>
      <c r="W81" s="866">
        <f t="shared" si="43"/>
        <v>-27.5</v>
      </c>
      <c r="X81" s="866">
        <f t="shared" si="43"/>
        <v>-56.849999999999994</v>
      </c>
      <c r="Y81" s="866" t="str">
        <f t="shared" si="43"/>
        <v/>
      </c>
      <c r="Z81" s="866" t="str">
        <f t="shared" si="43"/>
        <v/>
      </c>
      <c r="AA81" s="867" t="str">
        <f t="shared" si="43"/>
        <v/>
      </c>
    </row>
    <row r="82" spans="5:28" s="345" customFormat="1" ht="13.5" thickBot="1">
      <c r="E82" s="1576" t="s">
        <v>1284</v>
      </c>
      <c r="F82" s="1594"/>
      <c r="G82" s="1577"/>
      <c r="H82" s="868">
        <f>IF(SUMIF($H$36:$AA$36,H$80,$H53:$AA53)=0,"",SUMIF($H$36:$AA$36,H$80,$H54:$AA54)/$AB$59)</f>
        <v>46.669047558312137</v>
      </c>
      <c r="I82" s="869">
        <f t="shared" ref="I82:AA82" si="44">IF(SUMIF($H$36:$AA$36,I$80,$H53:$AA53)=0,"",SUMIF($H$36:$AA$36,I$80,$H54:$AA54)/$AB$59)</f>
        <v>0</v>
      </c>
      <c r="J82" s="869">
        <f t="shared" si="44"/>
        <v>12.727922061357855</v>
      </c>
      <c r="K82" s="869">
        <f t="shared" si="44"/>
        <v>13.435028842544403</v>
      </c>
      <c r="L82" s="869">
        <f t="shared" si="44"/>
        <v>9.4752308678997235</v>
      </c>
      <c r="M82" s="869">
        <f t="shared" si="44"/>
        <v>19.925695303635791</v>
      </c>
      <c r="N82" s="869">
        <f t="shared" si="44"/>
        <v>11.637009925234208</v>
      </c>
      <c r="O82" s="869">
        <f t="shared" si="44"/>
        <v>11.353119982336725</v>
      </c>
      <c r="P82" s="869">
        <f t="shared" si="44"/>
        <v>13.436610435671634</v>
      </c>
      <c r="Q82" s="869">
        <f t="shared" si="44"/>
        <v>21.442694948785391</v>
      </c>
      <c r="R82" s="869">
        <f t="shared" si="44"/>
        <v>8.039226745568687</v>
      </c>
      <c r="S82" s="869">
        <f t="shared" si="44"/>
        <v>0</v>
      </c>
      <c r="T82" s="869">
        <f t="shared" si="44"/>
        <v>6.2265560304232359</v>
      </c>
      <c r="U82" s="869">
        <f t="shared" si="44"/>
        <v>0</v>
      </c>
      <c r="V82" s="869">
        <f t="shared" si="44"/>
        <v>17.748380207782347</v>
      </c>
      <c r="W82" s="869">
        <f t="shared" si="44"/>
        <v>0</v>
      </c>
      <c r="X82" s="869">
        <f t="shared" si="44"/>
        <v>5.3033008588991066</v>
      </c>
      <c r="Y82" s="869" t="str">
        <f t="shared" si="44"/>
        <v/>
      </c>
      <c r="Z82" s="869" t="str">
        <f t="shared" si="44"/>
        <v/>
      </c>
      <c r="AA82" s="870" t="str">
        <f t="shared" si="44"/>
        <v/>
      </c>
    </row>
    <row r="83" spans="5:28" s="345" customFormat="1">
      <c r="F83" s="889"/>
      <c r="H83" s="871">
        <f t="shared" ref="H83:AA83" si="45">IF(H59="","",RANK(H36,$H$36:$AA$36,1))</f>
        <v>1</v>
      </c>
      <c r="I83" s="872">
        <f t="shared" si="45"/>
        <v>2</v>
      </c>
      <c r="J83" s="872">
        <f t="shared" si="45"/>
        <v>3</v>
      </c>
      <c r="K83" s="872">
        <f t="shared" si="45"/>
        <v>4</v>
      </c>
      <c r="L83" s="872">
        <f t="shared" si="45"/>
        <v>5</v>
      </c>
      <c r="M83" s="872">
        <f t="shared" si="45"/>
        <v>6</v>
      </c>
      <c r="N83" s="872">
        <f t="shared" si="45"/>
        <v>7</v>
      </c>
      <c r="O83" s="872">
        <f t="shared" si="45"/>
        <v>8</v>
      </c>
      <c r="P83" s="872">
        <f t="shared" si="45"/>
        <v>9</v>
      </c>
      <c r="Q83" s="872">
        <f t="shared" si="45"/>
        <v>10</v>
      </c>
      <c r="R83" s="872">
        <f t="shared" si="45"/>
        <v>11</v>
      </c>
      <c r="S83" s="872">
        <f t="shared" si="45"/>
        <v>12</v>
      </c>
      <c r="T83" s="872">
        <f t="shared" si="45"/>
        <v>13</v>
      </c>
      <c r="U83" s="872">
        <f t="shared" si="45"/>
        <v>14</v>
      </c>
      <c r="V83" s="872">
        <f t="shared" si="45"/>
        <v>15</v>
      </c>
      <c r="W83" s="872">
        <f t="shared" si="45"/>
        <v>16</v>
      </c>
      <c r="X83" s="872">
        <f t="shared" si="45"/>
        <v>17</v>
      </c>
      <c r="Y83" s="872">
        <f t="shared" si="45"/>
        <v>18</v>
      </c>
      <c r="Z83" s="872" t="str">
        <f t="shared" si="45"/>
        <v/>
      </c>
      <c r="AA83" s="873" t="str">
        <f t="shared" si="45"/>
        <v/>
      </c>
    </row>
    <row r="84" spans="5:28" s="345" customFormat="1" ht="13.5" thickBot="1">
      <c r="F84" s="889"/>
      <c r="H84" s="874">
        <f t="shared" ref="H84:AA84" si="46">IF(H83="","",RANK(H83,$H$83:$AA$83,1))</f>
        <v>1</v>
      </c>
      <c r="I84" s="875">
        <f t="shared" si="46"/>
        <v>2</v>
      </c>
      <c r="J84" s="875">
        <f t="shared" si="46"/>
        <v>3</v>
      </c>
      <c r="K84" s="875">
        <f t="shared" si="46"/>
        <v>4</v>
      </c>
      <c r="L84" s="875">
        <f t="shared" si="46"/>
        <v>5</v>
      </c>
      <c r="M84" s="875">
        <f t="shared" si="46"/>
        <v>6</v>
      </c>
      <c r="N84" s="875">
        <f t="shared" si="46"/>
        <v>7</v>
      </c>
      <c r="O84" s="875">
        <f t="shared" si="46"/>
        <v>8</v>
      </c>
      <c r="P84" s="875">
        <f t="shared" si="46"/>
        <v>9</v>
      </c>
      <c r="Q84" s="875">
        <f t="shared" si="46"/>
        <v>10</v>
      </c>
      <c r="R84" s="875">
        <f t="shared" si="46"/>
        <v>11</v>
      </c>
      <c r="S84" s="875">
        <f t="shared" si="46"/>
        <v>12</v>
      </c>
      <c r="T84" s="875">
        <f t="shared" si="46"/>
        <v>13</v>
      </c>
      <c r="U84" s="875">
        <f t="shared" si="46"/>
        <v>14</v>
      </c>
      <c r="V84" s="875">
        <f t="shared" si="46"/>
        <v>15</v>
      </c>
      <c r="W84" s="875">
        <f t="shared" si="46"/>
        <v>16</v>
      </c>
      <c r="X84" s="875">
        <f t="shared" si="46"/>
        <v>17</v>
      </c>
      <c r="Y84" s="875">
        <f t="shared" si="46"/>
        <v>18</v>
      </c>
      <c r="Z84" s="875" t="str">
        <f t="shared" si="46"/>
        <v/>
      </c>
      <c r="AA84" s="876" t="str">
        <f t="shared" si="46"/>
        <v/>
      </c>
    </row>
    <row r="85" spans="5:28" s="345" customFormat="1" ht="13.5" thickBot="1">
      <c r="E85" s="1605" t="s">
        <v>1281</v>
      </c>
      <c r="F85" s="1606"/>
      <c r="G85" s="1607"/>
      <c r="H85" s="877">
        <f>IF(SUMIF($H$84:$AA$84,H$67,$H$36:$AA$36)=0,"",SUMIF($H$84:$AA$84,H$67,$H$36:$AA$36))</f>
        <v>5.3605555861977985</v>
      </c>
      <c r="I85" s="878">
        <f>IF(SUMIF($H$84:$AA$84,I$67,$H$36:$AA$36)=0,"",SUMIF($H$84:$AA$84,I$67,$H$36:$AA$36))</f>
        <v>10</v>
      </c>
      <c r="J85" s="878">
        <f t="shared" ref="J85:AA85" si="47">IF(SUMIF($H$84:$AA$84,J$67,$H$36:$AA$36)=0,"",SUMIF($H$84:$AA$84,J$67,$H$36:$AA$36))</f>
        <v>20</v>
      </c>
      <c r="K85" s="878">
        <f t="shared" si="47"/>
        <v>26.922669813782981</v>
      </c>
      <c r="L85" s="878">
        <f t="shared" si="47"/>
        <v>28.402760758696882</v>
      </c>
      <c r="M85" s="878">
        <f t="shared" si="47"/>
        <v>30</v>
      </c>
      <c r="N85" s="878">
        <f t="shared" si="47"/>
        <v>40</v>
      </c>
      <c r="O85" s="878">
        <f t="shared" si="47"/>
        <v>50</v>
      </c>
      <c r="P85" s="878">
        <f t="shared" si="47"/>
        <v>60</v>
      </c>
      <c r="Q85" s="878">
        <f t="shared" si="47"/>
        <v>70</v>
      </c>
      <c r="R85" s="878">
        <f t="shared" si="47"/>
        <v>80</v>
      </c>
      <c r="S85" s="878">
        <f t="shared" si="47"/>
        <v>90</v>
      </c>
      <c r="T85" s="878">
        <f t="shared" si="47"/>
        <v>97.736572490101764</v>
      </c>
      <c r="U85" s="878">
        <f t="shared" si="47"/>
        <v>98.474693898206965</v>
      </c>
      <c r="V85" s="878">
        <f t="shared" si="47"/>
        <v>99.115172061249353</v>
      </c>
      <c r="W85" s="878">
        <f t="shared" si="47"/>
        <v>99.665653482478291</v>
      </c>
      <c r="X85" s="878">
        <f t="shared" si="47"/>
        <v>99.951573567634654</v>
      </c>
      <c r="Y85" s="878">
        <f t="shared" si="47"/>
        <v>100</v>
      </c>
      <c r="Z85" s="878" t="str">
        <f t="shared" si="47"/>
        <v/>
      </c>
      <c r="AA85" s="879" t="str">
        <f t="shared" si="47"/>
        <v/>
      </c>
    </row>
    <row r="86" spans="5:28" s="345" customFormat="1">
      <c r="E86" s="1574" t="s">
        <v>1283</v>
      </c>
      <c r="F86" s="1593"/>
      <c r="G86" s="1575"/>
      <c r="H86" s="880">
        <f>IF(SUMIF($H$36:$AA$36,H$85,$H59:$AA59)=0,"",SUMIF($H$36:$AA$36,H$85,$H59:$AA59)/$AB$59)</f>
        <v>32.674999999999997</v>
      </c>
      <c r="I86" s="881">
        <f t="shared" ref="I86:AA86" si="48">IF(SUMIF($H$36:$AA$36,I$85,$H59:$AA59)=0,"",SUMIF($H$36:$AA$36,I$85,$H59:$AA59)/$AB$59)</f>
        <v>13.180000000000001</v>
      </c>
      <c r="J86" s="881">
        <f t="shared" si="48"/>
        <v>24.633333333333336</v>
      </c>
      <c r="K86" s="881">
        <f t="shared" si="48"/>
        <v>4.0999999999999943</v>
      </c>
      <c r="L86" s="881">
        <f t="shared" si="48"/>
        <v>1.1249999999999929</v>
      </c>
      <c r="M86" s="881">
        <f t="shared" si="48"/>
        <v>8.3999999999999986</v>
      </c>
      <c r="N86" s="881">
        <f t="shared" si="48"/>
        <v>3.6555555555555532</v>
      </c>
      <c r="O86" s="881">
        <f t="shared" si="48"/>
        <v>-3.712499999999995</v>
      </c>
      <c r="P86" s="881">
        <f t="shared" si="48"/>
        <v>-6.089999999999999</v>
      </c>
      <c r="Q86" s="881">
        <f t="shared" si="48"/>
        <v>-7.4999999999999982</v>
      </c>
      <c r="R86" s="881">
        <f t="shared" si="48"/>
        <v>-13.645454545454548</v>
      </c>
      <c r="S86" s="881">
        <f t="shared" si="48"/>
        <v>-4.2000000000000028</v>
      </c>
      <c r="T86" s="881">
        <f t="shared" si="48"/>
        <v>-29.749999999999996</v>
      </c>
      <c r="U86" s="881">
        <f t="shared" si="48"/>
        <v>-0.8999999999999968</v>
      </c>
      <c r="V86" s="881">
        <f t="shared" si="48"/>
        <v>-33.349999999999994</v>
      </c>
      <c r="W86" s="881">
        <f t="shared" si="48"/>
        <v>-35.775000000000006</v>
      </c>
      <c r="X86" s="881">
        <f t="shared" si="48"/>
        <v>-57.825000000000003</v>
      </c>
      <c r="Y86" s="881">
        <f t="shared" si="48"/>
        <v>-19</v>
      </c>
      <c r="Z86" s="881" t="str">
        <f t="shared" si="48"/>
        <v/>
      </c>
      <c r="AA86" s="882" t="str">
        <f t="shared" si="48"/>
        <v/>
      </c>
      <c r="AB86" s="851">
        <v>1</v>
      </c>
    </row>
    <row r="87" spans="5:28" s="345" customFormat="1" ht="13.5" thickBot="1">
      <c r="E87" s="1576" t="s">
        <v>1284</v>
      </c>
      <c r="F87" s="1594"/>
      <c r="G87" s="1577"/>
      <c r="H87" s="883">
        <f>IF(SUMIF($H$36:$AA$36,H$85,$H59:$AA59)=0,"",SUMIF($H$36:$AA$36,H$85,$H60:$AA60)/$AB$59)</f>
        <v>36.370626884891607</v>
      </c>
      <c r="I87" s="884">
        <f t="shared" ref="I87:AA87" si="49">IF(SUMIF($H$36:$AA$36,I$85,$H59:$AA59)=0,"",SUMIF($H$36:$AA$36,I$85,$H60:$AA60)/$AB$59)</f>
        <v>57.269250038742427</v>
      </c>
      <c r="J87" s="884">
        <f t="shared" si="49"/>
        <v>65.942298008688383</v>
      </c>
      <c r="K87" s="884">
        <f t="shared" si="49"/>
        <v>70.291725449491324</v>
      </c>
      <c r="L87" s="884">
        <f t="shared" si="49"/>
        <v>73.240215501230395</v>
      </c>
      <c r="M87" s="884">
        <f t="shared" si="49"/>
        <v>61.505539820177404</v>
      </c>
      <c r="N87" s="884">
        <f t="shared" si="49"/>
        <v>49.408782395215702</v>
      </c>
      <c r="O87" s="884">
        <f t="shared" si="49"/>
        <v>48.332078596192936</v>
      </c>
      <c r="P87" s="884">
        <f t="shared" si="49"/>
        <v>32.499382900124253</v>
      </c>
      <c r="Q87" s="884">
        <f t="shared" si="49"/>
        <v>32.389581658304884</v>
      </c>
      <c r="R87" s="884">
        <f t="shared" si="49"/>
        <v>34.159138268883879</v>
      </c>
      <c r="S87" s="884">
        <f t="shared" si="49"/>
        <v>27.459788782873044</v>
      </c>
      <c r="T87" s="884">
        <f t="shared" si="49"/>
        <v>46.578285355588889</v>
      </c>
      <c r="U87" s="884">
        <f t="shared" si="49"/>
        <v>32.820420472626481</v>
      </c>
      <c r="V87" s="884">
        <f t="shared" si="49"/>
        <v>28.43618586707203</v>
      </c>
      <c r="W87" s="884">
        <f t="shared" si="49"/>
        <v>11.719606079841858</v>
      </c>
      <c r="X87" s="884">
        <f t="shared" si="49"/>
        <v>3.2622844756397349</v>
      </c>
      <c r="Y87" s="884">
        <f t="shared" si="49"/>
        <v>19.798989873223331</v>
      </c>
      <c r="Z87" s="884" t="str">
        <f t="shared" si="49"/>
        <v/>
      </c>
      <c r="AA87" s="885" t="str">
        <f t="shared" si="49"/>
        <v/>
      </c>
    </row>
    <row r="88" spans="5:28" s="345" customFormat="1">
      <c r="F88" s="889"/>
      <c r="R88" s="694"/>
    </row>
    <row r="89" spans="5:28" s="345" customFormat="1">
      <c r="R89" s="694"/>
    </row>
    <row r="90" spans="5:28" s="345" customFormat="1">
      <c r="R90" s="694"/>
    </row>
    <row r="91" spans="5:28" s="345" customFormat="1">
      <c r="R91" s="694"/>
    </row>
    <row r="92" spans="5:28" s="345" customFormat="1">
      <c r="R92" s="694"/>
    </row>
    <row r="93" spans="5:28" s="345" customFormat="1">
      <c r="R93" s="694"/>
    </row>
    <row r="94" spans="5:28" s="345" customFormat="1"/>
    <row r="95" spans="5:28" s="345" customFormat="1"/>
    <row r="96" spans="5:28" s="345" customFormat="1"/>
    <row r="97" s="345" customFormat="1"/>
    <row r="98" s="345" customFormat="1"/>
    <row r="99" s="345" customFormat="1"/>
    <row r="100" s="345" customFormat="1"/>
    <row r="101" s="345" customFormat="1"/>
  </sheetData>
  <sheetProtection sheet="1" objects="1" scenarios="1" selectLockedCells="1" selectUnlockedCells="1"/>
  <mergeCells count="55">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3:E58"/>
    <mergeCell ref="F53:G53"/>
    <mergeCell ref="F54:G54"/>
    <mergeCell ref="F55:F56"/>
    <mergeCell ref="F57:F58"/>
    <mergeCell ref="E43:E52"/>
    <mergeCell ref="F43:G43"/>
    <mergeCell ref="F44:G44"/>
    <mergeCell ref="F45:F48"/>
    <mergeCell ref="G45:G46"/>
    <mergeCell ref="G47:G48"/>
    <mergeCell ref="F49:F52"/>
    <mergeCell ref="G49:G50"/>
    <mergeCell ref="G51:G52"/>
    <mergeCell ref="D5:J5"/>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s>
  <conditionalFormatting sqref="U13:X31 P13:S31 I13:L31 D13:G30 E31:G31">
    <cfRule type="cellIs" priority="1" stopIfTrue="1" operator="equal">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4"/>
  <sheetViews>
    <sheetView topLeftCell="A13" zoomScale="90" zoomScaleNormal="90" workbookViewId="0">
      <selection activeCell="AI13" sqref="AI13:AL31"/>
    </sheetView>
  </sheetViews>
  <sheetFormatPr baseColWidth="10" defaultRowHeight="21"/>
  <cols>
    <col min="1" max="1" width="33.140625" style="314" customWidth="1"/>
    <col min="2" max="2" width="1.42578125" style="314" customWidth="1"/>
    <col min="3" max="9" width="21.42578125" style="314" customWidth="1"/>
    <col min="10" max="16384" width="11.42578125" style="314"/>
  </cols>
  <sheetData>
    <row r="1" spans="1:27">
      <c r="A1" s="85"/>
      <c r="B1" s="85"/>
      <c r="C1" s="85"/>
      <c r="D1" s="85"/>
      <c r="E1" s="85"/>
      <c r="F1" s="85"/>
      <c r="G1" s="85"/>
      <c r="H1" s="85"/>
      <c r="I1" s="85"/>
      <c r="J1" s="85"/>
      <c r="K1" s="85"/>
      <c r="L1" s="85"/>
      <c r="M1" s="85"/>
      <c r="N1" s="85"/>
      <c r="O1" s="85"/>
      <c r="P1" s="85"/>
      <c r="Q1" s="85"/>
      <c r="R1" s="85"/>
      <c r="S1" s="85"/>
      <c r="T1" s="85"/>
      <c r="U1" s="85"/>
      <c r="V1" s="85"/>
      <c r="W1" s="85"/>
      <c r="X1" s="85"/>
      <c r="Y1" s="85"/>
      <c r="Z1" s="85"/>
      <c r="AA1" s="85"/>
    </row>
    <row r="2" spans="1:27" ht="26.25">
      <c r="A2" s="1629" t="s">
        <v>1093</v>
      </c>
      <c r="B2" s="1629"/>
      <c r="C2" s="1629"/>
      <c r="D2" s="1629"/>
      <c r="E2" s="1629"/>
      <c r="F2" s="1629"/>
      <c r="G2" s="1629"/>
      <c r="H2" s="1629"/>
      <c r="I2" s="1629"/>
      <c r="J2" s="85"/>
      <c r="K2" s="85"/>
      <c r="L2" s="85"/>
      <c r="M2" s="85"/>
      <c r="N2" s="85"/>
      <c r="O2" s="85"/>
      <c r="P2" s="85"/>
      <c r="Q2" s="85"/>
      <c r="R2" s="85"/>
      <c r="S2" s="85"/>
      <c r="T2" s="85"/>
      <c r="U2" s="85"/>
      <c r="V2" s="85"/>
      <c r="W2" s="85"/>
      <c r="X2" s="85"/>
      <c r="Y2" s="85"/>
      <c r="Z2" s="85"/>
      <c r="AA2" s="85"/>
    </row>
    <row r="3" spans="1:27">
      <c r="A3" s="85"/>
      <c r="B3" s="85"/>
      <c r="C3" s="85"/>
      <c r="D3" s="85"/>
      <c r="E3" s="85"/>
      <c r="F3" s="85"/>
      <c r="G3" s="85"/>
      <c r="H3" s="85"/>
      <c r="I3" s="85"/>
      <c r="J3" s="85"/>
      <c r="K3" s="85"/>
      <c r="L3" s="85"/>
      <c r="M3" s="85"/>
      <c r="N3" s="85"/>
      <c r="O3" s="85"/>
      <c r="P3" s="85"/>
      <c r="Q3" s="85"/>
      <c r="R3" s="85"/>
      <c r="S3" s="85"/>
      <c r="T3" s="85"/>
      <c r="U3" s="85"/>
      <c r="V3" s="85"/>
      <c r="W3" s="85"/>
      <c r="X3" s="85"/>
      <c r="Y3" s="85"/>
      <c r="Z3" s="85"/>
      <c r="AA3" s="85"/>
    </row>
    <row r="4" spans="1:27">
      <c r="A4" s="312" t="s">
        <v>1075</v>
      </c>
      <c r="B4" s="85"/>
      <c r="C4" s="312" t="s">
        <v>1076</v>
      </c>
      <c r="D4" s="312" t="s">
        <v>1077</v>
      </c>
      <c r="E4" s="312" t="s">
        <v>1078</v>
      </c>
      <c r="F4" s="312" t="s">
        <v>1079</v>
      </c>
      <c r="G4" s="312" t="s">
        <v>1080</v>
      </c>
      <c r="H4" s="312" t="s">
        <v>1081</v>
      </c>
      <c r="I4" s="312" t="s">
        <v>1082</v>
      </c>
      <c r="J4" s="85"/>
      <c r="K4" s="85"/>
      <c r="L4" s="85"/>
      <c r="M4" s="85"/>
      <c r="N4" s="85"/>
      <c r="O4" s="85"/>
      <c r="P4" s="85"/>
      <c r="Q4" s="85"/>
      <c r="R4" s="85"/>
      <c r="S4" s="85"/>
      <c r="T4" s="85"/>
      <c r="U4" s="85"/>
      <c r="V4" s="85"/>
      <c r="W4" s="85"/>
      <c r="X4" s="85"/>
      <c r="Y4" s="85"/>
      <c r="Z4" s="85"/>
      <c r="AA4" s="85"/>
    </row>
    <row r="5" spans="1:27" ht="7.5" customHeight="1">
      <c r="A5" s="85"/>
      <c r="B5" s="85"/>
      <c r="C5" s="85"/>
      <c r="D5" s="85"/>
      <c r="E5" s="85"/>
      <c r="F5" s="85"/>
      <c r="G5" s="85"/>
      <c r="H5" s="85"/>
      <c r="I5" s="85"/>
      <c r="J5" s="85"/>
      <c r="K5" s="85"/>
      <c r="L5" s="85"/>
      <c r="M5" s="85"/>
      <c r="N5" s="85"/>
      <c r="O5" s="85"/>
      <c r="P5" s="85"/>
      <c r="Q5" s="85"/>
      <c r="R5" s="85"/>
      <c r="S5" s="85"/>
      <c r="T5" s="85"/>
      <c r="U5" s="85"/>
      <c r="V5" s="85"/>
      <c r="W5" s="85"/>
      <c r="X5" s="85"/>
      <c r="Y5" s="85"/>
      <c r="Z5" s="85"/>
      <c r="AA5" s="85"/>
    </row>
    <row r="6" spans="1:27">
      <c r="A6" s="312" t="s">
        <v>1062</v>
      </c>
      <c r="B6" s="85"/>
      <c r="C6" s="313">
        <v>1</v>
      </c>
      <c r="D6" s="313">
        <v>30</v>
      </c>
      <c r="E6" s="313">
        <v>50</v>
      </c>
      <c r="F6" s="313">
        <v>100</v>
      </c>
      <c r="G6" s="313">
        <v>200</v>
      </c>
      <c r="H6" s="313">
        <v>300</v>
      </c>
      <c r="I6" s="313">
        <v>600</v>
      </c>
      <c r="J6" s="85"/>
      <c r="K6" s="85"/>
      <c r="L6" s="85"/>
      <c r="M6" s="85"/>
      <c r="N6" s="85"/>
      <c r="O6" s="85"/>
      <c r="P6" s="85"/>
      <c r="Q6" s="85"/>
      <c r="R6" s="85"/>
      <c r="S6" s="85"/>
      <c r="T6" s="85"/>
      <c r="U6" s="85"/>
      <c r="V6" s="85"/>
      <c r="W6" s="85"/>
      <c r="X6" s="85"/>
      <c r="Y6" s="85"/>
      <c r="Z6" s="85"/>
      <c r="AA6" s="85"/>
    </row>
    <row r="7" spans="1:27">
      <c r="A7" s="315" t="s">
        <v>463</v>
      </c>
      <c r="B7" s="85"/>
      <c r="C7" s="313">
        <v>0</v>
      </c>
      <c r="D7" s="313"/>
      <c r="E7" s="313"/>
      <c r="F7" s="313"/>
      <c r="G7" s="313"/>
      <c r="H7" s="313"/>
      <c r="I7" s="313"/>
      <c r="J7" s="85"/>
      <c r="K7" s="85"/>
      <c r="L7" s="85"/>
      <c r="M7" s="85"/>
      <c r="N7" s="85"/>
      <c r="O7" s="85"/>
      <c r="P7" s="85"/>
      <c r="Q7" s="85"/>
      <c r="R7" s="85"/>
      <c r="S7" s="85"/>
      <c r="T7" s="85"/>
      <c r="U7" s="85"/>
      <c r="V7" s="85"/>
      <c r="W7" s="85"/>
      <c r="X7" s="85"/>
      <c r="Y7" s="85"/>
      <c r="Z7" s="85"/>
      <c r="AA7" s="85"/>
    </row>
    <row r="8" spans="1:27">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27">
      <c r="A9" s="316" t="s">
        <v>1063</v>
      </c>
      <c r="B9" s="85"/>
      <c r="C9" s="317" t="s">
        <v>1064</v>
      </c>
      <c r="D9" s="317" t="s">
        <v>1065</v>
      </c>
      <c r="E9" s="317" t="s">
        <v>1315</v>
      </c>
      <c r="F9" s="317" t="s">
        <v>1066</v>
      </c>
      <c r="G9" s="85"/>
      <c r="H9" s="85"/>
      <c r="I9" s="85"/>
      <c r="J9" s="85"/>
      <c r="K9" s="85"/>
      <c r="L9" s="85"/>
      <c r="M9" s="85"/>
      <c r="N9" s="85"/>
      <c r="O9" s="85"/>
      <c r="P9" s="85"/>
      <c r="Q9" s="85"/>
      <c r="R9" s="85"/>
      <c r="S9" s="85"/>
      <c r="T9" s="85"/>
      <c r="U9" s="85"/>
      <c r="V9" s="85"/>
      <c r="W9" s="85"/>
      <c r="X9" s="85"/>
      <c r="Y9" s="85"/>
      <c r="Z9" s="85"/>
      <c r="AA9" s="85"/>
    </row>
    <row r="10" spans="1:27" ht="7.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27">
      <c r="A11" s="318" t="s">
        <v>1072</v>
      </c>
      <c r="B11" s="85"/>
      <c r="C11" s="317">
        <v>5</v>
      </c>
      <c r="D11" s="317">
        <v>15</v>
      </c>
      <c r="E11" s="317">
        <v>80</v>
      </c>
      <c r="F11" s="317">
        <v>0</v>
      </c>
      <c r="G11" s="85"/>
      <c r="H11" s="85"/>
      <c r="I11" s="85"/>
      <c r="J11" s="85"/>
      <c r="K11" s="85"/>
      <c r="L11" s="85"/>
      <c r="M11" s="85"/>
      <c r="N11" s="85"/>
      <c r="O11" s="85"/>
      <c r="P11" s="85"/>
      <c r="Q11" s="85"/>
      <c r="R11" s="85"/>
      <c r="S11" s="85"/>
      <c r="T11" s="85"/>
      <c r="U11" s="85"/>
      <c r="V11" s="85"/>
      <c r="W11" s="85"/>
      <c r="X11" s="85"/>
      <c r="Y11" s="85"/>
      <c r="Z11" s="85"/>
      <c r="AA11" s="85"/>
    </row>
    <row r="12" spans="1:27">
      <c r="A12" s="344" t="s">
        <v>1087</v>
      </c>
      <c r="B12" s="85"/>
      <c r="C12" s="343">
        <f>C11</f>
        <v>5</v>
      </c>
      <c r="D12" s="343">
        <f>C12+D11</f>
        <v>20</v>
      </c>
      <c r="E12" s="343">
        <f>D12+E11</f>
        <v>100</v>
      </c>
      <c r="F12" s="343">
        <f>E12+F11</f>
        <v>100</v>
      </c>
      <c r="G12" s="85"/>
      <c r="H12" s="85"/>
      <c r="I12" s="85"/>
      <c r="J12" s="85"/>
      <c r="K12" s="85"/>
      <c r="L12" s="85"/>
      <c r="M12" s="85"/>
      <c r="N12" s="85"/>
      <c r="O12" s="85"/>
      <c r="P12" s="85"/>
      <c r="Q12" s="85"/>
      <c r="R12" s="85"/>
      <c r="S12" s="85"/>
      <c r="T12" s="85"/>
      <c r="U12" s="85"/>
      <c r="V12" s="85"/>
      <c r="W12" s="85"/>
      <c r="X12" s="85"/>
      <c r="Y12" s="85"/>
      <c r="Z12" s="85"/>
      <c r="AA12" s="85"/>
    </row>
    <row r="13" spans="1:27">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27">
      <c r="A14" s="331" t="s">
        <v>1097</v>
      </c>
      <c r="B14" s="85"/>
      <c r="C14" s="319" t="s">
        <v>1067</v>
      </c>
      <c r="D14" s="320" t="s">
        <v>1024</v>
      </c>
      <c r="E14" s="320" t="s">
        <v>1026</v>
      </c>
      <c r="F14" s="85"/>
      <c r="G14" s="85"/>
      <c r="H14" s="85"/>
      <c r="I14" s="85"/>
      <c r="J14" s="85"/>
      <c r="K14" s="85"/>
      <c r="L14" s="85"/>
      <c r="M14" s="85"/>
      <c r="N14" s="85"/>
      <c r="O14" s="85"/>
      <c r="P14" s="85"/>
      <c r="Q14" s="85"/>
      <c r="R14" s="85"/>
      <c r="S14" s="85"/>
      <c r="T14" s="85"/>
      <c r="U14" s="85"/>
      <c r="V14" s="85"/>
      <c r="W14" s="85"/>
      <c r="X14" s="85"/>
      <c r="Y14" s="85"/>
      <c r="Z14" s="85"/>
      <c r="AA14" s="85"/>
    </row>
    <row r="15" spans="1:27" ht="7.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27">
      <c r="A16" s="321" t="s">
        <v>1073</v>
      </c>
      <c r="B16" s="85"/>
      <c r="C16" s="320">
        <v>12</v>
      </c>
      <c r="D16" s="320">
        <v>4</v>
      </c>
      <c r="E16" s="320">
        <v>20</v>
      </c>
      <c r="F16" s="85"/>
      <c r="G16" s="85"/>
      <c r="H16" s="85"/>
      <c r="I16" s="85"/>
      <c r="J16" s="85"/>
      <c r="K16" s="85"/>
      <c r="L16" s="85"/>
      <c r="M16" s="85"/>
      <c r="N16" s="85"/>
      <c r="O16" s="85"/>
      <c r="P16" s="85"/>
      <c r="Q16" s="85"/>
      <c r="R16" s="85"/>
      <c r="S16" s="85"/>
      <c r="T16" s="85"/>
      <c r="U16" s="85"/>
      <c r="V16" s="85"/>
      <c r="W16" s="85"/>
      <c r="X16" s="85"/>
      <c r="Y16" s="85"/>
      <c r="Z16" s="85"/>
      <c r="AA16" s="85"/>
    </row>
    <row r="17" spans="1:27">
      <c r="A17" s="344" t="s">
        <v>1098</v>
      </c>
      <c r="B17" s="85"/>
      <c r="C17" s="343">
        <f>C16</f>
        <v>12</v>
      </c>
      <c r="D17" s="343">
        <f>C17+D16</f>
        <v>16</v>
      </c>
      <c r="E17" s="343">
        <f>D17+E16</f>
        <v>36</v>
      </c>
      <c r="F17" s="85"/>
      <c r="G17" s="85"/>
      <c r="H17" s="85"/>
      <c r="I17" s="85"/>
      <c r="J17" s="85"/>
      <c r="K17" s="85"/>
      <c r="L17" s="85"/>
      <c r="M17" s="85"/>
      <c r="N17" s="85"/>
      <c r="O17" s="85"/>
      <c r="P17" s="85"/>
      <c r="Q17" s="85"/>
      <c r="R17" s="85"/>
      <c r="S17" s="85"/>
      <c r="T17" s="85"/>
      <c r="U17" s="85"/>
      <c r="V17" s="85"/>
      <c r="W17" s="85"/>
      <c r="X17" s="85"/>
      <c r="Y17" s="85"/>
      <c r="Z17" s="85"/>
      <c r="AA17" s="85"/>
    </row>
    <row r="18" spans="1:27">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c r="A19" s="331" t="s">
        <v>1099</v>
      </c>
      <c r="B19" s="85"/>
      <c r="C19" s="319" t="s">
        <v>1067</v>
      </c>
      <c r="D19" s="320" t="s">
        <v>1025</v>
      </c>
      <c r="E19" s="320" t="s">
        <v>1096</v>
      </c>
      <c r="F19" s="85"/>
      <c r="G19" s="85"/>
      <c r="H19" s="85"/>
      <c r="I19" s="85"/>
      <c r="J19" s="85"/>
      <c r="K19" s="85"/>
      <c r="L19" s="85"/>
      <c r="M19" s="85"/>
      <c r="N19" s="85"/>
      <c r="O19" s="85"/>
      <c r="P19" s="85"/>
      <c r="Q19" s="85"/>
      <c r="R19" s="85"/>
      <c r="S19" s="85"/>
      <c r="T19" s="85"/>
      <c r="U19" s="85"/>
      <c r="V19" s="85"/>
      <c r="W19" s="85"/>
      <c r="X19" s="85"/>
      <c r="Y19" s="85"/>
      <c r="Z19" s="85"/>
      <c r="AA19" s="85"/>
    </row>
    <row r="20" spans="1:27" ht="7.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c r="A21" s="321" t="s">
        <v>1073</v>
      </c>
      <c r="B21" s="85"/>
      <c r="C21" s="320">
        <v>12</v>
      </c>
      <c r="D21" s="320">
        <v>22</v>
      </c>
      <c r="E21" s="320">
        <v>2</v>
      </c>
      <c r="F21" s="85"/>
      <c r="G21" s="85"/>
      <c r="H21" s="85"/>
      <c r="I21" s="85"/>
      <c r="J21" s="85"/>
      <c r="K21" s="85"/>
      <c r="L21" s="85"/>
      <c r="M21" s="85"/>
      <c r="N21" s="85"/>
      <c r="O21" s="85"/>
      <c r="P21" s="85"/>
      <c r="Q21" s="85"/>
      <c r="R21" s="85"/>
      <c r="S21" s="85"/>
      <c r="T21" s="85"/>
      <c r="U21" s="85"/>
      <c r="V21" s="85"/>
      <c r="W21" s="85"/>
      <c r="X21" s="85"/>
      <c r="Y21" s="85"/>
      <c r="Z21" s="85"/>
      <c r="AA21" s="85"/>
    </row>
    <row r="22" spans="1:27">
      <c r="A22" s="344" t="s">
        <v>1098</v>
      </c>
      <c r="B22" s="85"/>
      <c r="C22" s="343">
        <f>C21</f>
        <v>12</v>
      </c>
      <c r="D22" s="343">
        <f>C22+D21</f>
        <v>34</v>
      </c>
      <c r="E22" s="343">
        <f>D22+E21</f>
        <v>36</v>
      </c>
      <c r="F22" s="85"/>
      <c r="G22" s="85"/>
      <c r="H22" s="85"/>
      <c r="I22" s="85"/>
      <c r="J22" s="85"/>
      <c r="K22" s="85"/>
      <c r="L22" s="85"/>
      <c r="M22" s="85"/>
      <c r="N22" s="85"/>
      <c r="O22" s="85"/>
      <c r="P22" s="85"/>
      <c r="Q22" s="85"/>
      <c r="R22" s="85"/>
      <c r="S22" s="85"/>
      <c r="T22" s="85"/>
      <c r="U22" s="85"/>
      <c r="V22" s="85"/>
      <c r="W22" s="85"/>
      <c r="X22" s="85"/>
      <c r="Y22" s="85"/>
      <c r="Z22" s="85"/>
      <c r="AA22" s="85"/>
    </row>
    <row r="23" spans="1:27">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c r="A24" s="316" t="s">
        <v>325</v>
      </c>
      <c r="B24" s="85"/>
      <c r="C24" s="317" t="s">
        <v>1068</v>
      </c>
      <c r="D24" s="317" t="s">
        <v>1069</v>
      </c>
      <c r="E24" s="85"/>
      <c r="F24" s="85"/>
      <c r="G24" s="85"/>
      <c r="H24" s="85"/>
      <c r="I24" s="85"/>
      <c r="J24" s="85"/>
      <c r="K24" s="85"/>
      <c r="L24" s="85"/>
      <c r="M24" s="85"/>
      <c r="N24" s="85"/>
      <c r="O24" s="85"/>
      <c r="P24" s="85"/>
      <c r="Q24" s="85"/>
      <c r="R24" s="85"/>
      <c r="S24" s="85"/>
      <c r="T24" s="85"/>
      <c r="U24" s="85"/>
      <c r="V24" s="85"/>
      <c r="W24" s="85"/>
      <c r="X24" s="85"/>
      <c r="Y24" s="85"/>
      <c r="Z24" s="85"/>
      <c r="AA24" s="85"/>
    </row>
    <row r="25" spans="1:27" ht="7.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c r="A26" s="318" t="s">
        <v>1074</v>
      </c>
      <c r="B26" s="85"/>
      <c r="C26" s="317">
        <v>60</v>
      </c>
      <c r="D26" s="317">
        <v>40</v>
      </c>
      <c r="E26" s="85"/>
      <c r="F26" s="85"/>
      <c r="G26" s="85"/>
      <c r="H26" s="85"/>
      <c r="I26" s="85"/>
      <c r="J26" s="85"/>
      <c r="K26" s="85"/>
      <c r="L26" s="85"/>
      <c r="M26" s="85"/>
      <c r="N26" s="85"/>
      <c r="O26" s="85"/>
      <c r="P26" s="85"/>
      <c r="Q26" s="85"/>
      <c r="R26" s="85"/>
      <c r="S26" s="85"/>
      <c r="T26" s="85"/>
      <c r="U26" s="85"/>
      <c r="V26" s="85"/>
      <c r="W26" s="85"/>
      <c r="X26" s="85"/>
      <c r="Y26" s="85"/>
      <c r="Z26" s="85"/>
      <c r="AA26" s="85"/>
    </row>
    <row r="27" spans="1:27">
      <c r="A27" s="344" t="s">
        <v>1087</v>
      </c>
      <c r="B27" s="85"/>
      <c r="C27" s="343">
        <f>C26</f>
        <v>60</v>
      </c>
      <c r="D27" s="343">
        <f>C27+D26</f>
        <v>100</v>
      </c>
      <c r="E27" s="85"/>
      <c r="F27" s="85"/>
      <c r="G27" s="85"/>
      <c r="H27" s="85"/>
      <c r="I27" s="85"/>
      <c r="J27" s="85"/>
      <c r="K27" s="85"/>
      <c r="L27" s="85"/>
      <c r="M27" s="85"/>
      <c r="N27" s="85"/>
      <c r="O27" s="85"/>
      <c r="P27" s="85"/>
      <c r="Q27" s="85"/>
      <c r="R27" s="85"/>
      <c r="S27" s="85"/>
      <c r="T27" s="85"/>
      <c r="U27" s="85"/>
      <c r="V27" s="85"/>
      <c r="W27" s="85"/>
      <c r="X27" s="85"/>
      <c r="Y27" s="85"/>
      <c r="Z27" s="85"/>
      <c r="AA27" s="85"/>
    </row>
    <row r="28" spans="1:27">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row>
    <row r="29" spans="1:27">
      <c r="A29" s="316" t="s">
        <v>64</v>
      </c>
      <c r="B29" s="85"/>
      <c r="C29" s="317" t="s">
        <v>1070</v>
      </c>
      <c r="D29" s="317" t="s">
        <v>1071</v>
      </c>
      <c r="E29" s="85"/>
      <c r="F29" s="85"/>
      <c r="G29" s="85"/>
      <c r="H29" s="85"/>
      <c r="I29" s="85"/>
      <c r="J29" s="85"/>
      <c r="K29" s="85"/>
      <c r="L29" s="85"/>
      <c r="M29" s="85"/>
      <c r="N29" s="85"/>
      <c r="O29" s="85"/>
      <c r="P29" s="85"/>
      <c r="Q29" s="85"/>
      <c r="R29" s="85"/>
      <c r="S29" s="85"/>
      <c r="T29" s="85"/>
      <c r="U29" s="85"/>
      <c r="V29" s="85"/>
      <c r="W29" s="85"/>
      <c r="X29" s="85"/>
      <c r="Y29" s="85"/>
      <c r="Z29" s="85"/>
      <c r="AA29" s="85"/>
    </row>
    <row r="30" spans="1:27" ht="7.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c r="A31" s="318" t="s">
        <v>1072</v>
      </c>
      <c r="B31" s="85"/>
      <c r="C31" s="317">
        <v>40</v>
      </c>
      <c r="D31" s="317">
        <v>60</v>
      </c>
      <c r="E31" s="85"/>
      <c r="F31" s="85"/>
      <c r="G31" s="85"/>
      <c r="H31" s="85"/>
      <c r="I31" s="85"/>
      <c r="J31" s="85"/>
      <c r="K31" s="85"/>
      <c r="L31" s="85"/>
      <c r="M31" s="85"/>
      <c r="N31" s="85"/>
      <c r="O31" s="85"/>
      <c r="P31" s="85"/>
      <c r="Q31" s="85"/>
      <c r="R31" s="85"/>
      <c r="S31" s="85"/>
      <c r="T31" s="85"/>
      <c r="U31" s="85"/>
      <c r="V31" s="85"/>
      <c r="W31" s="85"/>
      <c r="X31" s="85"/>
      <c r="Y31" s="85"/>
      <c r="Z31" s="85"/>
      <c r="AA31" s="85"/>
    </row>
    <row r="32" spans="1:27">
      <c r="A32" s="344" t="s">
        <v>1087</v>
      </c>
      <c r="B32" s="85"/>
      <c r="C32" s="343">
        <f>C31</f>
        <v>40</v>
      </c>
      <c r="D32" s="343">
        <f>C32+D31</f>
        <v>100</v>
      </c>
      <c r="E32" s="85"/>
      <c r="F32" s="85"/>
      <c r="G32" s="85"/>
      <c r="H32" s="85"/>
      <c r="I32" s="85"/>
      <c r="J32" s="85"/>
      <c r="K32" s="85"/>
      <c r="L32" s="85"/>
      <c r="M32" s="85"/>
      <c r="N32" s="85"/>
      <c r="O32" s="85"/>
      <c r="P32" s="85"/>
      <c r="Q32" s="85"/>
      <c r="R32" s="85"/>
      <c r="S32" s="85"/>
      <c r="T32" s="85"/>
      <c r="U32" s="85"/>
      <c r="V32" s="85"/>
      <c r="W32" s="85"/>
      <c r="X32" s="85"/>
      <c r="Y32" s="85"/>
      <c r="Z32" s="85"/>
      <c r="AA32" s="85"/>
    </row>
    <row r="33" spans="1:27">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sheetData>
  <mergeCells count="1">
    <mergeCell ref="A2:I2"/>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AG40"/>
  <sheetViews>
    <sheetView topLeftCell="A19" zoomScale="90" zoomScaleNormal="90" workbookViewId="0">
      <selection activeCell="C25" sqref="C25:Q37"/>
    </sheetView>
  </sheetViews>
  <sheetFormatPr baseColWidth="10" defaultRowHeight="15.75"/>
  <cols>
    <col min="1" max="1" width="4" style="287" bestFit="1" customWidth="1"/>
    <col min="2" max="2" width="1.7109375" style="287" customWidth="1"/>
    <col min="3" max="3" width="15.85546875" style="287" bestFit="1" customWidth="1"/>
    <col min="4" max="4" width="1.7109375" style="287" customWidth="1"/>
    <col min="5" max="5" width="22.85546875" style="287" bestFit="1" customWidth="1"/>
    <col min="6" max="6" width="1.7109375" style="287" customWidth="1"/>
    <col min="7" max="7" width="17.5703125" style="287" bestFit="1" customWidth="1"/>
    <col min="8" max="8" width="1.7109375" style="287" customWidth="1"/>
    <col min="9" max="9" width="14.42578125" style="287" bestFit="1" customWidth="1"/>
    <col min="10" max="10" width="1.7109375" style="287" customWidth="1"/>
    <col min="11" max="11" width="22.7109375" style="287" bestFit="1" customWidth="1"/>
    <col min="12" max="12" width="1.7109375" style="287" customWidth="1"/>
    <col min="13" max="13" width="23.7109375" style="287" bestFit="1" customWidth="1"/>
    <col min="14" max="14" width="1.7109375" style="287" customWidth="1"/>
    <col min="15" max="15" width="28.140625" style="287" bestFit="1" customWidth="1"/>
    <col min="16" max="16" width="1.7109375" style="287" customWidth="1"/>
    <col min="17" max="17" width="25.85546875" style="287" bestFit="1" customWidth="1"/>
    <col min="18" max="18" width="1.7109375" style="287" customWidth="1"/>
    <col min="19" max="19" width="21.42578125" style="287" bestFit="1" customWidth="1"/>
    <col min="20" max="20" width="1.7109375" style="287" customWidth="1"/>
    <col min="21" max="21" width="20.28515625" style="287" bestFit="1" customWidth="1"/>
    <col min="22" max="22" width="1.7109375" style="287" customWidth="1"/>
    <col min="23" max="23" width="14.42578125" style="287" bestFit="1" customWidth="1"/>
    <col min="24" max="24" width="1.7109375" style="287" customWidth="1"/>
    <col min="25" max="25" width="25.42578125" style="287" bestFit="1" customWidth="1"/>
    <col min="26" max="26" width="1.7109375" style="287" customWidth="1"/>
    <col min="27" max="27" width="26.85546875" style="287" bestFit="1" customWidth="1"/>
    <col min="28" max="28" width="1.7109375" style="287" customWidth="1"/>
    <col min="29" max="29" width="11.7109375" style="287" customWidth="1"/>
    <col min="30" max="30" width="1.7109375" style="287" customWidth="1"/>
    <col min="31" max="31" width="11.7109375" style="287" customWidth="1"/>
    <col min="32" max="32" width="1.7109375" style="287" customWidth="1"/>
    <col min="33" max="16384" width="11.42578125" style="287"/>
  </cols>
  <sheetData>
    <row r="1" spans="1:33">
      <c r="A1" s="108" t="s">
        <v>773</v>
      </c>
      <c r="B1" s="286"/>
      <c r="C1" s="286"/>
      <c r="D1" s="286"/>
      <c r="E1" s="286"/>
      <c r="F1" s="286"/>
      <c r="G1" s="286"/>
      <c r="H1" s="286"/>
      <c r="I1" s="286"/>
      <c r="J1" s="286"/>
      <c r="K1" s="286"/>
      <c r="L1" s="286"/>
      <c r="M1" s="286"/>
      <c r="N1" s="286"/>
      <c r="O1" s="286"/>
      <c r="P1" s="286"/>
      <c r="Q1" s="286"/>
      <c r="R1" s="286"/>
      <c r="S1" s="286"/>
      <c r="T1" s="286"/>
      <c r="U1" s="286"/>
      <c r="V1" s="286"/>
      <c r="W1" s="286"/>
      <c r="X1" s="286"/>
      <c r="Y1" s="286"/>
      <c r="Z1" s="286"/>
    </row>
    <row r="2" spans="1:33">
      <c r="A2" s="286"/>
      <c r="B2" s="286"/>
      <c r="C2" s="1630" t="s">
        <v>309</v>
      </c>
      <c r="D2" s="1630"/>
      <c r="E2" s="1630"/>
      <c r="F2" s="1630"/>
      <c r="G2" s="1630"/>
      <c r="H2" s="1630"/>
      <c r="I2" s="1630"/>
      <c r="J2" s="1630"/>
      <c r="K2" s="1630"/>
      <c r="L2" s="1630"/>
      <c r="M2" s="1630"/>
      <c r="N2" s="1630"/>
      <c r="O2" s="1630"/>
      <c r="P2" s="1630"/>
      <c r="Q2" s="1630"/>
      <c r="R2" s="286"/>
      <c r="S2" s="286"/>
      <c r="T2" s="286"/>
      <c r="U2" s="286"/>
      <c r="V2" s="286"/>
      <c r="W2" s="286"/>
      <c r="X2" s="286"/>
      <c r="Y2" s="286"/>
      <c r="Z2" s="286"/>
    </row>
    <row r="3" spans="1:33" ht="16.5" thickBot="1">
      <c r="A3" s="286"/>
      <c r="B3" s="286"/>
      <c r="C3" s="286"/>
      <c r="D3" s="286"/>
      <c r="E3" s="286"/>
      <c r="F3" s="286"/>
      <c r="G3" s="286"/>
      <c r="H3" s="286"/>
      <c r="I3" s="286"/>
      <c r="J3" s="286"/>
      <c r="K3" s="286"/>
      <c r="L3" s="286"/>
      <c r="M3" s="286"/>
      <c r="N3" s="286"/>
      <c r="O3" s="286"/>
      <c r="P3" s="286"/>
      <c r="Q3" s="286"/>
      <c r="R3" s="286"/>
      <c r="S3" s="286"/>
      <c r="T3" s="286"/>
      <c r="U3" s="286"/>
      <c r="V3" s="286"/>
      <c r="W3" s="286"/>
      <c r="X3" s="286"/>
      <c r="Y3" s="286"/>
      <c r="Z3" s="286"/>
    </row>
    <row r="4" spans="1:33" ht="16.5" thickBot="1">
      <c r="A4" s="286"/>
      <c r="B4" s="286"/>
      <c r="C4" s="288" t="s">
        <v>1011</v>
      </c>
      <c r="D4" s="286"/>
      <c r="E4" s="288" t="s">
        <v>221</v>
      </c>
      <c r="F4" s="286"/>
      <c r="G4" s="288" t="s">
        <v>463</v>
      </c>
      <c r="H4" s="286"/>
      <c r="I4" s="1631" t="s">
        <v>470</v>
      </c>
      <c r="J4" s="1632"/>
      <c r="K4" s="1633"/>
      <c r="L4" s="286"/>
      <c r="M4" s="1631" t="s">
        <v>621</v>
      </c>
      <c r="N4" s="1632"/>
      <c r="O4" s="1633"/>
      <c r="P4" s="286"/>
      <c r="Q4" s="289" t="s">
        <v>523</v>
      </c>
      <c r="R4" s="286"/>
      <c r="S4" s="286"/>
      <c r="T4" s="286"/>
      <c r="U4" s="286"/>
      <c r="V4" s="286"/>
      <c r="W4" s="286"/>
      <c r="X4" s="286"/>
      <c r="Y4" s="286"/>
      <c r="Z4" s="286"/>
    </row>
    <row r="5" spans="1:33">
      <c r="A5" s="286"/>
      <c r="B5" s="286"/>
      <c r="C5" s="286"/>
      <c r="D5" s="286"/>
      <c r="E5" s="286"/>
      <c r="F5" s="286"/>
      <c r="G5" s="286"/>
      <c r="H5" s="286"/>
      <c r="I5" s="286"/>
      <c r="J5" s="286"/>
      <c r="K5" s="290" t="s">
        <v>495</v>
      </c>
      <c r="L5" s="286"/>
      <c r="M5" s="291" t="s">
        <v>478</v>
      </c>
      <c r="N5" s="286"/>
      <c r="O5" s="291" t="s">
        <v>477</v>
      </c>
      <c r="P5" s="286"/>
      <c r="Q5" s="286"/>
      <c r="R5" s="286"/>
      <c r="S5" s="286"/>
      <c r="T5" s="286"/>
      <c r="U5" s="286"/>
      <c r="V5" s="286"/>
      <c r="W5" s="286"/>
      <c r="X5" s="286"/>
      <c r="Y5" s="286"/>
      <c r="Z5" s="286"/>
    </row>
    <row r="6" spans="1:33" ht="16.5" thickBot="1">
      <c r="A6" s="292"/>
      <c r="B6" s="286"/>
      <c r="C6" s="293"/>
      <c r="D6" s="286"/>
      <c r="E6" s="293" t="s">
        <v>462</v>
      </c>
      <c r="F6" s="286"/>
      <c r="G6" s="293" t="s">
        <v>464</v>
      </c>
      <c r="H6" s="286"/>
      <c r="I6" s="293" t="s">
        <v>521</v>
      </c>
      <c r="J6" s="286"/>
      <c r="K6" s="293" t="s">
        <v>4</v>
      </c>
      <c r="L6" s="286"/>
      <c r="M6" s="293" t="s">
        <v>521</v>
      </c>
      <c r="N6" s="286"/>
      <c r="O6" s="293" t="s">
        <v>4</v>
      </c>
      <c r="P6" s="286"/>
      <c r="Q6" s="293" t="s">
        <v>521</v>
      </c>
      <c r="R6" s="286"/>
      <c r="S6" s="286"/>
      <c r="T6" s="286"/>
      <c r="U6" s="286"/>
      <c r="V6" s="286"/>
      <c r="W6" s="286"/>
      <c r="X6" s="286"/>
      <c r="Y6" s="286"/>
      <c r="Z6" s="286"/>
    </row>
    <row r="7" spans="1:33" ht="16.5" thickBot="1">
      <c r="A7" s="292"/>
      <c r="B7" s="286"/>
      <c r="C7" s="283" t="s">
        <v>1100</v>
      </c>
      <c r="D7" s="286"/>
      <c r="E7" s="309" t="s">
        <v>1379</v>
      </c>
      <c r="F7" s="286"/>
      <c r="G7" s="147">
        <f>IF('Nervure=pétiole&amp;rachis'!$K$12="",200,'Nervure=pétiole&amp;rachis'!$K$12)</f>
        <v>194</v>
      </c>
      <c r="H7" s="286"/>
      <c r="I7" s="147">
        <f>IF('Stipe=phyllotaxie&amp;croissance'!K5="",1,'Stipe=phyllotaxie&amp;croissance'!K5)</f>
        <v>1</v>
      </c>
      <c r="J7" s="286"/>
      <c r="K7" s="133">
        <v>5</v>
      </c>
      <c r="L7" s="286"/>
      <c r="M7" s="147">
        <f>IF('Stipe=phyllotaxie&amp;croissance'!E12="",1,'Stipe=phyllotaxie&amp;croissance'!E12)</f>
        <v>1</v>
      </c>
      <c r="N7" s="286"/>
      <c r="O7" s="133">
        <f>IF('Stipe=phyllotaxie&amp;croissance'!$E$14="",10,100*'Stipe=phyllotaxie&amp;croissance'!$E$15/'Stipe=phyllotaxie&amp;croissance'!$E$14)</f>
        <v>4.2105263157894735</v>
      </c>
      <c r="P7" s="286">
        <v>20</v>
      </c>
      <c r="Q7" s="147">
        <v>1</v>
      </c>
      <c r="R7" s="286"/>
      <c r="S7" s="286"/>
      <c r="T7" s="286"/>
      <c r="U7" s="286"/>
      <c r="V7" s="286"/>
      <c r="W7" s="286"/>
      <c r="X7" s="286"/>
      <c r="Y7" s="286"/>
      <c r="Z7" s="286"/>
    </row>
    <row r="8" spans="1:33" s="294" customFormat="1">
      <c r="A8" s="285"/>
      <c r="B8" s="285"/>
      <c r="C8" s="286"/>
      <c r="D8" s="286"/>
      <c r="E8" s="285" t="s">
        <v>29</v>
      </c>
      <c r="F8" s="285"/>
      <c r="G8" s="285" t="s">
        <v>54</v>
      </c>
      <c r="H8" s="285"/>
      <c r="I8" s="285" t="s">
        <v>313</v>
      </c>
      <c r="J8" s="285"/>
      <c r="K8" s="285" t="s">
        <v>351</v>
      </c>
      <c r="L8" s="285"/>
      <c r="M8" s="284" t="s">
        <v>873</v>
      </c>
      <c r="N8" s="285"/>
      <c r="O8" s="285"/>
      <c r="P8" s="285"/>
      <c r="Q8" s="285" t="s">
        <v>130</v>
      </c>
      <c r="R8" s="286"/>
      <c r="S8" s="286"/>
      <c r="T8" s="286"/>
      <c r="U8" s="286"/>
      <c r="V8" s="286"/>
      <c r="W8" s="286"/>
      <c r="X8" s="286"/>
      <c r="Y8" s="286"/>
      <c r="Z8" s="286"/>
      <c r="AA8" s="287"/>
      <c r="AB8" s="287"/>
      <c r="AC8" s="287"/>
      <c r="AD8" s="287"/>
      <c r="AE8" s="287"/>
      <c r="AF8" s="287"/>
      <c r="AG8" s="287"/>
    </row>
    <row r="9" spans="1:33">
      <c r="A9" s="286"/>
      <c r="B9" s="286"/>
      <c r="C9" s="286"/>
      <c r="D9" s="286"/>
      <c r="E9" s="286"/>
      <c r="F9" s="286"/>
      <c r="G9" s="286"/>
      <c r="H9" s="286"/>
      <c r="I9" s="295" t="s">
        <v>472</v>
      </c>
      <c r="J9" s="296"/>
      <c r="K9" s="295" t="s">
        <v>522</v>
      </c>
      <c r="L9" s="297"/>
      <c r="M9" s="295" t="s">
        <v>479</v>
      </c>
      <c r="N9" s="297"/>
      <c r="O9" s="297"/>
      <c r="P9" s="286"/>
      <c r="Q9" s="295" t="s">
        <v>483</v>
      </c>
      <c r="R9" s="286"/>
      <c r="S9" s="286"/>
      <c r="T9" s="286"/>
      <c r="U9" s="286"/>
      <c r="V9" s="286"/>
      <c r="W9" s="286"/>
      <c r="X9" s="286"/>
      <c r="Y9" s="286"/>
      <c r="Z9" s="286"/>
    </row>
    <row r="10" spans="1:33">
      <c r="A10" s="286"/>
      <c r="B10" s="286"/>
      <c r="C10" s="286"/>
      <c r="D10" s="286"/>
      <c r="E10" s="286"/>
      <c r="F10" s="286"/>
      <c r="G10" s="286"/>
      <c r="H10" s="286"/>
      <c r="I10" s="295" t="s">
        <v>473</v>
      </c>
      <c r="J10" s="296"/>
      <c r="K10" s="295" t="s">
        <v>482</v>
      </c>
      <c r="L10" s="297"/>
      <c r="M10" s="295" t="s">
        <v>476</v>
      </c>
      <c r="N10" s="297"/>
      <c r="O10" s="297"/>
      <c r="P10" s="286"/>
      <c r="Q10" s="295" t="s">
        <v>484</v>
      </c>
      <c r="R10" s="286"/>
      <c r="S10" s="286"/>
      <c r="T10" s="286"/>
      <c r="U10" s="286"/>
      <c r="V10" s="286"/>
      <c r="W10" s="286"/>
      <c r="X10" s="286"/>
      <c r="Y10" s="286"/>
      <c r="Z10" s="286"/>
    </row>
    <row r="11" spans="1:33">
      <c r="A11" s="286"/>
      <c r="B11" s="286"/>
      <c r="C11" s="286"/>
      <c r="D11" s="286"/>
      <c r="E11" s="286"/>
      <c r="F11" s="286"/>
      <c r="G11" s="286"/>
      <c r="H11" s="286"/>
      <c r="I11" s="295" t="s">
        <v>475</v>
      </c>
      <c r="J11" s="296"/>
      <c r="K11" s="296"/>
      <c r="L11" s="297"/>
      <c r="M11" s="297"/>
      <c r="N11" s="297"/>
      <c r="O11" s="297"/>
      <c r="P11" s="286"/>
      <c r="Q11" s="286"/>
      <c r="R11" s="286"/>
      <c r="S11" s="286"/>
      <c r="T11" s="286"/>
      <c r="U11" s="286"/>
      <c r="V11" s="286"/>
      <c r="W11" s="286"/>
      <c r="X11" s="286"/>
      <c r="Y11" s="286"/>
      <c r="Z11" s="286"/>
    </row>
    <row r="12" spans="1:33">
      <c r="A12" s="286"/>
      <c r="B12" s="286"/>
      <c r="C12" s="286"/>
      <c r="D12" s="286"/>
      <c r="E12" s="286"/>
      <c r="F12" s="286"/>
      <c r="G12" s="286"/>
      <c r="H12" s="286"/>
      <c r="I12" s="295" t="s">
        <v>474</v>
      </c>
      <c r="J12" s="296"/>
      <c r="K12" s="296"/>
      <c r="L12" s="297"/>
      <c r="M12" s="297"/>
      <c r="N12" s="297"/>
      <c r="O12" s="297"/>
      <c r="P12" s="286"/>
      <c r="Q12" s="286"/>
      <c r="R12" s="286"/>
      <c r="S12" s="286"/>
      <c r="T12" s="286"/>
      <c r="U12" s="286"/>
      <c r="V12" s="286"/>
      <c r="W12" s="286"/>
      <c r="X12" s="286"/>
      <c r="Y12" s="286"/>
      <c r="Z12" s="286"/>
    </row>
    <row r="13" spans="1:33">
      <c r="A13" s="286"/>
      <c r="B13" s="286"/>
      <c r="C13" s="286"/>
      <c r="D13" s="286"/>
      <c r="E13" s="286"/>
      <c r="F13" s="286"/>
      <c r="G13" s="286"/>
      <c r="H13" s="286"/>
      <c r="I13" s="286"/>
      <c r="J13" s="286"/>
      <c r="K13" s="286"/>
      <c r="L13" s="286"/>
      <c r="M13" s="286"/>
      <c r="N13" s="286"/>
      <c r="O13" s="286"/>
      <c r="P13" s="286"/>
      <c r="Q13" s="286"/>
      <c r="R13" s="286"/>
      <c r="S13" s="286"/>
      <c r="T13" s="286"/>
      <c r="U13" s="286"/>
      <c r="V13" s="286"/>
      <c r="W13" s="286"/>
      <c r="X13" s="286"/>
      <c r="Y13" s="286"/>
      <c r="Z13" s="286"/>
    </row>
    <row r="14" spans="1:33">
      <c r="A14" s="286"/>
      <c r="B14" s="286"/>
      <c r="C14" s="1630" t="s">
        <v>492</v>
      </c>
      <c r="D14" s="1630"/>
      <c r="E14" s="1630"/>
      <c r="F14" s="1630"/>
      <c r="G14" s="1630"/>
      <c r="H14" s="1630"/>
      <c r="I14" s="1630"/>
      <c r="J14" s="1630"/>
      <c r="K14" s="1630"/>
      <c r="L14" s="1630"/>
      <c r="M14" s="1630"/>
      <c r="N14" s="1630"/>
      <c r="O14" s="1630"/>
      <c r="P14" s="1630"/>
      <c r="Q14" s="1630"/>
      <c r="R14" s="286"/>
      <c r="S14" s="298" t="s">
        <v>528</v>
      </c>
      <c r="T14" s="286"/>
      <c r="U14" s="286"/>
      <c r="V14" s="286"/>
      <c r="W14" s="286"/>
      <c r="X14" s="286"/>
      <c r="Y14" s="286"/>
      <c r="Z14" s="286"/>
    </row>
    <row r="15" spans="1:33" ht="16.5" thickBot="1">
      <c r="A15" s="286"/>
      <c r="B15" s="286"/>
      <c r="C15" s="286"/>
      <c r="D15" s="286"/>
      <c r="E15" s="286"/>
      <c r="F15" s="286"/>
      <c r="G15" s="286"/>
      <c r="H15" s="286"/>
      <c r="I15" s="286"/>
      <c r="J15" s="286"/>
      <c r="K15" s="286"/>
      <c r="L15" s="286"/>
      <c r="M15" s="286"/>
      <c r="N15" s="286"/>
      <c r="O15" s="286"/>
      <c r="P15" s="286"/>
      <c r="Q15" s="286"/>
      <c r="R15" s="286"/>
      <c r="S15" s="298" t="s">
        <v>532</v>
      </c>
      <c r="T15" s="286"/>
      <c r="U15" s="286"/>
      <c r="V15" s="286"/>
      <c r="W15" s="286"/>
      <c r="X15" s="286"/>
      <c r="Y15" s="286"/>
      <c r="Z15" s="286"/>
    </row>
    <row r="16" spans="1:33" ht="16.5" thickBot="1">
      <c r="A16" s="286"/>
      <c r="B16" s="286"/>
      <c r="C16" s="299" t="s">
        <v>26</v>
      </c>
      <c r="D16" s="286"/>
      <c r="E16" s="288" t="s">
        <v>465</v>
      </c>
      <c r="F16" s="286"/>
      <c r="G16" s="288" t="s">
        <v>468</v>
      </c>
      <c r="H16" s="286"/>
      <c r="I16" s="288" t="s">
        <v>466</v>
      </c>
      <c r="J16" s="286"/>
      <c r="K16" s="288" t="s">
        <v>467</v>
      </c>
      <c r="L16" s="286"/>
      <c r="M16" s="1631" t="s">
        <v>480</v>
      </c>
      <c r="N16" s="1632"/>
      <c r="O16" s="1634"/>
      <c r="P16" s="1634"/>
      <c r="Q16" s="1635"/>
      <c r="R16" s="286"/>
      <c r="S16" s="298" t="s">
        <v>527</v>
      </c>
      <c r="T16" s="286"/>
      <c r="U16" s="286"/>
      <c r="V16" s="286"/>
      <c r="W16" s="286"/>
      <c r="X16" s="286"/>
      <c r="Y16" s="286"/>
      <c r="Z16" s="286"/>
    </row>
    <row r="17" spans="1:26" ht="16.5" thickBot="1">
      <c r="A17" s="286"/>
      <c r="B17" s="286"/>
      <c r="C17" s="291" t="s">
        <v>499</v>
      </c>
      <c r="D17" s="286"/>
      <c r="E17" s="288" t="s">
        <v>500</v>
      </c>
      <c r="F17" s="286"/>
      <c r="G17" s="288" t="s">
        <v>469</v>
      </c>
      <c r="H17" s="286"/>
      <c r="I17" s="291" t="s">
        <v>501</v>
      </c>
      <c r="J17" s="286"/>
      <c r="K17" s="291" t="s">
        <v>501</v>
      </c>
      <c r="L17" s="286"/>
      <c r="M17" s="1631" t="s">
        <v>502</v>
      </c>
      <c r="N17" s="1632"/>
      <c r="O17" s="1634"/>
      <c r="P17" s="1634"/>
      <c r="Q17" s="1635"/>
      <c r="R17" s="286"/>
      <c r="S17" s="298" t="s">
        <v>623</v>
      </c>
      <c r="T17" s="286"/>
      <c r="U17" s="286"/>
      <c r="V17" s="286"/>
      <c r="W17" s="286"/>
      <c r="X17" s="286"/>
      <c r="Y17" s="286"/>
      <c r="Z17" s="286"/>
    </row>
    <row r="18" spans="1:26">
      <c r="A18" s="286"/>
      <c r="B18" s="286"/>
      <c r="C18" s="293" t="s">
        <v>265</v>
      </c>
      <c r="D18" s="286"/>
      <c r="E18" s="293" t="s">
        <v>464</v>
      </c>
      <c r="F18" s="286"/>
      <c r="G18" s="293" t="s">
        <v>469</v>
      </c>
      <c r="H18" s="286"/>
      <c r="I18" s="293" t="s">
        <v>521</v>
      </c>
      <c r="J18" s="286"/>
      <c r="K18" s="293" t="s">
        <v>521</v>
      </c>
      <c r="L18" s="286"/>
      <c r="M18" s="293" t="s">
        <v>0</v>
      </c>
      <c r="N18" s="286"/>
      <c r="O18" s="293" t="s">
        <v>0</v>
      </c>
      <c r="P18" s="286"/>
      <c r="Q18" s="293" t="s">
        <v>0</v>
      </c>
      <c r="R18" s="286"/>
      <c r="S18" s="298" t="s">
        <v>624</v>
      </c>
      <c r="T18" s="286"/>
      <c r="U18" s="286"/>
      <c r="V18" s="286"/>
      <c r="W18" s="286"/>
      <c r="X18" s="286"/>
      <c r="Y18" s="286"/>
      <c r="Z18" s="286"/>
    </row>
    <row r="19" spans="1:26">
      <c r="A19" s="286"/>
      <c r="B19" s="286"/>
      <c r="C19" s="147">
        <f>IF(G7=200,567,G7+E19+G19+I7)</f>
        <v>406</v>
      </c>
      <c r="D19" s="286"/>
      <c r="E19" s="147">
        <f>IF('Nervure=pétiole&amp;rachis'!$K$12="",300,'Nervure=pétiole&amp;rachis'!$K$12)</f>
        <v>194</v>
      </c>
      <c r="F19" s="286"/>
      <c r="G19" s="147">
        <v>17</v>
      </c>
      <c r="H19" s="286"/>
      <c r="I19" s="147">
        <v>0</v>
      </c>
      <c r="J19" s="286"/>
      <c r="K19" s="147">
        <v>1</v>
      </c>
      <c r="L19" s="286"/>
      <c r="M19" s="147">
        <v>10</v>
      </c>
      <c r="N19" s="286"/>
      <c r="O19" s="147">
        <v>5</v>
      </c>
      <c r="P19" s="286"/>
      <c r="Q19" s="147">
        <v>3</v>
      </c>
      <c r="R19" s="286"/>
      <c r="S19" s="298" t="s">
        <v>625</v>
      </c>
      <c r="T19" s="286"/>
      <c r="U19" s="286"/>
      <c r="V19" s="286"/>
      <c r="W19" s="286"/>
      <c r="X19" s="286"/>
      <c r="Y19" s="286"/>
      <c r="Z19" s="286"/>
    </row>
    <row r="20" spans="1:26">
      <c r="A20" s="286"/>
      <c r="B20" s="286"/>
      <c r="C20" s="285" t="s">
        <v>56</v>
      </c>
      <c r="D20" s="285"/>
      <c r="E20" s="285" t="s">
        <v>57</v>
      </c>
      <c r="F20" s="285"/>
      <c r="G20" s="285" t="s">
        <v>93</v>
      </c>
      <c r="H20" s="285"/>
      <c r="I20" s="285" t="s">
        <v>58</v>
      </c>
      <c r="J20" s="285"/>
      <c r="K20" s="285" t="s">
        <v>55</v>
      </c>
      <c r="L20" s="285"/>
      <c r="M20" s="1636" t="s">
        <v>874</v>
      </c>
      <c r="N20" s="1637"/>
      <c r="O20" s="1637"/>
      <c r="P20" s="1637"/>
      <c r="Q20" s="1637"/>
      <c r="R20" s="286"/>
      <c r="S20" s="298" t="s">
        <v>626</v>
      </c>
      <c r="T20" s="286"/>
      <c r="U20" s="286"/>
      <c r="V20" s="286"/>
      <c r="W20" s="286"/>
      <c r="X20" s="286"/>
      <c r="Y20" s="286"/>
      <c r="Z20" s="286"/>
    </row>
    <row r="21" spans="1:26">
      <c r="A21" s="286"/>
      <c r="B21" s="286"/>
      <c r="C21" s="286"/>
      <c r="D21" s="286"/>
      <c r="E21" s="286"/>
      <c r="F21" s="286"/>
      <c r="G21" s="295" t="s">
        <v>496</v>
      </c>
      <c r="H21" s="286"/>
      <c r="I21" s="295" t="s">
        <v>471</v>
      </c>
      <c r="J21" s="286"/>
      <c r="K21" s="286"/>
      <c r="L21" s="286"/>
      <c r="M21" s="295" t="s">
        <v>611</v>
      </c>
      <c r="N21" s="286"/>
      <c r="O21" s="295" t="s">
        <v>325</v>
      </c>
      <c r="P21" s="286"/>
      <c r="Q21" s="295" t="s">
        <v>219</v>
      </c>
      <c r="R21" s="286"/>
      <c r="S21" s="298" t="s">
        <v>631</v>
      </c>
      <c r="T21" s="286"/>
      <c r="U21" s="286"/>
      <c r="V21" s="286"/>
      <c r="W21" s="286"/>
      <c r="X21" s="286"/>
      <c r="Y21" s="286"/>
      <c r="Z21" s="286"/>
    </row>
    <row r="22" spans="1:26">
      <c r="A22" s="286"/>
      <c r="B22" s="286"/>
      <c r="C22" s="286"/>
      <c r="D22" s="286"/>
      <c r="E22" s="286"/>
      <c r="F22" s="286"/>
      <c r="G22" s="300" t="s">
        <v>63</v>
      </c>
      <c r="H22" s="286"/>
      <c r="I22" s="295" t="s">
        <v>711</v>
      </c>
      <c r="J22" s="286"/>
      <c r="K22" s="286"/>
      <c r="L22" s="286"/>
      <c r="M22" s="295" t="s">
        <v>481</v>
      </c>
      <c r="N22" s="286"/>
      <c r="O22" s="295" t="s">
        <v>249</v>
      </c>
      <c r="P22" s="286"/>
      <c r="Q22" s="295" t="s">
        <v>64</v>
      </c>
      <c r="R22" s="286"/>
      <c r="S22" s="298" t="s">
        <v>627</v>
      </c>
      <c r="T22" s="286"/>
      <c r="U22" s="286"/>
      <c r="V22" s="286"/>
      <c r="W22" s="286"/>
      <c r="X22" s="286"/>
      <c r="Y22" s="286"/>
      <c r="Z22" s="286"/>
    </row>
    <row r="23" spans="1:26">
      <c r="A23" s="286"/>
      <c r="B23" s="286"/>
      <c r="C23" s="286"/>
      <c r="D23" s="286"/>
      <c r="E23" s="286"/>
      <c r="F23" s="286"/>
      <c r="G23" s="286"/>
      <c r="H23" s="286"/>
      <c r="I23" s="295" t="s">
        <v>712</v>
      </c>
      <c r="J23" s="286"/>
      <c r="K23" s="286"/>
      <c r="L23" s="286"/>
      <c r="M23" s="295" t="s">
        <v>609</v>
      </c>
      <c r="N23" s="286"/>
      <c r="O23" s="286"/>
      <c r="P23" s="286"/>
      <c r="Q23" s="286"/>
      <c r="R23" s="286"/>
      <c r="S23" s="298" t="s">
        <v>628</v>
      </c>
      <c r="T23" s="286"/>
      <c r="U23" s="286"/>
      <c r="V23" s="286"/>
      <c r="W23" s="286"/>
      <c r="X23" s="286"/>
      <c r="Y23" s="286"/>
      <c r="Z23" s="286"/>
    </row>
    <row r="24" spans="1:26">
      <c r="A24" s="286"/>
      <c r="B24" s="286"/>
      <c r="C24" s="286"/>
      <c r="D24" s="286"/>
      <c r="E24" s="286"/>
      <c r="F24" s="286"/>
      <c r="G24" s="286"/>
      <c r="H24" s="286"/>
      <c r="I24" s="286"/>
      <c r="J24" s="286"/>
      <c r="K24" s="286"/>
      <c r="L24" s="286"/>
      <c r="M24" s="286"/>
      <c r="N24" s="286"/>
      <c r="O24" s="286"/>
      <c r="P24" s="286"/>
      <c r="Q24" s="286"/>
      <c r="R24" s="286"/>
      <c r="S24" s="298" t="s">
        <v>629</v>
      </c>
      <c r="T24" s="286"/>
      <c r="U24" s="286"/>
      <c r="V24" s="286"/>
      <c r="W24" s="286"/>
      <c r="X24" s="286"/>
      <c r="Y24" s="286"/>
      <c r="Z24" s="286"/>
    </row>
    <row r="25" spans="1:26">
      <c r="A25" s="286"/>
      <c r="B25" s="286"/>
      <c r="C25" s="1630" t="s">
        <v>1017</v>
      </c>
      <c r="D25" s="1630"/>
      <c r="E25" s="1630"/>
      <c r="F25" s="1630"/>
      <c r="G25" s="1630"/>
      <c r="H25" s="1630"/>
      <c r="I25" s="1630"/>
      <c r="J25" s="1630"/>
      <c r="K25" s="1630"/>
      <c r="L25" s="1630"/>
      <c r="M25" s="1630"/>
      <c r="N25" s="1630"/>
      <c r="O25" s="1630"/>
      <c r="P25" s="1630"/>
      <c r="Q25" s="1630"/>
      <c r="R25" s="286"/>
      <c r="S25" s="298" t="s">
        <v>630</v>
      </c>
      <c r="T25" s="286"/>
      <c r="U25" s="286"/>
      <c r="V25" s="286"/>
      <c r="W25" s="286"/>
      <c r="X25" s="286"/>
      <c r="Y25" s="286"/>
      <c r="Z25" s="286"/>
    </row>
    <row r="26" spans="1:26" ht="16.5" thickBot="1">
      <c r="A26" s="286"/>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row>
    <row r="27" spans="1:26" ht="16.5" thickBot="1">
      <c r="A27" s="286"/>
      <c r="B27" s="286"/>
      <c r="C27" s="289" t="s">
        <v>1018</v>
      </c>
      <c r="D27" s="286"/>
      <c r="E27" s="288" t="s">
        <v>611</v>
      </c>
      <c r="F27" s="286"/>
      <c r="G27" s="288" t="s">
        <v>1019</v>
      </c>
      <c r="H27" s="286"/>
      <c r="I27" s="288" t="s">
        <v>609</v>
      </c>
      <c r="J27" s="286"/>
      <c r="K27" s="288" t="s">
        <v>814</v>
      </c>
      <c r="L27" s="286"/>
      <c r="M27" s="289" t="s">
        <v>815</v>
      </c>
      <c r="N27" s="286"/>
      <c r="O27" s="289" t="s">
        <v>816</v>
      </c>
      <c r="P27" s="286"/>
      <c r="Q27" s="286"/>
      <c r="R27" s="286"/>
      <c r="S27" s="286"/>
      <c r="T27" s="286"/>
      <c r="U27" s="286"/>
      <c r="V27" s="286"/>
      <c r="W27" s="286"/>
      <c r="X27" s="286"/>
      <c r="Y27" s="286"/>
      <c r="Z27" s="286"/>
    </row>
    <row r="28" spans="1:26">
      <c r="A28" s="286"/>
      <c r="B28" s="286"/>
      <c r="C28" s="301"/>
      <c r="D28" s="286"/>
      <c r="E28" s="302"/>
      <c r="F28" s="286"/>
      <c r="G28" s="1694"/>
      <c r="H28" s="286"/>
      <c r="I28" s="1695"/>
      <c r="J28" s="286"/>
      <c r="K28" s="303"/>
      <c r="L28" s="286"/>
      <c r="M28" s="302"/>
      <c r="N28" s="286"/>
      <c r="O28" s="302"/>
      <c r="P28" s="286"/>
      <c r="Q28" s="286"/>
      <c r="R28" s="286"/>
      <c r="S28" s="286"/>
      <c r="T28" s="286"/>
      <c r="U28" s="286"/>
      <c r="V28" s="286"/>
      <c r="W28" s="286"/>
      <c r="X28" s="286"/>
      <c r="Y28" s="286"/>
      <c r="Z28" s="286"/>
    </row>
    <row r="29" spans="1:26">
      <c r="A29" s="286"/>
      <c r="B29" s="304" t="s">
        <v>1020</v>
      </c>
      <c r="C29" s="304">
        <v>122</v>
      </c>
      <c r="D29" s="286"/>
      <c r="E29" s="304">
        <v>28</v>
      </c>
      <c r="F29" s="286"/>
      <c r="G29" s="304">
        <v>72</v>
      </c>
      <c r="H29" s="286"/>
      <c r="I29" s="304">
        <v>89</v>
      </c>
      <c r="J29" s="286"/>
      <c r="K29" s="304">
        <v>50</v>
      </c>
      <c r="L29" s="286"/>
      <c r="M29" s="304">
        <v>28</v>
      </c>
      <c r="N29" s="286"/>
      <c r="O29" s="304">
        <v>28</v>
      </c>
      <c r="P29" s="286"/>
      <c r="Q29" s="286"/>
      <c r="R29" s="286"/>
      <c r="S29" s="286"/>
      <c r="T29" s="286"/>
      <c r="U29" s="286"/>
      <c r="V29" s="286"/>
      <c r="W29" s="286"/>
      <c r="X29" s="286"/>
      <c r="Y29" s="286"/>
      <c r="Z29" s="286"/>
    </row>
    <row r="30" spans="1:26">
      <c r="A30" s="286"/>
      <c r="B30" s="304" t="s">
        <v>1021</v>
      </c>
      <c r="C30" s="304">
        <v>160</v>
      </c>
      <c r="D30" s="286"/>
      <c r="E30" s="304">
        <v>228</v>
      </c>
      <c r="F30" s="286"/>
      <c r="G30" s="304">
        <v>48</v>
      </c>
      <c r="H30" s="286"/>
      <c r="I30" s="304">
        <v>59</v>
      </c>
      <c r="J30" s="286"/>
      <c r="K30" s="304">
        <v>200</v>
      </c>
      <c r="L30" s="286"/>
      <c r="M30" s="304">
        <v>228</v>
      </c>
      <c r="N30" s="286"/>
      <c r="O30" s="304">
        <v>228</v>
      </c>
      <c r="P30" s="286"/>
      <c r="Q30" s="286"/>
      <c r="R30" s="286"/>
      <c r="S30" s="286"/>
      <c r="T30" s="286"/>
      <c r="U30" s="286"/>
      <c r="V30" s="286"/>
      <c r="W30" s="286"/>
      <c r="X30" s="286"/>
      <c r="Y30" s="286"/>
      <c r="Z30" s="286"/>
    </row>
    <row r="31" spans="1:26">
      <c r="A31" s="286"/>
      <c r="B31" s="304" t="s">
        <v>1022</v>
      </c>
      <c r="C31" s="304">
        <v>0</v>
      </c>
      <c r="D31" s="286"/>
      <c r="E31" s="304">
        <v>28</v>
      </c>
      <c r="F31" s="286"/>
      <c r="G31" s="304">
        <v>24</v>
      </c>
      <c r="H31" s="286"/>
      <c r="I31" s="304">
        <v>29</v>
      </c>
      <c r="J31" s="286"/>
      <c r="K31" s="304">
        <v>50</v>
      </c>
      <c r="L31" s="286"/>
      <c r="M31" s="304">
        <v>28</v>
      </c>
      <c r="N31" s="286"/>
      <c r="O31" s="304">
        <v>28</v>
      </c>
      <c r="P31" s="286"/>
      <c r="Q31" s="286"/>
      <c r="R31" s="286"/>
      <c r="S31" s="286"/>
      <c r="T31" s="286"/>
      <c r="U31" s="286"/>
      <c r="V31" s="286"/>
      <c r="W31" s="286"/>
      <c r="X31" s="286"/>
      <c r="Y31" s="286"/>
      <c r="Z31" s="286"/>
    </row>
    <row r="32" spans="1:26" ht="16.5" thickBot="1">
      <c r="A32" s="286"/>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row>
    <row r="33" spans="1:26" ht="16.5" thickBot="1">
      <c r="A33" s="286"/>
      <c r="B33" s="286"/>
      <c r="C33" s="289" t="s">
        <v>1023</v>
      </c>
      <c r="D33" s="286"/>
      <c r="E33" s="289" t="s">
        <v>249</v>
      </c>
      <c r="F33" s="286"/>
      <c r="G33" s="289" t="s">
        <v>64</v>
      </c>
      <c r="H33" s="286"/>
      <c r="I33" s="289" t="s">
        <v>1024</v>
      </c>
      <c r="J33" s="286"/>
      <c r="K33" s="289" t="s">
        <v>1025</v>
      </c>
      <c r="L33" s="286"/>
      <c r="M33" s="289" t="s">
        <v>1026</v>
      </c>
      <c r="N33" s="286"/>
      <c r="O33" s="286"/>
      <c r="P33" s="286"/>
      <c r="Q33" s="286"/>
      <c r="R33" s="286"/>
      <c r="S33" s="286"/>
      <c r="T33" s="286"/>
      <c r="U33" s="286"/>
      <c r="V33" s="286"/>
      <c r="W33" s="286"/>
      <c r="X33" s="286"/>
      <c r="Y33" s="286"/>
      <c r="Z33" s="286"/>
    </row>
    <row r="34" spans="1:26">
      <c r="A34" s="286"/>
      <c r="B34" s="286"/>
      <c r="C34" s="305"/>
      <c r="D34" s="286"/>
      <c r="E34" s="306"/>
      <c r="F34" s="286"/>
      <c r="G34" s="305"/>
      <c r="H34" s="286"/>
      <c r="I34" s="307"/>
      <c r="J34" s="286"/>
      <c r="K34" s="307"/>
      <c r="L34" s="286"/>
      <c r="M34" s="1696"/>
      <c r="N34" s="286"/>
      <c r="O34" s="286"/>
      <c r="P34" s="286"/>
      <c r="Q34" s="286"/>
      <c r="R34" s="286"/>
      <c r="S34" s="286"/>
      <c r="T34" s="286"/>
      <c r="U34" s="286"/>
      <c r="V34" s="286"/>
      <c r="W34" s="286"/>
      <c r="X34" s="286"/>
      <c r="Y34" s="286"/>
      <c r="Z34" s="286"/>
    </row>
    <row r="35" spans="1:26">
      <c r="A35" s="286"/>
      <c r="B35" s="304" t="s">
        <v>1020</v>
      </c>
      <c r="C35" s="304">
        <v>255</v>
      </c>
      <c r="D35" s="286"/>
      <c r="E35" s="304">
        <v>115</v>
      </c>
      <c r="F35" s="286"/>
      <c r="G35" s="304">
        <v>255</v>
      </c>
      <c r="H35" s="286"/>
      <c r="I35" s="304">
        <v>255</v>
      </c>
      <c r="J35" s="286"/>
      <c r="K35" s="304">
        <v>255</v>
      </c>
      <c r="L35" s="286"/>
      <c r="M35" s="304">
        <v>140</v>
      </c>
      <c r="N35" s="286"/>
      <c r="O35" s="286"/>
      <c r="P35" s="286"/>
      <c r="Q35" s="286"/>
      <c r="R35" s="286"/>
      <c r="S35" s="286"/>
      <c r="T35" s="286"/>
      <c r="U35" s="286"/>
      <c r="V35" s="286"/>
      <c r="W35" s="286"/>
      <c r="X35" s="286"/>
      <c r="Y35" s="286"/>
      <c r="Z35" s="286"/>
    </row>
    <row r="36" spans="1:26">
      <c r="A36" s="286"/>
      <c r="B36" s="304" t="s">
        <v>1021</v>
      </c>
      <c r="C36" s="304">
        <v>179</v>
      </c>
      <c r="D36" s="286"/>
      <c r="E36" s="304">
        <v>105</v>
      </c>
      <c r="F36" s="286"/>
      <c r="G36" s="304">
        <v>179</v>
      </c>
      <c r="H36" s="286"/>
      <c r="I36" s="304">
        <v>255</v>
      </c>
      <c r="J36" s="286"/>
      <c r="K36" s="304">
        <v>255</v>
      </c>
      <c r="L36" s="286"/>
      <c r="M36" s="304">
        <v>60</v>
      </c>
      <c r="N36" s="286"/>
      <c r="O36" s="286"/>
      <c r="P36" s="286"/>
      <c r="Q36" s="286"/>
      <c r="R36" s="286"/>
      <c r="S36" s="286"/>
      <c r="T36" s="286"/>
      <c r="U36" s="286"/>
      <c r="V36" s="286"/>
      <c r="W36" s="286"/>
      <c r="X36" s="286"/>
      <c r="Y36" s="286"/>
      <c r="Z36" s="286"/>
    </row>
    <row r="37" spans="1:26">
      <c r="A37" s="286"/>
      <c r="B37" s="304" t="s">
        <v>1022</v>
      </c>
      <c r="C37" s="304">
        <v>0</v>
      </c>
      <c r="D37" s="286"/>
      <c r="E37" s="304">
        <v>79</v>
      </c>
      <c r="F37" s="286"/>
      <c r="G37" s="304">
        <v>0</v>
      </c>
      <c r="H37" s="286"/>
      <c r="I37" s="304">
        <v>153</v>
      </c>
      <c r="J37" s="286"/>
      <c r="K37" s="304">
        <v>153</v>
      </c>
      <c r="L37" s="286"/>
      <c r="M37" s="304">
        <v>30</v>
      </c>
      <c r="N37" s="286"/>
      <c r="O37" s="286"/>
      <c r="P37" s="286"/>
      <c r="Q37" s="286"/>
      <c r="R37" s="286"/>
      <c r="S37" s="286"/>
      <c r="T37" s="286"/>
      <c r="U37" s="286"/>
      <c r="V37" s="286"/>
      <c r="W37" s="286"/>
      <c r="X37" s="286"/>
      <c r="Y37" s="286"/>
      <c r="Z37" s="286"/>
    </row>
    <row r="38" spans="1:26">
      <c r="A38" s="286"/>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row>
    <row r="39" spans="1:26">
      <c r="A39" s="286"/>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row>
    <row r="40" spans="1:26">
      <c r="A40" s="286"/>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row>
  </sheetData>
  <sheetProtection selectLockedCells="1"/>
  <mergeCells count="8">
    <mergeCell ref="C25:Q25"/>
    <mergeCell ref="C2:Q2"/>
    <mergeCell ref="I4:K4"/>
    <mergeCell ref="M4:O4"/>
    <mergeCell ref="C14:Q14"/>
    <mergeCell ref="M16:Q16"/>
    <mergeCell ref="M17:Q17"/>
    <mergeCell ref="M20:Q20"/>
  </mergeCells>
  <hyperlinks>
    <hyperlink ref="A1" location="IGAP!A1" display="IGAP!A1"/>
  </hyperlinks>
  <pageMargins left="0.7" right="0.7" top="0.75" bottom="0.75" header="0.3" footer="0.3"/>
  <pageSetup paperSize="9" scale="31"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749992370372631"/>
  </sheetPr>
  <dimension ref="A1:AA57"/>
  <sheetViews>
    <sheetView zoomScale="90" zoomScaleNormal="90" workbookViewId="0"/>
  </sheetViews>
  <sheetFormatPr baseColWidth="10" defaultRowHeight="15.75"/>
  <cols>
    <col min="1" max="1" width="13.28515625" style="127" bestFit="1" customWidth="1"/>
    <col min="2" max="2" width="1.7109375" style="127" customWidth="1"/>
    <col min="3" max="3" width="5.7109375" style="127" customWidth="1"/>
    <col min="4" max="4" width="11.7109375" style="127" customWidth="1"/>
    <col min="5" max="5" width="14.5703125" style="127" bestFit="1" customWidth="1"/>
    <col min="6" max="6" width="1.7109375" style="127" customWidth="1"/>
    <col min="7" max="7" width="11.7109375" style="127" customWidth="1"/>
    <col min="8" max="8" width="10" style="127" customWidth="1"/>
    <col min="9" max="9" width="1.7109375" style="127" customWidth="1"/>
    <col min="10" max="14" width="11.7109375" style="127" customWidth="1"/>
    <col min="15" max="15" width="1.7109375" style="127" customWidth="1"/>
    <col min="16" max="16" width="12" style="127" customWidth="1"/>
    <col min="17" max="17" width="9.7109375" style="127" customWidth="1"/>
    <col min="18" max="18" width="11.85546875" style="127" customWidth="1"/>
    <col min="19" max="19" width="10" style="127" customWidth="1"/>
    <col min="20" max="20" width="14.28515625" style="127" customWidth="1"/>
    <col min="21" max="21" width="1.7109375" style="127" customWidth="1"/>
    <col min="22" max="26" width="14.28515625" style="127" customWidth="1"/>
    <col min="27" max="16384" width="11.42578125" style="127"/>
  </cols>
  <sheetData>
    <row r="1" spans="1:27">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7" ht="21">
      <c r="A2" s="13" t="s">
        <v>444</v>
      </c>
      <c r="B2" s="125"/>
      <c r="C2" s="241" t="s">
        <v>549</v>
      </c>
      <c r="D2" s="242"/>
      <c r="E2" s="242"/>
      <c r="F2" s="242"/>
      <c r="G2" s="242"/>
      <c r="H2" s="242"/>
      <c r="I2" s="242"/>
      <c r="J2" s="242"/>
      <c r="K2" s="242"/>
      <c r="L2" s="242"/>
      <c r="M2" s="242"/>
      <c r="N2" s="242"/>
      <c r="O2" s="242"/>
      <c r="P2" s="242"/>
      <c r="Q2" s="242"/>
      <c r="R2" s="242"/>
      <c r="S2" s="242"/>
      <c r="T2" s="242"/>
      <c r="U2" s="125"/>
      <c r="V2" s="125"/>
      <c r="W2" s="125"/>
      <c r="X2" s="125"/>
      <c r="Y2" s="125"/>
      <c r="Z2" s="125"/>
    </row>
    <row r="3" spans="1:27"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7" ht="16.5" thickBot="1">
      <c r="A4" s="35" t="s">
        <v>446</v>
      </c>
      <c r="B4" s="125"/>
      <c r="C4" s="1645" t="s">
        <v>253</v>
      </c>
      <c r="D4" s="1646"/>
      <c r="E4" s="1646"/>
      <c r="F4" s="1646"/>
      <c r="G4" s="1646"/>
      <c r="H4" s="1647"/>
      <c r="I4" s="125"/>
      <c r="J4" s="1645" t="s">
        <v>424</v>
      </c>
      <c r="K4" s="1646"/>
      <c r="L4" s="1646"/>
      <c r="M4" s="1646"/>
      <c r="N4" s="1646"/>
      <c r="O4" s="1646"/>
      <c r="P4" s="1646"/>
      <c r="Q4" s="1646"/>
      <c r="R4" s="1646"/>
      <c r="S4" s="1646"/>
      <c r="T4" s="1646"/>
      <c r="U4" s="125"/>
      <c r="V4" s="125"/>
      <c r="W4" s="125"/>
      <c r="X4" s="125"/>
      <c r="Y4" s="125"/>
      <c r="Z4" s="125"/>
      <c r="AA4" s="129"/>
    </row>
    <row r="5" spans="1:27" ht="16.5" thickBot="1">
      <c r="A5" s="135" t="s">
        <v>445</v>
      </c>
      <c r="B5" s="125"/>
      <c r="C5" s="1651" t="s">
        <v>539</v>
      </c>
      <c r="D5" s="1652"/>
      <c r="E5" s="1653"/>
      <c r="F5" s="125"/>
      <c r="G5" s="1651" t="s">
        <v>425</v>
      </c>
      <c r="H5" s="1653"/>
      <c r="I5" s="125"/>
      <c r="J5" s="1645" t="s">
        <v>513</v>
      </c>
      <c r="K5" s="1646"/>
      <c r="L5" s="1646"/>
      <c r="M5" s="1646"/>
      <c r="N5" s="1647"/>
      <c r="O5" s="125"/>
      <c r="P5" s="1648" t="s">
        <v>517</v>
      </c>
      <c r="Q5" s="1649"/>
      <c r="R5" s="1649"/>
      <c r="S5" s="1649"/>
      <c r="T5" s="1650"/>
      <c r="U5" s="125"/>
      <c r="V5" s="125"/>
      <c r="W5" s="125"/>
      <c r="X5" s="125"/>
      <c r="Y5" s="125"/>
      <c r="Z5" s="125"/>
      <c r="AA5" s="129"/>
    </row>
    <row r="6" spans="1:27" ht="16.5" thickBot="1">
      <c r="A6" s="125"/>
      <c r="B6" s="125"/>
      <c r="C6" s="125" t="s">
        <v>540</v>
      </c>
      <c r="D6" s="137" t="s">
        <v>493</v>
      </c>
      <c r="E6" s="137" t="s">
        <v>494</v>
      </c>
      <c r="F6" s="125"/>
      <c r="G6" s="125" t="s">
        <v>540</v>
      </c>
      <c r="H6" s="125"/>
      <c r="I6" s="125"/>
      <c r="J6" s="138"/>
      <c r="K6" s="1645" t="s">
        <v>436</v>
      </c>
      <c r="L6" s="1647"/>
      <c r="M6" s="144"/>
      <c r="N6" s="248" t="s">
        <v>774</v>
      </c>
      <c r="O6" s="125"/>
      <c r="P6" s="125"/>
      <c r="Q6" s="1645" t="s">
        <v>436</v>
      </c>
      <c r="R6" s="1647"/>
      <c r="S6" s="136"/>
      <c r="T6" s="248" t="s">
        <v>774</v>
      </c>
      <c r="U6" s="125"/>
      <c r="V6" s="125"/>
      <c r="W6" s="125"/>
      <c r="X6" s="125"/>
      <c r="Y6" s="125"/>
      <c r="Z6" s="125"/>
      <c r="AA6" s="129"/>
    </row>
    <row r="7" spans="1:27" ht="16.5" thickBot="1">
      <c r="A7" s="125"/>
      <c r="B7" s="125"/>
      <c r="C7" s="125"/>
      <c r="D7" s="1638" t="s">
        <v>840</v>
      </c>
      <c r="E7" s="1639"/>
      <c r="F7" s="1639"/>
      <c r="G7" s="1638" t="s">
        <v>842</v>
      </c>
      <c r="H7" s="1639"/>
      <c r="I7" s="125"/>
      <c r="J7" s="1644" t="s">
        <v>846</v>
      </c>
      <c r="K7" s="1644"/>
      <c r="L7" s="1644"/>
      <c r="M7" s="1644"/>
      <c r="N7" s="1644"/>
      <c r="O7" s="144"/>
      <c r="P7" s="1644" t="s">
        <v>222</v>
      </c>
      <c r="Q7" s="1644"/>
      <c r="R7" s="1644"/>
      <c r="S7" s="1644"/>
      <c r="T7" s="1644"/>
      <c r="U7" s="125"/>
      <c r="V7" s="125"/>
      <c r="W7" s="125"/>
      <c r="X7" s="125"/>
      <c r="Y7" s="125"/>
      <c r="Z7" s="125"/>
      <c r="AA7" s="129"/>
    </row>
    <row r="8" spans="1:27" ht="16.5" thickBot="1">
      <c r="A8" s="146" t="s">
        <v>645</v>
      </c>
      <c r="B8" s="125"/>
      <c r="C8" s="125"/>
      <c r="D8" s="146" t="s">
        <v>426</v>
      </c>
      <c r="E8" s="146" t="s">
        <v>427</v>
      </c>
      <c r="F8" s="125"/>
      <c r="G8" s="146" t="s">
        <v>428</v>
      </c>
      <c r="H8" s="146" t="s">
        <v>429</v>
      </c>
      <c r="I8" s="125"/>
      <c r="J8" s="146" t="s">
        <v>636</v>
      </c>
      <c r="K8" s="146" t="s">
        <v>426</v>
      </c>
      <c r="L8" s="146" t="s">
        <v>427</v>
      </c>
      <c r="M8" s="154" t="s">
        <v>638</v>
      </c>
      <c r="N8" s="154" t="s">
        <v>637</v>
      </c>
      <c r="O8" s="125"/>
      <c r="P8" s="146" t="s">
        <v>636</v>
      </c>
      <c r="Q8" s="146" t="s">
        <v>426</v>
      </c>
      <c r="R8" s="146" t="s">
        <v>427</v>
      </c>
      <c r="S8" s="154" t="s">
        <v>638</v>
      </c>
      <c r="T8" s="154" t="s">
        <v>637</v>
      </c>
      <c r="U8" s="125"/>
      <c r="V8" s="125"/>
      <c r="W8" s="125"/>
      <c r="X8" s="125"/>
      <c r="Y8" s="125"/>
      <c r="Z8" s="125"/>
      <c r="AA8" s="129"/>
    </row>
    <row r="9" spans="1:27">
      <c r="A9" s="216" t="s">
        <v>644</v>
      </c>
      <c r="B9" s="217"/>
      <c r="C9" s="128"/>
      <c r="D9" s="218">
        <v>0</v>
      </c>
      <c r="E9" s="218">
        <v>0</v>
      </c>
      <c r="F9" s="325"/>
      <c r="G9" s="218">
        <v>0</v>
      </c>
      <c r="H9" s="218">
        <v>0</v>
      </c>
      <c r="I9" s="110"/>
      <c r="J9" s="325"/>
      <c r="K9" s="218">
        <v>1</v>
      </c>
      <c r="L9" s="218">
        <v>1</v>
      </c>
      <c r="M9" s="111"/>
      <c r="N9" s="218">
        <v>1</v>
      </c>
      <c r="O9" s="325"/>
      <c r="P9" s="325"/>
      <c r="Q9" s="218">
        <v>1</v>
      </c>
      <c r="R9" s="218">
        <v>1</v>
      </c>
      <c r="S9" s="325"/>
      <c r="T9" s="218">
        <v>1</v>
      </c>
      <c r="U9" s="125"/>
      <c r="V9" s="125"/>
      <c r="W9" s="125"/>
      <c r="X9" s="125"/>
      <c r="Y9" s="125"/>
      <c r="Z9" s="125"/>
      <c r="AA9" s="129"/>
    </row>
    <row r="10" spans="1:27" s="129" customFormat="1">
      <c r="A10" s="220" t="s">
        <v>642</v>
      </c>
      <c r="B10" s="221"/>
      <c r="C10" s="224"/>
      <c r="D10" s="222">
        <f>COUNT(D13:D37)</f>
        <v>1</v>
      </c>
      <c r="E10" s="222">
        <f>COUNT(E13:E37)</f>
        <v>1</v>
      </c>
      <c r="F10" s="221"/>
      <c r="G10" s="222">
        <f>COUNT(G13:G37)</f>
        <v>1</v>
      </c>
      <c r="H10" s="222">
        <f>COUNT(H13:H37)</f>
        <v>1</v>
      </c>
      <c r="I10" s="222"/>
      <c r="J10" s="221"/>
      <c r="K10" s="222">
        <f ca="1">COUNT(K13:K37)</f>
        <v>6</v>
      </c>
      <c r="L10" s="222">
        <f ca="1">COUNT(L13:L37)</f>
        <v>6</v>
      </c>
      <c r="M10" s="222"/>
      <c r="N10" s="222">
        <f>COUNT(N13:N37)</f>
        <v>2</v>
      </c>
      <c r="O10" s="221"/>
      <c r="P10" s="221"/>
      <c r="Q10" s="222">
        <f>COUNT(Q13:Q37)</f>
        <v>6</v>
      </c>
      <c r="R10" s="222">
        <f>COUNT(R13:R37)</f>
        <v>6</v>
      </c>
      <c r="S10" s="221"/>
      <c r="T10" s="222">
        <f>COUNT(T13:T37)</f>
        <v>5</v>
      </c>
      <c r="U10" s="325"/>
      <c r="V10" s="325"/>
      <c r="W10" s="325"/>
      <c r="X10" s="325"/>
      <c r="Y10" s="325"/>
      <c r="Z10" s="325"/>
    </row>
    <row r="11" spans="1:27" s="140" customFormat="1" ht="15.75" customHeight="1">
      <c r="A11" s="323" t="s">
        <v>643</v>
      </c>
      <c r="B11" s="324"/>
      <c r="C11" s="324"/>
      <c r="D11" s="1640" t="s">
        <v>875</v>
      </c>
      <c r="E11" s="1641"/>
      <c r="F11" s="324"/>
      <c r="G11" s="1640" t="s">
        <v>876</v>
      </c>
      <c r="H11" s="1641"/>
      <c r="I11" s="324"/>
      <c r="J11" s="1642" t="s">
        <v>877</v>
      </c>
      <c r="K11" s="1642"/>
      <c r="L11" s="1642"/>
      <c r="M11" s="1642" t="s">
        <v>654</v>
      </c>
      <c r="N11" s="1642"/>
      <c r="O11" s="324"/>
      <c r="P11" s="1642" t="s">
        <v>878</v>
      </c>
      <c r="Q11" s="1643"/>
      <c r="R11" s="1643"/>
      <c r="S11" s="1642" t="s">
        <v>655</v>
      </c>
      <c r="T11" s="1643"/>
      <c r="U11" s="139"/>
      <c r="V11" s="139"/>
      <c r="W11" s="139"/>
      <c r="X11" s="139"/>
      <c r="Y11" s="139"/>
      <c r="Z11" s="139"/>
      <c r="AA11" s="129"/>
    </row>
    <row r="12" spans="1:27">
      <c r="A12" s="130" t="s">
        <v>317</v>
      </c>
      <c r="B12" s="125"/>
      <c r="C12" s="125"/>
      <c r="D12" s="130" t="s">
        <v>3</v>
      </c>
      <c r="E12" s="130" t="s">
        <v>3</v>
      </c>
      <c r="F12" s="125"/>
      <c r="G12" s="131" t="s">
        <v>434</v>
      </c>
      <c r="H12" s="131" t="s">
        <v>434</v>
      </c>
      <c r="I12" s="130"/>
      <c r="J12" s="131" t="s">
        <v>434</v>
      </c>
      <c r="K12" s="130" t="s">
        <v>0</v>
      </c>
      <c r="L12" s="130" t="s">
        <v>0</v>
      </c>
      <c r="M12" s="130" t="s">
        <v>635</v>
      </c>
      <c r="N12" s="130" t="s">
        <v>454</v>
      </c>
      <c r="O12" s="125"/>
      <c r="P12" s="131" t="s">
        <v>434</v>
      </c>
      <c r="Q12" s="130" t="s">
        <v>0</v>
      </c>
      <c r="R12" s="130" t="s">
        <v>0</v>
      </c>
      <c r="S12" s="130" t="s">
        <v>635</v>
      </c>
      <c r="T12" s="130" t="s">
        <v>454</v>
      </c>
      <c r="U12" s="125"/>
      <c r="V12" s="125"/>
      <c r="W12" s="125"/>
      <c r="X12" s="125"/>
      <c r="Y12" s="125"/>
      <c r="Z12" s="125"/>
      <c r="AA12" s="129"/>
    </row>
    <row r="13" spans="1:27">
      <c r="A13" s="130">
        <v>1</v>
      </c>
      <c r="B13" s="125"/>
      <c r="C13" s="132">
        <v>1</v>
      </c>
      <c r="D13" s="133">
        <f>IF('Stipe=phyllotaxie&amp;croissance'!E21="",3,'Stipe=phyllotaxie&amp;croissance'!E21)</f>
        <v>1</v>
      </c>
      <c r="E13" s="133">
        <v>1</v>
      </c>
      <c r="F13" s="125"/>
      <c r="G13" s="134">
        <f>IF('Stipe=phyllotaxie&amp;croissance'!E22="",0,'Stipe=phyllotaxie&amp;croissance'!E22)</f>
        <v>20</v>
      </c>
      <c r="H13" s="134">
        <f>IF('Stipe=phyllotaxie&amp;croissance'!E23="",0,'Stipe=phyllotaxie&amp;croissance'!E23)</f>
        <v>60</v>
      </c>
      <c r="I13" s="125"/>
      <c r="J13" s="1072">
        <v>1</v>
      </c>
      <c r="K13" s="105">
        <f ca="1">IF('Stipe=phyllotaxie&amp;croissance'!Z14="",0.1,'Stipe=phyllotaxie&amp;croissance'!Z14*0.67)</f>
        <v>0.83750000000000002</v>
      </c>
      <c r="L13" s="105">
        <f t="shared" ref="L13:L18" ca="1" si="0">IF(K13="","",K13/10)</f>
        <v>8.3750000000000005E-2</v>
      </c>
      <c r="M13" s="212">
        <v>1</v>
      </c>
      <c r="N13" s="133">
        <v>0.25</v>
      </c>
      <c r="O13" s="125"/>
      <c r="P13" s="1076">
        <v>1</v>
      </c>
      <c r="Q13" s="1077">
        <f>IF('Stipe=phyllotaxie&amp;croissance'!Y20="",35,0.67*'Stipe=phyllotaxie&amp;croissance'!Y14)</f>
        <v>36.25549603633376</v>
      </c>
      <c r="R13" s="105">
        <f t="shared" ref="R13:R18" si="1">IF(Q13="","",Q13/25)</f>
        <v>1.4502198414533505</v>
      </c>
      <c r="S13" s="212">
        <v>1</v>
      </c>
      <c r="T13" s="133">
        <v>0.1</v>
      </c>
      <c r="U13" s="125"/>
      <c r="V13" s="125"/>
      <c r="W13" s="125"/>
      <c r="X13" s="125"/>
      <c r="Y13" s="125"/>
      <c r="Z13" s="125"/>
      <c r="AA13" s="129"/>
    </row>
    <row r="14" spans="1:27">
      <c r="A14" s="130">
        <v>2</v>
      </c>
      <c r="B14" s="125"/>
      <c r="C14" s="125"/>
      <c r="D14" s="125"/>
      <c r="E14" s="125"/>
      <c r="F14" s="125"/>
      <c r="G14" s="125"/>
      <c r="H14" s="125"/>
      <c r="I14" s="125"/>
      <c r="J14" s="1072">
        <f ca="1">IF('Stipe=phyllotaxie&amp;croissance'!X14="",24,'Stipe=phyllotaxie&amp;croissance'!X14)</f>
        <v>16</v>
      </c>
      <c r="K14" s="1073">
        <f ca="1">IF('Stipe=phyllotaxie&amp;croissance'!Z14="",0.5,'Stipe=phyllotaxie&amp;croissance'!Z14)</f>
        <v>1.25</v>
      </c>
      <c r="L14" s="1073">
        <f t="shared" ca="1" si="0"/>
        <v>0.125</v>
      </c>
      <c r="M14" s="212">
        <v>40</v>
      </c>
      <c r="N14" s="143">
        <v>1</v>
      </c>
      <c r="O14" s="125"/>
      <c r="P14" s="1076">
        <f ca="1">IF('Stipe=phyllotaxie&amp;croissance'!X14="",24,'Stipe=phyllotaxie&amp;croissance'!X14)</f>
        <v>16</v>
      </c>
      <c r="Q14" s="1078">
        <f>IF('Stipe=phyllotaxie&amp;croissance'!Y20="",60,'Stipe=phyllotaxie&amp;croissance'!Y14)</f>
        <v>54.112680651244418</v>
      </c>
      <c r="R14" s="1073">
        <f t="shared" si="1"/>
        <v>2.1645072260497766</v>
      </c>
      <c r="S14" s="212">
        <v>5</v>
      </c>
      <c r="T14" s="143">
        <v>0.6</v>
      </c>
      <c r="U14" s="125"/>
      <c r="V14" s="125"/>
      <c r="W14" s="125"/>
      <c r="X14" s="125"/>
      <c r="Y14" s="125"/>
      <c r="Z14" s="125"/>
      <c r="AA14" s="129"/>
    </row>
    <row r="15" spans="1:27">
      <c r="A15" s="130">
        <v>3</v>
      </c>
      <c r="B15" s="125"/>
      <c r="C15" s="125"/>
      <c r="D15" s="125"/>
      <c r="E15" s="125"/>
      <c r="F15" s="125"/>
      <c r="G15" s="125"/>
      <c r="H15" s="125"/>
      <c r="I15" s="125"/>
      <c r="J15" s="1072">
        <f ca="1">IF('Stipe=phyllotaxie&amp;croissance'!X15="",56,'Stipe=phyllotaxie&amp;croissance'!X15)</f>
        <v>32</v>
      </c>
      <c r="K15" s="105">
        <f ca="1">IF('Stipe=phyllotaxie&amp;croissance'!Z15="",0.94,'Stipe=phyllotaxie&amp;croissance'!Z15)</f>
        <v>1.875</v>
      </c>
      <c r="L15" s="105">
        <f t="shared" ca="1" si="0"/>
        <v>0.1875</v>
      </c>
      <c r="M15" s="212"/>
      <c r="N15" s="133"/>
      <c r="O15" s="125"/>
      <c r="P15" s="1076">
        <f ca="1">IF('Stipe=phyllotaxie&amp;croissance'!X15="",56,'Stipe=phyllotaxie&amp;croissance'!X15)</f>
        <v>32</v>
      </c>
      <c r="Q15" s="1077">
        <f>IF('Stipe=phyllotaxie&amp;croissance'!Y19="",65,'Stipe=phyllotaxie&amp;croissance'!Y15)</f>
        <v>59.523948716368857</v>
      </c>
      <c r="R15" s="105">
        <f t="shared" si="1"/>
        <v>2.3809579486547543</v>
      </c>
      <c r="S15" s="212">
        <v>10</v>
      </c>
      <c r="T15" s="133">
        <v>0.75</v>
      </c>
      <c r="U15" s="125"/>
      <c r="V15" s="125"/>
      <c r="W15" s="125"/>
      <c r="X15" s="125"/>
      <c r="Y15" s="125"/>
      <c r="Z15" s="125"/>
      <c r="AA15" s="129"/>
    </row>
    <row r="16" spans="1:27">
      <c r="A16" s="130">
        <v>4</v>
      </c>
      <c r="B16" s="125"/>
      <c r="C16" s="125"/>
      <c r="D16" s="125"/>
      <c r="E16" s="125"/>
      <c r="F16" s="125"/>
      <c r="G16" s="125"/>
      <c r="H16" s="125"/>
      <c r="I16" s="125"/>
      <c r="J16" s="1074">
        <f ca="1">IF('Stipe=phyllotaxie&amp;croissance'!X16="",88,'Stipe=phyllotaxie&amp;croissance'!X16)</f>
        <v>56</v>
      </c>
      <c r="K16" s="1075">
        <f ca="1">IF('Stipe=phyllotaxie&amp;croissance'!Z16="",1.56,'Stipe=phyllotaxie&amp;croissance'!Z16)</f>
        <v>2.0833333333333335</v>
      </c>
      <c r="L16" s="1075">
        <f t="shared" ca="1" si="0"/>
        <v>0.20833333333333334</v>
      </c>
      <c r="M16" s="212"/>
      <c r="N16" s="143"/>
      <c r="O16" s="125"/>
      <c r="P16" s="1076">
        <f ca="1">IF('Stipe=phyllotaxie&amp;croissance'!X16="",88,'Stipe=phyllotaxie&amp;croissance'!X16)</f>
        <v>56</v>
      </c>
      <c r="Q16" s="1078">
        <f>IF('Stipe=phyllotaxie&amp;croissance'!Y19="",55,'Stipe=phyllotaxie&amp;croissance'!Y16)</f>
        <v>57.295779513082323</v>
      </c>
      <c r="R16" s="1075">
        <f t="shared" si="1"/>
        <v>2.2918311805232929</v>
      </c>
      <c r="S16" s="212">
        <v>20</v>
      </c>
      <c r="T16" s="143">
        <v>0.85</v>
      </c>
      <c r="U16" s="125"/>
      <c r="V16" s="125"/>
      <c r="W16" s="125"/>
      <c r="X16" s="125"/>
      <c r="Y16" s="125"/>
      <c r="Z16" s="125"/>
      <c r="AA16" s="129"/>
    </row>
    <row r="17" spans="1:27">
      <c r="A17" s="130">
        <v>5</v>
      </c>
      <c r="B17" s="125"/>
      <c r="C17" s="125"/>
      <c r="D17" s="125"/>
      <c r="E17" s="125"/>
      <c r="F17" s="125"/>
      <c r="G17" s="125"/>
      <c r="H17" s="125"/>
      <c r="I17" s="125"/>
      <c r="J17" s="1074">
        <f ca="1">IF('Stipe=phyllotaxie&amp;croissance'!X17="",130,'Stipe=phyllotaxie&amp;croissance'!X17)</f>
        <v>96</v>
      </c>
      <c r="K17" s="200">
        <f ca="1">IF('Stipe=phyllotaxie&amp;croissance'!Z17="",1.6,'Stipe=phyllotaxie&amp;croissance'!Z17)</f>
        <v>1.375</v>
      </c>
      <c r="L17" s="200">
        <f t="shared" ca="1" si="0"/>
        <v>0.13750000000000001</v>
      </c>
      <c r="M17" s="212"/>
      <c r="N17" s="133"/>
      <c r="O17" s="125"/>
      <c r="P17" s="1076">
        <f ca="1">IF('Stipe=phyllotaxie&amp;croissance'!X17="",130,'Stipe=phyllotaxie&amp;croissance'!X17)</f>
        <v>96</v>
      </c>
      <c r="Q17" s="1077">
        <f>IF('Stipe=phyllotaxie&amp;croissance'!Y20="",50,('Stipe=phyllotaxie&amp;croissance'!Y20+Q16)/2)</f>
        <v>52.521131220325458</v>
      </c>
      <c r="R17" s="200">
        <f t="shared" si="1"/>
        <v>2.1008452488130183</v>
      </c>
      <c r="S17" s="212">
        <v>36</v>
      </c>
      <c r="T17" s="133">
        <v>1</v>
      </c>
      <c r="U17" s="125"/>
      <c r="V17" s="125"/>
      <c r="W17" s="125"/>
      <c r="X17" s="125"/>
      <c r="Y17" s="125"/>
      <c r="Z17" s="125"/>
      <c r="AA17" s="129"/>
    </row>
    <row r="18" spans="1:27">
      <c r="A18" s="130">
        <v>6</v>
      </c>
      <c r="B18" s="125"/>
      <c r="C18" s="125"/>
      <c r="D18" s="125"/>
      <c r="E18" s="125"/>
      <c r="F18" s="125"/>
      <c r="G18" s="125"/>
      <c r="H18" s="125"/>
      <c r="I18" s="125"/>
      <c r="J18" s="1074">
        <f ca="1">IF('Stipe=phyllotaxie&amp;croissance'!X18="",390,'Stipe=phyllotaxie&amp;croissance'!X18)</f>
        <v>194</v>
      </c>
      <c r="K18" s="1075">
        <f ca="1">IF('Stipe=phyllotaxie&amp;croissance'!Z18="",1.77,'Stipe=phyllotaxie&amp;croissance'!Z18)</f>
        <v>1.1000000000000001</v>
      </c>
      <c r="L18" s="1075">
        <f t="shared" ca="1" si="0"/>
        <v>0.11000000000000001</v>
      </c>
      <c r="M18" s="212"/>
      <c r="N18" s="143"/>
      <c r="O18" s="125"/>
      <c r="P18" s="1076">
        <f ca="1">IF('Stipe=phyllotaxie&amp;croissance'!X18="",390,'Stipe=phyllotaxie&amp;croissance'!X18)</f>
        <v>194</v>
      </c>
      <c r="Q18" s="1078">
        <f>IF('Stipe=phyllotaxie&amp;croissance'!Y20="",47,0.95*('Stipe=phyllotaxie&amp;croissance'!Y20+Q16)/2)</f>
        <v>49.895074659309181</v>
      </c>
      <c r="R18" s="1075">
        <f t="shared" si="1"/>
        <v>1.9958029863723672</v>
      </c>
      <c r="S18" s="212"/>
      <c r="T18" s="143"/>
      <c r="U18" s="125"/>
      <c r="V18" s="125"/>
      <c r="W18" s="125"/>
      <c r="X18" s="125"/>
      <c r="Y18" s="125"/>
      <c r="Z18" s="125"/>
      <c r="AA18" s="129"/>
    </row>
    <row r="19" spans="1:27">
      <c r="A19" s="130">
        <v>7</v>
      </c>
      <c r="B19" s="125"/>
      <c r="C19" s="125"/>
      <c r="D19" s="125"/>
      <c r="E19" s="125"/>
      <c r="F19" s="125"/>
      <c r="G19" s="125"/>
      <c r="H19" s="125"/>
      <c r="I19" s="125"/>
      <c r="J19" s="1074"/>
      <c r="K19" s="200"/>
      <c r="L19" s="200"/>
      <c r="M19" s="212"/>
      <c r="N19" s="133"/>
      <c r="O19" s="125"/>
      <c r="P19" s="1076"/>
      <c r="Q19" s="1077"/>
      <c r="R19" s="200"/>
      <c r="S19" s="212"/>
      <c r="T19" s="133"/>
      <c r="U19" s="125"/>
      <c r="V19" s="125"/>
      <c r="W19" s="125"/>
      <c r="X19" s="125"/>
      <c r="Y19" s="125"/>
      <c r="Z19" s="125"/>
      <c r="AA19" s="129"/>
    </row>
    <row r="20" spans="1:27">
      <c r="A20" s="130">
        <v>8</v>
      </c>
      <c r="B20" s="125"/>
      <c r="C20" s="125"/>
      <c r="D20" s="125"/>
      <c r="E20" s="125"/>
      <c r="F20" s="125"/>
      <c r="G20" s="125"/>
      <c r="H20" s="125"/>
      <c r="I20" s="125"/>
      <c r="J20" s="141"/>
      <c r="K20" s="142"/>
      <c r="L20" s="142"/>
      <c r="M20" s="212"/>
      <c r="N20" s="143"/>
      <c r="O20" s="125"/>
      <c r="P20" s="1076"/>
      <c r="Q20" s="1078"/>
      <c r="R20" s="1078"/>
      <c r="S20" s="212"/>
      <c r="T20" s="143"/>
      <c r="U20" s="125"/>
      <c r="V20" s="125"/>
      <c r="W20" s="125"/>
      <c r="X20" s="125"/>
      <c r="Y20" s="125"/>
      <c r="Z20" s="125"/>
      <c r="AA20" s="129"/>
    </row>
    <row r="21" spans="1:27">
      <c r="A21" s="130">
        <v>9</v>
      </c>
      <c r="B21" s="125"/>
      <c r="C21" s="125"/>
      <c r="D21" s="125"/>
      <c r="E21" s="125"/>
      <c r="F21" s="125"/>
      <c r="G21" s="125"/>
      <c r="H21" s="125"/>
      <c r="I21" s="125"/>
      <c r="J21" s="141"/>
      <c r="K21" s="133"/>
      <c r="L21" s="133"/>
      <c r="M21" s="212"/>
      <c r="N21" s="133"/>
      <c r="O21" s="125"/>
      <c r="P21" s="1076"/>
      <c r="Q21" s="1077"/>
      <c r="R21" s="1077"/>
      <c r="S21" s="212"/>
      <c r="T21" s="133"/>
      <c r="U21" s="125"/>
      <c r="V21" s="125"/>
      <c r="W21" s="125"/>
      <c r="X21" s="125"/>
      <c r="Y21" s="125"/>
      <c r="Z21" s="125"/>
      <c r="AA21" s="129"/>
    </row>
    <row r="22" spans="1:27">
      <c r="A22" s="130">
        <v>10</v>
      </c>
      <c r="B22" s="125"/>
      <c r="C22" s="125"/>
      <c r="D22" s="125"/>
      <c r="E22" s="125"/>
      <c r="F22" s="125"/>
      <c r="G22" s="125"/>
      <c r="H22" s="125"/>
      <c r="I22" s="125"/>
      <c r="J22" s="141"/>
      <c r="K22" s="142"/>
      <c r="L22" s="142"/>
      <c r="M22" s="212"/>
      <c r="N22" s="143"/>
      <c r="O22" s="125"/>
      <c r="P22" s="1076"/>
      <c r="Q22" s="1078"/>
      <c r="R22" s="1078"/>
      <c r="S22" s="212"/>
      <c r="T22" s="143"/>
      <c r="U22" s="125"/>
      <c r="V22" s="125"/>
      <c r="W22" s="125"/>
      <c r="X22" s="125"/>
      <c r="Y22" s="125"/>
      <c r="Z22" s="125"/>
      <c r="AA22" s="129"/>
    </row>
    <row r="23" spans="1:27">
      <c r="A23" s="130">
        <v>11</v>
      </c>
      <c r="B23" s="125"/>
      <c r="C23" s="125"/>
      <c r="D23" s="125"/>
      <c r="E23" s="125"/>
      <c r="F23" s="125"/>
      <c r="G23" s="125"/>
      <c r="H23" s="125"/>
      <c r="I23" s="125"/>
      <c r="J23" s="141"/>
      <c r="K23" s="133"/>
      <c r="L23" s="133"/>
      <c r="M23" s="212"/>
      <c r="N23" s="133"/>
      <c r="O23" s="125"/>
      <c r="P23" s="1076"/>
      <c r="Q23" s="1077"/>
      <c r="R23" s="1077"/>
      <c r="S23" s="212"/>
      <c r="T23" s="133"/>
      <c r="U23" s="125"/>
      <c r="V23" s="125"/>
      <c r="W23" s="125"/>
      <c r="X23" s="125"/>
      <c r="Y23" s="125"/>
      <c r="Z23" s="125"/>
      <c r="AA23" s="129"/>
    </row>
    <row r="24" spans="1:27">
      <c r="A24" s="130">
        <v>12</v>
      </c>
      <c r="B24" s="125"/>
      <c r="C24" s="125"/>
      <c r="D24" s="125"/>
      <c r="E24" s="125"/>
      <c r="F24" s="125"/>
      <c r="G24" s="125"/>
      <c r="H24" s="125"/>
      <c r="I24" s="125"/>
      <c r="J24" s="141"/>
      <c r="K24" s="142"/>
      <c r="L24" s="142"/>
      <c r="M24" s="212"/>
      <c r="N24" s="143"/>
      <c r="O24" s="125"/>
      <c r="P24" s="141"/>
      <c r="Q24" s="142"/>
      <c r="R24" s="142"/>
      <c r="S24" s="212"/>
      <c r="T24" s="143"/>
      <c r="U24" s="125"/>
      <c r="V24" s="125"/>
      <c r="W24" s="125"/>
      <c r="X24" s="125"/>
      <c r="Y24" s="125"/>
      <c r="Z24" s="125"/>
      <c r="AA24" s="129"/>
    </row>
    <row r="25" spans="1:27">
      <c r="A25" s="130">
        <v>13</v>
      </c>
      <c r="B25" s="125"/>
      <c r="C25" s="125"/>
      <c r="D25" s="125"/>
      <c r="E25" s="125"/>
      <c r="F25" s="125"/>
      <c r="G25" s="125"/>
      <c r="H25" s="125"/>
      <c r="I25" s="125"/>
      <c r="J25" s="141"/>
      <c r="K25" s="133"/>
      <c r="L25" s="133"/>
      <c r="M25" s="212"/>
      <c r="N25" s="133"/>
      <c r="O25" s="125"/>
      <c r="P25" s="141"/>
      <c r="Q25" s="133"/>
      <c r="R25" s="133"/>
      <c r="S25" s="212"/>
      <c r="T25" s="133"/>
      <c r="U25" s="125"/>
      <c r="V25" s="125"/>
      <c r="W25" s="125"/>
      <c r="X25" s="125"/>
      <c r="Y25" s="125"/>
      <c r="Z25" s="125"/>
    </row>
    <row r="26" spans="1:27">
      <c r="A26" s="130">
        <v>14</v>
      </c>
      <c r="B26" s="125"/>
      <c r="C26" s="125"/>
      <c r="D26" s="125"/>
      <c r="E26" s="125"/>
      <c r="F26" s="125"/>
      <c r="G26" s="125"/>
      <c r="H26" s="125"/>
      <c r="I26" s="125"/>
      <c r="J26" s="141"/>
      <c r="K26" s="142"/>
      <c r="L26" s="142"/>
      <c r="M26" s="212"/>
      <c r="N26" s="143"/>
      <c r="O26" s="125"/>
      <c r="P26" s="141"/>
      <c r="Q26" s="142"/>
      <c r="R26" s="142"/>
      <c r="S26" s="212"/>
      <c r="T26" s="143"/>
      <c r="U26" s="125"/>
      <c r="V26" s="125"/>
      <c r="W26" s="125"/>
      <c r="X26" s="125"/>
      <c r="Y26" s="125"/>
      <c r="Z26" s="125"/>
    </row>
    <row r="27" spans="1:27">
      <c r="A27" s="130">
        <v>15</v>
      </c>
      <c r="B27" s="125"/>
      <c r="C27" s="125"/>
      <c r="D27" s="125"/>
      <c r="E27" s="125"/>
      <c r="F27" s="125"/>
      <c r="G27" s="125"/>
      <c r="H27" s="125"/>
      <c r="I27" s="125"/>
      <c r="J27" s="141"/>
      <c r="K27" s="133"/>
      <c r="L27" s="133"/>
      <c r="M27" s="212"/>
      <c r="N27" s="133"/>
      <c r="O27" s="125"/>
      <c r="P27" s="141"/>
      <c r="Q27" s="133"/>
      <c r="R27" s="133"/>
      <c r="S27" s="212"/>
      <c r="T27" s="133"/>
      <c r="U27" s="125"/>
      <c r="V27" s="125"/>
      <c r="W27" s="125"/>
      <c r="X27" s="125"/>
      <c r="Y27" s="125"/>
      <c r="Z27" s="125"/>
    </row>
    <row r="28" spans="1:27">
      <c r="A28" s="130">
        <v>16</v>
      </c>
      <c r="B28" s="125"/>
      <c r="C28" s="125"/>
      <c r="D28" s="125"/>
      <c r="E28" s="125"/>
      <c r="F28" s="125"/>
      <c r="G28" s="125"/>
      <c r="H28" s="125"/>
      <c r="I28" s="125"/>
      <c r="J28" s="141"/>
      <c r="K28" s="142"/>
      <c r="L28" s="142"/>
      <c r="M28" s="212"/>
      <c r="N28" s="143"/>
      <c r="O28" s="125"/>
      <c r="P28" s="141"/>
      <c r="Q28" s="142"/>
      <c r="R28" s="142"/>
      <c r="S28" s="212"/>
      <c r="T28" s="143"/>
      <c r="U28" s="125"/>
      <c r="V28" s="125"/>
      <c r="W28" s="125"/>
      <c r="X28" s="125"/>
      <c r="Y28" s="125"/>
      <c r="Z28" s="125"/>
    </row>
    <row r="29" spans="1:27">
      <c r="A29" s="130">
        <v>17</v>
      </c>
      <c r="B29" s="125"/>
      <c r="C29" s="125"/>
      <c r="D29" s="125"/>
      <c r="E29" s="125"/>
      <c r="F29" s="125"/>
      <c r="G29" s="125"/>
      <c r="H29" s="125"/>
      <c r="I29" s="125"/>
      <c r="J29" s="141"/>
      <c r="K29" s="133"/>
      <c r="L29" s="133"/>
      <c r="M29" s="212"/>
      <c r="N29" s="133"/>
      <c r="O29" s="125"/>
      <c r="P29" s="141"/>
      <c r="Q29" s="133"/>
      <c r="R29" s="133"/>
      <c r="S29" s="212"/>
      <c r="T29" s="133"/>
      <c r="U29" s="125"/>
      <c r="V29" s="125"/>
      <c r="W29" s="125"/>
      <c r="X29" s="125"/>
      <c r="Y29" s="125"/>
      <c r="Z29" s="125"/>
    </row>
    <row r="30" spans="1:27">
      <c r="A30" s="130">
        <v>18</v>
      </c>
      <c r="B30" s="125"/>
      <c r="C30" s="125"/>
      <c r="D30" s="125"/>
      <c r="E30" s="125"/>
      <c r="F30" s="125"/>
      <c r="G30" s="125"/>
      <c r="H30" s="125"/>
      <c r="I30" s="125"/>
      <c r="J30" s="141"/>
      <c r="K30" s="142"/>
      <c r="L30" s="142"/>
      <c r="M30" s="212"/>
      <c r="N30" s="143"/>
      <c r="O30" s="125"/>
      <c r="P30" s="141"/>
      <c r="Q30" s="142"/>
      <c r="R30" s="142"/>
      <c r="S30" s="212"/>
      <c r="T30" s="143"/>
      <c r="U30" s="125"/>
      <c r="V30" s="125"/>
      <c r="W30" s="125"/>
      <c r="X30" s="125"/>
      <c r="Y30" s="125"/>
      <c r="Z30" s="125"/>
    </row>
    <row r="31" spans="1:27">
      <c r="A31" s="130">
        <v>19</v>
      </c>
      <c r="B31" s="125"/>
      <c r="C31" s="125"/>
      <c r="D31" s="125"/>
      <c r="E31" s="125"/>
      <c r="F31" s="125"/>
      <c r="G31" s="125"/>
      <c r="H31" s="125"/>
      <c r="I31" s="125"/>
      <c r="J31" s="141"/>
      <c r="K31" s="133"/>
      <c r="L31" s="133"/>
      <c r="M31" s="212"/>
      <c r="N31" s="133"/>
      <c r="O31" s="125"/>
      <c r="P31" s="141"/>
      <c r="Q31" s="133"/>
      <c r="R31" s="133"/>
      <c r="S31" s="212"/>
      <c r="T31" s="133"/>
      <c r="U31" s="125"/>
      <c r="V31" s="125"/>
      <c r="W31" s="125"/>
      <c r="X31" s="125"/>
      <c r="Y31" s="125"/>
      <c r="Z31" s="125"/>
    </row>
    <row r="32" spans="1:27">
      <c r="A32" s="130">
        <v>20</v>
      </c>
      <c r="B32" s="125"/>
      <c r="C32" s="125"/>
      <c r="D32" s="125"/>
      <c r="E32" s="125"/>
      <c r="F32" s="125"/>
      <c r="G32" s="125"/>
      <c r="H32" s="125"/>
      <c r="I32" s="125"/>
      <c r="J32" s="141"/>
      <c r="K32" s="142"/>
      <c r="L32" s="142"/>
      <c r="M32" s="212"/>
      <c r="N32" s="143"/>
      <c r="O32" s="125"/>
      <c r="P32" s="141"/>
      <c r="Q32" s="142"/>
      <c r="R32" s="142"/>
      <c r="S32" s="212"/>
      <c r="T32" s="143"/>
      <c r="U32" s="125"/>
      <c r="V32" s="125"/>
      <c r="W32" s="125"/>
      <c r="X32" s="125"/>
      <c r="Y32" s="125"/>
      <c r="Z32" s="125"/>
    </row>
    <row r="33" spans="1:26">
      <c r="A33" s="130">
        <v>21</v>
      </c>
      <c r="B33" s="125"/>
      <c r="C33" s="125"/>
      <c r="D33" s="125"/>
      <c r="E33" s="125"/>
      <c r="F33" s="125"/>
      <c r="G33" s="125"/>
      <c r="H33" s="125"/>
      <c r="I33" s="125"/>
      <c r="J33" s="141"/>
      <c r="K33" s="133"/>
      <c r="L33" s="133"/>
      <c r="M33" s="212"/>
      <c r="N33" s="133"/>
      <c r="O33" s="125"/>
      <c r="P33" s="141"/>
      <c r="Q33" s="133"/>
      <c r="R33" s="133"/>
      <c r="S33" s="212"/>
      <c r="T33" s="133"/>
      <c r="U33" s="125"/>
      <c r="V33" s="125"/>
      <c r="W33" s="125"/>
      <c r="X33" s="125"/>
      <c r="Y33" s="125"/>
      <c r="Z33" s="125"/>
    </row>
    <row r="34" spans="1:26">
      <c r="A34" s="130">
        <v>22</v>
      </c>
      <c r="B34" s="125"/>
      <c r="C34" s="125"/>
      <c r="D34" s="125"/>
      <c r="E34" s="125"/>
      <c r="F34" s="125"/>
      <c r="G34" s="125"/>
      <c r="H34" s="125"/>
      <c r="I34" s="125"/>
      <c r="J34" s="141"/>
      <c r="K34" s="142"/>
      <c r="L34" s="142"/>
      <c r="M34" s="212"/>
      <c r="N34" s="143"/>
      <c r="O34" s="125"/>
      <c r="P34" s="141"/>
      <c r="Q34" s="142"/>
      <c r="R34" s="142"/>
      <c r="S34" s="212"/>
      <c r="T34" s="143"/>
      <c r="U34" s="125"/>
      <c r="V34" s="125"/>
      <c r="W34" s="125"/>
      <c r="X34" s="125"/>
      <c r="Y34" s="125"/>
      <c r="Z34" s="125"/>
    </row>
    <row r="35" spans="1:26">
      <c r="A35" s="130">
        <v>23</v>
      </c>
      <c r="B35" s="125"/>
      <c r="C35" s="125"/>
      <c r="D35" s="125"/>
      <c r="E35" s="125"/>
      <c r="F35" s="125"/>
      <c r="G35" s="125"/>
      <c r="H35" s="125"/>
      <c r="I35" s="125"/>
      <c r="J35" s="141"/>
      <c r="K35" s="133"/>
      <c r="L35" s="133"/>
      <c r="M35" s="212"/>
      <c r="N35" s="133"/>
      <c r="O35" s="125"/>
      <c r="P35" s="141"/>
      <c r="Q35" s="133"/>
      <c r="R35" s="133"/>
      <c r="S35" s="212"/>
      <c r="T35" s="133"/>
      <c r="U35" s="125"/>
      <c r="V35" s="125"/>
      <c r="W35" s="125"/>
      <c r="X35" s="125"/>
      <c r="Y35" s="125"/>
      <c r="Z35" s="125"/>
    </row>
    <row r="36" spans="1:26">
      <c r="A36" s="130">
        <v>24</v>
      </c>
      <c r="B36" s="125"/>
      <c r="C36" s="125"/>
      <c r="D36" s="125"/>
      <c r="E36" s="125"/>
      <c r="F36" s="125"/>
      <c r="G36" s="125"/>
      <c r="H36" s="125"/>
      <c r="I36" s="125"/>
      <c r="J36" s="141"/>
      <c r="K36" s="142"/>
      <c r="L36" s="142"/>
      <c r="M36" s="212"/>
      <c r="N36" s="143"/>
      <c r="O36" s="125"/>
      <c r="P36" s="141"/>
      <c r="Q36" s="142"/>
      <c r="R36" s="142"/>
      <c r="S36" s="212"/>
      <c r="T36" s="143"/>
      <c r="U36" s="125"/>
      <c r="V36" s="125"/>
      <c r="W36" s="125"/>
      <c r="X36" s="125"/>
      <c r="Y36" s="125"/>
      <c r="Z36" s="125"/>
    </row>
    <row r="37" spans="1:26">
      <c r="A37" s="130">
        <v>25</v>
      </c>
      <c r="B37" s="125"/>
      <c r="C37" s="125"/>
      <c r="D37" s="125"/>
      <c r="E37" s="125"/>
      <c r="F37" s="125"/>
      <c r="G37" s="125"/>
      <c r="H37" s="125"/>
      <c r="I37" s="125"/>
      <c r="J37" s="141"/>
      <c r="K37" s="133"/>
      <c r="L37" s="133"/>
      <c r="M37" s="212"/>
      <c r="N37" s="133"/>
      <c r="O37" s="125"/>
      <c r="P37" s="141"/>
      <c r="Q37" s="133"/>
      <c r="R37" s="133"/>
      <c r="S37" s="212"/>
      <c r="T37" s="133"/>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18">
    <mergeCell ref="C4:H4"/>
    <mergeCell ref="P5:T5"/>
    <mergeCell ref="Q6:R6"/>
    <mergeCell ref="J4:T4"/>
    <mergeCell ref="C5:E5"/>
    <mergeCell ref="G5:H5"/>
    <mergeCell ref="J5:N5"/>
    <mergeCell ref="K6:L6"/>
    <mergeCell ref="D7:F7"/>
    <mergeCell ref="G7:H7"/>
    <mergeCell ref="D11:E11"/>
    <mergeCell ref="G11:H11"/>
    <mergeCell ref="P11:R11"/>
    <mergeCell ref="J11:L11"/>
    <mergeCell ref="M11:N11"/>
    <mergeCell ref="J7:N7"/>
    <mergeCell ref="P7:T7"/>
    <mergeCell ref="S11:T11"/>
  </mergeCells>
  <hyperlinks>
    <hyperlink ref="A1" location="IGAP!A1" display="IGAP!A1"/>
  </hyperlinks>
  <pageMargins left="0.7" right="0.7" top="0.75" bottom="0.75" header="0.3" footer="0.3"/>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Z57"/>
  <sheetViews>
    <sheetView zoomScale="90" zoomScaleNormal="90" workbookViewId="0">
      <selection activeCell="Q17" sqref="Q17"/>
    </sheetView>
  </sheetViews>
  <sheetFormatPr baseColWidth="10" defaultRowHeight="15.75"/>
  <cols>
    <col min="1" max="1" width="13.28515625" style="127" bestFit="1" customWidth="1"/>
    <col min="2" max="2" width="1.7109375" style="127" customWidth="1"/>
    <col min="3" max="3" width="14.140625" style="127" customWidth="1"/>
    <col min="4" max="4" width="11.85546875" style="127" customWidth="1"/>
    <col min="5" max="5" width="1.7109375" style="127" customWidth="1"/>
    <col min="6" max="6" width="15.42578125" style="127" customWidth="1"/>
    <col min="7" max="7" width="11.85546875" style="127" customWidth="1"/>
    <col min="8" max="8" width="1.7109375" style="127" customWidth="1"/>
    <col min="9" max="9" width="10.42578125" style="127" bestFit="1" customWidth="1"/>
    <col min="10" max="10" width="13.140625" style="127" customWidth="1"/>
    <col min="11" max="11" width="15.85546875" style="127" customWidth="1"/>
    <col min="12" max="12" width="1.7109375" style="127" customWidth="1"/>
    <col min="13" max="13" width="12.28515625" style="127" customWidth="1"/>
    <col min="14" max="14" width="16.85546875" style="127" customWidth="1"/>
    <col min="15" max="15" width="1.7109375" style="127" customWidth="1"/>
    <col min="16" max="16" width="15.7109375" style="127" customWidth="1"/>
    <col min="17" max="17" width="17.7109375" style="127" customWidth="1"/>
    <col min="18" max="18" width="1.7109375" style="127" customWidth="1"/>
    <col min="19" max="26" width="14.28515625" style="127" customWidth="1"/>
    <col min="27" max="16384" width="11.42578125" style="127"/>
  </cols>
  <sheetData>
    <row r="1" spans="1:2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
      <c r="A2" s="13" t="s">
        <v>444</v>
      </c>
      <c r="B2" s="125"/>
      <c r="C2" s="241" t="s">
        <v>787</v>
      </c>
      <c r="D2" s="243"/>
      <c r="E2" s="243"/>
      <c r="F2" s="243"/>
      <c r="G2" s="243"/>
      <c r="H2" s="243"/>
      <c r="I2" s="243"/>
      <c r="J2" s="243"/>
      <c r="K2" s="243"/>
      <c r="L2" s="243"/>
      <c r="M2" s="243"/>
      <c r="N2" s="243"/>
      <c r="O2" s="243"/>
      <c r="P2" s="243"/>
      <c r="Q2" s="243"/>
      <c r="R2" s="125"/>
      <c r="S2" s="125"/>
      <c r="T2" s="125"/>
      <c r="U2" s="125"/>
      <c r="V2" s="125"/>
      <c r="W2" s="125"/>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16.5" thickBot="1">
      <c r="A4" s="35" t="s">
        <v>446</v>
      </c>
      <c r="B4" s="125"/>
      <c r="C4" s="1655" t="s">
        <v>612</v>
      </c>
      <c r="D4" s="1655"/>
      <c r="E4" s="125"/>
      <c r="F4" s="1648" t="s">
        <v>612</v>
      </c>
      <c r="G4" s="1647"/>
      <c r="H4" s="125"/>
      <c r="I4" s="1645" t="s">
        <v>612</v>
      </c>
      <c r="J4" s="1646"/>
      <c r="K4" s="1647"/>
      <c r="L4" s="125"/>
      <c r="M4" s="1648" t="s">
        <v>612</v>
      </c>
      <c r="N4" s="1647"/>
      <c r="O4" s="125"/>
      <c r="P4" s="1648" t="s">
        <v>612</v>
      </c>
      <c r="Q4" s="1647"/>
      <c r="R4" s="125"/>
      <c r="S4" s="125"/>
      <c r="T4" s="125"/>
      <c r="U4" s="125"/>
      <c r="V4" s="125"/>
      <c r="W4" s="125"/>
      <c r="X4" s="125"/>
      <c r="Y4" s="125"/>
      <c r="Z4" s="125"/>
    </row>
    <row r="5" spans="1:26" ht="16.5" thickBot="1">
      <c r="A5" s="135" t="s">
        <v>445</v>
      </c>
      <c r="B5" s="125"/>
      <c r="C5" s="1655" t="s">
        <v>509</v>
      </c>
      <c r="D5" s="1655"/>
      <c r="E5" s="125"/>
      <c r="F5" s="1645" t="s">
        <v>515</v>
      </c>
      <c r="G5" s="1647"/>
      <c r="H5" s="125"/>
      <c r="I5" s="1645" t="s">
        <v>513</v>
      </c>
      <c r="J5" s="1646"/>
      <c r="K5" s="1647"/>
      <c r="L5" s="125"/>
      <c r="M5" s="1645" t="s">
        <v>514</v>
      </c>
      <c r="N5" s="1647"/>
      <c r="O5" s="125"/>
      <c r="P5" s="1645" t="s">
        <v>497</v>
      </c>
      <c r="Q5" s="1647"/>
      <c r="R5" s="125"/>
      <c r="S5" s="125"/>
      <c r="T5" s="125"/>
      <c r="U5" s="125"/>
      <c r="V5" s="125"/>
      <c r="W5" s="125"/>
      <c r="X5" s="125"/>
      <c r="Y5" s="125"/>
      <c r="Z5" s="125"/>
    </row>
    <row r="6" spans="1:26" ht="16.5" thickBot="1">
      <c r="A6" s="125"/>
      <c r="B6" s="125"/>
      <c r="C6" s="1654" t="s">
        <v>776</v>
      </c>
      <c r="D6" s="1654"/>
      <c r="E6" s="125"/>
      <c r="F6" s="125"/>
      <c r="G6" s="125"/>
      <c r="H6" s="125"/>
      <c r="I6" s="125"/>
      <c r="J6" s="125"/>
      <c r="K6" s="125"/>
      <c r="L6" s="125"/>
      <c r="M6" s="125"/>
      <c r="N6" s="125"/>
      <c r="O6" s="125"/>
      <c r="P6" s="125"/>
      <c r="Q6" s="125"/>
      <c r="R6" s="125"/>
      <c r="S6" s="125"/>
      <c r="T6" s="125"/>
      <c r="U6" s="125"/>
      <c r="V6" s="125"/>
      <c r="W6" s="125"/>
      <c r="X6" s="125"/>
      <c r="Y6" s="125"/>
      <c r="Z6" s="125"/>
    </row>
    <row r="7" spans="1:26" ht="16.5" thickBot="1">
      <c r="A7" s="125"/>
      <c r="B7" s="125"/>
      <c r="C7" s="1638" t="s">
        <v>463</v>
      </c>
      <c r="D7" s="1639"/>
      <c r="E7" s="125"/>
      <c r="F7" s="1638" t="s">
        <v>841</v>
      </c>
      <c r="G7" s="1639"/>
      <c r="H7" s="125"/>
      <c r="I7" s="1656" t="s">
        <v>846</v>
      </c>
      <c r="J7" s="1656"/>
      <c r="K7" s="1656"/>
      <c r="L7" s="125"/>
      <c r="M7" s="1656" t="s">
        <v>222</v>
      </c>
      <c r="N7" s="1656"/>
      <c r="O7" s="125"/>
      <c r="P7" s="1638" t="s">
        <v>842</v>
      </c>
      <c r="Q7" s="1639"/>
      <c r="R7" s="125"/>
      <c r="S7" s="125"/>
      <c r="T7" s="125"/>
      <c r="U7" s="125"/>
      <c r="V7" s="125"/>
      <c r="W7" s="125"/>
      <c r="X7" s="125"/>
      <c r="Y7" s="125"/>
      <c r="Z7" s="125"/>
    </row>
    <row r="8" spans="1:26" ht="16.5" thickBot="1">
      <c r="A8" s="146" t="s">
        <v>645</v>
      </c>
      <c r="B8" s="125"/>
      <c r="C8" s="146" t="s">
        <v>636</v>
      </c>
      <c r="D8" s="146" t="s">
        <v>426</v>
      </c>
      <c r="E8" s="125"/>
      <c r="F8" s="125"/>
      <c r="G8" s="146" t="s">
        <v>426</v>
      </c>
      <c r="H8" s="125"/>
      <c r="I8" s="146" t="s">
        <v>636</v>
      </c>
      <c r="J8" s="146" t="s">
        <v>426</v>
      </c>
      <c r="K8" s="146" t="s">
        <v>427</v>
      </c>
      <c r="L8" s="155"/>
      <c r="M8" s="146" t="s">
        <v>636</v>
      </c>
      <c r="N8" s="146" t="s">
        <v>426</v>
      </c>
      <c r="O8" s="125"/>
      <c r="P8" s="146" t="s">
        <v>636</v>
      </c>
      <c r="Q8" s="146" t="s">
        <v>426</v>
      </c>
      <c r="R8" s="125"/>
      <c r="S8" s="125"/>
      <c r="T8" s="125"/>
      <c r="U8" s="125"/>
      <c r="V8" s="125"/>
      <c r="W8" s="125"/>
      <c r="X8" s="125"/>
      <c r="Y8" s="125"/>
      <c r="Z8" s="125"/>
    </row>
    <row r="9" spans="1:26">
      <c r="A9" s="216" t="s">
        <v>644</v>
      </c>
      <c r="B9" s="126"/>
      <c r="C9" s="126"/>
      <c r="D9" s="218">
        <v>1</v>
      </c>
      <c r="E9" s="126"/>
      <c r="F9" s="128"/>
      <c r="G9" s="218">
        <v>0</v>
      </c>
      <c r="H9" s="126"/>
      <c r="I9" s="126"/>
      <c r="J9" s="218">
        <v>1</v>
      </c>
      <c r="K9" s="218">
        <v>1</v>
      </c>
      <c r="L9" s="126"/>
      <c r="M9" s="126"/>
      <c r="N9" s="218">
        <v>1</v>
      </c>
      <c r="O9" s="126"/>
      <c r="P9" s="126"/>
      <c r="Q9" s="218">
        <v>1</v>
      </c>
      <c r="R9" s="125"/>
      <c r="S9" s="125"/>
      <c r="T9" s="125"/>
      <c r="U9" s="125"/>
      <c r="V9" s="125"/>
      <c r="W9" s="125"/>
      <c r="X9" s="125"/>
      <c r="Y9" s="125"/>
      <c r="Z9" s="125"/>
    </row>
    <row r="10" spans="1:26" s="129" customFormat="1">
      <c r="A10" s="220" t="s">
        <v>642</v>
      </c>
      <c r="B10" s="221"/>
      <c r="C10" s="221"/>
      <c r="D10" s="222">
        <f>COUNT(D13:D37)</f>
        <v>4</v>
      </c>
      <c r="E10" s="221"/>
      <c r="F10" s="224"/>
      <c r="G10" s="222">
        <f>COUNT(G13:G37)</f>
        <v>1</v>
      </c>
      <c r="H10" s="221"/>
      <c r="I10" s="221"/>
      <c r="J10" s="222">
        <f>COUNT(J13:J37)</f>
        <v>4</v>
      </c>
      <c r="K10" s="222">
        <f>COUNT(K13:K37)</f>
        <v>4</v>
      </c>
      <c r="L10" s="221"/>
      <c r="M10" s="221"/>
      <c r="N10" s="222">
        <f>COUNT(N13:N37)</f>
        <v>4</v>
      </c>
      <c r="O10" s="221"/>
      <c r="P10" s="221"/>
      <c r="Q10" s="222">
        <f>COUNT(Q13:Q37)</f>
        <v>5</v>
      </c>
      <c r="R10" s="126"/>
      <c r="S10" s="126"/>
      <c r="T10" s="126"/>
      <c r="U10" s="126"/>
      <c r="V10" s="126"/>
      <c r="W10" s="126"/>
      <c r="X10" s="126"/>
      <c r="Y10" s="126"/>
      <c r="Z10" s="126"/>
    </row>
    <row r="11" spans="1:26">
      <c r="A11" s="223" t="s">
        <v>643</v>
      </c>
      <c r="B11" s="221"/>
      <c r="C11" s="1640" t="s">
        <v>132</v>
      </c>
      <c r="D11" s="1641"/>
      <c r="E11" s="221"/>
      <c r="F11" s="1640" t="s">
        <v>23</v>
      </c>
      <c r="G11" s="1640"/>
      <c r="H11" s="221"/>
      <c r="I11" s="1640" t="s">
        <v>879</v>
      </c>
      <c r="J11" s="1640"/>
      <c r="K11" s="1640"/>
      <c r="L11" s="221"/>
      <c r="M11" s="1640" t="s">
        <v>31</v>
      </c>
      <c r="N11" s="1640"/>
      <c r="O11" s="221"/>
      <c r="P11" s="1640" t="s">
        <v>30</v>
      </c>
      <c r="Q11" s="1640"/>
      <c r="R11" s="125"/>
      <c r="S11" s="125"/>
      <c r="T11" s="125"/>
      <c r="U11" s="125"/>
      <c r="V11" s="125"/>
      <c r="W11" s="125"/>
      <c r="X11" s="125"/>
      <c r="Y11" s="125"/>
      <c r="Z11" s="125"/>
    </row>
    <row r="12" spans="1:26">
      <c r="A12" s="130" t="s">
        <v>317</v>
      </c>
      <c r="B12" s="125"/>
      <c r="C12" s="131" t="s">
        <v>434</v>
      </c>
      <c r="D12" s="131" t="s">
        <v>635</v>
      </c>
      <c r="E12" s="125"/>
      <c r="F12" s="131" t="s">
        <v>265</v>
      </c>
      <c r="G12" s="131" t="s">
        <v>3</v>
      </c>
      <c r="H12" s="125"/>
      <c r="I12" s="131" t="s">
        <v>434</v>
      </c>
      <c r="J12" s="131" t="s">
        <v>0</v>
      </c>
      <c r="K12" s="131" t="s">
        <v>0</v>
      </c>
      <c r="L12" s="125"/>
      <c r="M12" s="131" t="s">
        <v>434</v>
      </c>
      <c r="N12" s="131" t="s">
        <v>0</v>
      </c>
      <c r="O12" s="125"/>
      <c r="P12" s="131" t="s">
        <v>433</v>
      </c>
      <c r="Q12" s="131" t="s">
        <v>3</v>
      </c>
      <c r="R12" s="125"/>
      <c r="S12" s="125"/>
      <c r="T12" s="125"/>
      <c r="U12" s="125"/>
      <c r="V12" s="125"/>
      <c r="W12" s="125"/>
      <c r="X12" s="125"/>
      <c r="Y12" s="125"/>
      <c r="Z12" s="125"/>
    </row>
    <row r="13" spans="1:26">
      <c r="A13" s="130">
        <v>1</v>
      </c>
      <c r="B13" s="125"/>
      <c r="C13" s="141">
        <v>1</v>
      </c>
      <c r="D13" s="147">
        <f>IF('Feuilles=description rejets'!E11="",1,INT(D14/2)+1)</f>
        <v>2</v>
      </c>
      <c r="E13" s="125"/>
      <c r="F13" s="132">
        <v>1</v>
      </c>
      <c r="G13" s="133">
        <v>1</v>
      </c>
      <c r="H13" s="125"/>
      <c r="I13" s="141">
        <v>1</v>
      </c>
      <c r="J13" s="133">
        <f>IF('Feuilles=description rejets'!$P$37="",J16/3+J16/(I16-I13),((PINNAE_Prod!D13*PINNAE_Prod!E13+PINNAE_Prod!I13*PINNAE_Prod!L13+PINNAE_Prod!N13*PINNAE_Prod!Q13)/100)*'Feuilles=description rejets'!$P$37/3)</f>
        <v>37.933261292941459</v>
      </c>
      <c r="K13" s="133">
        <f>IF('Feuilles=description générale'!$L$27="",4.2,'Feuilles=description générale'!$L$27*J13/J16)</f>
        <v>1.9177529164250589</v>
      </c>
      <c r="L13" s="125"/>
      <c r="M13" s="141">
        <v>1</v>
      </c>
      <c r="N13" s="133">
        <f>IF(N16=12,2,N16*0.215)</f>
        <v>0.9696499999999999</v>
      </c>
      <c r="O13" s="125"/>
      <c r="P13" s="265">
        <v>0</v>
      </c>
      <c r="Q13" s="105">
        <v>0</v>
      </c>
      <c r="R13" s="125"/>
      <c r="S13" s="125"/>
      <c r="T13" s="125"/>
      <c r="U13" s="125"/>
      <c r="V13" s="125"/>
      <c r="W13" s="125"/>
      <c r="X13" s="125"/>
      <c r="Y13" s="125"/>
      <c r="Z13" s="125"/>
    </row>
    <row r="14" spans="1:26">
      <c r="A14" s="130">
        <v>2</v>
      </c>
      <c r="B14" s="125"/>
      <c r="C14" s="141">
        <f>IF('Feuilles=description rejets'!$P$32="",IF('Nervure=pétiole&amp;rachis'!$K$11&lt;100,ROUND('Nervure=pétiole&amp;rachis'!$K$11/3,0),36),'Feuilles=description rejets'!$P$32)</f>
        <v>28</v>
      </c>
      <c r="D14" s="149">
        <f>IF('Feuilles=description rejets'!E11="",2,'Feuilles=description rejets'!E11)</f>
        <v>3</v>
      </c>
      <c r="E14" s="125"/>
      <c r="F14" s="125"/>
      <c r="G14" s="125"/>
      <c r="H14" s="125"/>
      <c r="I14" s="141">
        <f>IF('Feuilles=description rejets'!$P$32="",IF('Nervure=pétiole&amp;rachis'!$K$11&lt;100,ROUND('Nervure=pétiole&amp;rachis'!$K$11/3,0),36),'Feuilles=description rejets'!$P$32)</f>
        <v>28</v>
      </c>
      <c r="J14" s="142">
        <f>IF('Feuilles=description rejets'!$P$37="",J13+(I14-I13)*(J16-J13)/(I16-I13),((PINNAE_Prod!D13*PINNAE_Prod!E13+PINNAE_Prod!I13*PINNAE_Prod!L13+PINNAE_Prod!N13*PINNAE_Prod!Q13)/100)*'Feuilles=description rejets'!$P$37)</f>
        <v>113.79978387882439</v>
      </c>
      <c r="K14" s="142">
        <f>IF('Feuilles=description générale'!$L$27="",12.5,'Feuilles=description générale'!$L$27*J14/J16)</f>
        <v>5.7532587492751768</v>
      </c>
      <c r="L14" s="125"/>
      <c r="M14" s="141">
        <f>IF('Feuilles=description rejets'!$P$32="",IF('Nervure=pétiole&amp;rachis'!$K$11&lt;100,ROUND('Nervure=pétiole&amp;rachis'!$K$11/3,0),36),'Feuilles=description rejets'!$P$32)</f>
        <v>28</v>
      </c>
      <c r="N14" s="142">
        <f>IF($N$16=12,6,IF('Feuilles=description rejets'!$P$39="",$N$13+($N$16-$N$13)/3,$N$16*'Feuilles=description rejets'!$P$39))</f>
        <v>1.4619473245143606</v>
      </c>
      <c r="O14" s="125"/>
      <c r="P14" s="265">
        <f>IF('Nervure=pétiole&amp;rachis'!$J$27="",20,'Nervure=pétiole&amp;rachis'!$J$27)</f>
        <v>5.15970515970516</v>
      </c>
      <c r="Q14" s="266">
        <v>1</v>
      </c>
      <c r="R14" s="125"/>
      <c r="S14" s="125"/>
      <c r="T14" s="125"/>
      <c r="U14" s="125"/>
      <c r="V14" s="125"/>
      <c r="W14" s="125"/>
      <c r="X14" s="125"/>
      <c r="Y14" s="125"/>
      <c r="Z14" s="125"/>
    </row>
    <row r="15" spans="1:26">
      <c r="A15" s="130">
        <v>3</v>
      </c>
      <c r="B15" s="125"/>
      <c r="C15" s="141">
        <f>IF('Feuilles=description rejets'!$P$34="",IF('Nervure=pétiole&amp;rachis'!$K$11&lt;100,ROUND(2*'Nervure=pétiole&amp;rachis'!$K$11/3,0),67),'Feuilles=description rejets'!$P$34)</f>
        <v>32</v>
      </c>
      <c r="D15" s="147">
        <f>IF('Feuilles=description rejets'!E31="",3,'Feuilles=description rejets'!E31)</f>
        <v>2</v>
      </c>
      <c r="E15" s="125"/>
      <c r="F15" s="125"/>
      <c r="G15" s="125"/>
      <c r="H15" s="125"/>
      <c r="I15" s="141">
        <f>IF('Feuilles=description rejets'!$P$34="",IF('Nervure=pétiole&amp;rachis'!$K$11&lt;100,ROUND(2*'Nervure=pétiole&amp;rachis'!$K$11/3,0),67),'Feuilles=description rejets'!$P$34)</f>
        <v>32</v>
      </c>
      <c r="J15" s="133">
        <f>IF('Feuilles=description rejets'!$P$37="",J13+(I15-I13)*(J16-J13)/(I16-I13),((PINNAE_Prod!D13*PINNAE_Prod!E13+PINNAE_Prod!I13*PINNAE_Prod!L13+PINNAE_Prod!N13*PINNAE_Prod!Q13)/100)*'Feuilles=description rejets'!$P$37)</f>
        <v>113.79978387882439</v>
      </c>
      <c r="K15" s="133">
        <f>IF('Feuilles=description générale'!$L$27="",13.5,'Feuilles=description générale'!$L$27*J15/J16)</f>
        <v>5.7532587492751768</v>
      </c>
      <c r="L15" s="125"/>
      <c r="M15" s="141">
        <f>IF('Feuilles=description rejets'!$P$34="",IF('Nervure=pétiole&amp;rachis'!$K$11&lt;100,ROUND(2*'Nervure=pétiole&amp;rachis'!$K$11/3,0),67),'Feuilles=description rejets'!$P$34)</f>
        <v>32</v>
      </c>
      <c r="N15" s="133">
        <f>IF($N$16=12,8,IF('Feuilles=description rejets'!$P$39="",$N$16-($N$16-$N$13)/3,$N$16*'Feuilles=description rejets'!$P$39))</f>
        <v>1.4619473245143606</v>
      </c>
      <c r="O15" s="125"/>
      <c r="P15" s="265">
        <f>IF('Nervure=pétiole&amp;rachis'!$J$26="",29,'Nervure=pétiole&amp;rachis'!$J$26)</f>
        <v>19.237669202955026</v>
      </c>
      <c r="Q15" s="105">
        <v>3</v>
      </c>
      <c r="R15" s="125"/>
      <c r="S15" s="125"/>
      <c r="T15" s="125"/>
      <c r="U15" s="125"/>
      <c r="V15" s="125"/>
      <c r="W15" s="125"/>
      <c r="X15" s="125"/>
      <c r="Y15" s="125"/>
      <c r="Z15" s="125"/>
    </row>
    <row r="16" spans="1:26">
      <c r="A16" s="130">
        <v>4</v>
      </c>
      <c r="B16" s="125"/>
      <c r="C16" s="141">
        <f>IF('Nervure=pétiole&amp;rachis'!$K$11="",175,'Nervure=pétiole&amp;rachis'!$K$11)</f>
        <v>124</v>
      </c>
      <c r="D16" s="149">
        <f>IF('Stipe=phyllotaxie&amp;croissance'!E13="",4,'Stipe=phyllotaxie&amp;croissance'!E13)</f>
        <v>3</v>
      </c>
      <c r="E16" s="125"/>
      <c r="F16" s="125"/>
      <c r="G16" s="125"/>
      <c r="H16" s="125"/>
      <c r="I16" s="141">
        <f>IF('Nervure=pétiole&amp;rachis'!$K$11="",175,'Nervure=pétiole&amp;rachis'!$K$11)</f>
        <v>124</v>
      </c>
      <c r="J16" s="142">
        <f>IF('Feuilles=description générale'!$K$27="",390,((PINNAE_Prod!D13*PINNAE_Prod!E13+PINNAE_Prod!I13*PINNAE_Prod!L13+PINNAE_Prod!N13*PINNAE_Prod!Q13)/100)*'Feuilles=description générale'!$K$27)</f>
        <v>351.06396563500567</v>
      </c>
      <c r="K16" s="142">
        <f>IF('Feuilles=description générale'!$L$27="",15,'Feuilles=description générale'!$L$27)</f>
        <v>17.748380207782358</v>
      </c>
      <c r="L16" s="125"/>
      <c r="M16" s="141">
        <f>IF('Nervure=pétiole&amp;rachis'!$K$11="",175,'Nervure=pétiole&amp;rachis'!$K$11)</f>
        <v>124</v>
      </c>
      <c r="N16" s="142">
        <f>IF(SUM('Sections rachis &amp; L pennes'!$E$36,'Sections rachis &amp; L pennes'!$L$36)=0,12,(SUM('Sections rachis &amp; L pennes'!$E$36,'Sections rachis &amp; L pennes'!$L$36))/2)</f>
        <v>4.51</v>
      </c>
      <c r="O16" s="125"/>
      <c r="P16" s="265">
        <f>IF('Nervure=pétiole&amp;rachis'!$J$13="",75,'Nervure=pétiole&amp;rachis'!$J$13)</f>
        <v>99.99</v>
      </c>
      <c r="Q16" s="266">
        <v>6</v>
      </c>
      <c r="R16" s="125"/>
      <c r="S16" s="125"/>
      <c r="T16" s="125"/>
      <c r="U16" s="125"/>
      <c r="V16" s="125"/>
      <c r="W16" s="125"/>
      <c r="X16" s="125"/>
      <c r="Y16" s="125"/>
      <c r="Z16" s="125"/>
    </row>
    <row r="17" spans="1:26">
      <c r="A17" s="130">
        <v>5</v>
      </c>
      <c r="B17" s="125"/>
      <c r="C17" s="141"/>
      <c r="D17" s="147"/>
      <c r="E17" s="125"/>
      <c r="F17" s="125"/>
      <c r="G17" s="125"/>
      <c r="H17" s="125"/>
      <c r="I17" s="141"/>
      <c r="J17" s="133"/>
      <c r="K17" s="133"/>
      <c r="L17" s="125"/>
      <c r="M17" s="141"/>
      <c r="N17" s="133"/>
      <c r="O17" s="125"/>
      <c r="P17" s="265">
        <v>100</v>
      </c>
      <c r="Q17" s="105">
        <v>10</v>
      </c>
      <c r="R17" s="125"/>
      <c r="S17" s="125"/>
      <c r="T17" s="125"/>
      <c r="U17" s="125"/>
      <c r="V17" s="125"/>
      <c r="W17" s="125"/>
      <c r="X17" s="125"/>
      <c r="Y17" s="125"/>
      <c r="Z17" s="125"/>
    </row>
    <row r="18" spans="1:26">
      <c r="A18" s="130">
        <v>6</v>
      </c>
      <c r="B18" s="125"/>
      <c r="C18" s="141"/>
      <c r="D18" s="149"/>
      <c r="E18" s="125"/>
      <c r="F18" s="125"/>
      <c r="G18" s="125"/>
      <c r="H18" s="125"/>
      <c r="I18" s="141"/>
      <c r="J18" s="142"/>
      <c r="K18" s="142"/>
      <c r="L18" s="125"/>
      <c r="M18" s="141"/>
      <c r="N18" s="142"/>
      <c r="O18" s="125"/>
      <c r="P18" s="148"/>
      <c r="Q18" s="150"/>
      <c r="R18" s="125"/>
      <c r="S18" s="125"/>
      <c r="T18" s="125"/>
      <c r="U18" s="125"/>
      <c r="V18" s="125"/>
      <c r="W18" s="125"/>
      <c r="X18" s="125"/>
      <c r="Y18" s="125"/>
      <c r="Z18" s="125"/>
    </row>
    <row r="19" spans="1:26">
      <c r="A19" s="130">
        <v>7</v>
      </c>
      <c r="B19" s="125"/>
      <c r="C19" s="141"/>
      <c r="D19" s="147"/>
      <c r="E19" s="125"/>
      <c r="F19" s="125"/>
      <c r="G19" s="125"/>
      <c r="H19" s="125"/>
      <c r="I19" s="141"/>
      <c r="J19" s="133"/>
      <c r="K19" s="133"/>
      <c r="L19" s="125"/>
      <c r="M19" s="141"/>
      <c r="N19" s="133"/>
      <c r="O19" s="125"/>
      <c r="P19" s="148"/>
      <c r="Q19" s="133"/>
      <c r="R19" s="125"/>
      <c r="S19" s="125"/>
      <c r="T19" s="125"/>
      <c r="U19" s="125"/>
      <c r="V19" s="125"/>
      <c r="W19" s="125"/>
      <c r="X19" s="125"/>
      <c r="Y19" s="125"/>
      <c r="Z19" s="125"/>
    </row>
    <row r="20" spans="1:26">
      <c r="A20" s="130">
        <v>8</v>
      </c>
      <c r="B20" s="125"/>
      <c r="C20" s="141"/>
      <c r="D20" s="149"/>
      <c r="E20" s="125"/>
      <c r="F20" s="125"/>
      <c r="G20" s="125"/>
      <c r="H20" s="125"/>
      <c r="I20" s="141"/>
      <c r="J20" s="142"/>
      <c r="K20" s="142"/>
      <c r="L20" s="125"/>
      <c r="M20" s="141"/>
      <c r="N20" s="142"/>
      <c r="O20" s="125"/>
      <c r="P20" s="148"/>
      <c r="Q20" s="150"/>
      <c r="R20" s="125"/>
      <c r="S20" s="125"/>
      <c r="T20" s="125"/>
      <c r="U20" s="125"/>
      <c r="V20" s="125"/>
      <c r="W20" s="125"/>
      <c r="X20" s="125"/>
      <c r="Y20" s="125"/>
      <c r="Z20" s="125"/>
    </row>
    <row r="21" spans="1:26">
      <c r="A21" s="130">
        <v>9</v>
      </c>
      <c r="B21" s="125"/>
      <c r="C21" s="141"/>
      <c r="D21" s="147"/>
      <c r="E21" s="125"/>
      <c r="F21" s="125"/>
      <c r="G21" s="125"/>
      <c r="H21" s="125"/>
      <c r="I21" s="141"/>
      <c r="J21" s="133"/>
      <c r="K21" s="133"/>
      <c r="L21" s="125"/>
      <c r="M21" s="141"/>
      <c r="N21" s="133"/>
      <c r="O21" s="125"/>
      <c r="P21" s="148"/>
      <c r="Q21" s="133"/>
      <c r="R21" s="125"/>
      <c r="S21" s="125"/>
      <c r="T21" s="125"/>
      <c r="U21" s="125"/>
      <c r="V21" s="125"/>
      <c r="W21" s="125"/>
      <c r="X21" s="125"/>
      <c r="Y21" s="125"/>
      <c r="Z21" s="125"/>
    </row>
    <row r="22" spans="1:26">
      <c r="A22" s="130">
        <v>10</v>
      </c>
      <c r="B22" s="125"/>
      <c r="C22" s="141"/>
      <c r="D22" s="149"/>
      <c r="E22" s="125"/>
      <c r="F22" s="125"/>
      <c r="G22" s="125"/>
      <c r="H22" s="125"/>
      <c r="I22" s="141"/>
      <c r="J22" s="142"/>
      <c r="K22" s="142"/>
      <c r="L22" s="125"/>
      <c r="M22" s="141"/>
      <c r="N22" s="142"/>
      <c r="O22" s="125"/>
      <c r="P22" s="148"/>
      <c r="Q22" s="150"/>
      <c r="R22" s="125"/>
      <c r="S22" s="125"/>
      <c r="T22" s="125"/>
      <c r="U22" s="125"/>
      <c r="V22" s="125"/>
      <c r="W22" s="125"/>
      <c r="X22" s="125"/>
      <c r="Y22" s="125"/>
      <c r="Z22" s="125"/>
    </row>
    <row r="23" spans="1:26">
      <c r="A23" s="130">
        <v>11</v>
      </c>
      <c r="B23" s="125"/>
      <c r="C23" s="141"/>
      <c r="D23" s="147"/>
      <c r="E23" s="125"/>
      <c r="F23" s="125"/>
      <c r="G23" s="125"/>
      <c r="H23" s="125"/>
      <c r="I23" s="141"/>
      <c r="J23" s="133"/>
      <c r="K23" s="133"/>
      <c r="L23" s="125"/>
      <c r="M23" s="141"/>
      <c r="N23" s="133"/>
      <c r="O23" s="125"/>
      <c r="P23" s="148"/>
      <c r="Q23" s="133"/>
      <c r="R23" s="125"/>
      <c r="S23" s="125"/>
      <c r="T23" s="125"/>
      <c r="U23" s="125"/>
      <c r="V23" s="125"/>
      <c r="W23" s="125"/>
      <c r="X23" s="125"/>
      <c r="Y23" s="125"/>
      <c r="Z23" s="125"/>
    </row>
    <row r="24" spans="1:26">
      <c r="A24" s="130">
        <v>12</v>
      </c>
      <c r="B24" s="125"/>
      <c r="C24" s="141"/>
      <c r="D24" s="149"/>
      <c r="E24" s="125"/>
      <c r="F24" s="125"/>
      <c r="G24" s="125"/>
      <c r="H24" s="125"/>
      <c r="I24" s="141"/>
      <c r="J24" s="142"/>
      <c r="K24" s="142"/>
      <c r="L24" s="125"/>
      <c r="M24" s="141"/>
      <c r="N24" s="142"/>
      <c r="O24" s="125"/>
      <c r="P24" s="148"/>
      <c r="Q24" s="150"/>
      <c r="R24" s="125"/>
      <c r="S24" s="125"/>
      <c r="T24" s="125"/>
      <c r="U24" s="125"/>
      <c r="V24" s="125"/>
      <c r="W24" s="125"/>
      <c r="X24" s="125"/>
      <c r="Y24" s="125"/>
      <c r="Z24" s="125"/>
    </row>
    <row r="25" spans="1:26">
      <c r="A25" s="130">
        <v>13</v>
      </c>
      <c r="B25" s="125"/>
      <c r="C25" s="141"/>
      <c r="D25" s="147"/>
      <c r="E25" s="125"/>
      <c r="F25" s="125"/>
      <c r="G25" s="125"/>
      <c r="H25" s="125"/>
      <c r="I25" s="141"/>
      <c r="J25" s="133"/>
      <c r="K25" s="133"/>
      <c r="L25" s="125"/>
      <c r="M25" s="141"/>
      <c r="N25" s="133"/>
      <c r="O25" s="125"/>
      <c r="P25" s="148"/>
      <c r="Q25" s="133"/>
      <c r="R25" s="125"/>
      <c r="S25" s="125"/>
      <c r="T25" s="125"/>
      <c r="U25" s="125"/>
      <c r="V25" s="125"/>
      <c r="W25" s="125"/>
      <c r="X25" s="125"/>
      <c r="Y25" s="125"/>
      <c r="Z25" s="125"/>
    </row>
    <row r="26" spans="1:26">
      <c r="A26" s="130">
        <v>14</v>
      </c>
      <c r="B26" s="125"/>
      <c r="C26" s="141"/>
      <c r="D26" s="149"/>
      <c r="E26" s="125"/>
      <c r="F26" s="125"/>
      <c r="G26" s="125"/>
      <c r="H26" s="125"/>
      <c r="I26" s="141"/>
      <c r="J26" s="142"/>
      <c r="K26" s="142"/>
      <c r="L26" s="125"/>
      <c r="M26" s="141"/>
      <c r="N26" s="142"/>
      <c r="O26" s="125"/>
      <c r="P26" s="148"/>
      <c r="Q26" s="150"/>
      <c r="R26" s="125"/>
      <c r="S26" s="125"/>
      <c r="T26" s="125"/>
      <c r="U26" s="125"/>
      <c r="V26" s="125"/>
      <c r="W26" s="125"/>
      <c r="X26" s="125"/>
      <c r="Y26" s="125"/>
      <c r="Z26" s="125"/>
    </row>
    <row r="27" spans="1:26">
      <c r="A27" s="130">
        <v>15</v>
      </c>
      <c r="B27" s="125"/>
      <c r="C27" s="141"/>
      <c r="D27" s="147"/>
      <c r="E27" s="125"/>
      <c r="F27" s="125"/>
      <c r="G27" s="125"/>
      <c r="H27" s="125"/>
      <c r="I27" s="141"/>
      <c r="J27" s="133"/>
      <c r="K27" s="133"/>
      <c r="L27" s="125"/>
      <c r="M27" s="141"/>
      <c r="N27" s="133"/>
      <c r="O27" s="125"/>
      <c r="P27" s="148"/>
      <c r="Q27" s="133"/>
      <c r="R27" s="125"/>
      <c r="S27" s="125"/>
      <c r="T27" s="125"/>
      <c r="U27" s="125"/>
      <c r="V27" s="125"/>
      <c r="W27" s="125"/>
      <c r="X27" s="125"/>
      <c r="Y27" s="125"/>
      <c r="Z27" s="125"/>
    </row>
    <row r="28" spans="1:26">
      <c r="A28" s="130">
        <v>16</v>
      </c>
      <c r="B28" s="125"/>
      <c r="C28" s="141"/>
      <c r="D28" s="149"/>
      <c r="E28" s="125"/>
      <c r="F28" s="125"/>
      <c r="G28" s="125"/>
      <c r="H28" s="125"/>
      <c r="I28" s="141"/>
      <c r="J28" s="142"/>
      <c r="K28" s="142"/>
      <c r="L28" s="125"/>
      <c r="M28" s="141"/>
      <c r="N28" s="142"/>
      <c r="O28" s="125"/>
      <c r="P28" s="148"/>
      <c r="Q28" s="150"/>
      <c r="R28" s="125"/>
      <c r="S28" s="125"/>
      <c r="T28" s="125"/>
      <c r="U28" s="125"/>
      <c r="V28" s="125"/>
      <c r="W28" s="125"/>
      <c r="X28" s="125"/>
      <c r="Y28" s="125"/>
      <c r="Z28" s="125"/>
    </row>
    <row r="29" spans="1:26">
      <c r="A29" s="130">
        <v>17</v>
      </c>
      <c r="B29" s="125"/>
      <c r="C29" s="141"/>
      <c r="D29" s="147"/>
      <c r="E29" s="125"/>
      <c r="F29" s="125"/>
      <c r="G29" s="125"/>
      <c r="H29" s="125"/>
      <c r="I29" s="141"/>
      <c r="J29" s="133"/>
      <c r="K29" s="133"/>
      <c r="L29" s="125"/>
      <c r="M29" s="141"/>
      <c r="N29" s="133"/>
      <c r="O29" s="125"/>
      <c r="P29" s="148"/>
      <c r="Q29" s="133"/>
      <c r="R29" s="125"/>
      <c r="S29" s="125"/>
      <c r="T29" s="125"/>
      <c r="U29" s="125"/>
      <c r="V29" s="125"/>
      <c r="W29" s="125"/>
      <c r="X29" s="125"/>
      <c r="Y29" s="125"/>
      <c r="Z29" s="125"/>
    </row>
    <row r="30" spans="1:26">
      <c r="A30" s="130">
        <v>18</v>
      </c>
      <c r="B30" s="125"/>
      <c r="C30" s="141"/>
      <c r="D30" s="149"/>
      <c r="E30" s="125"/>
      <c r="F30" s="125"/>
      <c r="G30" s="125"/>
      <c r="H30" s="125"/>
      <c r="I30" s="141"/>
      <c r="J30" s="142"/>
      <c r="K30" s="142"/>
      <c r="L30" s="125"/>
      <c r="M30" s="141"/>
      <c r="N30" s="142"/>
      <c r="O30" s="125"/>
      <c r="P30" s="148"/>
      <c r="Q30" s="150"/>
      <c r="R30" s="125"/>
      <c r="S30" s="125"/>
      <c r="T30" s="125"/>
      <c r="U30" s="125"/>
      <c r="V30" s="125"/>
      <c r="W30" s="125"/>
      <c r="X30" s="125"/>
      <c r="Y30" s="125"/>
      <c r="Z30" s="125"/>
    </row>
    <row r="31" spans="1:26">
      <c r="A31" s="130">
        <v>19</v>
      </c>
      <c r="B31" s="125"/>
      <c r="C31" s="141"/>
      <c r="D31" s="147"/>
      <c r="E31" s="125"/>
      <c r="F31" s="125"/>
      <c r="G31" s="125"/>
      <c r="H31" s="125"/>
      <c r="I31" s="141"/>
      <c r="J31" s="133"/>
      <c r="K31" s="133"/>
      <c r="L31" s="125"/>
      <c r="M31" s="141"/>
      <c r="N31" s="133"/>
      <c r="O31" s="125"/>
      <c r="P31" s="148"/>
      <c r="Q31" s="133"/>
      <c r="R31" s="125"/>
      <c r="S31" s="125"/>
      <c r="T31" s="125"/>
      <c r="U31" s="125"/>
      <c r="V31" s="125"/>
      <c r="W31" s="125"/>
      <c r="X31" s="125"/>
      <c r="Y31" s="125"/>
      <c r="Z31" s="125"/>
    </row>
    <row r="32" spans="1:26">
      <c r="A32" s="130">
        <v>20</v>
      </c>
      <c r="B32" s="125"/>
      <c r="C32" s="141"/>
      <c r="D32" s="149"/>
      <c r="E32" s="125"/>
      <c r="F32" s="125"/>
      <c r="G32" s="125"/>
      <c r="H32" s="125"/>
      <c r="I32" s="141"/>
      <c r="J32" s="142"/>
      <c r="K32" s="142"/>
      <c r="L32" s="125"/>
      <c r="M32" s="141"/>
      <c r="N32" s="142"/>
      <c r="O32" s="125"/>
      <c r="P32" s="148"/>
      <c r="Q32" s="150"/>
      <c r="R32" s="125"/>
      <c r="S32" s="125"/>
      <c r="T32" s="125"/>
      <c r="U32" s="125"/>
      <c r="V32" s="125"/>
      <c r="W32" s="125"/>
      <c r="X32" s="125"/>
      <c r="Y32" s="125"/>
      <c r="Z32" s="125"/>
    </row>
    <row r="33" spans="1:26">
      <c r="A33" s="130">
        <v>21</v>
      </c>
      <c r="B33" s="125"/>
      <c r="C33" s="141"/>
      <c r="D33" s="147"/>
      <c r="E33" s="125"/>
      <c r="F33" s="125"/>
      <c r="G33" s="125"/>
      <c r="H33" s="125"/>
      <c r="I33" s="141"/>
      <c r="J33" s="133"/>
      <c r="K33" s="133"/>
      <c r="L33" s="125"/>
      <c r="M33" s="141"/>
      <c r="N33" s="133"/>
      <c r="O33" s="125"/>
      <c r="P33" s="148"/>
      <c r="Q33" s="133"/>
      <c r="R33" s="125"/>
      <c r="S33" s="125"/>
      <c r="T33" s="125"/>
      <c r="U33" s="125"/>
      <c r="V33" s="125"/>
      <c r="W33" s="125"/>
      <c r="X33" s="125"/>
      <c r="Y33" s="125"/>
      <c r="Z33" s="125"/>
    </row>
    <row r="34" spans="1:26">
      <c r="A34" s="130">
        <v>22</v>
      </c>
      <c r="B34" s="125"/>
      <c r="C34" s="141"/>
      <c r="D34" s="149"/>
      <c r="E34" s="125"/>
      <c r="F34" s="125"/>
      <c r="G34" s="125"/>
      <c r="H34" s="125"/>
      <c r="I34" s="141"/>
      <c r="J34" s="142"/>
      <c r="K34" s="142"/>
      <c r="L34" s="125"/>
      <c r="M34" s="141"/>
      <c r="N34" s="142"/>
      <c r="O34" s="125"/>
      <c r="P34" s="148"/>
      <c r="Q34" s="150"/>
      <c r="R34" s="125"/>
      <c r="S34" s="125"/>
      <c r="T34" s="125"/>
      <c r="U34" s="125"/>
      <c r="V34" s="125"/>
      <c r="W34" s="125"/>
      <c r="X34" s="125"/>
      <c r="Y34" s="125"/>
      <c r="Z34" s="125"/>
    </row>
    <row r="35" spans="1:26">
      <c r="A35" s="130">
        <v>23</v>
      </c>
      <c r="B35" s="125"/>
      <c r="C35" s="141"/>
      <c r="D35" s="147"/>
      <c r="E35" s="125"/>
      <c r="F35" s="125"/>
      <c r="G35" s="125"/>
      <c r="H35" s="125"/>
      <c r="I35" s="141"/>
      <c r="J35" s="133"/>
      <c r="K35" s="133"/>
      <c r="L35" s="125"/>
      <c r="M35" s="141"/>
      <c r="N35" s="133"/>
      <c r="O35" s="125"/>
      <c r="P35" s="148"/>
      <c r="Q35" s="133"/>
      <c r="R35" s="125"/>
      <c r="S35" s="125"/>
      <c r="T35" s="125"/>
      <c r="U35" s="125"/>
      <c r="V35" s="125"/>
      <c r="W35" s="125"/>
      <c r="X35" s="125"/>
      <c r="Y35" s="125"/>
      <c r="Z35" s="125"/>
    </row>
    <row r="36" spans="1:26">
      <c r="A36" s="130">
        <v>24</v>
      </c>
      <c r="B36" s="125"/>
      <c r="C36" s="141"/>
      <c r="D36" s="149"/>
      <c r="E36" s="125"/>
      <c r="F36" s="125"/>
      <c r="G36" s="125"/>
      <c r="H36" s="125"/>
      <c r="I36" s="141"/>
      <c r="J36" s="142"/>
      <c r="K36" s="142"/>
      <c r="L36" s="125"/>
      <c r="M36" s="141"/>
      <c r="N36" s="142"/>
      <c r="O36" s="125"/>
      <c r="P36" s="148"/>
      <c r="Q36" s="150"/>
      <c r="R36" s="125"/>
      <c r="S36" s="125"/>
      <c r="T36" s="125"/>
      <c r="U36" s="125"/>
      <c r="V36" s="125"/>
      <c r="W36" s="125"/>
      <c r="X36" s="125"/>
      <c r="Y36" s="125"/>
      <c r="Z36" s="125"/>
    </row>
    <row r="37" spans="1:26">
      <c r="A37" s="130">
        <v>25</v>
      </c>
      <c r="B37" s="125"/>
      <c r="C37" s="141"/>
      <c r="D37" s="147"/>
      <c r="E37" s="125"/>
      <c r="F37" s="125"/>
      <c r="G37" s="125"/>
      <c r="H37" s="125"/>
      <c r="I37" s="141"/>
      <c r="J37" s="133"/>
      <c r="K37" s="133"/>
      <c r="L37" s="125"/>
      <c r="M37" s="141"/>
      <c r="N37" s="133"/>
      <c r="O37" s="125"/>
      <c r="P37" s="148"/>
      <c r="Q37" s="133"/>
      <c r="R37" s="125"/>
      <c r="S37" s="125"/>
      <c r="T37" s="125"/>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21">
    <mergeCell ref="C11:D11"/>
    <mergeCell ref="F11:G11"/>
    <mergeCell ref="I11:K11"/>
    <mergeCell ref="M11:N11"/>
    <mergeCell ref="P11:Q11"/>
    <mergeCell ref="C4:D4"/>
    <mergeCell ref="I4:K4"/>
    <mergeCell ref="M4:N4"/>
    <mergeCell ref="F4:G4"/>
    <mergeCell ref="P4:Q4"/>
    <mergeCell ref="F7:G7"/>
    <mergeCell ref="P7:Q7"/>
    <mergeCell ref="C6:D6"/>
    <mergeCell ref="F5:G5"/>
    <mergeCell ref="I5:K5"/>
    <mergeCell ref="M5:N5"/>
    <mergeCell ref="P5:Q5"/>
    <mergeCell ref="C5:D5"/>
    <mergeCell ref="C7:D7"/>
    <mergeCell ref="I7:K7"/>
    <mergeCell ref="M7:N7"/>
  </mergeCells>
  <hyperlinks>
    <hyperlink ref="A1" location="IGAP!A1" display="IGAP!A1"/>
  </hyperlinks>
  <pageMargins left="0.7" right="0.7" top="0.75" bottom="0.75" header="0.3" footer="0.3"/>
  <pageSetup paperSize="9" scale="53" orientation="landscape"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BM57"/>
  <sheetViews>
    <sheetView topLeftCell="A4" zoomScale="90" zoomScaleNormal="90" workbookViewId="0">
      <selection activeCell="X17" sqref="X17"/>
    </sheetView>
  </sheetViews>
  <sheetFormatPr baseColWidth="10" defaultRowHeight="15.75"/>
  <cols>
    <col min="1" max="1" width="13.28515625" style="127" bestFit="1" customWidth="1"/>
    <col min="2" max="2" width="1.7109375" style="127" customWidth="1"/>
    <col min="3" max="3" width="11.7109375" style="127" customWidth="1"/>
    <col min="4" max="4" width="11.5703125" style="127" customWidth="1"/>
    <col min="5" max="5" width="1.7109375" style="127" customWidth="1"/>
    <col min="6" max="6" width="8.5703125" style="127" bestFit="1" customWidth="1"/>
    <col min="7" max="7" width="11.85546875" style="127" customWidth="1"/>
    <col min="8" max="8" width="1.7109375" style="127" customWidth="1"/>
    <col min="9" max="10" width="11.7109375" style="127" customWidth="1"/>
    <col min="11" max="11" width="1.7109375" style="127" customWidth="1"/>
    <col min="12" max="13" width="11.7109375" style="127" customWidth="1"/>
    <col min="14" max="14" width="15.140625" style="127" customWidth="1"/>
    <col min="15" max="15" width="1.7109375" style="127" customWidth="1"/>
    <col min="16" max="16" width="10.42578125" style="127" bestFit="1" customWidth="1"/>
    <col min="17" max="17" width="10.140625" style="127" customWidth="1"/>
    <col min="18" max="18" width="8.85546875" style="127" customWidth="1"/>
    <col min="19" max="19" width="9" style="127" customWidth="1"/>
    <col min="20" max="20" width="22" style="127" bestFit="1" customWidth="1"/>
    <col min="21" max="21" width="1.7109375" style="127" customWidth="1"/>
    <col min="22" max="29" width="14.28515625" style="127" customWidth="1"/>
    <col min="30" max="30" width="9.140625" style="127" bestFit="1" customWidth="1"/>
    <col min="31" max="31" width="7.85546875" style="127" bestFit="1" customWidth="1"/>
    <col min="32" max="32" width="10.42578125" style="127" customWidth="1"/>
    <col min="33" max="33" width="11.7109375" style="127" bestFit="1" customWidth="1"/>
    <col min="34" max="34" width="11.85546875" style="127" customWidth="1"/>
    <col min="35" max="35" width="1.7109375" style="127" customWidth="1"/>
    <col min="36" max="36" width="11.42578125" style="127" bestFit="1" customWidth="1"/>
    <col min="37" max="37" width="10.42578125" style="127" customWidth="1"/>
    <col min="38" max="38" width="13.28515625" style="127" customWidth="1"/>
    <col min="39" max="39" width="1.7109375" style="127" customWidth="1"/>
    <col min="40" max="40" width="11.7109375" style="127" bestFit="1" customWidth="1"/>
    <col min="41" max="41" width="11" style="127" customWidth="1"/>
    <col min="42" max="42" width="10.7109375" style="127" customWidth="1"/>
    <col min="43" max="43" width="1.7109375" style="127" customWidth="1"/>
    <col min="44" max="44" width="11.7109375" style="127" bestFit="1" customWidth="1"/>
    <col min="45" max="45" width="7.85546875" style="127" bestFit="1" customWidth="1"/>
    <col min="46" max="46" width="11.42578125" style="127" bestFit="1" customWidth="1"/>
    <col min="47" max="47" width="9" style="127" bestFit="1" customWidth="1"/>
    <col min="48" max="48" width="10" style="127" bestFit="1" customWidth="1"/>
    <col min="49" max="49" width="9.85546875" style="127" bestFit="1" customWidth="1"/>
    <col min="50" max="50" width="1.7109375" style="127" customWidth="1"/>
    <col min="51" max="51" width="14.140625" style="127" customWidth="1"/>
    <col min="52" max="52" width="9.140625" style="127" bestFit="1" customWidth="1"/>
    <col min="53" max="53" width="12.85546875" style="127" customWidth="1"/>
    <col min="54" max="54" width="11.42578125" style="127"/>
    <col min="55" max="65" width="11.42578125" style="151"/>
    <col min="66" max="16384" width="11.42578125" style="127"/>
  </cols>
  <sheetData>
    <row r="1" spans="1:65">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BC1" s="127"/>
      <c r="BD1" s="127"/>
      <c r="BE1" s="127"/>
      <c r="BF1" s="127"/>
      <c r="BG1" s="127"/>
      <c r="BH1" s="127"/>
      <c r="BI1" s="127"/>
      <c r="BJ1" s="127"/>
      <c r="BK1" s="127"/>
      <c r="BL1" s="127"/>
      <c r="BM1" s="127"/>
    </row>
    <row r="2" spans="1:65" ht="21">
      <c r="A2" s="13" t="s">
        <v>444</v>
      </c>
      <c r="B2" s="125"/>
      <c r="C2" s="241" t="s">
        <v>1085</v>
      </c>
      <c r="D2" s="242"/>
      <c r="E2" s="242"/>
      <c r="F2" s="241"/>
      <c r="G2" s="246"/>
      <c r="H2" s="242"/>
      <c r="I2" s="242"/>
      <c r="J2" s="242"/>
      <c r="K2" s="242"/>
      <c r="L2" s="242"/>
      <c r="M2" s="242"/>
      <c r="N2" s="242"/>
      <c r="O2" s="242"/>
      <c r="P2" s="242"/>
      <c r="Q2" s="242"/>
      <c r="R2" s="242"/>
      <c r="S2" s="242"/>
      <c r="T2" s="242"/>
      <c r="U2" s="125"/>
      <c r="V2" s="125"/>
      <c r="W2" s="125"/>
      <c r="X2" s="125"/>
      <c r="Y2" s="125"/>
      <c r="Z2" s="125"/>
      <c r="AA2" s="125"/>
      <c r="AB2" s="125"/>
      <c r="AC2" s="125"/>
      <c r="BC2" s="127"/>
      <c r="BD2" s="127"/>
      <c r="BE2" s="127"/>
      <c r="BF2" s="127"/>
      <c r="BG2" s="127"/>
      <c r="BH2" s="127"/>
      <c r="BI2" s="127"/>
      <c r="BJ2" s="127"/>
      <c r="BK2" s="127"/>
      <c r="BL2" s="127"/>
      <c r="BM2" s="127"/>
    </row>
    <row r="3" spans="1:65"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BC3" s="127"/>
      <c r="BD3" s="127"/>
      <c r="BE3" s="127"/>
      <c r="BF3" s="127"/>
      <c r="BG3" s="127"/>
      <c r="BH3" s="127"/>
      <c r="BI3" s="127"/>
      <c r="BJ3" s="127"/>
      <c r="BK3" s="127"/>
      <c r="BL3" s="127"/>
      <c r="BM3" s="127"/>
    </row>
    <row r="4" spans="1:65" ht="16.5" thickBot="1">
      <c r="A4" s="35" t="s">
        <v>446</v>
      </c>
      <c r="B4" s="125"/>
      <c r="C4" s="1655" t="s">
        <v>326</v>
      </c>
      <c r="D4" s="1655"/>
      <c r="E4" s="125"/>
      <c r="F4" s="1655" t="s">
        <v>439</v>
      </c>
      <c r="G4" s="1655"/>
      <c r="H4" s="125"/>
      <c r="I4" s="1648" t="s">
        <v>326</v>
      </c>
      <c r="J4" s="1649"/>
      <c r="K4" s="125"/>
      <c r="L4" s="1659" t="s">
        <v>592</v>
      </c>
      <c r="M4" s="1659"/>
      <c r="N4" s="1659"/>
      <c r="O4" s="125"/>
      <c r="P4" s="1659" t="s">
        <v>1086</v>
      </c>
      <c r="Q4" s="1659"/>
      <c r="R4" s="1659"/>
      <c r="S4" s="1659"/>
      <c r="T4" s="1659"/>
      <c r="U4" s="125"/>
      <c r="V4" s="1676" t="s">
        <v>530</v>
      </c>
      <c r="W4" s="1676"/>
      <c r="X4" s="1676"/>
      <c r="Y4" s="1676"/>
      <c r="Z4" s="1676"/>
      <c r="AA4" s="125"/>
      <c r="AB4" s="125"/>
      <c r="AC4" s="125"/>
    </row>
    <row r="5" spans="1:65" ht="16.5" thickBot="1">
      <c r="A5" s="135" t="s">
        <v>445</v>
      </c>
      <c r="B5" s="125"/>
      <c r="C5" s="1655" t="s">
        <v>509</v>
      </c>
      <c r="D5" s="1655"/>
      <c r="E5" s="125"/>
      <c r="F5" s="1655" t="s">
        <v>509</v>
      </c>
      <c r="G5" s="1655"/>
      <c r="H5" s="125"/>
      <c r="I5" s="1648" t="s">
        <v>520</v>
      </c>
      <c r="J5" s="1646"/>
      <c r="K5" s="125"/>
      <c r="L5" s="1648" t="s">
        <v>516</v>
      </c>
      <c r="M5" s="1649"/>
      <c r="N5" s="1650"/>
      <c r="O5" s="125"/>
      <c r="P5" s="1648" t="s">
        <v>515</v>
      </c>
      <c r="Q5" s="1649"/>
      <c r="R5" s="1649"/>
      <c r="S5" s="1649"/>
      <c r="T5" s="1649"/>
      <c r="U5" s="125"/>
      <c r="V5" s="1648" t="s">
        <v>515</v>
      </c>
      <c r="W5" s="1649"/>
      <c r="X5" s="1649"/>
      <c r="Y5" s="1649"/>
      <c r="Z5" s="1649"/>
      <c r="AA5" s="125"/>
      <c r="AB5" s="125"/>
      <c r="AC5" s="125"/>
    </row>
    <row r="6" spans="1:65" ht="16.5" thickBot="1">
      <c r="A6" s="125"/>
      <c r="B6" s="125"/>
      <c r="C6" s="1654" t="s">
        <v>776</v>
      </c>
      <c r="D6" s="1654"/>
      <c r="E6" s="125"/>
      <c r="F6" s="1661" t="s">
        <v>776</v>
      </c>
      <c r="G6" s="1662"/>
      <c r="H6" s="125"/>
      <c r="I6" s="1648" t="s">
        <v>521</v>
      </c>
      <c r="J6" s="1646"/>
      <c r="K6" s="125"/>
      <c r="L6" s="1648" t="s">
        <v>779</v>
      </c>
      <c r="M6" s="1649"/>
      <c r="N6" s="1650"/>
      <c r="O6" s="125"/>
      <c r="P6" s="125"/>
      <c r="Q6" s="1660" t="s">
        <v>436</v>
      </c>
      <c r="R6" s="1660"/>
      <c r="S6" s="125"/>
      <c r="T6" s="219" t="s">
        <v>774</v>
      </c>
      <c r="U6" s="125"/>
      <c r="V6" s="125"/>
      <c r="W6" s="1661" t="s">
        <v>436</v>
      </c>
      <c r="X6" s="1662"/>
      <c r="Y6" s="125"/>
      <c r="Z6" s="250" t="s">
        <v>774</v>
      </c>
      <c r="AA6" s="125"/>
      <c r="AB6" s="125"/>
      <c r="AC6" s="125"/>
    </row>
    <row r="7" spans="1:65" ht="16.5" thickBot="1">
      <c r="A7" s="125"/>
      <c r="B7" s="125"/>
      <c r="C7" s="1638" t="s">
        <v>463</v>
      </c>
      <c r="D7" s="1639"/>
      <c r="E7" s="125"/>
      <c r="F7" s="1638" t="s">
        <v>463</v>
      </c>
      <c r="G7" s="1639"/>
      <c r="H7" s="125"/>
      <c r="I7" s="125"/>
      <c r="J7" s="156" t="s">
        <v>770</v>
      </c>
      <c r="K7" s="125"/>
      <c r="L7" s="1638" t="s">
        <v>843</v>
      </c>
      <c r="M7" s="1639"/>
      <c r="N7" s="1639"/>
      <c r="O7" s="125"/>
      <c r="P7" s="1657" t="s">
        <v>841</v>
      </c>
      <c r="Q7" s="1658"/>
      <c r="R7" s="1658"/>
      <c r="S7" s="1658"/>
      <c r="T7" s="1658"/>
      <c r="U7" s="125"/>
      <c r="V7" s="1657" t="s">
        <v>841</v>
      </c>
      <c r="W7" s="1658"/>
      <c r="X7" s="1658"/>
      <c r="Y7" s="1658"/>
      <c r="Z7" s="1658"/>
      <c r="AA7" s="125"/>
      <c r="AB7" s="125"/>
      <c r="AC7" s="125"/>
    </row>
    <row r="8" spans="1:65" ht="16.5" thickBot="1">
      <c r="A8" s="146" t="s">
        <v>645</v>
      </c>
      <c r="B8" s="125"/>
      <c r="C8" s="146" t="s">
        <v>636</v>
      </c>
      <c r="D8" s="146" t="s">
        <v>426</v>
      </c>
      <c r="E8" s="125"/>
      <c r="F8" s="146" t="s">
        <v>636</v>
      </c>
      <c r="G8" s="146" t="s">
        <v>426</v>
      </c>
      <c r="H8" s="125"/>
      <c r="I8" s="146" t="s">
        <v>636</v>
      </c>
      <c r="J8" s="157" t="s">
        <v>771</v>
      </c>
      <c r="K8" s="125"/>
      <c r="L8" s="146" t="s">
        <v>636</v>
      </c>
      <c r="M8" s="146" t="s">
        <v>426</v>
      </c>
      <c r="N8" s="146" t="s">
        <v>427</v>
      </c>
      <c r="O8" s="125"/>
      <c r="P8" s="146" t="s">
        <v>636</v>
      </c>
      <c r="Q8" s="146" t="s">
        <v>426</v>
      </c>
      <c r="R8" s="146" t="s">
        <v>427</v>
      </c>
      <c r="S8" s="154" t="s">
        <v>638</v>
      </c>
      <c r="T8" s="154" t="s">
        <v>637</v>
      </c>
      <c r="U8" s="125"/>
      <c r="V8" s="146" t="s">
        <v>636</v>
      </c>
      <c r="W8" s="146" t="s">
        <v>426</v>
      </c>
      <c r="X8" s="146" t="s">
        <v>427</v>
      </c>
      <c r="Y8" s="154" t="s">
        <v>638</v>
      </c>
      <c r="Z8" s="154" t="s">
        <v>637</v>
      </c>
      <c r="AA8" s="125"/>
      <c r="AB8" s="125"/>
      <c r="AC8" s="125"/>
    </row>
    <row r="9" spans="1:65">
      <c r="A9" s="216" t="s">
        <v>644</v>
      </c>
      <c r="B9" s="126"/>
      <c r="C9" s="126"/>
      <c r="D9" s="218">
        <v>0</v>
      </c>
      <c r="E9" s="330"/>
      <c r="F9" s="126"/>
      <c r="G9" s="218">
        <v>0</v>
      </c>
      <c r="H9" s="126"/>
      <c r="I9" s="126"/>
      <c r="J9" s="218">
        <v>0</v>
      </c>
      <c r="K9" s="126"/>
      <c r="L9" s="126"/>
      <c r="M9" s="218">
        <v>1</v>
      </c>
      <c r="N9" s="218">
        <v>1</v>
      </c>
      <c r="O9" s="126"/>
      <c r="P9" s="126"/>
      <c r="Q9" s="218">
        <v>1</v>
      </c>
      <c r="R9" s="218">
        <v>1</v>
      </c>
      <c r="S9" s="126"/>
      <c r="T9" s="218">
        <v>1</v>
      </c>
      <c r="U9" s="125"/>
      <c r="V9" s="126"/>
      <c r="W9" s="218">
        <v>1</v>
      </c>
      <c r="X9" s="218">
        <v>1</v>
      </c>
      <c r="Y9" s="126"/>
      <c r="Z9" s="218">
        <v>1</v>
      </c>
      <c r="AA9" s="125"/>
      <c r="AB9" s="125"/>
      <c r="AC9" s="125"/>
    </row>
    <row r="10" spans="1:65" s="129" customFormat="1">
      <c r="A10" s="220" t="s">
        <v>642</v>
      </c>
      <c r="B10" s="221"/>
      <c r="C10" s="221"/>
      <c r="D10" s="222">
        <f>COUNT(D13:D37)</f>
        <v>4</v>
      </c>
      <c r="E10" s="221"/>
      <c r="F10" s="221"/>
      <c r="G10" s="222">
        <f>COUNT(G13:G37)</f>
        <v>1</v>
      </c>
      <c r="H10" s="221"/>
      <c r="I10" s="221"/>
      <c r="J10" s="222">
        <f>COUNT(FROND_Prod!J13:J37)</f>
        <v>1</v>
      </c>
      <c r="K10" s="221"/>
      <c r="L10" s="221"/>
      <c r="M10" s="222">
        <f>COUNT(M13:M37)</f>
        <v>4</v>
      </c>
      <c r="N10" s="222">
        <f>COUNT(N13:N37)</f>
        <v>4</v>
      </c>
      <c r="O10" s="221"/>
      <c r="P10" s="221"/>
      <c r="Q10" s="222">
        <f>COUNT(Q13:Q37)</f>
        <v>4</v>
      </c>
      <c r="R10" s="222">
        <f>COUNT(R13:R37)</f>
        <v>4</v>
      </c>
      <c r="S10" s="221"/>
      <c r="T10" s="222">
        <f>COUNT(T13:T37)</f>
        <v>4</v>
      </c>
      <c r="U10" s="126"/>
      <c r="V10" s="221"/>
      <c r="W10" s="222">
        <f>COUNT(W13:W37)</f>
        <v>4</v>
      </c>
      <c r="X10" s="222">
        <f>COUNT(X13:X37)</f>
        <v>4</v>
      </c>
      <c r="Y10" s="221"/>
      <c r="Z10" s="222">
        <f>COUNT(Z13:Z37)</f>
        <v>4</v>
      </c>
      <c r="AA10" s="126"/>
      <c r="AB10" s="126"/>
      <c r="AC10" s="126"/>
      <c r="BC10" s="152"/>
      <c r="BD10" s="152"/>
      <c r="BE10" s="152"/>
      <c r="BF10" s="152"/>
      <c r="BG10" s="152"/>
      <c r="BH10" s="152"/>
      <c r="BI10" s="152"/>
      <c r="BJ10" s="152"/>
      <c r="BK10" s="152"/>
      <c r="BL10" s="152"/>
      <c r="BM10" s="152"/>
    </row>
    <row r="11" spans="1:65">
      <c r="A11" s="223" t="s">
        <v>643</v>
      </c>
      <c r="B11" s="221"/>
      <c r="C11" s="1640" t="s">
        <v>133</v>
      </c>
      <c r="D11" s="1641"/>
      <c r="E11" s="221"/>
      <c r="F11" s="1640" t="s">
        <v>134</v>
      </c>
      <c r="G11" s="1640"/>
      <c r="H11" s="221"/>
      <c r="I11" s="1640" t="s">
        <v>306</v>
      </c>
      <c r="J11" s="1641"/>
      <c r="K11" s="221"/>
      <c r="L11" s="1640" t="s">
        <v>880</v>
      </c>
      <c r="M11" s="1641"/>
      <c r="N11" s="1641"/>
      <c r="O11" s="221"/>
      <c r="P11" s="1640" t="s">
        <v>881</v>
      </c>
      <c r="Q11" s="1640"/>
      <c r="R11" s="1640"/>
      <c r="S11" s="1640" t="s">
        <v>656</v>
      </c>
      <c r="T11" s="1640"/>
      <c r="U11" s="125"/>
      <c r="V11" s="1640" t="s">
        <v>677</v>
      </c>
      <c r="W11" s="1640"/>
      <c r="X11" s="1640"/>
      <c r="Y11" s="1640"/>
      <c r="Z11" s="1640"/>
      <c r="AA11" s="125"/>
      <c r="AB11" s="125"/>
      <c r="AC11" s="125"/>
    </row>
    <row r="12" spans="1:65">
      <c r="A12" s="130" t="s">
        <v>317</v>
      </c>
      <c r="B12" s="125"/>
      <c r="C12" s="131" t="s">
        <v>434</v>
      </c>
      <c r="D12" s="131" t="s">
        <v>635</v>
      </c>
      <c r="E12" s="125"/>
      <c r="F12" s="131" t="s">
        <v>434</v>
      </c>
      <c r="G12" s="130" t="s">
        <v>635</v>
      </c>
      <c r="H12" s="125"/>
      <c r="I12" s="131" t="s">
        <v>434</v>
      </c>
      <c r="J12" s="131" t="s">
        <v>521</v>
      </c>
      <c r="K12" s="125"/>
      <c r="L12" s="131" t="s">
        <v>434</v>
      </c>
      <c r="M12" s="130" t="s">
        <v>3</v>
      </c>
      <c r="N12" s="130" t="s">
        <v>3</v>
      </c>
      <c r="O12" s="125"/>
      <c r="P12" s="131" t="s">
        <v>434</v>
      </c>
      <c r="Q12" s="130" t="s">
        <v>3</v>
      </c>
      <c r="R12" s="130" t="s">
        <v>3</v>
      </c>
      <c r="S12" s="130" t="s">
        <v>635</v>
      </c>
      <c r="T12" s="131" t="s">
        <v>798</v>
      </c>
      <c r="U12" s="125"/>
      <c r="V12" s="131" t="s">
        <v>434</v>
      </c>
      <c r="W12" s="130" t="s">
        <v>3</v>
      </c>
      <c r="X12" s="130" t="s">
        <v>3</v>
      </c>
      <c r="Y12" s="130" t="s">
        <v>635</v>
      </c>
      <c r="Z12" s="130" t="s">
        <v>454</v>
      </c>
      <c r="AA12" s="125"/>
      <c r="AB12" s="125"/>
      <c r="AC12" s="125"/>
    </row>
    <row r="13" spans="1:65">
      <c r="A13" s="130">
        <v>1</v>
      </c>
      <c r="B13" s="125"/>
      <c r="C13" s="141">
        <v>1</v>
      </c>
      <c r="D13" s="147">
        <f>INT(D14/2)+1</f>
        <v>6</v>
      </c>
      <c r="E13" s="125"/>
      <c r="F13" s="141">
        <v>1</v>
      </c>
      <c r="G13" s="147">
        <v>999</v>
      </c>
      <c r="H13" s="125"/>
      <c r="I13" s="141">
        <v>1</v>
      </c>
      <c r="J13" s="147">
        <v>1</v>
      </c>
      <c r="K13" s="125"/>
      <c r="L13" s="141">
        <v>1</v>
      </c>
      <c r="M13" s="133">
        <f>IF('Stipe=phyllotaxie&amp;croissance'!M21="",IF('Stipe=phyllotaxie&amp;croissance'!$E$33="",137.2,'Stipe=phyllotaxie&amp;croissance'!$E$33-0.2),'Stipe=phyllotaxie&amp;croissance'!M21)</f>
        <v>137.58058441410265</v>
      </c>
      <c r="N13" s="133">
        <f>IF('Stipe=phyllotaxie&amp;croissance'!$E$33="",0.13,'Stipe=phyllotaxie&amp;croissance'!$E$33/1000)</f>
        <v>0.13778058441410262</v>
      </c>
      <c r="O13" s="125"/>
      <c r="P13" s="141">
        <v>1</v>
      </c>
      <c r="Q13" s="133">
        <v>100</v>
      </c>
      <c r="R13" s="133">
        <f>IF('Nervure=pétiole&amp;rachis'!$K$18="",0.5,Q13/200)</f>
        <v>0.5</v>
      </c>
      <c r="S13" s="212">
        <v>1</v>
      </c>
      <c r="T13" s="133">
        <f>IF('Nervure=pétiole&amp;rachis'!$F$19=0,0.03,1/'Nervure=pétiole&amp;rachis'!$K$18)</f>
        <v>8.2278481012658236E-2</v>
      </c>
      <c r="U13" s="125"/>
      <c r="V13" s="141">
        <v>1</v>
      </c>
      <c r="W13" s="133">
        <v>50</v>
      </c>
      <c r="X13" s="133">
        <v>0.5</v>
      </c>
      <c r="Y13" s="177">
        <v>1</v>
      </c>
      <c r="Z13" s="133">
        <v>8.2278481012658236E-2</v>
      </c>
      <c r="AA13" s="125"/>
      <c r="AB13" s="125"/>
      <c r="AC13" s="125"/>
    </row>
    <row r="14" spans="1:65">
      <c r="A14" s="130">
        <v>2</v>
      </c>
      <c r="B14" s="125"/>
      <c r="C14" s="141">
        <f>IF('Feuilles=description rejets'!$P$34="",IF('Nervure=pétiole&amp;rachis'!$K$11&lt;'Feuilles=description rejets'!$P$32,ROUND('Nervure=pétiole&amp;rachis'!$K$11/3,0),36),'Feuilles=description rejets'!$P$34-'Feuilles=description rejets'!E10-'Feuilles=description rejets'!E11)</f>
        <v>21</v>
      </c>
      <c r="D14" s="149">
        <f>IF('Feuilles=description rejets'!E11="",IF('Feuilles=description rejets'!E10="",12,'Feuilles=description rejets'!E10),'Feuilles=description rejets'!E10+'Feuilles=description rejets'!E11)</f>
        <v>11</v>
      </c>
      <c r="E14" s="125"/>
      <c r="F14" s="141"/>
      <c r="G14" s="149"/>
      <c r="H14" s="125"/>
      <c r="I14" s="141"/>
      <c r="J14" s="153"/>
      <c r="K14" s="125"/>
      <c r="L14" s="141">
        <f>IF('Stipe=phyllotaxie&amp;croissance'!Q16="",50,'Stipe=phyllotaxie&amp;croissance'!Q16)</f>
        <v>56</v>
      </c>
      <c r="M14" s="142">
        <f>IF('Stipe=phyllotaxie&amp;croissance'!M22="",IF('Stipe=phyllotaxie&amp;croissance'!$E$33="",136.4,'Stipe=phyllotaxie&amp;croissance'!$E$33-0.1),'Stipe=phyllotaxie&amp;croissance'!M22)</f>
        <v>137.68058441410264</v>
      </c>
      <c r="N14" s="142">
        <f>IF('Stipe=phyllotaxie&amp;croissance'!$E$33="",0.08,'Stipe=phyllotaxie&amp;croissance'!$E$33/1250)</f>
        <v>0.11022446753128211</v>
      </c>
      <c r="O14" s="125"/>
      <c r="P14" s="141">
        <f>IF('Feuilles=description rejets'!$P$32="",IF('Nervure=pétiole&amp;rachis'!$K$11&lt;'Feuilles=description rejets'!$P$32,ROUND('Nervure=pétiole&amp;rachis'!$K$11/3,0),36),'Feuilles=description rejets'!$P$32)</f>
        <v>28</v>
      </c>
      <c r="Q14" s="142">
        <f>IF('Nervure=pétiole&amp;rachis'!$K$18="",70,IF('Nervure=pétiole&amp;rachis'!$K$18/T14&gt;95,95,'Nervure=pétiole&amp;rachis'!$K$18/T14))</f>
        <v>16.412886259040103</v>
      </c>
      <c r="R14" s="133">
        <f>IF('Nervure=pétiole&amp;rachis'!$K$18="",0.75,Q14/150)</f>
        <v>0.10941924172693403</v>
      </c>
      <c r="S14" s="212">
        <f>IF('Nervure=pétiole&amp;rachis'!$F$18="",50,'Nervure=pétiole&amp;rachis'!$F$18)</f>
        <v>57</v>
      </c>
      <c r="T14" s="143">
        <f>IF('Nervure=pétiole&amp;rachis'!$F$19=0,0.4,'Nervure=pétiole&amp;rachis'!$F$19/'Nervure=pétiole&amp;rachis'!$K$18)</f>
        <v>0.74050632911392411</v>
      </c>
      <c r="U14" s="125"/>
      <c r="V14" s="141">
        <v>28</v>
      </c>
      <c r="W14" s="142">
        <v>8</v>
      </c>
      <c r="X14" s="142">
        <v>0.08</v>
      </c>
      <c r="Y14" s="177">
        <v>57</v>
      </c>
      <c r="Z14" s="143">
        <v>0.74050632911392411</v>
      </c>
      <c r="AA14" s="125"/>
      <c r="AB14" s="125"/>
      <c r="AC14" s="125"/>
    </row>
    <row r="15" spans="1:65">
      <c r="A15" s="130">
        <v>3</v>
      </c>
      <c r="B15" s="125"/>
      <c r="C15" s="141">
        <f>IF('Feuilles=description rejets'!$Q$34="",IF('Nervure=pétiole&amp;rachis'!$K$11&lt;'Feuilles=description rejets'!$Q$34,ROUND(2*'Nervure=pétiole&amp;rachis'!$K$11/3,0),67),IF(('Feuilles=description rejets'!$Q$34-'Feuilles=description rejets'!E30)&gt;C16,ROUND((C16+C14)/2,0),'Feuilles=description rejets'!$Q$34-'Feuilles=description rejets'!E30))</f>
        <v>59</v>
      </c>
      <c r="D15" s="147">
        <f>IF('Feuilles=description rejets'!E31="",IF('Feuilles=description rejets'!E30="",35,'Feuilles=description rejets'!E30),'Feuilles=description rejets'!E30+'Feuilles=description rejets'!E31)</f>
        <v>37</v>
      </c>
      <c r="E15" s="125"/>
      <c r="F15" s="141"/>
      <c r="G15" s="147"/>
      <c r="H15" s="125"/>
      <c r="I15" s="141"/>
      <c r="J15" s="147"/>
      <c r="K15" s="125"/>
      <c r="L15" s="141">
        <f>IF('Stipe=phyllotaxie&amp;croissance'!Q17="",150,'Stipe=phyllotaxie&amp;croissance'!Q17)</f>
        <v>96</v>
      </c>
      <c r="M15" s="133">
        <f>IF('Stipe=phyllotaxie&amp;croissance'!M23="",IF('Stipe=phyllotaxie&amp;croissance'!$E$33="",136.8,'Stipe=phyllotaxie&amp;croissance'!$E$33),'Stipe=phyllotaxie&amp;croissance'!M23)</f>
        <v>137.78058441410263</v>
      </c>
      <c r="N15" s="133">
        <f>IF('Stipe=phyllotaxie&amp;croissance'!$E$33="",0.06,'Stipe=phyllotaxie&amp;croissance'!$E$33/2000)</f>
        <v>6.8890292207051312E-2</v>
      </c>
      <c r="O15" s="125"/>
      <c r="P15" s="141">
        <f>IF('Feuilles=description rejets'!$P$34="",IF('Nervure=pétiole&amp;rachis'!$K$11&lt;'Feuilles=description rejets'!$P$32,ROUND(2*'Nervure=pétiole&amp;rachis'!$K$11/3,0),67),'Feuilles=description rejets'!$P$34)</f>
        <v>32</v>
      </c>
      <c r="Q15" s="133">
        <f>IF('Nervure=pétiole&amp;rachis'!$K$18="",70,IF('Nervure=pétiole&amp;rachis'!$K$18/T15&gt;95,95,'Nervure=pétiole&amp;rachis'!$K$18/T15))</f>
        <v>13.428725121032812</v>
      </c>
      <c r="R15" s="133">
        <f>IF('Nervure=pétiole&amp;rachis'!$K$18="",1.5,Q15/120)</f>
        <v>0.11190604267527343</v>
      </c>
      <c r="S15" s="212">
        <f>IF('Nervure=pétiole&amp;rachis'!$G$18="",95,'Nervure=pétiole&amp;rachis'!$G$18)</f>
        <v>83</v>
      </c>
      <c r="T15" s="133">
        <f>IF('Nervure=pétiole&amp;rachis'!$G$19=0,0.67,'Nervure=pétiole&amp;rachis'!$G$19/'Nervure=pétiole&amp;rachis'!$K$18)</f>
        <v>0.90506329113924056</v>
      </c>
      <c r="U15" s="125"/>
      <c r="V15" s="141">
        <v>32</v>
      </c>
      <c r="W15" s="133">
        <v>7</v>
      </c>
      <c r="X15" s="133">
        <v>7.0000000000000007E-2</v>
      </c>
      <c r="Y15" s="177">
        <v>83</v>
      </c>
      <c r="Z15" s="133">
        <v>0.90506329113924056</v>
      </c>
      <c r="AA15" s="125"/>
      <c r="AB15" s="125"/>
      <c r="AC15" s="125"/>
    </row>
    <row r="16" spans="1:65">
      <c r="A16" s="130">
        <v>4</v>
      </c>
      <c r="B16" s="125"/>
      <c r="C16" s="141">
        <f>IF('Stipe=phyllotaxie&amp;croissance'!$L$33="",175,'Stipe=phyllotaxie&amp;croissance'!$L$33-'Stipe=phyllotaxie&amp;croissance'!E13-'Stipe=phyllotaxie&amp;croissance'!E14)</f>
        <v>96</v>
      </c>
      <c r="D16" s="149">
        <f>IF('Stipe=phyllotaxie&amp;croissance'!E13="",IF('Stipe=phyllotaxie&amp;croissance'!E14="",90,'Stipe=phyllotaxie&amp;croissance'!E13),'Stipe=phyllotaxie&amp;croissance'!E13+'Stipe=phyllotaxie&amp;croissance'!E14)</f>
        <v>98</v>
      </c>
      <c r="E16" s="125"/>
      <c r="F16" s="141"/>
      <c r="G16" s="149"/>
      <c r="H16" s="125"/>
      <c r="I16" s="141"/>
      <c r="J16" s="153"/>
      <c r="K16" s="125"/>
      <c r="L16" s="141">
        <f>IF('Stipe=phyllotaxie&amp;croissance'!Q18="",260,'Stipe=phyllotaxie&amp;croissance'!Q18)</f>
        <v>194</v>
      </c>
      <c r="M16" s="142">
        <f>IF('Stipe=phyllotaxie&amp;croissance'!$E$33="",137,'Stipe=phyllotaxie&amp;croissance'!$E$33)</f>
        <v>137.78058441410263</v>
      </c>
      <c r="N16" s="142">
        <f>IF('Stipe=phyllotaxie&amp;croissance'!$E$33="",0.05,'Stipe=phyllotaxie&amp;croissance'!$E$33/2500)</f>
        <v>5.5112233765641054E-2</v>
      </c>
      <c r="O16" s="125"/>
      <c r="P16" s="141">
        <f>IF('Nervure=pétiole&amp;rachis'!$K$11="",175,'Nervure=pétiole&amp;rachis'!$K$11)</f>
        <v>124</v>
      </c>
      <c r="Q16" s="142">
        <f>IF('Nervure=pétiole&amp;rachis'!$K$18="",30,'Nervure=pétiole&amp;rachis'!$K$18)</f>
        <v>12.153846153846153</v>
      </c>
      <c r="R16" s="133">
        <f>IF('Nervure=pétiole&amp;rachis'!$K$18="",2.5,Q16/100)</f>
        <v>0.12153846153846154</v>
      </c>
      <c r="S16" s="212">
        <f>IF('Nervure=pétiole&amp;rachis'!$J$18=0,180,'Nervure=pétiole&amp;rachis'!$J$18)</f>
        <v>98</v>
      </c>
      <c r="T16" s="143">
        <f>IF('Nervure=pétiole&amp;rachis'!$K$18="",1,'Nervure=pétiole&amp;rachis'!$K$18/'Nervure=pétiole&amp;rachis'!$K$18)</f>
        <v>1</v>
      </c>
      <c r="U16" s="125"/>
      <c r="V16" s="141">
        <v>124</v>
      </c>
      <c r="W16" s="142">
        <v>6</v>
      </c>
      <c r="X16" s="142">
        <v>0.06</v>
      </c>
      <c r="Y16" s="177">
        <v>98</v>
      </c>
      <c r="Z16" s="143">
        <v>1</v>
      </c>
      <c r="AA16" s="125"/>
      <c r="AB16" s="125"/>
      <c r="AC16" s="125"/>
    </row>
    <row r="17" spans="1:29">
      <c r="A17" s="130">
        <v>5</v>
      </c>
      <c r="B17" s="125"/>
      <c r="C17" s="141"/>
      <c r="D17" s="147"/>
      <c r="E17" s="125"/>
      <c r="F17" s="141"/>
      <c r="G17" s="147"/>
      <c r="H17" s="125"/>
      <c r="I17" s="141"/>
      <c r="J17" s="147"/>
      <c r="K17" s="125"/>
      <c r="L17" s="141"/>
      <c r="M17" s="133"/>
      <c r="N17" s="133"/>
      <c r="O17" s="125"/>
      <c r="P17" s="141"/>
      <c r="Q17" s="133"/>
      <c r="R17" s="133"/>
      <c r="S17" s="212"/>
      <c r="T17" s="133"/>
      <c r="U17" s="125"/>
      <c r="V17" s="141"/>
      <c r="W17" s="133"/>
      <c r="X17" s="133"/>
      <c r="Y17" s="177"/>
      <c r="Z17" s="133"/>
      <c r="AA17" s="125"/>
      <c r="AB17" s="125"/>
      <c r="AC17" s="125"/>
    </row>
    <row r="18" spans="1:29">
      <c r="A18" s="130">
        <v>6</v>
      </c>
      <c r="B18" s="125"/>
      <c r="C18" s="141"/>
      <c r="D18" s="149"/>
      <c r="E18" s="125"/>
      <c r="F18" s="141"/>
      <c r="G18" s="149"/>
      <c r="H18" s="125"/>
      <c r="I18" s="141"/>
      <c r="J18" s="153"/>
      <c r="K18" s="125"/>
      <c r="L18" s="141"/>
      <c r="M18" s="142"/>
      <c r="N18" s="142"/>
      <c r="O18" s="125"/>
      <c r="P18" s="141"/>
      <c r="Q18" s="142"/>
      <c r="R18" s="142"/>
      <c r="S18" s="212"/>
      <c r="T18" s="143"/>
      <c r="U18" s="125"/>
      <c r="V18" s="141"/>
      <c r="W18" s="142"/>
      <c r="X18" s="142"/>
      <c r="Y18" s="177"/>
      <c r="Z18" s="143"/>
      <c r="AA18" s="125"/>
      <c r="AB18" s="125"/>
      <c r="AC18" s="125"/>
    </row>
    <row r="19" spans="1:29">
      <c r="A19" s="130">
        <v>7</v>
      </c>
      <c r="B19" s="125"/>
      <c r="C19" s="141"/>
      <c r="D19" s="147"/>
      <c r="E19" s="125"/>
      <c r="F19" s="141"/>
      <c r="G19" s="147"/>
      <c r="H19" s="125"/>
      <c r="I19" s="141"/>
      <c r="J19" s="147"/>
      <c r="K19" s="125"/>
      <c r="L19" s="141"/>
      <c r="M19" s="133"/>
      <c r="N19" s="133"/>
      <c r="O19" s="125"/>
      <c r="P19" s="141"/>
      <c r="Q19" s="133"/>
      <c r="R19" s="133"/>
      <c r="S19" s="212"/>
      <c r="T19" s="133"/>
      <c r="U19" s="125"/>
      <c r="V19" s="141"/>
      <c r="W19" s="133"/>
      <c r="X19" s="133"/>
      <c r="Y19" s="177"/>
      <c r="Z19" s="133"/>
      <c r="AA19" s="125"/>
      <c r="AB19" s="125"/>
      <c r="AC19" s="125"/>
    </row>
    <row r="20" spans="1:29">
      <c r="A20" s="130">
        <v>8</v>
      </c>
      <c r="B20" s="125"/>
      <c r="C20" s="141"/>
      <c r="D20" s="149"/>
      <c r="E20" s="125"/>
      <c r="F20" s="141"/>
      <c r="G20" s="149"/>
      <c r="H20" s="125"/>
      <c r="I20" s="141"/>
      <c r="J20" s="153"/>
      <c r="K20" s="125"/>
      <c r="L20" s="141"/>
      <c r="M20" s="142"/>
      <c r="N20" s="142"/>
      <c r="O20" s="125"/>
      <c r="P20" s="141"/>
      <c r="Q20" s="142"/>
      <c r="R20" s="142"/>
      <c r="S20" s="212"/>
      <c r="T20" s="143"/>
      <c r="U20" s="125"/>
      <c r="V20" s="141"/>
      <c r="W20" s="142"/>
      <c r="X20" s="142"/>
      <c r="Y20" s="177"/>
      <c r="Z20" s="143"/>
      <c r="AA20" s="125"/>
      <c r="AB20" s="125"/>
      <c r="AC20" s="125"/>
    </row>
    <row r="21" spans="1:29">
      <c r="A21" s="130">
        <v>9</v>
      </c>
      <c r="B21" s="125"/>
      <c r="C21" s="141"/>
      <c r="D21" s="147"/>
      <c r="E21" s="125"/>
      <c r="F21" s="141"/>
      <c r="G21" s="147"/>
      <c r="H21" s="125"/>
      <c r="I21" s="141"/>
      <c r="J21" s="147"/>
      <c r="K21" s="125"/>
      <c r="L21" s="141"/>
      <c r="M21" s="133"/>
      <c r="N21" s="133"/>
      <c r="O21" s="125"/>
      <c r="P21" s="141"/>
      <c r="Q21" s="133"/>
      <c r="R21" s="133"/>
      <c r="S21" s="212"/>
      <c r="T21" s="133"/>
      <c r="U21" s="125"/>
      <c r="V21" s="141"/>
      <c r="W21" s="133"/>
      <c r="X21" s="133"/>
      <c r="Y21" s="177"/>
      <c r="Z21" s="133"/>
      <c r="AA21" s="125"/>
      <c r="AB21" s="125"/>
      <c r="AC21" s="125"/>
    </row>
    <row r="22" spans="1:29">
      <c r="A22" s="130">
        <v>10</v>
      </c>
      <c r="B22" s="125"/>
      <c r="C22" s="141"/>
      <c r="D22" s="149"/>
      <c r="E22" s="125"/>
      <c r="F22" s="141"/>
      <c r="G22" s="149"/>
      <c r="H22" s="125"/>
      <c r="I22" s="141"/>
      <c r="J22" s="153"/>
      <c r="K22" s="125"/>
      <c r="L22" s="141"/>
      <c r="M22" s="142"/>
      <c r="N22" s="142"/>
      <c r="O22" s="125"/>
      <c r="P22" s="141"/>
      <c r="Q22" s="142"/>
      <c r="R22" s="142"/>
      <c r="S22" s="212"/>
      <c r="T22" s="143"/>
      <c r="U22" s="125"/>
      <c r="V22" s="141"/>
      <c r="W22" s="142"/>
      <c r="X22" s="142"/>
      <c r="Y22" s="177"/>
      <c r="Z22" s="143"/>
      <c r="AA22" s="125"/>
      <c r="AB22" s="125"/>
      <c r="AC22" s="125"/>
    </row>
    <row r="23" spans="1:29">
      <c r="A23" s="130">
        <v>11</v>
      </c>
      <c r="B23" s="125"/>
      <c r="C23" s="141"/>
      <c r="D23" s="147"/>
      <c r="E23" s="125"/>
      <c r="F23" s="141"/>
      <c r="G23" s="147"/>
      <c r="H23" s="125"/>
      <c r="I23" s="141"/>
      <c r="J23" s="147"/>
      <c r="K23" s="125"/>
      <c r="L23" s="141"/>
      <c r="M23" s="133"/>
      <c r="N23" s="133"/>
      <c r="O23" s="125"/>
      <c r="P23" s="141"/>
      <c r="Q23" s="133"/>
      <c r="R23" s="133"/>
      <c r="S23" s="212"/>
      <c r="T23" s="133"/>
      <c r="U23" s="125"/>
      <c r="V23" s="141"/>
      <c r="W23" s="133"/>
      <c r="X23" s="133"/>
      <c r="Y23" s="177"/>
      <c r="Z23" s="133"/>
      <c r="AA23" s="125"/>
      <c r="AB23" s="125"/>
      <c r="AC23" s="125"/>
    </row>
    <row r="24" spans="1:29">
      <c r="A24" s="130">
        <v>12</v>
      </c>
      <c r="B24" s="125"/>
      <c r="C24" s="141"/>
      <c r="D24" s="149"/>
      <c r="E24" s="125"/>
      <c r="F24" s="141"/>
      <c r="G24" s="149"/>
      <c r="H24" s="125"/>
      <c r="I24" s="141"/>
      <c r="J24" s="153"/>
      <c r="K24" s="125"/>
      <c r="L24" s="141"/>
      <c r="M24" s="142"/>
      <c r="N24" s="142"/>
      <c r="O24" s="125"/>
      <c r="P24" s="141"/>
      <c r="Q24" s="142"/>
      <c r="R24" s="142"/>
      <c r="S24" s="212"/>
      <c r="T24" s="143"/>
      <c r="U24" s="125"/>
      <c r="V24" s="141"/>
      <c r="W24" s="142"/>
      <c r="X24" s="142"/>
      <c r="Y24" s="177"/>
      <c r="Z24" s="143"/>
      <c r="AA24" s="125"/>
      <c r="AB24" s="125"/>
      <c r="AC24" s="125"/>
    </row>
    <row r="25" spans="1:29">
      <c r="A25" s="130">
        <v>13</v>
      </c>
      <c r="B25" s="125"/>
      <c r="C25" s="141"/>
      <c r="D25" s="147"/>
      <c r="E25" s="125"/>
      <c r="F25" s="141"/>
      <c r="G25" s="147"/>
      <c r="H25" s="125"/>
      <c r="I25" s="141"/>
      <c r="J25" s="147"/>
      <c r="K25" s="125"/>
      <c r="L25" s="141"/>
      <c r="M25" s="133"/>
      <c r="N25" s="133"/>
      <c r="O25" s="125"/>
      <c r="P25" s="141"/>
      <c r="Q25" s="133"/>
      <c r="R25" s="133"/>
      <c r="S25" s="212"/>
      <c r="T25" s="133"/>
      <c r="U25" s="125"/>
      <c r="V25" s="141"/>
      <c r="W25" s="133"/>
      <c r="X25" s="133"/>
      <c r="Y25" s="177"/>
      <c r="Z25" s="133"/>
      <c r="AA25" s="125"/>
      <c r="AB25" s="125"/>
      <c r="AC25" s="125"/>
    </row>
    <row r="26" spans="1:29">
      <c r="A26" s="130">
        <v>14</v>
      </c>
      <c r="B26" s="125"/>
      <c r="C26" s="141"/>
      <c r="D26" s="149"/>
      <c r="E26" s="125"/>
      <c r="F26" s="141"/>
      <c r="G26" s="149"/>
      <c r="H26" s="125"/>
      <c r="I26" s="141"/>
      <c r="J26" s="153"/>
      <c r="K26" s="125"/>
      <c r="L26" s="141"/>
      <c r="M26" s="142"/>
      <c r="N26" s="142"/>
      <c r="O26" s="125"/>
      <c r="P26" s="141"/>
      <c r="Q26" s="142"/>
      <c r="R26" s="142"/>
      <c r="S26" s="124"/>
      <c r="T26" s="143"/>
      <c r="U26" s="125"/>
      <c r="V26" s="141"/>
      <c r="W26" s="142"/>
      <c r="X26" s="142"/>
      <c r="Y26" s="177"/>
      <c r="Z26" s="143"/>
      <c r="AA26" s="125"/>
      <c r="AB26" s="125"/>
      <c r="AC26" s="125"/>
    </row>
    <row r="27" spans="1:29">
      <c r="A27" s="130">
        <v>15</v>
      </c>
      <c r="B27" s="125"/>
      <c r="C27" s="141"/>
      <c r="D27" s="147"/>
      <c r="E27" s="125"/>
      <c r="F27" s="141"/>
      <c r="G27" s="147"/>
      <c r="H27" s="125"/>
      <c r="I27" s="141"/>
      <c r="J27" s="147"/>
      <c r="K27" s="125"/>
      <c r="L27" s="141"/>
      <c r="M27" s="133"/>
      <c r="N27" s="133"/>
      <c r="O27" s="125"/>
      <c r="P27" s="141"/>
      <c r="Q27" s="133"/>
      <c r="R27" s="133"/>
      <c r="S27" s="124"/>
      <c r="T27" s="133"/>
      <c r="U27" s="125"/>
      <c r="V27" s="141"/>
      <c r="W27" s="133"/>
      <c r="X27" s="133"/>
      <c r="Y27" s="177"/>
      <c r="Z27" s="133"/>
      <c r="AA27" s="125"/>
      <c r="AB27" s="125"/>
      <c r="AC27" s="125"/>
    </row>
    <row r="28" spans="1:29">
      <c r="A28" s="130">
        <v>16</v>
      </c>
      <c r="B28" s="125"/>
      <c r="C28" s="141"/>
      <c r="D28" s="149"/>
      <c r="E28" s="125"/>
      <c r="F28" s="141"/>
      <c r="G28" s="149"/>
      <c r="H28" s="125"/>
      <c r="I28" s="141"/>
      <c r="J28" s="153"/>
      <c r="K28" s="125"/>
      <c r="L28" s="141"/>
      <c r="M28" s="142"/>
      <c r="N28" s="142"/>
      <c r="O28" s="125"/>
      <c r="P28" s="141"/>
      <c r="Q28" s="142"/>
      <c r="R28" s="142"/>
      <c r="S28" s="124"/>
      <c r="T28" s="143"/>
      <c r="U28" s="125"/>
      <c r="V28" s="141"/>
      <c r="W28" s="142"/>
      <c r="X28" s="142"/>
      <c r="Y28" s="177"/>
      <c r="Z28" s="143"/>
      <c r="AA28" s="125"/>
      <c r="AB28" s="125"/>
      <c r="AC28" s="125"/>
    </row>
    <row r="29" spans="1:29">
      <c r="A29" s="130">
        <v>17</v>
      </c>
      <c r="B29" s="125"/>
      <c r="C29" s="141"/>
      <c r="D29" s="147"/>
      <c r="E29" s="125"/>
      <c r="F29" s="141"/>
      <c r="G29" s="147"/>
      <c r="H29" s="125"/>
      <c r="I29" s="141"/>
      <c r="J29" s="147"/>
      <c r="K29" s="125"/>
      <c r="L29" s="141"/>
      <c r="M29" s="133"/>
      <c r="N29" s="133"/>
      <c r="O29" s="125"/>
      <c r="P29" s="141"/>
      <c r="Q29" s="133"/>
      <c r="R29" s="133"/>
      <c r="S29" s="124"/>
      <c r="T29" s="133"/>
      <c r="U29" s="125"/>
      <c r="V29" s="141"/>
      <c r="W29" s="133"/>
      <c r="X29" s="133"/>
      <c r="Y29" s="177"/>
      <c r="Z29" s="133"/>
      <c r="AA29" s="125"/>
      <c r="AB29" s="125"/>
      <c r="AC29" s="125"/>
    </row>
    <row r="30" spans="1:29">
      <c r="A30" s="130">
        <v>18</v>
      </c>
      <c r="B30" s="125"/>
      <c r="C30" s="141"/>
      <c r="D30" s="149"/>
      <c r="E30" s="125"/>
      <c r="F30" s="141"/>
      <c r="G30" s="149"/>
      <c r="H30" s="125"/>
      <c r="I30" s="141"/>
      <c r="J30" s="153"/>
      <c r="K30" s="125"/>
      <c r="L30" s="141"/>
      <c r="M30" s="142"/>
      <c r="N30" s="142"/>
      <c r="O30" s="125"/>
      <c r="P30" s="141"/>
      <c r="Q30" s="142"/>
      <c r="R30" s="142"/>
      <c r="S30" s="124"/>
      <c r="T30" s="143"/>
      <c r="U30" s="125"/>
      <c r="V30" s="141"/>
      <c r="W30" s="142"/>
      <c r="X30" s="142"/>
      <c r="Y30" s="177"/>
      <c r="Z30" s="143"/>
      <c r="AA30" s="125"/>
      <c r="AB30" s="125"/>
      <c r="AC30" s="125"/>
    </row>
    <row r="31" spans="1:29">
      <c r="A31" s="130">
        <v>19</v>
      </c>
      <c r="B31" s="125"/>
      <c r="C31" s="141"/>
      <c r="D31" s="147"/>
      <c r="E31" s="125"/>
      <c r="F31" s="141"/>
      <c r="G31" s="147"/>
      <c r="H31" s="125"/>
      <c r="I31" s="141"/>
      <c r="J31" s="147"/>
      <c r="K31" s="125"/>
      <c r="L31" s="141"/>
      <c r="M31" s="133"/>
      <c r="N31" s="133"/>
      <c r="O31" s="125"/>
      <c r="P31" s="141"/>
      <c r="Q31" s="133"/>
      <c r="R31" s="133"/>
      <c r="S31" s="124"/>
      <c r="T31" s="133"/>
      <c r="U31" s="125"/>
      <c r="V31" s="141"/>
      <c r="W31" s="133"/>
      <c r="X31" s="133"/>
      <c r="Y31" s="177"/>
      <c r="Z31" s="133"/>
      <c r="AA31" s="125"/>
      <c r="AB31" s="125"/>
      <c r="AC31" s="125"/>
    </row>
    <row r="32" spans="1:29">
      <c r="A32" s="130">
        <v>20</v>
      </c>
      <c r="B32" s="125"/>
      <c r="C32" s="141"/>
      <c r="D32" s="149"/>
      <c r="E32" s="125"/>
      <c r="F32" s="141"/>
      <c r="G32" s="149"/>
      <c r="H32" s="125"/>
      <c r="I32" s="141"/>
      <c r="J32" s="153"/>
      <c r="K32" s="125"/>
      <c r="L32" s="141"/>
      <c r="M32" s="142"/>
      <c r="N32" s="142"/>
      <c r="O32" s="125"/>
      <c r="P32" s="141"/>
      <c r="Q32" s="142"/>
      <c r="R32" s="142"/>
      <c r="S32" s="124"/>
      <c r="T32" s="143"/>
      <c r="U32" s="125"/>
      <c r="V32" s="141"/>
      <c r="W32" s="142"/>
      <c r="X32" s="142"/>
      <c r="Y32" s="177"/>
      <c r="Z32" s="143"/>
      <c r="AA32" s="125"/>
      <c r="AB32" s="125"/>
      <c r="AC32" s="125"/>
    </row>
    <row r="33" spans="1:29">
      <c r="A33" s="130">
        <v>21</v>
      </c>
      <c r="B33" s="125"/>
      <c r="C33" s="141"/>
      <c r="D33" s="147"/>
      <c r="E33" s="125"/>
      <c r="F33" s="141"/>
      <c r="G33" s="147"/>
      <c r="H33" s="125"/>
      <c r="I33" s="141"/>
      <c r="J33" s="147"/>
      <c r="K33" s="125"/>
      <c r="L33" s="141"/>
      <c r="M33" s="133"/>
      <c r="N33" s="133"/>
      <c r="O33" s="125"/>
      <c r="P33" s="141"/>
      <c r="Q33" s="133"/>
      <c r="R33" s="133"/>
      <c r="S33" s="124"/>
      <c r="T33" s="133"/>
      <c r="U33" s="125"/>
      <c r="V33" s="141"/>
      <c r="W33" s="133"/>
      <c r="X33" s="133"/>
      <c r="Y33" s="177"/>
      <c r="Z33" s="133"/>
      <c r="AA33" s="125"/>
      <c r="AB33" s="125"/>
      <c r="AC33" s="125"/>
    </row>
    <row r="34" spans="1:29">
      <c r="A34" s="130">
        <v>22</v>
      </c>
      <c r="B34" s="125"/>
      <c r="C34" s="141"/>
      <c r="D34" s="149"/>
      <c r="E34" s="125"/>
      <c r="F34" s="141"/>
      <c r="G34" s="149"/>
      <c r="H34" s="125"/>
      <c r="I34" s="141"/>
      <c r="J34" s="153"/>
      <c r="K34" s="125"/>
      <c r="L34" s="141"/>
      <c r="M34" s="142"/>
      <c r="N34" s="142"/>
      <c r="O34" s="125"/>
      <c r="P34" s="141"/>
      <c r="Q34" s="142"/>
      <c r="R34" s="142"/>
      <c r="S34" s="124"/>
      <c r="T34" s="143"/>
      <c r="U34" s="125"/>
      <c r="V34" s="141"/>
      <c r="W34" s="142"/>
      <c r="X34" s="142"/>
      <c r="Y34" s="177"/>
      <c r="Z34" s="143"/>
      <c r="AA34" s="125"/>
      <c r="AB34" s="125"/>
      <c r="AC34" s="125"/>
    </row>
    <row r="35" spans="1:29">
      <c r="A35" s="130">
        <v>23</v>
      </c>
      <c r="B35" s="125"/>
      <c r="C35" s="141"/>
      <c r="D35" s="147"/>
      <c r="E35" s="125"/>
      <c r="F35" s="141"/>
      <c r="G35" s="147"/>
      <c r="H35" s="125"/>
      <c r="I35" s="141"/>
      <c r="J35" s="147"/>
      <c r="K35" s="125"/>
      <c r="L35" s="141"/>
      <c r="M35" s="133"/>
      <c r="N35" s="133"/>
      <c r="O35" s="125"/>
      <c r="P35" s="141"/>
      <c r="Q35" s="133"/>
      <c r="R35" s="133"/>
      <c r="S35" s="124"/>
      <c r="T35" s="133"/>
      <c r="U35" s="125"/>
      <c r="V35" s="141"/>
      <c r="W35" s="133"/>
      <c r="X35" s="133"/>
      <c r="Y35" s="177"/>
      <c r="Z35" s="133"/>
      <c r="AA35" s="125"/>
      <c r="AB35" s="125"/>
      <c r="AC35" s="125"/>
    </row>
    <row r="36" spans="1:29">
      <c r="A36" s="130">
        <v>24</v>
      </c>
      <c r="B36" s="125"/>
      <c r="C36" s="141"/>
      <c r="D36" s="149"/>
      <c r="E36" s="125"/>
      <c r="F36" s="141"/>
      <c r="G36" s="149"/>
      <c r="H36" s="125"/>
      <c r="I36" s="141"/>
      <c r="J36" s="153"/>
      <c r="K36" s="125"/>
      <c r="L36" s="141"/>
      <c r="M36" s="142"/>
      <c r="N36" s="142"/>
      <c r="O36" s="125"/>
      <c r="P36" s="141"/>
      <c r="Q36" s="142"/>
      <c r="R36" s="142"/>
      <c r="S36" s="124"/>
      <c r="T36" s="143"/>
      <c r="U36" s="125"/>
      <c r="V36" s="141"/>
      <c r="W36" s="142"/>
      <c r="X36" s="142"/>
      <c r="Y36" s="177"/>
      <c r="Z36" s="143"/>
      <c r="AA36" s="125"/>
      <c r="AB36" s="125"/>
      <c r="AC36" s="125"/>
    </row>
    <row r="37" spans="1:29">
      <c r="A37" s="130">
        <v>25</v>
      </c>
      <c r="B37" s="125"/>
      <c r="C37" s="141"/>
      <c r="D37" s="147"/>
      <c r="E37" s="125"/>
      <c r="F37" s="141"/>
      <c r="G37" s="147"/>
      <c r="H37" s="125"/>
      <c r="I37" s="141"/>
      <c r="J37" s="147"/>
      <c r="K37" s="125"/>
      <c r="L37" s="141"/>
      <c r="M37" s="133"/>
      <c r="N37" s="133"/>
      <c r="O37" s="125"/>
      <c r="P37" s="141"/>
      <c r="Q37" s="133"/>
      <c r="R37" s="133"/>
      <c r="S37" s="124"/>
      <c r="T37" s="133"/>
      <c r="U37" s="125"/>
      <c r="V37" s="141"/>
      <c r="W37" s="133"/>
      <c r="X37" s="133"/>
      <c r="Y37" s="177"/>
      <c r="Z37" s="133"/>
      <c r="AA37" s="125"/>
      <c r="AB37" s="125"/>
      <c r="AC37" s="125"/>
    </row>
    <row r="38" spans="1:29">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row>
    <row r="39" spans="1:29">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row>
    <row r="40" spans="1:29">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row>
    <row r="41" spans="1:29">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row>
    <row r="42" spans="1:29">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row>
    <row r="43" spans="1:29">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row>
    <row r="44" spans="1:29">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row>
    <row r="45" spans="1:29">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row>
    <row r="46" spans="1:29">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row>
    <row r="47" spans="1:29">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row>
    <row r="48" spans="1:29">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row>
    <row r="49" spans="1:29">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row>
    <row r="50" spans="1:29">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row>
    <row r="51" spans="1:29">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row>
    <row r="52" spans="1:29">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row>
    <row r="53" spans="1:29">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row>
    <row r="54" spans="1:29">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row>
    <row r="55" spans="1:29">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row>
    <row r="56" spans="1:29">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row>
    <row r="57" spans="1:29">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row>
  </sheetData>
  <sheetProtection selectLockedCells="1"/>
  <mergeCells count="30">
    <mergeCell ref="V7:Z7"/>
    <mergeCell ref="V11:Z11"/>
    <mergeCell ref="V4:Z4"/>
    <mergeCell ref="V5:Z5"/>
    <mergeCell ref="W6:X6"/>
    <mergeCell ref="Q6:R6"/>
    <mergeCell ref="C6:D6"/>
    <mergeCell ref="I5:J5"/>
    <mergeCell ref="L6:N6"/>
    <mergeCell ref="L5:N5"/>
    <mergeCell ref="I6:J6"/>
    <mergeCell ref="F6:G6"/>
    <mergeCell ref="L4:N4"/>
    <mergeCell ref="I4:J4"/>
    <mergeCell ref="C4:D4"/>
    <mergeCell ref="P4:T4"/>
    <mergeCell ref="C5:D5"/>
    <mergeCell ref="P5:T5"/>
    <mergeCell ref="F4:G4"/>
    <mergeCell ref="F5:G5"/>
    <mergeCell ref="C11:D11"/>
    <mergeCell ref="L11:N11"/>
    <mergeCell ref="C7:D7"/>
    <mergeCell ref="S11:T11"/>
    <mergeCell ref="P11:R11"/>
    <mergeCell ref="I11:J11"/>
    <mergeCell ref="L7:N7"/>
    <mergeCell ref="P7:T7"/>
    <mergeCell ref="F11:G11"/>
    <mergeCell ref="F7:G7"/>
  </mergeCells>
  <hyperlinks>
    <hyperlink ref="A1" location="IGAP!A1" display="IGAP!A1"/>
  </hyperlinks>
  <printOptions horizontalCentered="1" verticalCentered="1"/>
  <pageMargins left="0.39370078740157483" right="0.39370078740157483" top="0.39370078740157483" bottom="0.39370078740157483" header="0.31496062992125984" footer="0.31496062992125984"/>
  <pageSetup paperSize="9" scale="61" orientation="landscape"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BY57"/>
  <sheetViews>
    <sheetView topLeftCell="A34" zoomScale="90" zoomScaleNormal="90" workbookViewId="0"/>
  </sheetViews>
  <sheetFormatPr baseColWidth="10" defaultRowHeight="15.75"/>
  <cols>
    <col min="1" max="1" width="13.28515625" style="159" bestFit="1" customWidth="1"/>
    <col min="2" max="2" width="1.7109375" style="127" customWidth="1"/>
    <col min="3" max="3" width="10.140625" style="159" customWidth="1"/>
    <col min="4" max="4" width="10.85546875" style="159" customWidth="1"/>
    <col min="5" max="7" width="13.85546875" style="159" customWidth="1"/>
    <col min="8" max="8" width="1.7109375" style="127" customWidth="1"/>
    <col min="9" max="9" width="9" style="159" bestFit="1" customWidth="1"/>
    <col min="10" max="10" width="6.5703125" style="159" bestFit="1" customWidth="1"/>
    <col min="11" max="11" width="6.7109375" style="159" customWidth="1"/>
    <col min="12" max="12" width="11.5703125" style="159" bestFit="1" customWidth="1"/>
    <col min="13" max="13" width="15.5703125" style="159" bestFit="1" customWidth="1"/>
    <col min="14" max="14" width="6.42578125" style="159" bestFit="1" customWidth="1"/>
    <col min="15" max="15" width="10.42578125" style="159" bestFit="1" customWidth="1"/>
    <col min="16" max="16" width="1.7109375" style="127" customWidth="1"/>
    <col min="17" max="17" width="9" style="159" bestFit="1" customWidth="1"/>
    <col min="18" max="18" width="7.85546875" style="159" customWidth="1"/>
    <col min="19" max="19" width="7.5703125" style="159" customWidth="1"/>
    <col min="20" max="20" width="11.5703125" style="159" bestFit="1" customWidth="1"/>
    <col min="21" max="21" width="15.5703125" style="159" bestFit="1" customWidth="1"/>
    <col min="22" max="22" width="6.42578125" style="159" bestFit="1" customWidth="1"/>
    <col min="23" max="23" width="10.42578125" style="159" bestFit="1" customWidth="1"/>
    <col min="24" max="24" width="1.7109375" style="127" customWidth="1"/>
    <col min="25" max="25" width="11.5703125" style="159" bestFit="1" customWidth="1"/>
    <col min="26" max="26" width="7.140625" style="159" bestFit="1" customWidth="1"/>
    <col min="27" max="27" width="11.5703125" style="159" bestFit="1" customWidth="1"/>
    <col min="28" max="28" width="7.5703125" style="159" bestFit="1" customWidth="1"/>
    <col min="29" max="29" width="7" style="159" bestFit="1" customWidth="1"/>
    <col min="30" max="30" width="9.7109375" style="159" bestFit="1" customWidth="1"/>
    <col min="31" max="31" width="1.7109375" style="127" customWidth="1"/>
    <col min="32" max="32" width="11.5703125" style="159" bestFit="1" customWidth="1"/>
    <col min="33" max="34" width="7.140625" style="159" bestFit="1" customWidth="1"/>
    <col min="35" max="35" width="6.42578125" style="159" bestFit="1" customWidth="1"/>
    <col min="36" max="36" width="10.42578125" style="159" bestFit="1" customWidth="1"/>
    <col min="37" max="37" width="1.7109375" style="127" customWidth="1"/>
    <col min="38" max="38" width="11.5703125" style="159" bestFit="1" customWidth="1"/>
    <col min="39" max="40" width="7.140625" style="159" bestFit="1" customWidth="1"/>
    <col min="41" max="41" width="6.42578125" style="159" bestFit="1" customWidth="1"/>
    <col min="42" max="42" width="12.28515625" style="159" bestFit="1" customWidth="1"/>
    <col min="43" max="43" width="1.7109375" style="127" customWidth="1"/>
    <col min="44" max="44" width="24.5703125" style="159" bestFit="1" customWidth="1"/>
    <col min="45" max="16384" width="11.42578125" style="159"/>
  </cols>
  <sheetData>
    <row r="1" spans="1:77" s="127" customForma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332"/>
      <c r="AS1" s="125"/>
      <c r="BB1" s="159"/>
      <c r="BC1" s="159"/>
      <c r="BD1" s="159"/>
      <c r="BE1" s="159"/>
      <c r="BF1" s="159"/>
      <c r="BG1" s="159"/>
      <c r="BH1" s="159"/>
      <c r="BI1" s="159"/>
      <c r="BJ1" s="159"/>
      <c r="BK1" s="159"/>
      <c r="BL1" s="159"/>
      <c r="BM1" s="159"/>
      <c r="BN1" s="159"/>
      <c r="BO1" s="159"/>
      <c r="BP1" s="159"/>
      <c r="BQ1" s="159"/>
      <c r="BR1" s="159"/>
      <c r="BS1" s="151"/>
      <c r="BT1" s="151"/>
      <c r="BU1" s="151"/>
      <c r="BV1" s="151"/>
      <c r="BW1" s="151"/>
      <c r="BX1" s="151"/>
      <c r="BY1" s="151"/>
    </row>
    <row r="2" spans="1:77" s="127" customFormat="1" ht="21">
      <c r="A2" s="13" t="s">
        <v>444</v>
      </c>
      <c r="B2" s="125"/>
      <c r="C2" s="241" t="s">
        <v>548</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125"/>
      <c r="AR2" s="332"/>
      <c r="AS2" s="125"/>
      <c r="BB2" s="159"/>
      <c r="BC2" s="159"/>
      <c r="BD2" s="159"/>
      <c r="BE2" s="159"/>
      <c r="BF2" s="159"/>
      <c r="BG2" s="159"/>
      <c r="BH2" s="159"/>
      <c r="BI2" s="159"/>
      <c r="BJ2" s="159"/>
      <c r="BK2" s="159"/>
      <c r="BL2" s="159"/>
      <c r="BM2" s="159"/>
      <c r="BN2" s="159"/>
      <c r="BO2" s="159"/>
      <c r="BP2" s="159"/>
      <c r="BQ2" s="159"/>
      <c r="BR2" s="159"/>
      <c r="BS2" s="151"/>
      <c r="BT2" s="151"/>
      <c r="BU2" s="151"/>
      <c r="BV2" s="151"/>
      <c r="BW2" s="151"/>
      <c r="BX2" s="151"/>
      <c r="BY2" s="151"/>
    </row>
    <row r="3" spans="1:77" s="127" customFormat="1" ht="16.5" customHeight="1"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332"/>
      <c r="AS3" s="125"/>
      <c r="BB3" s="159"/>
      <c r="BC3" s="159"/>
      <c r="BD3" s="159"/>
      <c r="BE3" s="159"/>
      <c r="BF3" s="159"/>
      <c r="BG3" s="159"/>
      <c r="BH3" s="159"/>
      <c r="BI3" s="159"/>
      <c r="BJ3" s="159"/>
      <c r="BK3" s="159"/>
      <c r="BL3" s="159"/>
      <c r="BM3" s="159"/>
      <c r="BN3" s="159"/>
      <c r="BO3" s="159"/>
      <c r="BP3" s="159"/>
      <c r="BQ3" s="159"/>
      <c r="BR3" s="159"/>
      <c r="BS3" s="151"/>
      <c r="BT3" s="151"/>
      <c r="BU3" s="151"/>
      <c r="BV3" s="151"/>
      <c r="BW3" s="151"/>
      <c r="BX3" s="151"/>
      <c r="BY3" s="151"/>
    </row>
    <row r="4" spans="1:77" ht="16.5" customHeight="1" thickBot="1">
      <c r="A4" s="35" t="s">
        <v>446</v>
      </c>
      <c r="B4" s="125"/>
      <c r="C4" s="1645" t="s">
        <v>541</v>
      </c>
      <c r="D4" s="1646"/>
      <c r="E4" s="1647"/>
      <c r="F4" s="1645" t="s">
        <v>439</v>
      </c>
      <c r="G4" s="1646"/>
      <c r="H4" s="125"/>
      <c r="I4" s="1645" t="s">
        <v>541</v>
      </c>
      <c r="J4" s="1646"/>
      <c r="K4" s="1646"/>
      <c r="L4" s="1646"/>
      <c r="M4" s="1646"/>
      <c r="N4" s="1646"/>
      <c r="O4" s="1647"/>
      <c r="P4" s="125"/>
      <c r="Q4" s="1648" t="s">
        <v>541</v>
      </c>
      <c r="R4" s="1649"/>
      <c r="S4" s="1649"/>
      <c r="T4" s="1649"/>
      <c r="U4" s="1649"/>
      <c r="V4" s="1649"/>
      <c r="W4" s="1650"/>
      <c r="X4" s="125"/>
      <c r="Y4" s="1654" t="s">
        <v>541</v>
      </c>
      <c r="Z4" s="1654"/>
      <c r="AA4" s="1654"/>
      <c r="AB4" s="1654"/>
      <c r="AC4" s="1654"/>
      <c r="AD4" s="1654"/>
      <c r="AE4" s="125"/>
      <c r="AF4" s="1645" t="s">
        <v>541</v>
      </c>
      <c r="AG4" s="1646"/>
      <c r="AH4" s="1646"/>
      <c r="AI4" s="1646"/>
      <c r="AJ4" s="1647"/>
      <c r="AK4" s="125"/>
      <c r="AL4" s="1645" t="s">
        <v>541</v>
      </c>
      <c r="AM4" s="1646"/>
      <c r="AN4" s="1646"/>
      <c r="AO4" s="1646"/>
      <c r="AP4" s="1647"/>
      <c r="AQ4" s="125"/>
      <c r="AR4" s="332"/>
      <c r="AS4" s="166"/>
    </row>
    <row r="5" spans="1:77" ht="16.5" customHeight="1" thickBot="1">
      <c r="A5" s="135" t="s">
        <v>445</v>
      </c>
      <c r="B5" s="125"/>
      <c r="C5" s="1645" t="s">
        <v>513</v>
      </c>
      <c r="D5" s="1646"/>
      <c r="E5" s="1646"/>
      <c r="F5" s="1646"/>
      <c r="G5" s="1647"/>
      <c r="H5" s="125"/>
      <c r="I5" s="1645" t="s">
        <v>512</v>
      </c>
      <c r="J5" s="1646"/>
      <c r="K5" s="1646"/>
      <c r="L5" s="1646"/>
      <c r="M5" s="1646"/>
      <c r="N5" s="1646"/>
      <c r="O5" s="1647"/>
      <c r="P5" s="125"/>
      <c r="Q5" s="1648" t="s">
        <v>511</v>
      </c>
      <c r="R5" s="1649"/>
      <c r="S5" s="1649"/>
      <c r="T5" s="1649"/>
      <c r="U5" s="1649"/>
      <c r="V5" s="1649"/>
      <c r="W5" s="1650"/>
      <c r="X5" s="125"/>
      <c r="Y5" s="1663" t="s">
        <v>777</v>
      </c>
      <c r="Z5" s="1654"/>
      <c r="AA5" s="1654"/>
      <c r="AB5" s="1654"/>
      <c r="AC5" s="1654"/>
      <c r="AD5" s="1654"/>
      <c r="AE5" s="125"/>
      <c r="AF5" s="1648" t="s">
        <v>620</v>
      </c>
      <c r="AG5" s="1649"/>
      <c r="AH5" s="1649"/>
      <c r="AI5" s="1649"/>
      <c r="AJ5" s="1650"/>
      <c r="AK5" s="125"/>
      <c r="AL5" s="1648" t="s">
        <v>510</v>
      </c>
      <c r="AM5" s="1649"/>
      <c r="AN5" s="1649"/>
      <c r="AO5" s="1649"/>
      <c r="AP5" s="1650"/>
      <c r="AQ5" s="125"/>
      <c r="AR5" s="332"/>
      <c r="AS5" s="166"/>
    </row>
    <row r="6" spans="1:77" ht="16.5" customHeight="1" thickBot="1">
      <c r="A6" s="125"/>
      <c r="B6" s="125"/>
      <c r="C6" s="125"/>
      <c r="D6" s="1661" t="s">
        <v>436</v>
      </c>
      <c r="E6" s="1655"/>
      <c r="F6" s="1655"/>
      <c r="G6" s="1662"/>
      <c r="H6" s="125"/>
      <c r="I6" s="125"/>
      <c r="J6" s="1664" t="s">
        <v>468</v>
      </c>
      <c r="K6" s="1653"/>
      <c r="L6" s="125"/>
      <c r="M6" s="333" t="s">
        <v>649</v>
      </c>
      <c r="N6" s="329"/>
      <c r="O6" s="253" t="s">
        <v>774</v>
      </c>
      <c r="P6" s="125"/>
      <c r="Q6" s="125"/>
      <c r="R6" s="1664" t="s">
        <v>468</v>
      </c>
      <c r="S6" s="1653"/>
      <c r="T6" s="125"/>
      <c r="U6" s="333" t="s">
        <v>649</v>
      </c>
      <c r="V6" s="329"/>
      <c r="W6" s="253" t="s">
        <v>774</v>
      </c>
      <c r="X6" s="125"/>
      <c r="Y6" s="125"/>
      <c r="Z6" s="245" t="s">
        <v>435</v>
      </c>
      <c r="AA6" s="125"/>
      <c r="AB6" s="1665" t="s">
        <v>778</v>
      </c>
      <c r="AC6" s="1662"/>
      <c r="AD6" s="248" t="s">
        <v>774</v>
      </c>
      <c r="AE6" s="125"/>
      <c r="AF6" s="125"/>
      <c r="AG6" s="1661" t="s">
        <v>436</v>
      </c>
      <c r="AH6" s="1662"/>
      <c r="AI6" s="125"/>
      <c r="AJ6" s="250" t="s">
        <v>774</v>
      </c>
      <c r="AK6" s="125"/>
      <c r="AL6" s="125"/>
      <c r="AM6" s="1661" t="s">
        <v>436</v>
      </c>
      <c r="AN6" s="1662"/>
      <c r="AO6" s="125"/>
      <c r="AP6" s="250" t="s">
        <v>774</v>
      </c>
      <c r="AQ6" s="125"/>
      <c r="AR6" s="332"/>
      <c r="AS6" s="166"/>
    </row>
    <row r="7" spans="1:77" s="170" customFormat="1" ht="16.5" customHeight="1" thickBot="1">
      <c r="A7" s="125"/>
      <c r="B7" s="125"/>
      <c r="C7" s="1666" t="s">
        <v>846</v>
      </c>
      <c r="D7" s="1666"/>
      <c r="E7" s="1666"/>
      <c r="F7" s="1666"/>
      <c r="G7" s="1666"/>
      <c r="H7" s="125"/>
      <c r="I7" s="1657" t="s">
        <v>222</v>
      </c>
      <c r="J7" s="1658"/>
      <c r="K7" s="1658"/>
      <c r="L7" s="1658"/>
      <c r="M7" s="1658"/>
      <c r="N7" s="1658"/>
      <c r="O7" s="1658"/>
      <c r="P7" s="125"/>
      <c r="Q7" s="1657" t="s">
        <v>220</v>
      </c>
      <c r="R7" s="1658"/>
      <c r="S7" s="1658"/>
      <c r="T7" s="1658"/>
      <c r="U7" s="1658"/>
      <c r="V7" s="1658"/>
      <c r="W7" s="1658"/>
      <c r="X7" s="125"/>
      <c r="Y7" s="1657" t="s">
        <v>842</v>
      </c>
      <c r="Z7" s="1658"/>
      <c r="AA7" s="1658"/>
      <c r="AB7" s="1658"/>
      <c r="AC7" s="1658"/>
      <c r="AD7" s="1658"/>
      <c r="AE7" s="125"/>
      <c r="AF7" s="1657" t="s">
        <v>844</v>
      </c>
      <c r="AG7" s="1658"/>
      <c r="AH7" s="1658"/>
      <c r="AI7" s="1658"/>
      <c r="AJ7" s="1658"/>
      <c r="AK7" s="125"/>
      <c r="AL7" s="1657" t="s">
        <v>845</v>
      </c>
      <c r="AM7" s="1658"/>
      <c r="AN7" s="1658"/>
      <c r="AO7" s="1658"/>
      <c r="AP7" s="1658"/>
      <c r="AQ7" s="125"/>
      <c r="AR7" s="167"/>
      <c r="AS7" s="167"/>
    </row>
    <row r="8" spans="1:77" s="170" customFormat="1" ht="16.5" customHeight="1" thickBot="1">
      <c r="A8" s="146" t="s">
        <v>645</v>
      </c>
      <c r="B8" s="125"/>
      <c r="C8" s="146" t="s">
        <v>636</v>
      </c>
      <c r="D8" s="146" t="s">
        <v>426</v>
      </c>
      <c r="E8" s="146" t="s">
        <v>427</v>
      </c>
      <c r="F8" s="146" t="s">
        <v>426</v>
      </c>
      <c r="G8" s="146" t="s">
        <v>427</v>
      </c>
      <c r="H8" s="125"/>
      <c r="I8" s="146" t="s">
        <v>636</v>
      </c>
      <c r="J8" s="146" t="s">
        <v>426</v>
      </c>
      <c r="K8" s="146" t="s">
        <v>427</v>
      </c>
      <c r="L8" s="146" t="s">
        <v>636</v>
      </c>
      <c r="M8" s="146" t="s">
        <v>430</v>
      </c>
      <c r="N8" s="154" t="s">
        <v>638</v>
      </c>
      <c r="O8" s="154" t="s">
        <v>637</v>
      </c>
      <c r="P8" s="125"/>
      <c r="Q8" s="146" t="s">
        <v>636</v>
      </c>
      <c r="R8" s="146" t="s">
        <v>426</v>
      </c>
      <c r="S8" s="146" t="s">
        <v>427</v>
      </c>
      <c r="T8" s="146" t="s">
        <v>636</v>
      </c>
      <c r="U8" s="146" t="s">
        <v>430</v>
      </c>
      <c r="V8" s="154" t="s">
        <v>638</v>
      </c>
      <c r="W8" s="154" t="s">
        <v>637</v>
      </c>
      <c r="X8" s="155"/>
      <c r="Y8" s="146" t="s">
        <v>636</v>
      </c>
      <c r="Z8" s="146" t="s">
        <v>426</v>
      </c>
      <c r="AA8" s="146" t="s">
        <v>636</v>
      </c>
      <c r="AB8" s="146" t="s">
        <v>426</v>
      </c>
      <c r="AC8" s="154" t="s">
        <v>427</v>
      </c>
      <c r="AD8" s="146" t="s">
        <v>437</v>
      </c>
      <c r="AE8" s="125"/>
      <c r="AF8" s="146" t="s">
        <v>636</v>
      </c>
      <c r="AG8" s="146" t="s">
        <v>426</v>
      </c>
      <c r="AH8" s="146" t="s">
        <v>427</v>
      </c>
      <c r="AI8" s="154" t="s">
        <v>638</v>
      </c>
      <c r="AJ8" s="154" t="s">
        <v>637</v>
      </c>
      <c r="AK8" s="125"/>
      <c r="AL8" s="146" t="s">
        <v>636</v>
      </c>
      <c r="AM8" s="146" t="s">
        <v>426</v>
      </c>
      <c r="AN8" s="146" t="s">
        <v>427</v>
      </c>
      <c r="AO8" s="154" t="s">
        <v>638</v>
      </c>
      <c r="AP8" s="154" t="s">
        <v>637</v>
      </c>
      <c r="AQ8" s="125"/>
      <c r="AR8" s="167"/>
      <c r="AS8" s="167"/>
    </row>
    <row r="9" spans="1:77" s="160" customFormat="1" ht="16.5" customHeight="1">
      <c r="A9" s="216" t="s">
        <v>644</v>
      </c>
      <c r="B9" s="330"/>
      <c r="C9" s="330"/>
      <c r="D9" s="218">
        <v>1</v>
      </c>
      <c r="E9" s="218">
        <v>1</v>
      </c>
      <c r="F9" s="218">
        <v>1</v>
      </c>
      <c r="G9" s="218">
        <v>1</v>
      </c>
      <c r="H9" s="330"/>
      <c r="I9" s="330"/>
      <c r="J9" s="218">
        <v>1</v>
      </c>
      <c r="K9" s="218">
        <v>1</v>
      </c>
      <c r="L9" s="330"/>
      <c r="M9" s="218">
        <v>1</v>
      </c>
      <c r="N9" s="237"/>
      <c r="O9" s="218">
        <v>1</v>
      </c>
      <c r="P9" s="330"/>
      <c r="Q9" s="330"/>
      <c r="R9" s="218">
        <v>1</v>
      </c>
      <c r="S9" s="218">
        <v>1</v>
      </c>
      <c r="T9" s="330"/>
      <c r="U9" s="218">
        <v>1</v>
      </c>
      <c r="V9" s="237"/>
      <c r="W9" s="218">
        <v>1</v>
      </c>
      <c r="X9" s="330"/>
      <c r="Y9" s="330"/>
      <c r="Z9" s="218">
        <v>1</v>
      </c>
      <c r="AA9" s="330"/>
      <c r="AB9" s="218">
        <v>1</v>
      </c>
      <c r="AC9" s="218">
        <v>1</v>
      </c>
      <c r="AD9" s="218">
        <v>0</v>
      </c>
      <c r="AE9" s="330"/>
      <c r="AF9" s="330"/>
      <c r="AG9" s="218">
        <v>1</v>
      </c>
      <c r="AH9" s="218">
        <v>1</v>
      </c>
      <c r="AI9" s="237"/>
      <c r="AJ9" s="218">
        <v>1</v>
      </c>
      <c r="AK9" s="330"/>
      <c r="AL9" s="330"/>
      <c r="AM9" s="218">
        <v>1</v>
      </c>
      <c r="AN9" s="218">
        <v>1</v>
      </c>
      <c r="AO9" s="237"/>
      <c r="AP9" s="218">
        <v>1</v>
      </c>
      <c r="AQ9" s="330"/>
      <c r="AR9" s="168"/>
      <c r="AS9" s="168"/>
    </row>
    <row r="10" spans="1:77" s="226" customFormat="1" ht="16.5" customHeight="1">
      <c r="A10" s="220" t="s">
        <v>642</v>
      </c>
      <c r="B10" s="221"/>
      <c r="C10" s="221"/>
      <c r="D10" s="222">
        <f>COUNT(D13:D37)</f>
        <v>5</v>
      </c>
      <c r="E10" s="222">
        <f>COUNT(E13:E37)</f>
        <v>5</v>
      </c>
      <c r="F10" s="222">
        <f>COUNT(FROND_NERVURE_Geom!F13:F37)</f>
        <v>5</v>
      </c>
      <c r="G10" s="222">
        <f>COUNT(FROND_NERVURE_Geom!G13:G37)</f>
        <v>5</v>
      </c>
      <c r="H10" s="221"/>
      <c r="I10" s="221"/>
      <c r="J10" s="222">
        <f>COUNT(J13:J37)</f>
        <v>4</v>
      </c>
      <c r="K10" s="222">
        <f>COUNT(K13:K37)</f>
        <v>4</v>
      </c>
      <c r="L10" s="221"/>
      <c r="M10" s="222">
        <f>COUNT(M13:M37)</f>
        <v>11</v>
      </c>
      <c r="N10" s="222"/>
      <c r="O10" s="222">
        <f>COUNT(O13:O37)</f>
        <v>3</v>
      </c>
      <c r="P10" s="221"/>
      <c r="Q10" s="221"/>
      <c r="R10" s="222">
        <f>COUNT(R13:R37)</f>
        <v>4</v>
      </c>
      <c r="S10" s="222">
        <f>COUNT(S13:S37)</f>
        <v>4</v>
      </c>
      <c r="T10" s="221"/>
      <c r="U10" s="222">
        <f ca="1">COUNT(U13:U37)</f>
        <v>11</v>
      </c>
      <c r="V10" s="222"/>
      <c r="W10" s="222">
        <f>COUNT(W13:W37)</f>
        <v>3</v>
      </c>
      <c r="X10" s="221"/>
      <c r="Y10" s="221"/>
      <c r="Z10" s="222">
        <f>COUNT(Z13:Z37)</f>
        <v>5</v>
      </c>
      <c r="AA10" s="221"/>
      <c r="AB10" s="222">
        <f>COUNT(AB13:AB37)</f>
        <v>5</v>
      </c>
      <c r="AC10" s="222">
        <f>COUNT(AC13:AC37)</f>
        <v>5</v>
      </c>
      <c r="AD10" s="222">
        <f>COUNT(AD13:AD37)</f>
        <v>1</v>
      </c>
      <c r="AE10" s="221"/>
      <c r="AF10" s="221"/>
      <c r="AG10" s="222">
        <f>COUNT(AG13:AG37)</f>
        <v>5</v>
      </c>
      <c r="AH10" s="222">
        <f>COUNT(AH13:AH37)</f>
        <v>5</v>
      </c>
      <c r="AI10" s="222"/>
      <c r="AJ10" s="222">
        <f>COUNT(AJ13:AJ37)</f>
        <v>3</v>
      </c>
      <c r="AK10" s="221"/>
      <c r="AL10" s="221"/>
      <c r="AM10" s="222">
        <f>COUNT(AM13:AM37)</f>
        <v>5</v>
      </c>
      <c r="AN10" s="222">
        <f>COUNT(AN13:AN37)</f>
        <v>5</v>
      </c>
      <c r="AO10" s="222"/>
      <c r="AP10" s="222">
        <f>COUNT(AP13:AP37)</f>
        <v>3</v>
      </c>
      <c r="AQ10" s="221"/>
      <c r="AR10" s="225"/>
      <c r="AS10" s="225"/>
    </row>
    <row r="11" spans="1:77" s="226" customFormat="1" ht="16.5" customHeight="1">
      <c r="A11" s="328" t="s">
        <v>643</v>
      </c>
      <c r="B11" s="221"/>
      <c r="C11" s="1640" t="s">
        <v>882</v>
      </c>
      <c r="D11" s="1640"/>
      <c r="E11" s="1640"/>
      <c r="F11" s="1640" t="s">
        <v>886</v>
      </c>
      <c r="G11" s="1640"/>
      <c r="H11" s="221"/>
      <c r="I11" s="1640" t="s">
        <v>1083</v>
      </c>
      <c r="J11" s="1640"/>
      <c r="K11" s="1640"/>
      <c r="L11" s="1640"/>
      <c r="M11" s="1640"/>
      <c r="N11" s="327"/>
      <c r="O11" s="327"/>
      <c r="P11" s="221"/>
      <c r="Q11" s="1640" t="s">
        <v>1084</v>
      </c>
      <c r="R11" s="1640"/>
      <c r="S11" s="1640"/>
      <c r="T11" s="1640"/>
      <c r="U11" s="1640"/>
      <c r="V11" s="1640"/>
      <c r="W11" s="1640"/>
      <c r="X11" s="221"/>
      <c r="Y11" s="1640" t="s">
        <v>883</v>
      </c>
      <c r="Z11" s="1640"/>
      <c r="AA11" s="1640"/>
      <c r="AB11" s="1640"/>
      <c r="AC11" s="1640"/>
      <c r="AD11" s="1640"/>
      <c r="AE11" s="221"/>
      <c r="AF11" s="1640" t="s">
        <v>884</v>
      </c>
      <c r="AG11" s="1640"/>
      <c r="AH11" s="1640"/>
      <c r="AI11" s="1640"/>
      <c r="AJ11" s="1640"/>
      <c r="AK11" s="221"/>
      <c r="AL11" s="1640" t="s">
        <v>885</v>
      </c>
      <c r="AM11" s="1640"/>
      <c r="AN11" s="1640"/>
      <c r="AO11" s="1640"/>
      <c r="AP11" s="1640"/>
      <c r="AQ11" s="221"/>
      <c r="AR11" s="225"/>
      <c r="AS11" s="225"/>
    </row>
    <row r="12" spans="1:77" ht="16.5" customHeight="1">
      <c r="A12" s="130" t="s">
        <v>317</v>
      </c>
      <c r="B12" s="125"/>
      <c r="C12" s="131" t="s">
        <v>434</v>
      </c>
      <c r="D12" s="130" t="s">
        <v>0</v>
      </c>
      <c r="E12" s="130" t="s">
        <v>0</v>
      </c>
      <c r="F12" s="131" t="s">
        <v>0</v>
      </c>
      <c r="G12" s="131" t="s">
        <v>0</v>
      </c>
      <c r="H12" s="125"/>
      <c r="I12" s="131" t="s">
        <v>434</v>
      </c>
      <c r="J12" s="130" t="s">
        <v>0</v>
      </c>
      <c r="K12" s="130" t="s">
        <v>0</v>
      </c>
      <c r="L12" s="131" t="s">
        <v>433</v>
      </c>
      <c r="M12" s="131" t="s">
        <v>5</v>
      </c>
      <c r="N12" s="130" t="s">
        <v>635</v>
      </c>
      <c r="O12" s="130" t="s">
        <v>454</v>
      </c>
      <c r="P12" s="125"/>
      <c r="Q12" s="131" t="s">
        <v>434</v>
      </c>
      <c r="R12" s="130" t="s">
        <v>0</v>
      </c>
      <c r="S12" s="130" t="s">
        <v>0</v>
      </c>
      <c r="T12" s="131" t="s">
        <v>433</v>
      </c>
      <c r="U12" s="131" t="s">
        <v>5</v>
      </c>
      <c r="V12" s="130" t="s">
        <v>635</v>
      </c>
      <c r="W12" s="130" t="s">
        <v>454</v>
      </c>
      <c r="X12" s="125"/>
      <c r="Y12" s="131" t="s">
        <v>433</v>
      </c>
      <c r="Z12" s="131" t="s">
        <v>3</v>
      </c>
      <c r="AA12" s="131" t="s">
        <v>433</v>
      </c>
      <c r="AB12" s="131" t="s">
        <v>3</v>
      </c>
      <c r="AC12" s="131" t="s">
        <v>3</v>
      </c>
      <c r="AD12" s="130" t="s">
        <v>635</v>
      </c>
      <c r="AE12" s="125"/>
      <c r="AF12" s="131" t="s">
        <v>433</v>
      </c>
      <c r="AG12" s="131" t="s">
        <v>3</v>
      </c>
      <c r="AH12" s="131" t="s">
        <v>3</v>
      </c>
      <c r="AI12" s="130" t="s">
        <v>635</v>
      </c>
      <c r="AJ12" s="130" t="s">
        <v>454</v>
      </c>
      <c r="AK12" s="125"/>
      <c r="AL12" s="131" t="s">
        <v>433</v>
      </c>
      <c r="AM12" s="131" t="s">
        <v>3</v>
      </c>
      <c r="AN12" s="131" t="s">
        <v>3</v>
      </c>
      <c r="AO12" s="130" t="s">
        <v>635</v>
      </c>
      <c r="AP12" s="130" t="s">
        <v>454</v>
      </c>
      <c r="AQ12" s="125"/>
      <c r="AR12" s="166"/>
      <c r="AS12" s="166"/>
    </row>
    <row r="13" spans="1:77" ht="16.5" customHeight="1">
      <c r="A13" s="130">
        <v>1</v>
      </c>
      <c r="B13" s="125"/>
      <c r="C13" s="1074">
        <v>1</v>
      </c>
      <c r="D13" s="200">
        <f>IF('Feuilles=description rejets'!$P$37="",IF(D$16="",114.67,D$16*0.28),'Feuilles=description rejets'!$P$37/3)</f>
        <v>45.333333333333336</v>
      </c>
      <c r="E13" s="200">
        <f>IF(E16=14,4,'Feuilles=description générale'!$L27*D13/D16)</f>
        <v>1.9177529164250593</v>
      </c>
      <c r="F13" s="200">
        <v>4</v>
      </c>
      <c r="G13" s="200">
        <v>0.4</v>
      </c>
      <c r="H13" s="125"/>
      <c r="I13" s="1074">
        <v>1</v>
      </c>
      <c r="J13" s="200">
        <f>IF('Sections rachis &amp; L pennes'!$E$36="",IF($H$16="",1,$H$16*0.2),'Sections rachis &amp; L pennes'!$E$36*$D$13/$D$16)</f>
        <v>0.63102530489016007</v>
      </c>
      <c r="K13" s="200">
        <f>IF('Sections rachis &amp; L pennes'!$E$36="",0.36*D13/D16,'Sections rachis &amp; L pennes'!$E$38*D13/D16)</f>
        <v>3.0561799464941183E-3</v>
      </c>
      <c r="L13" s="203">
        <v>0</v>
      </c>
      <c r="M13" s="200">
        <f>IF(SUM('Sections rachis &amp; L pennes'!$E$24,'Sections rachis &amp; L pennes'!$L$24)=0,3.72,IF('Sections rachis &amp; L pennes'!$E$42*J16&gt;STEM_Geom!Q17*0.85,STEM_Geom!Q17*0.85/J16,'Sections rachis &amp; L pennes'!$E$42))</f>
        <v>4.8720947032342492</v>
      </c>
      <c r="N13" s="212">
        <v>1</v>
      </c>
      <c r="O13" s="133">
        <v>0.2</v>
      </c>
      <c r="P13" s="125"/>
      <c r="Q13" s="1074">
        <v>1</v>
      </c>
      <c r="R13" s="200">
        <f>IF('Sections rachis &amp; L pennes'!$L$36="",IF($N$16="",0.6,$N$16*0.16),'Sections rachis &amp; L pennes'!$L$36*$J$13/$J$16)</f>
        <v>0.34360624478608026</v>
      </c>
      <c r="S13" s="200">
        <f>IF('Sections rachis &amp; L pennes'!$L$36="",0.2,'Sections rachis &amp; L pennes'!E38*$J$13/$J$16)</f>
        <v>3.0561799464941183E-3</v>
      </c>
      <c r="T13" s="203">
        <v>0</v>
      </c>
      <c r="U13" s="200">
        <f ca="1">IF(SUM('Sections rachis &amp; L pennes'!$F$24,'Sections rachis &amp; L pennes'!$M$24)=0,2,IF('Sections rachis &amp; L pennes'!$L$42*R16/8&gt;STEM_Geom!K17,STEM_Geom!K17*7,'Sections rachis &amp; L pennes'!$L$42))</f>
        <v>2.2072821983684481</v>
      </c>
      <c r="V13" s="212">
        <v>1</v>
      </c>
      <c r="W13" s="133">
        <v>0.15</v>
      </c>
      <c r="X13" s="125"/>
      <c r="Y13" s="148">
        <v>0</v>
      </c>
      <c r="Z13" s="133">
        <v>0</v>
      </c>
      <c r="AA13" s="148">
        <v>0</v>
      </c>
      <c r="AB13" s="133">
        <v>0</v>
      </c>
      <c r="AC13" s="133">
        <v>0</v>
      </c>
      <c r="AD13" s="212">
        <f>IF('Stipe=phyllotaxie&amp;croissance'!$E$14="",IF('Stipe=phyllotaxie&amp;croissance'!$E$13="",89,'Stipe=phyllotaxie&amp;croissance'!$E$14),'Stipe=phyllotaxie&amp;croissance'!$E$14+'Stipe=phyllotaxie&amp;croissance'!$E$13)</f>
        <v>98</v>
      </c>
      <c r="AE13" s="125"/>
      <c r="AF13" s="148">
        <v>0</v>
      </c>
      <c r="AG13" s="133">
        <v>0</v>
      </c>
      <c r="AH13" s="133">
        <v>0</v>
      </c>
      <c r="AI13" s="212">
        <v>1</v>
      </c>
      <c r="AJ13" s="133">
        <v>0.1</v>
      </c>
      <c r="AK13" s="125"/>
      <c r="AL13" s="148">
        <v>0</v>
      </c>
      <c r="AM13" s="133">
        <v>0</v>
      </c>
      <c r="AN13" s="133">
        <v>0</v>
      </c>
      <c r="AO13" s="212">
        <v>1</v>
      </c>
      <c r="AP13" s="133">
        <v>0.5</v>
      </c>
      <c r="AQ13" s="125"/>
      <c r="AR13" s="166"/>
      <c r="AS13" s="166"/>
    </row>
    <row r="14" spans="1:77">
      <c r="A14" s="130">
        <v>2</v>
      </c>
      <c r="B14" s="125"/>
      <c r="C14" s="1074">
        <f>IF('Feuilles=description rejets'!$P$32="",IF($C$16="",36,ROUND($C$16*0.2,0)),'Feuilles=description rejets'!$P$32)</f>
        <v>28</v>
      </c>
      <c r="D14" s="1075">
        <f>IF('Feuilles=description rejets'!$P$37="",IF(D$16="",314,D$16*0.68),'Feuilles=description rejets'!$P$37)</f>
        <v>136</v>
      </c>
      <c r="E14" s="1075">
        <f>IF(E16=14,11,'Feuilles=description générale'!$L27*D14/D16)</f>
        <v>5.7532587492751768</v>
      </c>
      <c r="F14" s="1075">
        <v>6</v>
      </c>
      <c r="G14" s="1075">
        <v>0.6</v>
      </c>
      <c r="H14" s="125"/>
      <c r="I14" s="1074">
        <f>IF('Feuilles=description rejets'!$P$32="",IF($C$16="",36,ROUND($C$16*0.2,0)),'Feuilles=description rejets'!$P$32)</f>
        <v>28</v>
      </c>
      <c r="J14" s="1075">
        <f>IF('Sections rachis &amp; L pennes'!$E$36="",IF($H$16="",2.5,$H$16*0.3125),'Sections rachis &amp; L pennes'!$E$36*D14/D16)</f>
        <v>1.8930759146704803</v>
      </c>
      <c r="K14" s="1075">
        <f>IF('Sections rachis &amp; L pennes'!$E$36="",0.36*D14/D16,'Sections rachis &amp; L pennes'!$E$38*D14/D16)</f>
        <v>9.1685398394823533E-3</v>
      </c>
      <c r="L14" s="203">
        <f>IF('Sections rachis &amp; L pennes'!$B$45="",4,'Sections rachis &amp; L pennes'!$B$45)</f>
        <v>10</v>
      </c>
      <c r="M14" s="204">
        <f>IF('Sections rachis &amp; L pennes'!$E$45="",1.3,'Sections rachis &amp; L pennes'!$E$45)</f>
        <v>1.1884383187377177</v>
      </c>
      <c r="N14" s="212">
        <v>7</v>
      </c>
      <c r="O14" s="143">
        <v>0.8</v>
      </c>
      <c r="P14" s="125"/>
      <c r="Q14" s="1074">
        <f>IF('Feuilles=description rejets'!$P$32="",IF($C$16="",36,ROUND($C$16*0.2,0)),'Feuilles=description rejets'!$P$32)</f>
        <v>28</v>
      </c>
      <c r="R14" s="1075">
        <f>IF('Sections rachis &amp; L pennes'!$E$36="",IF($N$16="",1.8,$N$16*0.45),'Sections rachis &amp; L pennes'!$L$36*$J$14/$J$16)</f>
        <v>1.0308187343582409</v>
      </c>
      <c r="S14" s="1075">
        <f>IF('Sections rachis &amp; L pennes'!$L$36="",0.6,'Sections rachis &amp; L pennes'!E38*$J$14/$J$16)</f>
        <v>9.168539839482355E-3</v>
      </c>
      <c r="T14" s="203">
        <f>IF('Sections rachis &amp; L pennes'!$B$45="",4,'Sections rachis &amp; L pennes'!$B$45)</f>
        <v>10</v>
      </c>
      <c r="U14" s="204">
        <f>IF('Sections rachis &amp; L pennes'!$L$45="",1.2,'Sections rachis &amp; L pennes'!$L$45)</f>
        <v>1.0901551810351211</v>
      </c>
      <c r="V14" s="212">
        <v>8</v>
      </c>
      <c r="W14" s="143">
        <v>0.7</v>
      </c>
      <c r="X14" s="125"/>
      <c r="Y14" s="148">
        <f>IF('Nervure=pétiole&amp;rachis'!$J$27="",20,'Nervure=pétiole&amp;rachis'!$J$27)</f>
        <v>5.15970515970516</v>
      </c>
      <c r="Z14" s="150">
        <f>IF('Nervure=pétiole&amp;rachis'!$J$29="",(5+SPEAR!Q14)/2,('Nervure=pétiole&amp;rachis'!$J$29+SPEAR!Q14)/2)</f>
        <v>8.9230769230769234</v>
      </c>
      <c r="AA14" s="148">
        <f>IF('Nervure=pétiole&amp;rachis'!$K$27="",18,'Nervure=pétiole&amp;rachis'!$K$27)</f>
        <v>5.3228419347373288</v>
      </c>
      <c r="AB14" s="150">
        <f>IF('Nervure=pétiole&amp;rachis'!$K$29="",20,'Nervure=pétiole&amp;rachis'!$K$29)</f>
        <v>20.576923076923077</v>
      </c>
      <c r="AC14" s="150">
        <f>IF(AB14="","",AB14/75)</f>
        <v>0.27435897435897433</v>
      </c>
      <c r="AD14" s="125"/>
      <c r="AE14" s="125"/>
      <c r="AF14" s="148">
        <f>IF('Nervure=pétiole&amp;rachis'!$J$38="",28.29,100*'Nervure=pétiole&amp;rachis'!$J$38/'Feuilles=description générale'!$K$27)</f>
        <v>44.094863544273622</v>
      </c>
      <c r="AG14" s="150">
        <f>IF('Nervure=pétiole&amp;rachis'!$J$38="",5.7,AB14*AG$17/AB17)</f>
        <v>13.825371965544246</v>
      </c>
      <c r="AH14" s="150">
        <f>IF('Nervure=pétiole&amp;rachis'!$K$38="",0.2,8*AH$17/125)</f>
        <v>0.27152900397563423</v>
      </c>
      <c r="AI14" s="212">
        <f>IF('Nervure=pétiole&amp;rachis'!$F$10="",25,'Nervure=pétiole&amp;rachis'!$F$10)</f>
        <v>57</v>
      </c>
      <c r="AJ14" s="143">
        <f>IF('Nervure=pétiole&amp;rachis'!$F$10="",1,'Nervure=pétiole&amp;rachis'!$F$39/'Nervure=pétiole&amp;rachis'!$J$39)</f>
        <v>0.90909090909090906</v>
      </c>
      <c r="AK14" s="125"/>
      <c r="AL14" s="148">
        <f>IF('Nervure=pétiole&amp;rachis'!$J$32="",28.29,100*'Nervure=pétiole&amp;rachis'!$J$32/'Feuilles=description générale'!$K$27)</f>
        <v>44.690740078655701</v>
      </c>
      <c r="AM14" s="150">
        <f>IF('Nervure=pétiole&amp;rachis'!$J$37="",1.44,AB14*AM$17/AB17)</f>
        <v>4.3989819890368045</v>
      </c>
      <c r="AN14" s="150">
        <f>IF('Nervure=pétiole&amp;rachis'!$K$37="",0.2,8*AN$17/125)</f>
        <v>0.18101933598375619</v>
      </c>
      <c r="AO14" s="212">
        <f>IF('Nervure=pétiole&amp;rachis'!$F$10="",25,'Nervure=pétiole&amp;rachis'!$F$10)</f>
        <v>57</v>
      </c>
      <c r="AP14" s="143">
        <f>IF('Nervure=pétiole&amp;rachis'!$F$10="",1,'Nervure=pétiole&amp;rachis'!$F$37/'Nervure=pétiole&amp;rachis'!$J$37)</f>
        <v>0.80952380952380953</v>
      </c>
      <c r="AQ14" s="125"/>
      <c r="AR14" s="166"/>
      <c r="AS14" s="166"/>
    </row>
    <row r="15" spans="1:77">
      <c r="A15" s="130">
        <v>3</v>
      </c>
      <c r="B15" s="125"/>
      <c r="C15" s="1074">
        <f>IF('Feuilles=description rejets'!$Q$32="",IF($C$16="",67, ROUND($C$16*0.4,0)),'Feuilles=description rejets'!$Q$32)</f>
        <v>114</v>
      </c>
      <c r="D15" s="200">
        <f>IF('Feuilles=description rejets'!J37="",IF($D$16="",348,$D$16*0.85),'Feuilles=description rejets'!J37)</f>
        <v>356.61750000000001</v>
      </c>
      <c r="E15" s="200">
        <f>IF(E16=14,12,'Feuilles=description générale'!$L27*D15/D16)</f>
        <v>15.086123176615004</v>
      </c>
      <c r="F15" s="200">
        <v>8</v>
      </c>
      <c r="G15" s="200">
        <v>0.8</v>
      </c>
      <c r="H15" s="125"/>
      <c r="I15" s="1074">
        <f>IF('Feuilles=description rejets'!$Q$32="",IF($C$16="",67, ROUND($C$16*0.4,0)),'Feuilles=description rejets'!$Q$32)</f>
        <v>114</v>
      </c>
      <c r="J15" s="200">
        <f>IF('Sections rachis &amp; L pennes'!$E$36="",IF($H$16="",6,$H$16*0.75),'Sections rachis &amp; L pennes'!$E$36*D15/D16)</f>
        <v>4.9640000000000004</v>
      </c>
      <c r="K15" s="200">
        <f>IF('Sections rachis &amp; L pennes'!$E$36="",0.36*D15/D16,'Sections rachis &amp; L pennes'!$E$38*D15/D16)</f>
        <v>2.4041630560342635E-2</v>
      </c>
      <c r="L15" s="203">
        <f>IF('Sections rachis &amp; L pennes'!$B$46="",5.5,'Sections rachis &amp; L pennes'!$B$46)</f>
        <v>20</v>
      </c>
      <c r="M15" s="200">
        <f>IF('Sections rachis &amp; L pennes'!$E$46="",0.8,'Sections rachis &amp; L pennes'!$E$46)</f>
        <v>0.66056068196154039</v>
      </c>
      <c r="N15" s="212">
        <v>10</v>
      </c>
      <c r="O15" s="133">
        <v>1</v>
      </c>
      <c r="P15" s="125"/>
      <c r="Q15" s="1074">
        <f>IF('Feuilles=description rejets'!$Q$32="",IF($C$16="",67, ROUND($C$16*0.4,0)),'Feuilles=description rejets'!$Q$32)</f>
        <v>114</v>
      </c>
      <c r="R15" s="200">
        <f>IF('Sections rachis &amp; L pennes'!$E$36="",IF($N$16="",3.8,$N$16*0.94),'Sections rachis &amp; L pennes'!$L$36*$J$15/$J$16)</f>
        <v>2.7029999999999998</v>
      </c>
      <c r="S15" s="200">
        <f>IF('Sections rachis &amp; L pennes'!$L$36="",0.8,'Sections rachis &amp; L pennes'!E38*$J$15/$J$16)</f>
        <v>2.4041630560342638E-2</v>
      </c>
      <c r="T15" s="203">
        <f>IF('Sections rachis &amp; L pennes'!$B$46="",5.5,'Sections rachis &amp; L pennes'!$B$46)</f>
        <v>20</v>
      </c>
      <c r="U15" s="200">
        <f>IF('Sections rachis &amp; L pennes'!$L$46="",0.85,'Sections rachis &amp; L pennes'!$L$46)</f>
        <v>0.81274884310070872</v>
      </c>
      <c r="V15" s="212">
        <v>12</v>
      </c>
      <c r="W15" s="133">
        <v>1</v>
      </c>
      <c r="X15" s="125"/>
      <c r="Y15" s="148">
        <f>IF('Nervure=pétiole&amp;rachis'!$J$26="",29,'Nervure=pétiole&amp;rachis'!$J$26)</f>
        <v>19.237669202955026</v>
      </c>
      <c r="Z15" s="133">
        <f>IF('Nervure=pétiole&amp;rachis'!$J$30="",(15+SPEAR!Q15)/2,('Nervure=pétiole&amp;rachis'!$J$30+SPEAR!Q15)/2)</f>
        <v>16.883714734331463</v>
      </c>
      <c r="AA15" s="148">
        <f>IF('Nervure=pétiole&amp;rachis'!$K$26="",30,'Nervure=pétiole&amp;rachis'!$K$26)</f>
        <v>17.834372324073779</v>
      </c>
      <c r="AB15" s="133">
        <f>IF('Nervure=pétiole&amp;rachis'!$K$30="",40,'Nervure=pétiole&amp;rachis'!$K$30-FROND_Prod!Q16)</f>
        <v>26.684632057992665</v>
      </c>
      <c r="AC15" s="133">
        <f>IF(AB15="","",AB15/80)</f>
        <v>0.33355790072490832</v>
      </c>
      <c r="AD15" s="125"/>
      <c r="AE15" s="125"/>
      <c r="AF15" s="148">
        <f>IF('Nervure=pétiole&amp;rachis'!$J$38="",52.19,(2*$AF$14+100)/3)</f>
        <v>62.729909029515746</v>
      </c>
      <c r="AG15" s="133">
        <f>IF('Nervure=pétiole&amp;rachis'!$J$38="",14.4,AB15*AG$17/AB17)</f>
        <v>17.929063669348245</v>
      </c>
      <c r="AH15" s="133">
        <f>IF('Nervure=pétiole&amp;rachis'!$K$38="",4.5,4*AH$17/25)</f>
        <v>0.67882250993908555</v>
      </c>
      <c r="AI15" s="212">
        <f>IF('Nervure=pétiole&amp;rachis'!$G$10="",50,'Nervure=pétiole&amp;rachis'!$G$10)</f>
        <v>83</v>
      </c>
      <c r="AJ15" s="133">
        <f>IF('Nervure=pétiole&amp;rachis'!$G$10="",0.8,'Nervure=pétiole&amp;rachis'!$G$39/'Nervure=pétiole&amp;rachis'!$J$39)</f>
        <v>1</v>
      </c>
      <c r="AK15" s="125"/>
      <c r="AL15" s="148">
        <f>IF('Nervure=pétiole&amp;rachis'!$J$32="",52.19,(2*AL$14+100)/3)</f>
        <v>63.127160052437127</v>
      </c>
      <c r="AM15" s="133">
        <f>IF('Nervure=pétiole&amp;rachis'!$J$37="",3.6,AB15*AM$17/AB17)</f>
        <v>5.704702076610805</v>
      </c>
      <c r="AN15" s="133">
        <f>IF('Nervure=pétiole&amp;rachis'!$K$37="",4.5,4*AN$17/25)</f>
        <v>0.45254833995939042</v>
      </c>
      <c r="AO15" s="212">
        <f>IF('Nervure=pétiole&amp;rachis'!$G$10="",50,'Nervure=pétiole&amp;rachis'!$G$10)</f>
        <v>83</v>
      </c>
      <c r="AP15" s="133">
        <f>IF('Nervure=pétiole&amp;rachis'!$G$10="",0.85,'Nervure=pétiole&amp;rachis'!$G$37/'Nervure=pétiole&amp;rachis'!$J$37)</f>
        <v>1</v>
      </c>
      <c r="AQ15" s="125"/>
      <c r="AR15" s="166"/>
      <c r="AS15" s="166"/>
    </row>
    <row r="16" spans="1:77" ht="16.5" customHeight="1">
      <c r="A16" s="130">
        <v>4</v>
      </c>
      <c r="B16" s="125"/>
      <c r="C16" s="1074">
        <f>IF('Nervure=pétiole&amp;rachis'!$K$11="",175,'Nervure=pétiole&amp;rachis'!$K$11)</f>
        <v>124</v>
      </c>
      <c r="D16" s="1075">
        <f>IF('Feuilles=description générale'!$K$27="",406.55,'Feuilles=description générale'!$K$27)</f>
        <v>419.55</v>
      </c>
      <c r="E16" s="1075">
        <f>IF('Feuilles=description générale'!$L27="",14,'Feuilles=description générale'!$L27)</f>
        <v>17.748380207782358</v>
      </c>
      <c r="F16" s="1075">
        <v>10</v>
      </c>
      <c r="G16" s="1075">
        <v>1</v>
      </c>
      <c r="H16" s="125"/>
      <c r="I16" s="1074">
        <f>IF('Nervure=pétiole&amp;rachis'!$K$11="",175,'Nervure=pétiole&amp;rachis'!$K$11)</f>
        <v>124</v>
      </c>
      <c r="J16" s="1075">
        <f>IF('Sections rachis &amp; L pennes'!$E$36="",8,'Sections rachis &amp; L pennes'!$E$36)</f>
        <v>5.84</v>
      </c>
      <c r="K16" s="1075">
        <f>IF('Sections rachis &amp; L pennes'!$E$36="",0.36,'Sections rachis &amp; L pennes'!$E$38)</f>
        <v>2.8284271247461926E-2</v>
      </c>
      <c r="L16" s="203">
        <f>IF('Sections rachis &amp; L pennes'!$B$47="",10,'Sections rachis &amp; L pennes'!$B$47)</f>
        <v>30</v>
      </c>
      <c r="M16" s="204">
        <f>IF('Sections rachis &amp; L pennes'!$E$47="",0.55,'Sections rachis &amp; L pennes'!$E$47)</f>
        <v>0.45157617823523916</v>
      </c>
      <c r="N16" s="212"/>
      <c r="O16" s="143"/>
      <c r="P16" s="125"/>
      <c r="Q16" s="1074">
        <f>IF('Nervure=pétiole&amp;rachis'!$K$11="",175,'Nervure=pétiole&amp;rachis'!$K$11)</f>
        <v>124</v>
      </c>
      <c r="R16" s="1075">
        <f>IF('Sections rachis &amp; L pennes'!$L$36="",4,'Sections rachis &amp; L pennes'!$L$36)</f>
        <v>3.1799999999999997</v>
      </c>
      <c r="S16" s="1075">
        <f>IF('Sections rachis &amp; L pennes'!$L$36="",1.1,'Sections rachis &amp; L pennes'!E38)</f>
        <v>2.8284271247461926E-2</v>
      </c>
      <c r="T16" s="203">
        <f>IF('Sections rachis &amp; L pennes'!$B$47="",10,'Sections rachis &amp; L pennes'!$B$47)</f>
        <v>30</v>
      </c>
      <c r="U16" s="204">
        <f>IF('Sections rachis &amp; L pennes'!$L$47="",0.72,'Sections rachis &amp; L pennes'!$L$47)</f>
        <v>0.67199418020935209</v>
      </c>
      <c r="V16" s="212"/>
      <c r="W16" s="143"/>
      <c r="X16" s="125"/>
      <c r="Y16" s="148">
        <f>IF('Nervure=pétiole&amp;rachis'!$J$13="",99.99,'Nervure=pétiole&amp;rachis'!$J$13)</f>
        <v>99.99</v>
      </c>
      <c r="Z16" s="150">
        <f>IF($Y$16=99.99,$Z$17-0.5,IF(Z17&lt;90,((('Nervure=pétiole&amp;rachis'!J30+'Nervure=pétiole&amp;rachis'!J21)/2)+SPEAR!Q15+SPEAR!Q17)/2,89))</f>
        <v>20.865384615384617</v>
      </c>
      <c r="AA16" s="148">
        <f>IF('Nervure=pétiole&amp;rachis'!$K$13="",50,'Nervure=pétiole&amp;rachis'!$K$13)</f>
        <v>70.043865825218518</v>
      </c>
      <c r="AB16" s="150">
        <f>IF($AA$16=99.99,$AB$17-0.5,IF(AB17&lt;90,((('Nervure=pétiole&amp;rachis'!K30+'Nervure=pétiole&amp;rachis'!K21)/2)-FROND_Prod!Q16),89-FROND_Prod!Q16))</f>
        <v>76.84615384615384</v>
      </c>
      <c r="AC16" s="150">
        <f>IF(AB16="","",AB16/90)</f>
        <v>0.85384615384615381</v>
      </c>
      <c r="AD16" s="125"/>
      <c r="AE16" s="125"/>
      <c r="AF16" s="148">
        <f>IF('Nervure=pétiole&amp;rachis'!$J$38="",76.1,($AF$14+200)/3)</f>
        <v>81.364954514757869</v>
      </c>
      <c r="AG16" s="150">
        <f>IF('Nervure=pétiole&amp;rachis'!$J$38="",36,AB16*AG$17/AB17)</f>
        <v>51.631949882537192</v>
      </c>
      <c r="AH16" s="150">
        <f>IF('Nervure=pétiole&amp;rachis'!$K$38="",1.4,2*AH$17/5)</f>
        <v>1.6970562748477138</v>
      </c>
      <c r="AI16" s="212"/>
      <c r="AJ16" s="143"/>
      <c r="AK16" s="125"/>
      <c r="AL16" s="148">
        <f>IF('Nervure=pétiole&amp;rachis'!$J$32="",76.1,(AL$14+200)/3)</f>
        <v>81.56358002621856</v>
      </c>
      <c r="AM16" s="150">
        <f>IF('Nervure=pétiole&amp;rachis'!$J$37="",9,AB16*AM$17/AB17)</f>
        <v>16.428347689898199</v>
      </c>
      <c r="AN16" s="150">
        <f>IF('Nervure=pétiole&amp;rachis'!$K$37="",1.4,2*AN$17/5)</f>
        <v>1.131370849898476</v>
      </c>
      <c r="AO16" s="212"/>
      <c r="AP16" s="143"/>
      <c r="AQ16" s="125"/>
      <c r="AR16" s="166"/>
      <c r="AS16" s="166"/>
    </row>
    <row r="17" spans="1:45" ht="16.5" customHeight="1">
      <c r="A17" s="130">
        <v>5</v>
      </c>
      <c r="B17" s="125"/>
      <c r="C17" s="1074">
        <f>IF('Nervure=pétiole&amp;rachis'!$K$11="",390,ROUND('Nervure=pétiole&amp;rachis'!$K$11*2.375,0))</f>
        <v>295</v>
      </c>
      <c r="D17" s="105">
        <f>D16-D16/25</f>
        <v>402.76800000000003</v>
      </c>
      <c r="E17" s="105">
        <f>E16-E16/30</f>
        <v>17.156767534189612</v>
      </c>
      <c r="F17" s="200">
        <v>5</v>
      </c>
      <c r="G17" s="200">
        <v>0.5</v>
      </c>
      <c r="H17" s="125"/>
      <c r="I17" s="1072"/>
      <c r="J17" s="105"/>
      <c r="K17" s="105"/>
      <c r="L17" s="203">
        <f>IF('Sections rachis &amp; L pennes'!$B$48="",20,'Sections rachis &amp; L pennes'!$B$48)</f>
        <v>40</v>
      </c>
      <c r="M17" s="200">
        <f>IF('Sections rachis &amp; L pennes'!$E$48="",0.45,'Sections rachis &amp; L pennes'!$E$48)</f>
        <v>0.34857790733551985</v>
      </c>
      <c r="N17" s="212"/>
      <c r="O17" s="133"/>
      <c r="P17" s="125"/>
      <c r="Q17" s="1072"/>
      <c r="R17" s="105"/>
      <c r="S17" s="105"/>
      <c r="T17" s="203">
        <f>IF('Sections rachis &amp; L pennes'!$B$48="",20,'Sections rachis &amp; L pennes'!$B$48)</f>
        <v>40</v>
      </c>
      <c r="U17" s="200">
        <f>IF('Sections rachis &amp; L pennes'!$L$48="",0.65,'Sections rachis &amp; L pennes'!$L$48)</f>
        <v>0.59040486730337838</v>
      </c>
      <c r="V17" s="212"/>
      <c r="W17" s="133"/>
      <c r="X17" s="125"/>
      <c r="Y17" s="148">
        <v>100</v>
      </c>
      <c r="Z17" s="133">
        <f>IF('Nervure=pétiole&amp;rachis'!$J$21="",(75+SPEAR!Q17)/2,('Nervure=pétiole&amp;rachis'!$J$21+SPEAR!Q17)/2)</f>
        <v>21.365384615384617</v>
      </c>
      <c r="AA17" s="148">
        <v>100</v>
      </c>
      <c r="AB17" s="133">
        <f>IF('Nervure=pétiole&amp;rachis'!$K$21="",120,'Nervure=pétiole&amp;rachis'!$K$21-FROND_Prod!Q16)</f>
        <v>98.230769230769226</v>
      </c>
      <c r="AC17" s="133">
        <f>IF(AB17="","",AB17/100)</f>
        <v>0.98230769230769222</v>
      </c>
      <c r="AD17" s="125"/>
      <c r="AE17" s="125"/>
      <c r="AF17" s="148">
        <v>100</v>
      </c>
      <c r="AG17" s="133">
        <f>IF('Nervure=pétiole&amp;rachis'!$J$38="",90,'Nervure=pétiole&amp;rachis'!$J$39)</f>
        <v>66</v>
      </c>
      <c r="AH17" s="133">
        <f>IF('Nervure=pétiole&amp;rachis'!$K$38="",3,'Nervure=pétiole&amp;rachis'!$K$39)</f>
        <v>4.2426406871192848</v>
      </c>
      <c r="AI17" s="212"/>
      <c r="AJ17" s="133"/>
      <c r="AK17" s="125"/>
      <c r="AL17" s="148">
        <v>100</v>
      </c>
      <c r="AM17" s="133">
        <f>IF('Nervure=pétiole&amp;rachis'!$J$37="",22.5,'Nervure=pétiole&amp;rachis'!$J$37)</f>
        <v>21</v>
      </c>
      <c r="AN17" s="133">
        <f>IF('Nervure=pétiole&amp;rachis'!$K$37="",3.5,'Nervure=pétiole&amp;rachis'!$K$37)</f>
        <v>2.8284271247461903</v>
      </c>
      <c r="AO17" s="212"/>
      <c r="AP17" s="133"/>
      <c r="AQ17" s="125"/>
      <c r="AR17" s="166"/>
      <c r="AS17" s="166"/>
    </row>
    <row r="18" spans="1:45" ht="16.5" customHeight="1">
      <c r="A18" s="130">
        <v>6</v>
      </c>
      <c r="B18" s="125"/>
      <c r="C18" s="1072"/>
      <c r="D18" s="1073"/>
      <c r="E18" s="1073"/>
      <c r="F18" s="1075"/>
      <c r="G18" s="1075"/>
      <c r="H18" s="125"/>
      <c r="I18" s="1072"/>
      <c r="J18" s="1073"/>
      <c r="K18" s="1073"/>
      <c r="L18" s="203">
        <f>IF('Sections rachis &amp; L pennes'!$B$49="",30,'Sections rachis &amp; L pennes'!$B$49)</f>
        <v>50</v>
      </c>
      <c r="M18" s="204">
        <f>IF('Sections rachis &amp; L pennes'!$E$49="",0.4,'Sections rachis &amp; L pennes'!$E$49)</f>
        <v>0.28804823455413386</v>
      </c>
      <c r="N18" s="212"/>
      <c r="O18" s="143"/>
      <c r="P18" s="125"/>
      <c r="Q18" s="1072"/>
      <c r="R18" s="1073"/>
      <c r="S18" s="1073"/>
      <c r="T18" s="203">
        <f>IF('Sections rachis &amp; L pennes'!$B$49="",30,'Sections rachis &amp; L pennes'!$B$49)</f>
        <v>50</v>
      </c>
      <c r="U18" s="204">
        <f>IF('Sections rachis &amp; L pennes'!$L$49="",0.62,'Sections rachis &amp; L pennes'!$L$49)</f>
        <v>0.53670125261092305</v>
      </c>
      <c r="V18" s="212"/>
      <c r="W18" s="143"/>
      <c r="X18" s="125"/>
      <c r="Y18" s="148"/>
      <c r="Z18" s="150"/>
      <c r="AA18" s="148"/>
      <c r="AB18" s="150"/>
      <c r="AC18" s="150"/>
      <c r="AD18" s="125"/>
      <c r="AE18" s="125"/>
      <c r="AF18" s="148"/>
      <c r="AG18" s="150"/>
      <c r="AH18" s="150"/>
      <c r="AI18" s="212"/>
      <c r="AJ18" s="143"/>
      <c r="AK18" s="125"/>
      <c r="AL18" s="148"/>
      <c r="AM18" s="150"/>
      <c r="AN18" s="150"/>
      <c r="AO18" s="212"/>
      <c r="AP18" s="143"/>
      <c r="AQ18" s="125"/>
      <c r="AR18" s="166"/>
      <c r="AS18" s="166"/>
    </row>
    <row r="19" spans="1:45" ht="16.5" customHeight="1">
      <c r="A19" s="130">
        <v>7</v>
      </c>
      <c r="B19" s="125"/>
      <c r="C19" s="1072"/>
      <c r="D19" s="105"/>
      <c r="E19" s="105"/>
      <c r="F19" s="200"/>
      <c r="G19" s="200"/>
      <c r="H19" s="125"/>
      <c r="I19" s="1072"/>
      <c r="J19" s="105"/>
      <c r="K19" s="105"/>
      <c r="L19" s="203">
        <f>IF('Sections rachis &amp; L pennes'!$B$50="",40,'Sections rachis &amp; L pennes'!$B$50)</f>
        <v>60</v>
      </c>
      <c r="M19" s="200">
        <f>IF('Sections rachis &amp; L pennes'!$E$50="",0.33,'Sections rachis &amp; L pennes'!$E$50)</f>
        <v>0.24092499615183752</v>
      </c>
      <c r="N19" s="212"/>
      <c r="O19" s="133"/>
      <c r="P19" s="125"/>
      <c r="Q19" s="1072"/>
      <c r="R19" s="105"/>
      <c r="S19" s="105"/>
      <c r="T19" s="203">
        <f>IF('Sections rachis &amp; L pennes'!$B$50="",40,'Sections rachis &amp; L pennes'!$B$50)</f>
        <v>60</v>
      </c>
      <c r="U19" s="200">
        <f>IF('Sections rachis &amp; L pennes'!$L$50="",0.56,'Sections rachis &amp; L pennes'!$L$50)</f>
        <v>0.49084111090233418</v>
      </c>
      <c r="V19" s="212"/>
      <c r="W19" s="133"/>
      <c r="X19" s="125"/>
      <c r="Y19" s="148"/>
      <c r="Z19" s="133"/>
      <c r="AA19" s="148"/>
      <c r="AB19" s="133"/>
      <c r="AC19" s="133"/>
      <c r="AD19" s="125"/>
      <c r="AE19" s="125"/>
      <c r="AF19" s="148"/>
      <c r="AG19" s="133"/>
      <c r="AH19" s="133"/>
      <c r="AI19" s="212"/>
      <c r="AJ19" s="133"/>
      <c r="AK19" s="125"/>
      <c r="AL19" s="148"/>
      <c r="AM19" s="133"/>
      <c r="AN19" s="133"/>
      <c r="AO19" s="212"/>
      <c r="AP19" s="133"/>
      <c r="AQ19" s="125"/>
      <c r="AR19" s="166"/>
      <c r="AS19" s="166"/>
    </row>
    <row r="20" spans="1:45" ht="16.5" customHeight="1">
      <c r="A20" s="130">
        <v>8</v>
      </c>
      <c r="B20" s="125"/>
      <c r="C20" s="141"/>
      <c r="D20" s="142"/>
      <c r="E20" s="142"/>
      <c r="F20" s="1073"/>
      <c r="G20" s="1073"/>
      <c r="H20" s="125"/>
      <c r="I20" s="1072"/>
      <c r="J20" s="1073"/>
      <c r="K20" s="1073"/>
      <c r="L20" s="203">
        <f>IF('Sections rachis &amp; L pennes'!$B$51="",50,'Sections rachis &amp; L pennes'!$B$51)</f>
        <v>70</v>
      </c>
      <c r="M20" s="204">
        <f>IF('Sections rachis &amp; L pennes'!$E$51="",0.25,'Sections rachis &amp; L pennes'!$E$51)</f>
        <v>0.19088054165612814</v>
      </c>
      <c r="N20" s="212"/>
      <c r="O20" s="143"/>
      <c r="P20" s="125"/>
      <c r="Q20" s="1072"/>
      <c r="R20" s="1073"/>
      <c r="S20" s="1073"/>
      <c r="T20" s="203">
        <f>IF('Sections rachis &amp; L pennes'!$B$51="",50,'Sections rachis &amp; L pennes'!$B$51)</f>
        <v>70</v>
      </c>
      <c r="U20" s="204">
        <f>IF('Sections rachis &amp; L pennes'!$L$51="",0.5,'Sections rachis &amp; L pennes'!$L$51)</f>
        <v>0.4368987773570992</v>
      </c>
      <c r="V20" s="212"/>
      <c r="W20" s="143"/>
      <c r="X20" s="125"/>
      <c r="Y20" s="148"/>
      <c r="Z20" s="150"/>
      <c r="AA20" s="148"/>
      <c r="AB20" s="150"/>
      <c r="AC20" s="150"/>
      <c r="AD20" s="125"/>
      <c r="AE20" s="125"/>
      <c r="AF20" s="148"/>
      <c r="AG20" s="150"/>
      <c r="AH20" s="150"/>
      <c r="AI20" s="212"/>
      <c r="AJ20" s="143"/>
      <c r="AK20" s="125"/>
      <c r="AL20" s="148"/>
      <c r="AM20" s="150"/>
      <c r="AN20" s="150"/>
      <c r="AO20" s="212"/>
      <c r="AP20" s="143"/>
      <c r="AQ20" s="125"/>
      <c r="AR20" s="166"/>
      <c r="AS20" s="166"/>
    </row>
    <row r="21" spans="1:45" ht="16.5" customHeight="1">
      <c r="A21" s="130">
        <v>9</v>
      </c>
      <c r="B21" s="125"/>
      <c r="C21" s="141"/>
      <c r="D21" s="133"/>
      <c r="E21" s="133"/>
      <c r="F21" s="133"/>
      <c r="G21" s="133"/>
      <c r="H21" s="125"/>
      <c r="I21" s="1072"/>
      <c r="J21" s="105"/>
      <c r="K21" s="105"/>
      <c r="L21" s="203">
        <f>IF('Sections rachis &amp; L pennes'!$B$52="",60,'Sections rachis &amp; L pennes'!$B$52)</f>
        <v>80</v>
      </c>
      <c r="M21" s="200">
        <f>IF('Sections rachis &amp; L pennes'!$E$52="",0.2,'Sections rachis &amp; L pennes'!$E$52)</f>
        <v>0.13085146610841319</v>
      </c>
      <c r="N21" s="212"/>
      <c r="O21" s="133"/>
      <c r="P21" s="125"/>
      <c r="Q21" s="1072"/>
      <c r="R21" s="105"/>
      <c r="S21" s="105"/>
      <c r="T21" s="203">
        <f>IF('Sections rachis &amp; L pennes'!$B$52="",60,'Sections rachis &amp; L pennes'!$B$52)</f>
        <v>80</v>
      </c>
      <c r="U21" s="200">
        <f>IF('Sections rachis &amp; L pennes'!$L$52="",0.42,'Sections rachis &amp; L pennes'!$L$52)</f>
        <v>0.36173397146026137</v>
      </c>
      <c r="V21" s="212"/>
      <c r="W21" s="133"/>
      <c r="X21" s="125"/>
      <c r="Y21" s="148"/>
      <c r="Z21" s="133"/>
      <c r="AA21" s="148"/>
      <c r="AB21" s="133"/>
      <c r="AC21" s="133"/>
      <c r="AD21" s="125"/>
      <c r="AE21" s="125"/>
      <c r="AF21" s="148"/>
      <c r="AG21" s="133"/>
      <c r="AH21" s="133"/>
      <c r="AI21" s="212"/>
      <c r="AJ21" s="133"/>
      <c r="AK21" s="125"/>
      <c r="AL21" s="148"/>
      <c r="AM21" s="133"/>
      <c r="AN21" s="133"/>
      <c r="AO21" s="212"/>
      <c r="AP21" s="133"/>
      <c r="AQ21" s="125"/>
      <c r="AR21" s="166"/>
      <c r="AS21" s="166"/>
    </row>
    <row r="22" spans="1:45" ht="16.5" customHeight="1">
      <c r="A22" s="130">
        <v>10</v>
      </c>
      <c r="B22" s="125"/>
      <c r="C22" s="141"/>
      <c r="D22" s="142"/>
      <c r="E22" s="142"/>
      <c r="F22" s="142"/>
      <c r="G22" s="142"/>
      <c r="H22" s="125"/>
      <c r="I22" s="1072"/>
      <c r="J22" s="1073"/>
      <c r="K22" s="1073"/>
      <c r="L22" s="203">
        <f>IF('Sections rachis &amp; L pennes'!$B$53="",70,'Sections rachis &amp; L pennes'!$B$53)</f>
        <v>90</v>
      </c>
      <c r="M22" s="204">
        <f>IF('Sections rachis &amp; L pennes'!$E$53="",0.12,'Sections rachis &amp; L pennes'!$E$53)</f>
        <v>6.50106904693529E-2</v>
      </c>
      <c r="N22" s="212"/>
      <c r="O22" s="143"/>
      <c r="P22" s="125"/>
      <c r="Q22" s="1072"/>
      <c r="R22" s="1073"/>
      <c r="S22" s="1073"/>
      <c r="T22" s="203">
        <f>IF('Sections rachis &amp; L pennes'!$B$53="",70,'Sections rachis &amp; L pennes'!$B$53)</f>
        <v>90</v>
      </c>
      <c r="U22" s="204">
        <f>IF('Sections rachis &amp; L pennes'!$L$53="",0.29,'Sections rachis &amp; L pennes'!$L$53)</f>
        <v>0.25497194055298106</v>
      </c>
      <c r="V22" s="212"/>
      <c r="W22" s="143"/>
      <c r="X22" s="125"/>
      <c r="Y22" s="148"/>
      <c r="Z22" s="150"/>
      <c r="AA22" s="148"/>
      <c r="AB22" s="150"/>
      <c r="AC22" s="150"/>
      <c r="AD22" s="125"/>
      <c r="AE22" s="125"/>
      <c r="AF22" s="148"/>
      <c r="AG22" s="150"/>
      <c r="AH22" s="150"/>
      <c r="AI22" s="212"/>
      <c r="AJ22" s="143"/>
      <c r="AK22" s="125"/>
      <c r="AL22" s="148"/>
      <c r="AM22" s="150"/>
      <c r="AN22" s="150"/>
      <c r="AO22" s="212"/>
      <c r="AP22" s="143"/>
      <c r="AQ22" s="125"/>
      <c r="AR22" s="166"/>
      <c r="AS22" s="166"/>
    </row>
    <row r="23" spans="1:45" ht="16.5" customHeight="1">
      <c r="A23" s="130">
        <v>11</v>
      </c>
      <c r="B23" s="125"/>
      <c r="C23" s="141"/>
      <c r="D23" s="133"/>
      <c r="E23" s="133"/>
      <c r="F23" s="133"/>
      <c r="G23" s="133"/>
      <c r="H23" s="125"/>
      <c r="I23" s="1072"/>
      <c r="J23" s="105"/>
      <c r="K23" s="105"/>
      <c r="L23" s="203">
        <f>IF('Sections rachis &amp; L pennes'!$B$54="",80,'Sections rachis &amp; L pennes'!$B$54)</f>
        <v>100</v>
      </c>
      <c r="M23" s="200">
        <f>IF('Sections rachis &amp; L pennes'!$E$54="",0.06,'Sections rachis &amp; L pennes'!$E$54)</f>
        <v>1.1602950667116805E-2</v>
      </c>
      <c r="N23" s="212"/>
      <c r="O23" s="133"/>
      <c r="P23" s="125"/>
      <c r="Q23" s="1072"/>
      <c r="R23" s="105"/>
      <c r="S23" s="105"/>
      <c r="T23" s="203">
        <f>IF('Sections rachis &amp; L pennes'!$B$54="",80,'Sections rachis &amp; L pennes'!$B$54)</f>
        <v>100</v>
      </c>
      <c r="U23" s="200">
        <f>IF('Sections rachis &amp; L pennes'!$L$54="",0.15,'Sections rachis &amp; L pennes'!$L$54)</f>
        <v>0.10771699339991256</v>
      </c>
      <c r="V23" s="212"/>
      <c r="W23" s="133"/>
      <c r="X23" s="125"/>
      <c r="Y23" s="148"/>
      <c r="Z23" s="133"/>
      <c r="AA23" s="148"/>
      <c r="AB23" s="133"/>
      <c r="AC23" s="133"/>
      <c r="AD23" s="125"/>
      <c r="AE23" s="125"/>
      <c r="AF23" s="148"/>
      <c r="AG23" s="133"/>
      <c r="AH23" s="133"/>
      <c r="AI23" s="212"/>
      <c r="AJ23" s="133"/>
      <c r="AK23" s="125"/>
      <c r="AL23" s="148"/>
      <c r="AM23" s="133"/>
      <c r="AN23" s="133"/>
      <c r="AO23" s="212"/>
      <c r="AP23" s="133"/>
      <c r="AQ23" s="125"/>
      <c r="AR23" s="166"/>
      <c r="AS23" s="166"/>
    </row>
    <row r="24" spans="1:45" ht="16.5" customHeight="1">
      <c r="A24" s="130">
        <v>12</v>
      </c>
      <c r="B24" s="125"/>
      <c r="C24" s="141"/>
      <c r="D24" s="142"/>
      <c r="E24" s="142"/>
      <c r="F24" s="142"/>
      <c r="G24" s="142"/>
      <c r="H24" s="125"/>
      <c r="I24" s="1072"/>
      <c r="J24" s="1073"/>
      <c r="K24" s="1073"/>
      <c r="L24" s="265"/>
      <c r="M24" s="266"/>
      <c r="N24" s="212"/>
      <c r="O24" s="143"/>
      <c r="P24" s="125"/>
      <c r="Q24" s="1072"/>
      <c r="R24" s="1073"/>
      <c r="S24" s="1073"/>
      <c r="T24" s="203"/>
      <c r="U24" s="204"/>
      <c r="V24" s="212"/>
      <c r="W24" s="143"/>
      <c r="X24" s="125"/>
      <c r="Y24" s="148"/>
      <c r="Z24" s="150"/>
      <c r="AA24" s="148"/>
      <c r="AB24" s="1079"/>
      <c r="AC24" s="1079"/>
      <c r="AD24" s="125"/>
      <c r="AE24" s="125"/>
      <c r="AF24" s="148"/>
      <c r="AG24" s="150"/>
      <c r="AH24" s="150"/>
      <c r="AI24" s="212"/>
      <c r="AJ24" s="143"/>
      <c r="AK24" s="125"/>
      <c r="AL24" s="148"/>
      <c r="AM24" s="150"/>
      <c r="AN24" s="150"/>
      <c r="AO24" s="212"/>
      <c r="AP24" s="143"/>
      <c r="AQ24" s="125"/>
      <c r="AR24" s="166"/>
      <c r="AS24" s="166"/>
    </row>
    <row r="25" spans="1:45" ht="16.5" customHeight="1">
      <c r="A25" s="130">
        <v>13</v>
      </c>
      <c r="B25" s="125"/>
      <c r="C25" s="141"/>
      <c r="D25" s="133"/>
      <c r="E25" s="133"/>
      <c r="F25" s="133"/>
      <c r="G25" s="133"/>
      <c r="H25" s="125"/>
      <c r="I25" s="1072"/>
      <c r="J25" s="105"/>
      <c r="K25" s="105"/>
      <c r="L25" s="265"/>
      <c r="M25" s="105"/>
      <c r="N25" s="212"/>
      <c r="O25" s="133"/>
      <c r="P25" s="125"/>
      <c r="Q25" s="1072"/>
      <c r="R25" s="105"/>
      <c r="S25" s="105"/>
      <c r="T25" s="203"/>
      <c r="U25" s="200"/>
      <c r="V25" s="212"/>
      <c r="W25" s="133"/>
      <c r="X25" s="125"/>
      <c r="Y25" s="148"/>
      <c r="Z25" s="133"/>
      <c r="AA25" s="148"/>
      <c r="AB25" s="133"/>
      <c r="AC25" s="133"/>
      <c r="AD25" s="125"/>
      <c r="AE25" s="125"/>
      <c r="AF25" s="148"/>
      <c r="AG25" s="133"/>
      <c r="AH25" s="133"/>
      <c r="AI25" s="212"/>
      <c r="AJ25" s="133"/>
      <c r="AK25" s="125"/>
      <c r="AL25" s="148"/>
      <c r="AM25" s="133"/>
      <c r="AN25" s="133"/>
      <c r="AO25" s="212"/>
      <c r="AP25" s="133"/>
      <c r="AQ25" s="125"/>
      <c r="AR25" s="166"/>
      <c r="AS25" s="166"/>
    </row>
    <row r="26" spans="1:45" ht="16.5" customHeight="1">
      <c r="A26" s="130">
        <v>14</v>
      </c>
      <c r="B26" s="125"/>
      <c r="C26" s="141"/>
      <c r="D26" s="142"/>
      <c r="E26" s="142"/>
      <c r="F26" s="142"/>
      <c r="G26" s="142"/>
      <c r="H26" s="125"/>
      <c r="I26" s="141"/>
      <c r="J26" s="142"/>
      <c r="K26" s="142"/>
      <c r="L26" s="148"/>
      <c r="M26" s="150"/>
      <c r="N26" s="212"/>
      <c r="O26" s="143"/>
      <c r="P26" s="125"/>
      <c r="Q26" s="141"/>
      <c r="R26" s="142"/>
      <c r="S26" s="142"/>
      <c r="T26" s="148"/>
      <c r="U26" s="150"/>
      <c r="V26" s="212"/>
      <c r="W26" s="143"/>
      <c r="X26" s="125"/>
      <c r="Y26" s="148"/>
      <c r="Z26" s="150"/>
      <c r="AA26" s="148"/>
      <c r="AB26" s="150"/>
      <c r="AC26" s="150"/>
      <c r="AD26" s="125"/>
      <c r="AE26" s="125"/>
      <c r="AF26" s="148"/>
      <c r="AG26" s="150"/>
      <c r="AH26" s="150"/>
      <c r="AI26" s="212"/>
      <c r="AJ26" s="143"/>
      <c r="AK26" s="125"/>
      <c r="AL26" s="148"/>
      <c r="AM26" s="150"/>
      <c r="AN26" s="150"/>
      <c r="AO26" s="212"/>
      <c r="AP26" s="143"/>
      <c r="AQ26" s="125"/>
      <c r="AR26" s="166"/>
      <c r="AS26" s="166"/>
    </row>
    <row r="27" spans="1:45" ht="16.5" customHeight="1">
      <c r="A27" s="130">
        <v>15</v>
      </c>
      <c r="B27" s="125"/>
      <c r="C27" s="141"/>
      <c r="D27" s="133"/>
      <c r="E27" s="133"/>
      <c r="F27" s="133"/>
      <c r="G27" s="133"/>
      <c r="H27" s="125"/>
      <c r="I27" s="141"/>
      <c r="J27" s="133"/>
      <c r="K27" s="133"/>
      <c r="L27" s="148"/>
      <c r="M27" s="133"/>
      <c r="N27" s="212"/>
      <c r="O27" s="133"/>
      <c r="P27" s="125"/>
      <c r="Q27" s="141"/>
      <c r="R27" s="133"/>
      <c r="S27" s="133"/>
      <c r="T27" s="148"/>
      <c r="U27" s="133"/>
      <c r="V27" s="212"/>
      <c r="W27" s="133"/>
      <c r="X27" s="125"/>
      <c r="Y27" s="148"/>
      <c r="Z27" s="133"/>
      <c r="AA27" s="148"/>
      <c r="AB27" s="133"/>
      <c r="AC27" s="133"/>
      <c r="AD27" s="125"/>
      <c r="AE27" s="125"/>
      <c r="AF27" s="148"/>
      <c r="AG27" s="133"/>
      <c r="AH27" s="133"/>
      <c r="AI27" s="212"/>
      <c r="AJ27" s="133"/>
      <c r="AK27" s="125"/>
      <c r="AL27" s="148"/>
      <c r="AM27" s="133"/>
      <c r="AN27" s="133"/>
      <c r="AO27" s="212"/>
      <c r="AP27" s="133"/>
      <c r="AQ27" s="125"/>
      <c r="AR27" s="166"/>
      <c r="AS27" s="166"/>
    </row>
    <row r="28" spans="1:45" ht="16.5" customHeight="1">
      <c r="A28" s="130">
        <v>16</v>
      </c>
      <c r="B28" s="125"/>
      <c r="C28" s="141"/>
      <c r="D28" s="142"/>
      <c r="E28" s="142"/>
      <c r="F28" s="142"/>
      <c r="G28" s="142"/>
      <c r="H28" s="125"/>
      <c r="I28" s="141"/>
      <c r="J28" s="142"/>
      <c r="K28" s="142"/>
      <c r="L28" s="148"/>
      <c r="M28" s="150"/>
      <c r="N28" s="212"/>
      <c r="O28" s="143"/>
      <c r="P28" s="125"/>
      <c r="Q28" s="141"/>
      <c r="R28" s="142"/>
      <c r="S28" s="142"/>
      <c r="T28" s="148"/>
      <c r="U28" s="150"/>
      <c r="V28" s="212"/>
      <c r="W28" s="143"/>
      <c r="X28" s="125"/>
      <c r="Y28" s="148"/>
      <c r="Z28" s="150"/>
      <c r="AA28" s="148"/>
      <c r="AB28" s="150"/>
      <c r="AC28" s="150"/>
      <c r="AD28" s="125"/>
      <c r="AE28" s="125"/>
      <c r="AF28" s="148"/>
      <c r="AG28" s="150"/>
      <c r="AH28" s="150"/>
      <c r="AI28" s="212"/>
      <c r="AJ28" s="143"/>
      <c r="AK28" s="125"/>
      <c r="AL28" s="148"/>
      <c r="AM28" s="150"/>
      <c r="AN28" s="150"/>
      <c r="AO28" s="212"/>
      <c r="AP28" s="143"/>
      <c r="AQ28" s="125"/>
      <c r="AR28" s="166"/>
      <c r="AS28" s="166"/>
    </row>
    <row r="29" spans="1:45" ht="16.5" customHeight="1">
      <c r="A29" s="130">
        <v>17</v>
      </c>
      <c r="B29" s="125"/>
      <c r="C29" s="141"/>
      <c r="D29" s="133"/>
      <c r="E29" s="133"/>
      <c r="F29" s="133"/>
      <c r="G29" s="133"/>
      <c r="H29" s="125"/>
      <c r="I29" s="141"/>
      <c r="J29" s="133"/>
      <c r="K29" s="133"/>
      <c r="L29" s="148"/>
      <c r="M29" s="133"/>
      <c r="N29" s="212"/>
      <c r="O29" s="133"/>
      <c r="P29" s="125"/>
      <c r="Q29" s="141"/>
      <c r="R29" s="133"/>
      <c r="S29" s="133"/>
      <c r="T29" s="148"/>
      <c r="U29" s="133"/>
      <c r="V29" s="212"/>
      <c r="W29" s="133"/>
      <c r="X29" s="125"/>
      <c r="Y29" s="148"/>
      <c r="Z29" s="133"/>
      <c r="AA29" s="148"/>
      <c r="AB29" s="133"/>
      <c r="AC29" s="133"/>
      <c r="AD29" s="125"/>
      <c r="AE29" s="125"/>
      <c r="AF29" s="148"/>
      <c r="AG29" s="133"/>
      <c r="AH29" s="133"/>
      <c r="AI29" s="212"/>
      <c r="AJ29" s="133"/>
      <c r="AK29" s="125"/>
      <c r="AL29" s="148"/>
      <c r="AM29" s="133"/>
      <c r="AN29" s="133"/>
      <c r="AO29" s="212"/>
      <c r="AP29" s="133"/>
      <c r="AQ29" s="125"/>
      <c r="AR29" s="166"/>
      <c r="AS29" s="166"/>
    </row>
    <row r="30" spans="1:45" ht="16.5" customHeight="1">
      <c r="A30" s="130">
        <v>18</v>
      </c>
      <c r="B30" s="125"/>
      <c r="C30" s="141"/>
      <c r="D30" s="142"/>
      <c r="E30" s="142"/>
      <c r="F30" s="142"/>
      <c r="G30" s="142"/>
      <c r="H30" s="125"/>
      <c r="I30" s="141"/>
      <c r="J30" s="142"/>
      <c r="K30" s="142"/>
      <c r="L30" s="148"/>
      <c r="M30" s="150"/>
      <c r="N30" s="212"/>
      <c r="O30" s="143"/>
      <c r="P30" s="125"/>
      <c r="Q30" s="141"/>
      <c r="R30" s="142"/>
      <c r="S30" s="142"/>
      <c r="T30" s="148"/>
      <c r="U30" s="150"/>
      <c r="V30" s="212"/>
      <c r="W30" s="143"/>
      <c r="X30" s="125"/>
      <c r="Y30" s="148"/>
      <c r="Z30" s="150"/>
      <c r="AA30" s="148"/>
      <c r="AB30" s="150"/>
      <c r="AC30" s="150"/>
      <c r="AD30" s="125"/>
      <c r="AE30" s="125"/>
      <c r="AF30" s="148"/>
      <c r="AG30" s="150"/>
      <c r="AH30" s="150"/>
      <c r="AI30" s="212"/>
      <c r="AJ30" s="143"/>
      <c r="AK30" s="125"/>
      <c r="AL30" s="148"/>
      <c r="AM30" s="150"/>
      <c r="AN30" s="150"/>
      <c r="AO30" s="212"/>
      <c r="AP30" s="143"/>
      <c r="AQ30" s="125"/>
      <c r="AR30" s="166"/>
      <c r="AS30" s="166"/>
    </row>
    <row r="31" spans="1:45" ht="16.5" customHeight="1">
      <c r="A31" s="130">
        <v>19</v>
      </c>
      <c r="B31" s="125"/>
      <c r="C31" s="141"/>
      <c r="D31" s="133"/>
      <c r="E31" s="133"/>
      <c r="F31" s="133"/>
      <c r="G31" s="133"/>
      <c r="H31" s="125"/>
      <c r="I31" s="141"/>
      <c r="J31" s="133"/>
      <c r="K31" s="133"/>
      <c r="L31" s="148"/>
      <c r="M31" s="133"/>
      <c r="N31" s="212"/>
      <c r="O31" s="133"/>
      <c r="P31" s="125"/>
      <c r="Q31" s="141"/>
      <c r="R31" s="133"/>
      <c r="S31" s="133"/>
      <c r="T31" s="148"/>
      <c r="U31" s="133"/>
      <c r="V31" s="212"/>
      <c r="W31" s="133"/>
      <c r="X31" s="125"/>
      <c r="Y31" s="148"/>
      <c r="Z31" s="133"/>
      <c r="AA31" s="148"/>
      <c r="AB31" s="133"/>
      <c r="AC31" s="133"/>
      <c r="AD31" s="125"/>
      <c r="AE31" s="125"/>
      <c r="AF31" s="148"/>
      <c r="AG31" s="133"/>
      <c r="AH31" s="133"/>
      <c r="AI31" s="212"/>
      <c r="AJ31" s="133"/>
      <c r="AK31" s="125"/>
      <c r="AL31" s="148"/>
      <c r="AM31" s="133"/>
      <c r="AN31" s="133"/>
      <c r="AO31" s="212"/>
      <c r="AP31" s="133"/>
      <c r="AQ31" s="125"/>
      <c r="AR31" s="166"/>
      <c r="AS31" s="166"/>
    </row>
    <row r="32" spans="1:45" ht="16.5" customHeight="1">
      <c r="A32" s="130">
        <v>20</v>
      </c>
      <c r="B32" s="125"/>
      <c r="C32" s="141"/>
      <c r="D32" s="142"/>
      <c r="E32" s="142"/>
      <c r="F32" s="142"/>
      <c r="G32" s="142"/>
      <c r="H32" s="125"/>
      <c r="I32" s="141"/>
      <c r="J32" s="142"/>
      <c r="K32" s="142"/>
      <c r="L32" s="148"/>
      <c r="M32" s="150"/>
      <c r="N32" s="212"/>
      <c r="O32" s="143"/>
      <c r="P32" s="125"/>
      <c r="Q32" s="141"/>
      <c r="R32" s="142"/>
      <c r="S32" s="142"/>
      <c r="T32" s="148"/>
      <c r="U32" s="150"/>
      <c r="V32" s="212"/>
      <c r="W32" s="143"/>
      <c r="X32" s="125"/>
      <c r="Y32" s="148"/>
      <c r="Z32" s="150"/>
      <c r="AA32" s="148"/>
      <c r="AB32" s="150"/>
      <c r="AC32" s="150"/>
      <c r="AD32" s="125"/>
      <c r="AE32" s="125"/>
      <c r="AF32" s="148"/>
      <c r="AG32" s="150"/>
      <c r="AH32" s="150"/>
      <c r="AI32" s="212"/>
      <c r="AJ32" s="143"/>
      <c r="AK32" s="125"/>
      <c r="AL32" s="148"/>
      <c r="AM32" s="150"/>
      <c r="AN32" s="150"/>
      <c r="AO32" s="212"/>
      <c r="AP32" s="143"/>
      <c r="AQ32" s="125"/>
      <c r="AR32" s="166"/>
      <c r="AS32" s="166"/>
    </row>
    <row r="33" spans="1:45" ht="16.5" customHeight="1">
      <c r="A33" s="130">
        <v>21</v>
      </c>
      <c r="B33" s="125"/>
      <c r="C33" s="141"/>
      <c r="D33" s="133"/>
      <c r="E33" s="133"/>
      <c r="F33" s="133"/>
      <c r="G33" s="133"/>
      <c r="H33" s="125"/>
      <c r="I33" s="141"/>
      <c r="J33" s="133"/>
      <c r="K33" s="133"/>
      <c r="L33" s="148"/>
      <c r="M33" s="133"/>
      <c r="N33" s="212"/>
      <c r="O33" s="133"/>
      <c r="P33" s="125"/>
      <c r="Q33" s="141"/>
      <c r="R33" s="133"/>
      <c r="S33" s="133"/>
      <c r="T33" s="148"/>
      <c r="U33" s="133"/>
      <c r="V33" s="212"/>
      <c r="W33" s="133"/>
      <c r="X33" s="125"/>
      <c r="Y33" s="148"/>
      <c r="Z33" s="133"/>
      <c r="AA33" s="148"/>
      <c r="AB33" s="133"/>
      <c r="AC33" s="133"/>
      <c r="AD33" s="125"/>
      <c r="AE33" s="125"/>
      <c r="AF33" s="148"/>
      <c r="AG33" s="133"/>
      <c r="AH33" s="133"/>
      <c r="AI33" s="212"/>
      <c r="AJ33" s="133"/>
      <c r="AK33" s="125"/>
      <c r="AL33" s="148"/>
      <c r="AM33" s="133"/>
      <c r="AN33" s="133"/>
      <c r="AO33" s="212"/>
      <c r="AP33" s="133"/>
      <c r="AQ33" s="125"/>
      <c r="AR33" s="166"/>
      <c r="AS33" s="166"/>
    </row>
    <row r="34" spans="1:45" ht="16.5" customHeight="1">
      <c r="A34" s="130">
        <v>22</v>
      </c>
      <c r="B34" s="125"/>
      <c r="C34" s="141"/>
      <c r="D34" s="142"/>
      <c r="E34" s="142"/>
      <c r="F34" s="142"/>
      <c r="G34" s="142"/>
      <c r="H34" s="125"/>
      <c r="I34" s="141"/>
      <c r="J34" s="142"/>
      <c r="K34" s="142"/>
      <c r="L34" s="148"/>
      <c r="M34" s="150"/>
      <c r="N34" s="212"/>
      <c r="O34" s="143"/>
      <c r="P34" s="125"/>
      <c r="Q34" s="141"/>
      <c r="R34" s="142"/>
      <c r="S34" s="142"/>
      <c r="T34" s="148"/>
      <c r="U34" s="150"/>
      <c r="V34" s="212"/>
      <c r="W34" s="143"/>
      <c r="X34" s="125"/>
      <c r="Y34" s="148"/>
      <c r="Z34" s="150"/>
      <c r="AA34" s="148"/>
      <c r="AB34" s="150"/>
      <c r="AC34" s="150"/>
      <c r="AD34" s="125"/>
      <c r="AE34" s="125"/>
      <c r="AF34" s="148"/>
      <c r="AG34" s="150"/>
      <c r="AH34" s="150"/>
      <c r="AI34" s="212"/>
      <c r="AJ34" s="143"/>
      <c r="AK34" s="125"/>
      <c r="AL34" s="148"/>
      <c r="AM34" s="150"/>
      <c r="AN34" s="150"/>
      <c r="AO34" s="212"/>
      <c r="AP34" s="143"/>
      <c r="AQ34" s="125"/>
      <c r="AR34" s="166"/>
      <c r="AS34" s="166"/>
    </row>
    <row r="35" spans="1:45" ht="16.5" customHeight="1">
      <c r="A35" s="130">
        <v>23</v>
      </c>
      <c r="B35" s="125"/>
      <c r="C35" s="141"/>
      <c r="D35" s="133"/>
      <c r="E35" s="133"/>
      <c r="F35" s="133"/>
      <c r="G35" s="133"/>
      <c r="H35" s="125"/>
      <c r="I35" s="141"/>
      <c r="J35" s="133"/>
      <c r="K35" s="133"/>
      <c r="L35" s="148"/>
      <c r="M35" s="133"/>
      <c r="N35" s="212"/>
      <c r="O35" s="133"/>
      <c r="P35" s="125"/>
      <c r="Q35" s="141"/>
      <c r="R35" s="133"/>
      <c r="S35" s="133"/>
      <c r="T35" s="148"/>
      <c r="U35" s="133"/>
      <c r="V35" s="212"/>
      <c r="W35" s="133"/>
      <c r="X35" s="125"/>
      <c r="Y35" s="148"/>
      <c r="Z35" s="133"/>
      <c r="AA35" s="148"/>
      <c r="AB35" s="133"/>
      <c r="AC35" s="133"/>
      <c r="AD35" s="125"/>
      <c r="AE35" s="125"/>
      <c r="AF35" s="148"/>
      <c r="AG35" s="133"/>
      <c r="AH35" s="133"/>
      <c r="AI35" s="212"/>
      <c r="AJ35" s="133"/>
      <c r="AK35" s="125"/>
      <c r="AL35" s="148"/>
      <c r="AM35" s="133"/>
      <c r="AN35" s="133"/>
      <c r="AO35" s="212"/>
      <c r="AP35" s="133"/>
      <c r="AQ35" s="125"/>
      <c r="AR35" s="166"/>
      <c r="AS35" s="166"/>
    </row>
    <row r="36" spans="1:45" ht="16.5" customHeight="1">
      <c r="A36" s="130">
        <v>24</v>
      </c>
      <c r="B36" s="125"/>
      <c r="C36" s="141"/>
      <c r="D36" s="142"/>
      <c r="E36" s="142"/>
      <c r="F36" s="142"/>
      <c r="G36" s="142"/>
      <c r="H36" s="125"/>
      <c r="I36" s="141"/>
      <c r="J36" s="142"/>
      <c r="K36" s="142"/>
      <c r="L36" s="148"/>
      <c r="M36" s="150"/>
      <c r="N36" s="212"/>
      <c r="O36" s="143"/>
      <c r="P36" s="125"/>
      <c r="Q36" s="141"/>
      <c r="R36" s="142"/>
      <c r="S36" s="142"/>
      <c r="T36" s="148"/>
      <c r="U36" s="150"/>
      <c r="V36" s="212"/>
      <c r="W36" s="143"/>
      <c r="X36" s="125"/>
      <c r="Y36" s="148"/>
      <c r="Z36" s="150"/>
      <c r="AA36" s="148"/>
      <c r="AB36" s="150"/>
      <c r="AC36" s="150"/>
      <c r="AD36" s="125"/>
      <c r="AE36" s="125"/>
      <c r="AF36" s="148"/>
      <c r="AG36" s="150"/>
      <c r="AH36" s="150"/>
      <c r="AI36" s="212"/>
      <c r="AJ36" s="143"/>
      <c r="AK36" s="125"/>
      <c r="AL36" s="148"/>
      <c r="AM36" s="150"/>
      <c r="AN36" s="150"/>
      <c r="AO36" s="212"/>
      <c r="AP36" s="143"/>
      <c r="AQ36" s="125"/>
      <c r="AR36" s="166"/>
      <c r="AS36" s="166"/>
    </row>
    <row r="37" spans="1:45" ht="16.5" customHeight="1">
      <c r="A37" s="130">
        <v>25</v>
      </c>
      <c r="B37" s="125"/>
      <c r="C37" s="141"/>
      <c r="D37" s="133"/>
      <c r="E37" s="133"/>
      <c r="F37" s="133"/>
      <c r="G37" s="133"/>
      <c r="H37" s="125"/>
      <c r="I37" s="141"/>
      <c r="J37" s="133"/>
      <c r="K37" s="133"/>
      <c r="L37" s="148"/>
      <c r="M37" s="133"/>
      <c r="N37" s="212"/>
      <c r="O37" s="133"/>
      <c r="P37" s="125"/>
      <c r="Q37" s="141"/>
      <c r="R37" s="133"/>
      <c r="S37" s="133"/>
      <c r="T37" s="148"/>
      <c r="U37" s="133"/>
      <c r="V37" s="212"/>
      <c r="W37" s="133"/>
      <c r="X37" s="125"/>
      <c r="Y37" s="148"/>
      <c r="Z37" s="133"/>
      <c r="AA37" s="148"/>
      <c r="AB37" s="133"/>
      <c r="AC37" s="133"/>
      <c r="AD37" s="125"/>
      <c r="AE37" s="125"/>
      <c r="AF37" s="148"/>
      <c r="AG37" s="133"/>
      <c r="AH37" s="133"/>
      <c r="AI37" s="212"/>
      <c r="AJ37" s="133"/>
      <c r="AK37" s="125"/>
      <c r="AL37" s="148"/>
      <c r="AM37" s="133"/>
      <c r="AN37" s="133"/>
      <c r="AO37" s="212"/>
      <c r="AP37" s="133"/>
      <c r="AQ37" s="125"/>
      <c r="AR37" s="166"/>
      <c r="AS37" s="166"/>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212"/>
      <c r="AJ38" s="133"/>
      <c r="AK38" s="125"/>
      <c r="AL38" s="125"/>
      <c r="AM38" s="125"/>
      <c r="AN38" s="125"/>
      <c r="AO38" s="125"/>
      <c r="AP38" s="125"/>
      <c r="AQ38" s="125"/>
      <c r="AR38" s="166"/>
      <c r="AS38" s="166"/>
    </row>
    <row r="39" spans="1:45">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66"/>
      <c r="AS39" s="166"/>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66"/>
      <c r="AS40" s="166"/>
    </row>
    <row r="41" spans="1:45">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66"/>
      <c r="AS41" s="166"/>
    </row>
    <row r="42" spans="1:45">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66"/>
      <c r="AS42" s="166"/>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66"/>
      <c r="AS43" s="166"/>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66"/>
      <c r="AS44" s="166"/>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66"/>
      <c r="AS45" s="166"/>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66"/>
      <c r="AS46" s="166"/>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66"/>
      <c r="AS47" s="166"/>
    </row>
    <row r="48" spans="1:45">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66"/>
      <c r="AS48" s="166"/>
    </row>
    <row r="49" spans="1:45">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66"/>
      <c r="AS49" s="166"/>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66"/>
      <c r="AS50" s="166"/>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66"/>
      <c r="AS51" s="166"/>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66"/>
      <c r="AS52" s="166"/>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66"/>
      <c r="AS53" s="166"/>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66"/>
      <c r="AS54" s="166"/>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66"/>
      <c r="AS55" s="166"/>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66"/>
      <c r="AS56" s="166"/>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66"/>
      <c r="AS57" s="166"/>
    </row>
  </sheetData>
  <mergeCells count="32">
    <mergeCell ref="Y7:AD7"/>
    <mergeCell ref="AF7:AJ7"/>
    <mergeCell ref="F4:G4"/>
    <mergeCell ref="C5:G5"/>
    <mergeCell ref="AG6:AH6"/>
    <mergeCell ref="C4:E4"/>
    <mergeCell ref="J6:K6"/>
    <mergeCell ref="R6:S6"/>
    <mergeCell ref="AB6:AC6"/>
    <mergeCell ref="C7:G7"/>
    <mergeCell ref="Q5:W5"/>
    <mergeCell ref="F11:G11"/>
    <mergeCell ref="D6:G6"/>
    <mergeCell ref="AL7:AP7"/>
    <mergeCell ref="AL4:AP4"/>
    <mergeCell ref="AL5:AP5"/>
    <mergeCell ref="AM6:AN6"/>
    <mergeCell ref="I11:M11"/>
    <mergeCell ref="Y11:AD11"/>
    <mergeCell ref="AF11:AJ11"/>
    <mergeCell ref="AL11:AP11"/>
    <mergeCell ref="Y4:AD4"/>
    <mergeCell ref="Y5:AD5"/>
    <mergeCell ref="AF4:AJ4"/>
    <mergeCell ref="AF5:AJ5"/>
    <mergeCell ref="C11:E11"/>
    <mergeCell ref="Q4:W4"/>
    <mergeCell ref="Q11:W11"/>
    <mergeCell ref="I4:O4"/>
    <mergeCell ref="I5:O5"/>
    <mergeCell ref="I7:O7"/>
    <mergeCell ref="Q7:W7"/>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CH57"/>
  <sheetViews>
    <sheetView topLeftCell="AR31" zoomScale="90" zoomScaleNormal="90" workbookViewId="0">
      <selection activeCell="BK36" sqref="BK36"/>
    </sheetView>
  </sheetViews>
  <sheetFormatPr baseColWidth="10" defaultRowHeight="15.75"/>
  <cols>
    <col min="1" max="1" width="13.28515625" style="127" bestFit="1" customWidth="1"/>
    <col min="2" max="2" width="1.7109375" style="127" customWidth="1"/>
    <col min="3" max="3" width="11.7109375" style="127" bestFit="1" customWidth="1"/>
    <col min="4" max="4" width="13" style="127" bestFit="1" customWidth="1"/>
    <col min="5" max="5" width="12.7109375" style="127" bestFit="1" customWidth="1"/>
    <col min="6" max="6" width="11.7109375" style="127" customWidth="1"/>
    <col min="7" max="7" width="10.42578125" style="127" bestFit="1" customWidth="1"/>
    <col min="8" max="8" width="6" style="127" bestFit="1" customWidth="1"/>
    <col min="9" max="9" width="11.5703125" style="127" bestFit="1" customWidth="1"/>
    <col min="10" max="10" width="14" style="127" bestFit="1" customWidth="1"/>
    <col min="11" max="11" width="6.42578125" style="127" bestFit="1" customWidth="1"/>
    <col min="12" max="12" width="10.42578125" style="127" bestFit="1" customWidth="1"/>
    <col min="13" max="13" width="6" style="127" bestFit="1" customWidth="1"/>
    <col min="14" max="14" width="11.5703125" style="127" bestFit="1" customWidth="1"/>
    <col min="15" max="15" width="14" style="127" bestFit="1" customWidth="1"/>
    <col min="16" max="16" width="6.42578125" style="127" bestFit="1" customWidth="1"/>
    <col min="17" max="17" width="10.42578125" style="127" bestFit="1" customWidth="1"/>
    <col min="18" max="18" width="7.85546875" style="127" bestFit="1" customWidth="1"/>
    <col min="19" max="19" width="11.5703125" style="127" bestFit="1" customWidth="1"/>
    <col min="20" max="20" width="14" style="127" bestFit="1" customWidth="1"/>
    <col min="21" max="21" width="6.42578125" style="127" bestFit="1" customWidth="1"/>
    <col min="22" max="22" width="10.42578125" style="127" bestFit="1" customWidth="1"/>
    <col min="23" max="23" width="1.7109375" style="127" customWidth="1"/>
    <col min="24" max="24" width="7.85546875" style="127" bestFit="1" customWidth="1"/>
    <col min="25" max="25" width="1.7109375" style="127" customWidth="1"/>
    <col min="26" max="26" width="12.28515625" style="127" bestFit="1" customWidth="1"/>
    <col min="27" max="27" width="12" style="127" bestFit="1" customWidth="1"/>
    <col min="28" max="28" width="11.7109375" style="127" customWidth="1"/>
    <col min="29" max="29" width="14.42578125" style="127" bestFit="1" customWidth="1"/>
    <col min="30" max="30" width="9.28515625" style="127" bestFit="1" customWidth="1"/>
    <col min="31" max="31" width="8.7109375" style="127" bestFit="1" customWidth="1"/>
    <col min="32" max="32" width="12.28515625" style="127" bestFit="1" customWidth="1"/>
    <col min="33" max="36" width="11.7109375" style="127" customWidth="1"/>
    <col min="37" max="37" width="6.85546875" style="127" customWidth="1"/>
    <col min="38" max="38" width="19" style="127" customWidth="1"/>
    <col min="39" max="39" width="1.7109375" style="127" customWidth="1"/>
    <col min="40" max="40" width="12.28515625" style="127" bestFit="1" customWidth="1"/>
    <col min="41" max="42" width="11.7109375" style="127" customWidth="1"/>
    <col min="43" max="43" width="12.28515625" style="127" bestFit="1" customWidth="1"/>
    <col min="44" max="45" width="11.7109375" style="127" customWidth="1"/>
    <col min="46" max="46" width="12.28515625" style="127" bestFit="1" customWidth="1"/>
    <col min="47" max="48" width="11.7109375" style="127" customWidth="1"/>
    <col min="49" max="49" width="1.7109375" style="127" customWidth="1"/>
    <col min="50" max="50" width="12.28515625" style="127" bestFit="1" customWidth="1"/>
    <col min="51" max="52" width="11.7109375" style="127" customWidth="1"/>
    <col min="53" max="53" width="12" style="127" bestFit="1" customWidth="1"/>
    <col min="54" max="55" width="11.7109375" style="127" customWidth="1"/>
    <col min="56" max="56" width="12.28515625" style="127" bestFit="1" customWidth="1"/>
    <col min="57" max="58" width="11.7109375" style="127" customWidth="1"/>
    <col min="59" max="59" width="1.7109375" style="127" customWidth="1"/>
    <col min="60" max="60" width="12.28515625" style="127" bestFit="1" customWidth="1"/>
    <col min="61" max="62" width="11.7109375" style="127" customWidth="1"/>
    <col min="63" max="63" width="12.28515625" style="127" bestFit="1" customWidth="1"/>
    <col min="64" max="65" width="11.7109375" style="127" customWidth="1"/>
    <col min="66" max="66" width="12.28515625" style="127" bestFit="1" customWidth="1"/>
    <col min="67" max="68" width="11.7109375" style="127" customWidth="1"/>
    <col min="69" max="69" width="13" style="127" customWidth="1"/>
    <col min="70" max="70" width="11.7109375" style="127" customWidth="1"/>
    <col min="71" max="71" width="1.7109375" style="127" customWidth="1"/>
    <col min="72" max="86" width="11.42578125" style="151"/>
    <col min="87" max="16384" width="11.42578125" style="127"/>
  </cols>
  <sheetData>
    <row r="1" spans="1:86">
      <c r="A1" s="108" t="s">
        <v>329</v>
      </c>
      <c r="B1" s="125"/>
      <c r="C1" s="125"/>
      <c r="D1" s="125"/>
      <c r="E1" s="125"/>
      <c r="F1" s="125"/>
      <c r="G1" s="125"/>
      <c r="H1" s="125"/>
      <c r="I1" s="125"/>
      <c r="J1" s="125"/>
      <c r="K1" s="126"/>
      <c r="L1" s="126"/>
      <c r="M1" s="126"/>
      <c r="N1" s="126"/>
      <c r="O1" s="126"/>
      <c r="P1" s="126"/>
      <c r="Q1" s="126"/>
      <c r="R1" s="126"/>
      <c r="S1" s="126"/>
      <c r="T1" s="126"/>
      <c r="U1" s="126"/>
      <c r="V1" s="126"/>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row>
    <row r="2" spans="1:86" ht="21">
      <c r="A2" s="13" t="s">
        <v>444</v>
      </c>
      <c r="B2" s="125"/>
      <c r="C2" s="241" t="s">
        <v>797</v>
      </c>
      <c r="D2" s="241"/>
      <c r="E2" s="241"/>
      <c r="F2" s="241"/>
      <c r="G2" s="241"/>
      <c r="H2" s="241"/>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125"/>
    </row>
    <row r="3" spans="1:8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row>
    <row r="4" spans="1:86" ht="16.5" thickBot="1">
      <c r="A4" s="35" t="s">
        <v>446</v>
      </c>
      <c r="B4" s="125"/>
      <c r="C4" s="1648" t="s">
        <v>863</v>
      </c>
      <c r="D4" s="1649"/>
      <c r="E4" s="1649"/>
      <c r="F4" s="1649"/>
      <c r="G4" s="1649"/>
      <c r="H4" s="1649"/>
      <c r="I4" s="1649"/>
      <c r="J4" s="1649"/>
      <c r="K4" s="1649"/>
      <c r="L4" s="1649"/>
      <c r="M4" s="1649"/>
      <c r="N4" s="1649"/>
      <c r="O4" s="1649"/>
      <c r="P4" s="1649"/>
      <c r="Q4" s="1649"/>
      <c r="R4" s="1649"/>
      <c r="S4" s="1649"/>
      <c r="T4" s="1649"/>
      <c r="U4" s="1649"/>
      <c r="V4" s="1650"/>
      <c r="W4" s="125"/>
      <c r="X4" s="125"/>
      <c r="Y4" s="125"/>
      <c r="Z4" s="1648" t="s">
        <v>799</v>
      </c>
      <c r="AA4" s="1646"/>
      <c r="AB4" s="1646"/>
      <c r="AC4" s="1646"/>
      <c r="AD4" s="1647"/>
      <c r="AE4" s="125"/>
      <c r="AF4" s="1648" t="s">
        <v>799</v>
      </c>
      <c r="AG4" s="1649"/>
      <c r="AH4" s="1649"/>
      <c r="AI4" s="1649"/>
      <c r="AJ4" s="1649"/>
      <c r="AK4" s="1649"/>
      <c r="AL4" s="1650"/>
      <c r="AM4" s="125"/>
      <c r="AN4" s="1648" t="s">
        <v>800</v>
      </c>
      <c r="AO4" s="1649"/>
      <c r="AP4" s="1649"/>
      <c r="AQ4" s="1649"/>
      <c r="AR4" s="1649"/>
      <c r="AS4" s="1649"/>
      <c r="AT4" s="1649"/>
      <c r="AU4" s="1649"/>
      <c r="AV4" s="1650"/>
      <c r="AW4" s="125"/>
      <c r="AX4" s="1648" t="s">
        <v>800</v>
      </c>
      <c r="AY4" s="1649"/>
      <c r="AZ4" s="1649"/>
      <c r="BA4" s="1649"/>
      <c r="BB4" s="1649"/>
      <c r="BC4" s="1649"/>
      <c r="BD4" s="1649"/>
      <c r="BE4" s="1649"/>
      <c r="BF4" s="1650"/>
      <c r="BG4" s="125"/>
      <c r="BH4" s="1648" t="s">
        <v>800</v>
      </c>
      <c r="BI4" s="1649"/>
      <c r="BJ4" s="1649"/>
      <c r="BK4" s="1649"/>
      <c r="BL4" s="1649"/>
      <c r="BM4" s="1649"/>
      <c r="BN4" s="1649"/>
      <c r="BO4" s="1649"/>
      <c r="BP4" s="1649"/>
      <c r="BQ4" s="1649"/>
      <c r="BR4" s="1650"/>
      <c r="BS4" s="125"/>
    </row>
    <row r="5" spans="1:86" ht="16.5" thickBot="1">
      <c r="A5" s="135" t="s">
        <v>445</v>
      </c>
      <c r="B5" s="125"/>
      <c r="C5" s="1648" t="s">
        <v>858</v>
      </c>
      <c r="D5" s="1649"/>
      <c r="E5" s="1649"/>
      <c r="F5" s="1649"/>
      <c r="G5" s="1649"/>
      <c r="H5" s="1649"/>
      <c r="I5" s="1649"/>
      <c r="J5" s="1649"/>
      <c r="K5" s="1649"/>
      <c r="L5" s="1649"/>
      <c r="M5" s="1649"/>
      <c r="N5" s="1649"/>
      <c r="O5" s="1649"/>
      <c r="P5" s="1649"/>
      <c r="Q5" s="1649"/>
      <c r="R5" s="1649"/>
      <c r="S5" s="1649"/>
      <c r="T5" s="1649"/>
      <c r="U5" s="1649"/>
      <c r="V5" s="1650"/>
      <c r="W5" s="125"/>
      <c r="X5" s="125"/>
      <c r="Y5" s="125"/>
      <c r="Z5" s="1648" t="s">
        <v>504</v>
      </c>
      <c r="AA5" s="1646"/>
      <c r="AB5" s="1646"/>
      <c r="AC5" s="1646"/>
      <c r="AD5" s="1647"/>
      <c r="AE5" s="125"/>
      <c r="AF5" s="1648" t="s">
        <v>505</v>
      </c>
      <c r="AG5" s="1649"/>
      <c r="AH5" s="1649"/>
      <c r="AI5" s="1649"/>
      <c r="AJ5" s="1649"/>
      <c r="AK5" s="1649"/>
      <c r="AL5" s="1650"/>
      <c r="AM5" s="125"/>
      <c r="AN5" s="1648" t="s">
        <v>506</v>
      </c>
      <c r="AO5" s="1649"/>
      <c r="AP5" s="1649"/>
      <c r="AQ5" s="1649"/>
      <c r="AR5" s="1649"/>
      <c r="AS5" s="1649"/>
      <c r="AT5" s="1649"/>
      <c r="AU5" s="1649"/>
      <c r="AV5" s="1650"/>
      <c r="AW5" s="125"/>
      <c r="AX5" s="1648" t="s">
        <v>516</v>
      </c>
      <c r="AY5" s="1649"/>
      <c r="AZ5" s="1649"/>
      <c r="BA5" s="1649"/>
      <c r="BB5" s="1649"/>
      <c r="BC5" s="1649"/>
      <c r="BD5" s="1649"/>
      <c r="BE5" s="1649"/>
      <c r="BF5" s="1650"/>
      <c r="BG5" s="125"/>
      <c r="BH5" s="1648" t="s">
        <v>515</v>
      </c>
      <c r="BI5" s="1649"/>
      <c r="BJ5" s="1649"/>
      <c r="BK5" s="1649"/>
      <c r="BL5" s="1649"/>
      <c r="BM5" s="1649"/>
      <c r="BN5" s="1649"/>
      <c r="BO5" s="1649"/>
      <c r="BP5" s="1649"/>
      <c r="BQ5" s="1649"/>
      <c r="BR5" s="1650"/>
      <c r="BS5" s="125"/>
    </row>
    <row r="6" spans="1:86" ht="16.5" thickBot="1">
      <c r="A6" s="125"/>
      <c r="B6" s="125"/>
      <c r="C6" s="125"/>
      <c r="D6" s="1667" t="s">
        <v>801</v>
      </c>
      <c r="E6" s="1667"/>
      <c r="F6" s="1667"/>
      <c r="G6" s="1668"/>
      <c r="H6" s="130"/>
      <c r="I6" s="1648" t="s">
        <v>802</v>
      </c>
      <c r="J6" s="1649"/>
      <c r="K6" s="1649"/>
      <c r="L6" s="1650"/>
      <c r="M6" s="130"/>
      <c r="N6" s="1648" t="s">
        <v>803</v>
      </c>
      <c r="O6" s="1649"/>
      <c r="P6" s="1649"/>
      <c r="Q6" s="1650"/>
      <c r="R6" s="130"/>
      <c r="S6" s="1648" t="s">
        <v>804</v>
      </c>
      <c r="T6" s="1649"/>
      <c r="U6" s="1649"/>
      <c r="V6" s="1650"/>
      <c r="W6" s="125"/>
      <c r="X6" s="125"/>
      <c r="Y6" s="125"/>
      <c r="Z6" s="125"/>
      <c r="AA6" s="247">
        <v>1</v>
      </c>
      <c r="AB6" s="248">
        <v>2</v>
      </c>
      <c r="AC6" s="248">
        <v>3</v>
      </c>
      <c r="AD6" s="248">
        <v>4</v>
      </c>
      <c r="AE6" s="125"/>
      <c r="AF6" s="125"/>
      <c r="AG6" s="1648" t="s">
        <v>543</v>
      </c>
      <c r="AH6" s="1647"/>
      <c r="AI6" s="1648" t="s">
        <v>544</v>
      </c>
      <c r="AJ6" s="1647"/>
      <c r="AK6" s="125"/>
      <c r="AL6" s="245" t="s">
        <v>775</v>
      </c>
      <c r="AM6" s="125"/>
      <c r="AN6" s="125"/>
      <c r="AO6" s="1648" t="s">
        <v>545</v>
      </c>
      <c r="AP6" s="1650"/>
      <c r="AQ6" s="125"/>
      <c r="AR6" s="1648" t="s">
        <v>546</v>
      </c>
      <c r="AS6" s="1650"/>
      <c r="AT6" s="125"/>
      <c r="AU6" s="1648" t="s">
        <v>547</v>
      </c>
      <c r="AV6" s="1650"/>
      <c r="AW6" s="125"/>
      <c r="AX6" s="125"/>
      <c r="AY6" s="1648" t="s">
        <v>545</v>
      </c>
      <c r="AZ6" s="1650"/>
      <c r="BA6" s="125"/>
      <c r="BB6" s="1648" t="s">
        <v>546</v>
      </c>
      <c r="BC6" s="1650"/>
      <c r="BD6" s="125"/>
      <c r="BE6" s="1648" t="s">
        <v>547</v>
      </c>
      <c r="BF6" s="1650"/>
      <c r="BG6" s="125"/>
      <c r="BH6" s="125"/>
      <c r="BI6" s="1648" t="s">
        <v>545</v>
      </c>
      <c r="BJ6" s="1650"/>
      <c r="BK6" s="125"/>
      <c r="BL6" s="1648" t="s">
        <v>546</v>
      </c>
      <c r="BM6" s="1650"/>
      <c r="BN6" s="125"/>
      <c r="BO6" s="1648" t="s">
        <v>547</v>
      </c>
      <c r="BP6" s="1650"/>
      <c r="BQ6" s="125"/>
      <c r="BR6" s="250" t="s">
        <v>633</v>
      </c>
      <c r="BS6" s="125"/>
    </row>
    <row r="7" spans="1:86" ht="16.5" thickBot="1">
      <c r="A7" s="125"/>
      <c r="B7" s="125"/>
      <c r="C7" s="125"/>
      <c r="D7" s="146" t="s">
        <v>426</v>
      </c>
      <c r="E7" s="146" t="s">
        <v>427</v>
      </c>
      <c r="F7" s="125"/>
      <c r="G7" s="245" t="s">
        <v>774</v>
      </c>
      <c r="H7" s="130"/>
      <c r="I7" s="146" t="s">
        <v>426</v>
      </c>
      <c r="J7" s="146" t="s">
        <v>427</v>
      </c>
      <c r="K7" s="125"/>
      <c r="L7" s="245" t="s">
        <v>774</v>
      </c>
      <c r="M7" s="130"/>
      <c r="N7" s="146" t="s">
        <v>426</v>
      </c>
      <c r="O7" s="146" t="s">
        <v>427</v>
      </c>
      <c r="P7" s="125"/>
      <c r="Q7" s="245" t="s">
        <v>774</v>
      </c>
      <c r="R7" s="130"/>
      <c r="S7" s="146" t="s">
        <v>426</v>
      </c>
      <c r="T7" s="146" t="s">
        <v>427</v>
      </c>
      <c r="U7" s="125"/>
      <c r="V7" s="245" t="s">
        <v>774</v>
      </c>
      <c r="W7" s="125"/>
      <c r="X7" s="125"/>
      <c r="Y7" s="125"/>
      <c r="Z7" s="1638" t="s">
        <v>847</v>
      </c>
      <c r="AA7" s="1639"/>
      <c r="AB7" s="1639"/>
      <c r="AC7" s="1639"/>
      <c r="AD7" s="1639"/>
      <c r="AE7" s="125"/>
      <c r="AF7" s="1671" t="s">
        <v>848</v>
      </c>
      <c r="AG7" s="1672"/>
      <c r="AH7" s="1672"/>
      <c r="AI7" s="1672"/>
      <c r="AJ7" s="1672"/>
      <c r="AK7" s="1672"/>
      <c r="AL7" s="1672"/>
      <c r="AM7" s="125"/>
      <c r="AN7" s="1657" t="s">
        <v>849</v>
      </c>
      <c r="AO7" s="1658"/>
      <c r="AP7" s="1658"/>
      <c r="AQ7" s="1658"/>
      <c r="AR7" s="1658"/>
      <c r="AS7" s="1658"/>
      <c r="AT7" s="1658"/>
      <c r="AU7" s="1658"/>
      <c r="AV7" s="1658"/>
      <c r="AW7" s="125"/>
      <c r="AX7" s="1657" t="s">
        <v>850</v>
      </c>
      <c r="AY7" s="1658"/>
      <c r="AZ7" s="1658"/>
      <c r="BA7" s="1658"/>
      <c r="BB7" s="1658"/>
      <c r="BC7" s="1658"/>
      <c r="BD7" s="1658"/>
      <c r="BE7" s="1658"/>
      <c r="BF7" s="1658"/>
      <c r="BG7" s="125"/>
      <c r="BH7" s="1657" t="s">
        <v>851</v>
      </c>
      <c r="BI7" s="1658"/>
      <c r="BJ7" s="1658"/>
      <c r="BK7" s="1658"/>
      <c r="BL7" s="1658"/>
      <c r="BM7" s="1658"/>
      <c r="BN7" s="1658"/>
      <c r="BO7" s="1658"/>
      <c r="BP7" s="1658"/>
      <c r="BQ7" s="1658"/>
      <c r="BR7" s="1658"/>
      <c r="BS7" s="125"/>
    </row>
    <row r="8" spans="1:86" ht="16.5" thickBot="1">
      <c r="A8" s="146" t="s">
        <v>645</v>
      </c>
      <c r="B8" s="125"/>
      <c r="C8" s="146" t="s">
        <v>636</v>
      </c>
      <c r="D8" s="182" t="s">
        <v>859</v>
      </c>
      <c r="E8" s="182" t="s">
        <v>859</v>
      </c>
      <c r="F8" s="154" t="s">
        <v>638</v>
      </c>
      <c r="G8" s="154" t="s">
        <v>637</v>
      </c>
      <c r="H8" s="130"/>
      <c r="I8" s="182" t="s">
        <v>859</v>
      </c>
      <c r="J8" s="182" t="s">
        <v>859</v>
      </c>
      <c r="K8" s="154" t="s">
        <v>638</v>
      </c>
      <c r="L8" s="154" t="s">
        <v>637</v>
      </c>
      <c r="M8" s="130"/>
      <c r="N8" s="182" t="s">
        <v>859</v>
      </c>
      <c r="O8" s="182" t="s">
        <v>859</v>
      </c>
      <c r="P8" s="154" t="s">
        <v>638</v>
      </c>
      <c r="Q8" s="154" t="s">
        <v>637</v>
      </c>
      <c r="R8" s="130"/>
      <c r="S8" s="182" t="s">
        <v>859</v>
      </c>
      <c r="T8" s="182" t="s">
        <v>859</v>
      </c>
      <c r="U8" s="154" t="s">
        <v>638</v>
      </c>
      <c r="V8" s="154" t="s">
        <v>637</v>
      </c>
      <c r="W8" s="125"/>
      <c r="X8" s="178"/>
      <c r="Y8" s="125"/>
      <c r="Z8" s="146" t="s">
        <v>636</v>
      </c>
      <c r="AA8" s="146" t="s">
        <v>426</v>
      </c>
      <c r="AB8" s="146" t="s">
        <v>426</v>
      </c>
      <c r="AC8" s="146" t="s">
        <v>426</v>
      </c>
      <c r="AD8" s="146" t="s">
        <v>426</v>
      </c>
      <c r="AE8" s="178" t="s">
        <v>503</v>
      </c>
      <c r="AF8" s="146" t="s">
        <v>636</v>
      </c>
      <c r="AG8" s="146" t="s">
        <v>426</v>
      </c>
      <c r="AH8" s="146" t="s">
        <v>427</v>
      </c>
      <c r="AI8" s="146" t="s">
        <v>426</v>
      </c>
      <c r="AJ8" s="146" t="s">
        <v>427</v>
      </c>
      <c r="AK8" s="126"/>
      <c r="AL8" s="126"/>
      <c r="AM8" s="125"/>
      <c r="AN8" s="146" t="s">
        <v>636</v>
      </c>
      <c r="AO8" s="146" t="s">
        <v>426</v>
      </c>
      <c r="AP8" s="146" t="s">
        <v>427</v>
      </c>
      <c r="AQ8" s="146" t="s">
        <v>636</v>
      </c>
      <c r="AR8" s="146" t="s">
        <v>426</v>
      </c>
      <c r="AS8" s="146" t="s">
        <v>427</v>
      </c>
      <c r="AT8" s="146" t="s">
        <v>636</v>
      </c>
      <c r="AU8" s="146" t="s">
        <v>426</v>
      </c>
      <c r="AV8" s="146" t="s">
        <v>427</v>
      </c>
      <c r="AW8" s="125"/>
      <c r="AX8" s="146" t="s">
        <v>636</v>
      </c>
      <c r="AY8" s="146" t="s">
        <v>426</v>
      </c>
      <c r="AZ8" s="146" t="s">
        <v>427</v>
      </c>
      <c r="BA8" s="146" t="s">
        <v>636</v>
      </c>
      <c r="BB8" s="146" t="s">
        <v>426</v>
      </c>
      <c r="BC8" s="146" t="s">
        <v>427</v>
      </c>
      <c r="BD8" s="146" t="s">
        <v>636</v>
      </c>
      <c r="BE8" s="146" t="s">
        <v>426</v>
      </c>
      <c r="BF8" s="146" t="s">
        <v>427</v>
      </c>
      <c r="BG8" s="125"/>
      <c r="BH8" s="146" t="s">
        <v>636</v>
      </c>
      <c r="BI8" s="146" t="s">
        <v>426</v>
      </c>
      <c r="BJ8" s="146" t="s">
        <v>427</v>
      </c>
      <c r="BK8" s="146" t="s">
        <v>636</v>
      </c>
      <c r="BL8" s="146" t="s">
        <v>426</v>
      </c>
      <c r="BM8" s="146" t="s">
        <v>427</v>
      </c>
      <c r="BN8" s="146" t="s">
        <v>636</v>
      </c>
      <c r="BO8" s="146" t="s">
        <v>426</v>
      </c>
      <c r="BP8" s="146" t="s">
        <v>427</v>
      </c>
      <c r="BQ8" s="154" t="s">
        <v>638</v>
      </c>
      <c r="BR8" s="154" t="s">
        <v>637</v>
      </c>
      <c r="BS8" s="125"/>
    </row>
    <row r="9" spans="1:86" s="129" customFormat="1" ht="16.5" thickBot="1">
      <c r="A9" s="216" t="s">
        <v>644</v>
      </c>
      <c r="B9" s="126"/>
      <c r="C9" s="126"/>
      <c r="D9" s="218">
        <v>1</v>
      </c>
      <c r="E9" s="218">
        <v>1</v>
      </c>
      <c r="F9" s="126"/>
      <c r="G9" s="218">
        <v>1</v>
      </c>
      <c r="H9" s="130"/>
      <c r="I9" s="218">
        <v>0</v>
      </c>
      <c r="J9" s="218">
        <v>0</v>
      </c>
      <c r="K9" s="126"/>
      <c r="L9" s="218">
        <v>1</v>
      </c>
      <c r="M9" s="130"/>
      <c r="N9" s="218">
        <v>0</v>
      </c>
      <c r="O9" s="218">
        <v>0</v>
      </c>
      <c r="P9" s="126"/>
      <c r="Q9" s="218">
        <v>1</v>
      </c>
      <c r="R9" s="130"/>
      <c r="S9" s="218">
        <v>0</v>
      </c>
      <c r="T9" s="218">
        <v>0</v>
      </c>
      <c r="U9" s="126"/>
      <c r="V9" s="218">
        <v>1</v>
      </c>
      <c r="W9" s="126"/>
      <c r="X9" s="178"/>
      <c r="Y9" s="126"/>
      <c r="Z9" s="126"/>
      <c r="AA9" s="218">
        <v>1</v>
      </c>
      <c r="AB9" s="218">
        <v>1</v>
      </c>
      <c r="AC9" s="218">
        <v>1</v>
      </c>
      <c r="AD9" s="218">
        <v>1</v>
      </c>
      <c r="AE9" s="178" t="s">
        <v>440</v>
      </c>
      <c r="AF9" s="126"/>
      <c r="AG9" s="218">
        <v>1</v>
      </c>
      <c r="AH9" s="218">
        <v>1</v>
      </c>
      <c r="AI9" s="218">
        <v>1</v>
      </c>
      <c r="AJ9" s="218">
        <v>1</v>
      </c>
      <c r="AK9" s="1665" t="s">
        <v>812</v>
      </c>
      <c r="AL9" s="1670"/>
      <c r="AM9" s="126"/>
      <c r="AN9" s="126"/>
      <c r="AO9" s="218">
        <v>1</v>
      </c>
      <c r="AP9" s="218">
        <v>1</v>
      </c>
      <c r="AQ9" s="126"/>
      <c r="AR9" s="218">
        <v>1</v>
      </c>
      <c r="AS9" s="218">
        <v>1</v>
      </c>
      <c r="AT9" s="126"/>
      <c r="AU9" s="218">
        <v>1</v>
      </c>
      <c r="AV9" s="218">
        <v>1</v>
      </c>
      <c r="AW9" s="126"/>
      <c r="AX9" s="126"/>
      <c r="AY9" s="218">
        <v>1</v>
      </c>
      <c r="AZ9" s="218">
        <v>1</v>
      </c>
      <c r="BA9" s="126"/>
      <c r="BB9" s="218">
        <v>1</v>
      </c>
      <c r="BC9" s="218">
        <v>1</v>
      </c>
      <c r="BD9" s="126"/>
      <c r="BE9" s="218">
        <v>1</v>
      </c>
      <c r="BF9" s="218">
        <v>1</v>
      </c>
      <c r="BG9" s="126"/>
      <c r="BH9" s="126"/>
      <c r="BI9" s="218">
        <v>1</v>
      </c>
      <c r="BJ9" s="218">
        <v>1</v>
      </c>
      <c r="BK9" s="126"/>
      <c r="BL9" s="218">
        <v>1</v>
      </c>
      <c r="BM9" s="218">
        <v>1</v>
      </c>
      <c r="BN9" s="126"/>
      <c r="BO9" s="218">
        <v>1</v>
      </c>
      <c r="BP9" s="218">
        <v>1</v>
      </c>
      <c r="BQ9" s="237"/>
      <c r="BR9" s="218">
        <v>1</v>
      </c>
      <c r="BS9" s="126"/>
      <c r="BT9" s="152"/>
      <c r="BU9" s="152"/>
      <c r="BV9" s="152"/>
      <c r="BW9" s="152"/>
      <c r="BX9" s="152"/>
      <c r="BY9" s="152"/>
      <c r="BZ9" s="152"/>
      <c r="CA9" s="152"/>
      <c r="CB9" s="152"/>
      <c r="CC9" s="152"/>
      <c r="CD9" s="152"/>
      <c r="CE9" s="152"/>
      <c r="CF9" s="152"/>
      <c r="CG9" s="152"/>
      <c r="CH9" s="152"/>
    </row>
    <row r="10" spans="1:86" s="228" customFormat="1">
      <c r="A10" s="220" t="s">
        <v>642</v>
      </c>
      <c r="B10" s="221"/>
      <c r="C10" s="221"/>
      <c r="D10" s="222">
        <f>COUNT(D13:D37)</f>
        <v>4</v>
      </c>
      <c r="E10" s="222">
        <f>COUNT(E13:E37)</f>
        <v>4</v>
      </c>
      <c r="F10" s="221"/>
      <c r="G10" s="222">
        <f>COUNT(PINNAE_Prod!G13:G37)</f>
        <v>3</v>
      </c>
      <c r="H10" s="222"/>
      <c r="I10" s="222">
        <f t="shared" ref="I10:V10" si="0">COUNT(I13:I37)</f>
        <v>4</v>
      </c>
      <c r="J10" s="222">
        <f t="shared" si="0"/>
        <v>4</v>
      </c>
      <c r="K10" s="222"/>
      <c r="L10" s="222">
        <f t="shared" si="0"/>
        <v>3</v>
      </c>
      <c r="M10" s="130"/>
      <c r="N10" s="222">
        <f t="shared" si="0"/>
        <v>4</v>
      </c>
      <c r="O10" s="222">
        <f t="shared" si="0"/>
        <v>4</v>
      </c>
      <c r="P10" s="222"/>
      <c r="Q10" s="222">
        <f t="shared" si="0"/>
        <v>3</v>
      </c>
      <c r="R10" s="222"/>
      <c r="S10" s="222">
        <f t="shared" si="0"/>
        <v>4</v>
      </c>
      <c r="T10" s="222">
        <f t="shared" si="0"/>
        <v>4</v>
      </c>
      <c r="U10" s="222"/>
      <c r="V10" s="222">
        <f t="shared" si="0"/>
        <v>3</v>
      </c>
      <c r="W10" s="221"/>
      <c r="X10" s="221"/>
      <c r="Y10" s="221"/>
      <c r="Z10" s="221"/>
      <c r="AA10" s="222">
        <f>COUNT(AA13:AA37)</f>
        <v>13</v>
      </c>
      <c r="AB10" s="222">
        <f>COUNT(AB13:AB37)</f>
        <v>13</v>
      </c>
      <c r="AC10" s="222">
        <f>COUNT(AC13:AC37)</f>
        <v>13</v>
      </c>
      <c r="AD10" s="222">
        <f>COUNT(AD13:AD37)</f>
        <v>13</v>
      </c>
      <c r="AE10" s="229"/>
      <c r="AF10" s="221"/>
      <c r="AG10" s="222">
        <f>COUNT(AG13:AG37)</f>
        <v>13</v>
      </c>
      <c r="AH10" s="222">
        <f>COUNT(AH13:AH37)</f>
        <v>13</v>
      </c>
      <c r="AI10" s="222">
        <f>COUNT(AI13:AI37)</f>
        <v>13</v>
      </c>
      <c r="AJ10" s="222">
        <f>COUNT(AJ13:AJ37)</f>
        <v>13</v>
      </c>
      <c r="AK10" s="221"/>
      <c r="AL10" s="221"/>
      <c r="AM10" s="221"/>
      <c r="AN10" s="221"/>
      <c r="AO10" s="222">
        <f>COUNT(AO13:AO37)</f>
        <v>17</v>
      </c>
      <c r="AP10" s="222">
        <f>COUNT(AP13:AP37)</f>
        <v>17</v>
      </c>
      <c r="AQ10" s="221"/>
      <c r="AR10" s="222">
        <f>COUNT(AR13:AR37)</f>
        <v>12</v>
      </c>
      <c r="AS10" s="222">
        <f>COUNT(AS13:AS37)</f>
        <v>12</v>
      </c>
      <c r="AT10" s="221"/>
      <c r="AU10" s="222">
        <f>COUNT(AU13:AU37)</f>
        <v>18</v>
      </c>
      <c r="AV10" s="222">
        <f>COUNT(AV13:AV37)</f>
        <v>18</v>
      </c>
      <c r="AW10" s="221"/>
      <c r="AX10" s="221"/>
      <c r="AY10" s="222">
        <f>COUNT(AY13:AY37)</f>
        <v>17</v>
      </c>
      <c r="AZ10" s="222">
        <f>COUNT(AZ13:AZ37)</f>
        <v>17</v>
      </c>
      <c r="BA10" s="221"/>
      <c r="BB10" s="222">
        <f>COUNT(BB13:BB37)</f>
        <v>12</v>
      </c>
      <c r="BC10" s="222">
        <f>COUNT(BC13:BC37)</f>
        <v>12</v>
      </c>
      <c r="BD10" s="221"/>
      <c r="BE10" s="222">
        <f>COUNT(BE13:BE37)</f>
        <v>18</v>
      </c>
      <c r="BF10" s="222">
        <f>COUNT(BF13:BF37)</f>
        <v>18</v>
      </c>
      <c r="BG10" s="221"/>
      <c r="BH10" s="221"/>
      <c r="BI10" s="222">
        <f>COUNT(BI13:BI37)</f>
        <v>17</v>
      </c>
      <c r="BJ10" s="222">
        <f>COUNT(BJ13:BJ37)</f>
        <v>17</v>
      </c>
      <c r="BK10" s="221"/>
      <c r="BL10" s="222">
        <f>COUNT(BL13:BL37)</f>
        <v>12</v>
      </c>
      <c r="BM10" s="222">
        <f>COUNT(BM13:BM37)</f>
        <v>12</v>
      </c>
      <c r="BN10" s="221"/>
      <c r="BO10" s="222">
        <f>COUNT(BO13:BO37)</f>
        <v>18</v>
      </c>
      <c r="BP10" s="222">
        <f>COUNT(BP13:BP37)</f>
        <v>18</v>
      </c>
      <c r="BQ10" s="222"/>
      <c r="BR10" s="222">
        <f>COUNT(BR13:BR37)</f>
        <v>3</v>
      </c>
      <c r="BS10" s="221"/>
      <c r="BT10" s="227"/>
      <c r="BU10" s="227"/>
      <c r="BV10" s="227"/>
      <c r="BW10" s="227"/>
      <c r="BX10" s="227"/>
      <c r="BY10" s="227"/>
      <c r="BZ10" s="227"/>
      <c r="CA10" s="227"/>
      <c r="CB10" s="227"/>
      <c r="CC10" s="227"/>
      <c r="CD10" s="227"/>
      <c r="CE10" s="227"/>
      <c r="CF10" s="227"/>
      <c r="CG10" s="227"/>
      <c r="CH10" s="227"/>
    </row>
    <row r="11" spans="1:86" s="228" customFormat="1" ht="15.75" customHeight="1">
      <c r="A11" s="223" t="s">
        <v>643</v>
      </c>
      <c r="B11" s="221"/>
      <c r="C11" s="263"/>
      <c r="D11" s="1640" t="s">
        <v>887</v>
      </c>
      <c r="E11" s="1640"/>
      <c r="F11" s="1640"/>
      <c r="G11" s="1640"/>
      <c r="H11" s="262"/>
      <c r="I11" s="1640" t="s">
        <v>888</v>
      </c>
      <c r="J11" s="1640"/>
      <c r="K11" s="1640"/>
      <c r="L11" s="1640"/>
      <c r="M11" s="262"/>
      <c r="N11" s="1640" t="s">
        <v>889</v>
      </c>
      <c r="O11" s="1640"/>
      <c r="P11" s="1640"/>
      <c r="Q11" s="1640"/>
      <c r="R11" s="262"/>
      <c r="S11" s="1640" t="s">
        <v>890</v>
      </c>
      <c r="T11" s="1640"/>
      <c r="U11" s="1640"/>
      <c r="V11" s="1640"/>
      <c r="W11" s="221"/>
      <c r="X11" s="221"/>
      <c r="Y11" s="221"/>
      <c r="Z11" s="1640" t="s">
        <v>891</v>
      </c>
      <c r="AA11" s="1640"/>
      <c r="AB11" s="1640"/>
      <c r="AC11" s="1640"/>
      <c r="AD11" s="1640"/>
      <c r="AE11" s="229"/>
      <c r="AF11" s="1640" t="s">
        <v>892</v>
      </c>
      <c r="AG11" s="1640"/>
      <c r="AH11" s="1640"/>
      <c r="AI11" s="1640"/>
      <c r="AJ11" s="1640"/>
      <c r="AK11" s="262"/>
      <c r="AL11" s="1673" t="s">
        <v>1362</v>
      </c>
      <c r="AM11" s="221"/>
      <c r="AN11" s="1640" t="s">
        <v>893</v>
      </c>
      <c r="AO11" s="1640"/>
      <c r="AP11" s="1640"/>
      <c r="AQ11" s="1640" t="s">
        <v>894</v>
      </c>
      <c r="AR11" s="1640"/>
      <c r="AS11" s="1640"/>
      <c r="AT11" s="1640" t="s">
        <v>895</v>
      </c>
      <c r="AU11" s="1640"/>
      <c r="AV11" s="1640"/>
      <c r="AW11" s="221"/>
      <c r="AX11" s="1640" t="s">
        <v>896</v>
      </c>
      <c r="AY11" s="1640"/>
      <c r="AZ11" s="1640"/>
      <c r="BA11" s="1640" t="s">
        <v>897</v>
      </c>
      <c r="BB11" s="1640"/>
      <c r="BC11" s="1640"/>
      <c r="BD11" s="1640" t="s">
        <v>898</v>
      </c>
      <c r="BE11" s="1640"/>
      <c r="BF11" s="1640"/>
      <c r="BG11" s="221"/>
      <c r="BH11" s="1640" t="s">
        <v>899</v>
      </c>
      <c r="BI11" s="1640"/>
      <c r="BJ11" s="1640"/>
      <c r="BK11" s="1640" t="s">
        <v>900</v>
      </c>
      <c r="BL11" s="1640"/>
      <c r="BM11" s="1640"/>
      <c r="BN11" s="1640" t="s">
        <v>901</v>
      </c>
      <c r="BO11" s="1640"/>
      <c r="BP11" s="1640"/>
      <c r="BQ11" s="1640" t="s">
        <v>672</v>
      </c>
      <c r="BR11" s="1640"/>
      <c r="BS11" s="230"/>
      <c r="BT11" s="227"/>
      <c r="BU11" s="227"/>
      <c r="BV11" s="227"/>
      <c r="BW11" s="227"/>
      <c r="BX11" s="227"/>
      <c r="BY11" s="227"/>
      <c r="BZ11" s="227"/>
      <c r="CA11" s="227"/>
      <c r="CB11" s="227"/>
      <c r="CC11" s="227"/>
      <c r="CD11" s="227"/>
      <c r="CE11" s="227"/>
      <c r="CF11" s="227"/>
      <c r="CG11" s="227"/>
      <c r="CH11" s="227"/>
    </row>
    <row r="12" spans="1:86">
      <c r="A12" s="130" t="s">
        <v>317</v>
      </c>
      <c r="B12" s="125"/>
      <c r="C12" s="131" t="s">
        <v>438</v>
      </c>
      <c r="D12" s="131" t="s">
        <v>861</v>
      </c>
      <c r="E12" s="130" t="s">
        <v>4</v>
      </c>
      <c r="F12" s="130" t="s">
        <v>635</v>
      </c>
      <c r="G12" s="130" t="s">
        <v>713</v>
      </c>
      <c r="H12" s="178" t="s">
        <v>440</v>
      </c>
      <c r="I12" s="131" t="s">
        <v>861</v>
      </c>
      <c r="J12" s="130" t="s">
        <v>4</v>
      </c>
      <c r="K12" s="130" t="s">
        <v>635</v>
      </c>
      <c r="L12" s="130" t="s">
        <v>713</v>
      </c>
      <c r="M12" s="178" t="s">
        <v>440</v>
      </c>
      <c r="N12" s="131" t="s">
        <v>861</v>
      </c>
      <c r="O12" s="130" t="s">
        <v>4</v>
      </c>
      <c r="P12" s="130" t="s">
        <v>635</v>
      </c>
      <c r="Q12" s="130" t="s">
        <v>713</v>
      </c>
      <c r="R12" s="178" t="s">
        <v>440</v>
      </c>
      <c r="S12" s="131" t="s">
        <v>861</v>
      </c>
      <c r="T12" s="130" t="s">
        <v>4</v>
      </c>
      <c r="U12" s="130" t="s">
        <v>635</v>
      </c>
      <c r="V12" s="130" t="s">
        <v>713</v>
      </c>
      <c r="W12" s="125"/>
      <c r="X12" s="178" t="s">
        <v>440</v>
      </c>
      <c r="Y12" s="125"/>
      <c r="Z12" s="131" t="s">
        <v>438</v>
      </c>
      <c r="AA12" s="130" t="s">
        <v>4</v>
      </c>
      <c r="AB12" s="130" t="s">
        <v>4</v>
      </c>
      <c r="AC12" s="130" t="s">
        <v>4</v>
      </c>
      <c r="AD12" s="130" t="s">
        <v>4</v>
      </c>
      <c r="AE12" s="179"/>
      <c r="AF12" s="131" t="s">
        <v>438</v>
      </c>
      <c r="AG12" s="130" t="s">
        <v>0</v>
      </c>
      <c r="AH12" s="130" t="s">
        <v>0</v>
      </c>
      <c r="AI12" s="130" t="s">
        <v>0</v>
      </c>
      <c r="AJ12" s="130" t="s">
        <v>0</v>
      </c>
      <c r="AK12" s="126"/>
      <c r="AL12" s="1673"/>
      <c r="AM12" s="125"/>
      <c r="AN12" s="131" t="s">
        <v>438</v>
      </c>
      <c r="AO12" s="131" t="s">
        <v>3</v>
      </c>
      <c r="AP12" s="131" t="s">
        <v>3</v>
      </c>
      <c r="AQ12" s="131" t="s">
        <v>438</v>
      </c>
      <c r="AR12" s="131" t="s">
        <v>3</v>
      </c>
      <c r="AS12" s="131" t="s">
        <v>3</v>
      </c>
      <c r="AT12" s="131" t="s">
        <v>438</v>
      </c>
      <c r="AU12" s="131" t="s">
        <v>3</v>
      </c>
      <c r="AV12" s="131" t="s">
        <v>3</v>
      </c>
      <c r="AW12" s="125"/>
      <c r="AX12" s="131" t="s">
        <v>438</v>
      </c>
      <c r="AY12" s="131" t="s">
        <v>3</v>
      </c>
      <c r="AZ12" s="131" t="s">
        <v>3</v>
      </c>
      <c r="BA12" s="131" t="s">
        <v>438</v>
      </c>
      <c r="BB12" s="131" t="s">
        <v>3</v>
      </c>
      <c r="BC12" s="131" t="s">
        <v>3</v>
      </c>
      <c r="BD12" s="131" t="s">
        <v>438</v>
      </c>
      <c r="BE12" s="131" t="s">
        <v>3</v>
      </c>
      <c r="BF12" s="131" t="s">
        <v>3</v>
      </c>
      <c r="BG12" s="125"/>
      <c r="BH12" s="131" t="s">
        <v>438</v>
      </c>
      <c r="BI12" s="131" t="s">
        <v>3</v>
      </c>
      <c r="BJ12" s="131" t="s">
        <v>3</v>
      </c>
      <c r="BK12" s="131" t="s">
        <v>438</v>
      </c>
      <c r="BL12" s="131" t="s">
        <v>3</v>
      </c>
      <c r="BM12" s="131" t="s">
        <v>3</v>
      </c>
      <c r="BN12" s="131" t="s">
        <v>438</v>
      </c>
      <c r="BO12" s="131" t="s">
        <v>3</v>
      </c>
      <c r="BP12" s="131" t="s">
        <v>3</v>
      </c>
      <c r="BQ12" s="130" t="s">
        <v>635</v>
      </c>
      <c r="BR12" s="130" t="s">
        <v>454</v>
      </c>
      <c r="BS12" s="125"/>
    </row>
    <row r="13" spans="1:86">
      <c r="A13" s="130">
        <v>1</v>
      </c>
      <c r="B13" s="125"/>
      <c r="C13" s="141">
        <v>1</v>
      </c>
      <c r="D13" s="133">
        <f>IF($D$14+($D$15-$D$14)&lt;0,$D$14/2,$D$14-($D$15-$D$14)/($C$15-$C$14))</f>
        <v>12.85</v>
      </c>
      <c r="E13" s="133">
        <f>$E$16*$D$13/$D$16</f>
        <v>0.39173631716779395</v>
      </c>
      <c r="F13" s="212">
        <v>1</v>
      </c>
      <c r="G13" s="133">
        <v>0.5</v>
      </c>
      <c r="H13" s="180">
        <f>D13</f>
        <v>12.85</v>
      </c>
      <c r="I13" s="133">
        <f>IF($I$14+($I$15-$I$14)&lt;0,$I$14/2,$I$14-($I$15-$I$14)/($I$15-$I$14))</f>
        <v>16.600000000000001</v>
      </c>
      <c r="J13" s="133">
        <f>$J$16*$I$13/$I$16</f>
        <v>0.77939822178248275</v>
      </c>
      <c r="K13" s="212">
        <v>1</v>
      </c>
      <c r="L13" s="133">
        <v>0.7</v>
      </c>
      <c r="M13" s="180">
        <f>+D13+I13</f>
        <v>29.450000000000003</v>
      </c>
      <c r="N13" s="163">
        <f>100-I13-D13</f>
        <v>70.550000000000011</v>
      </c>
      <c r="O13" s="133">
        <v>0</v>
      </c>
      <c r="P13" s="212">
        <v>1</v>
      </c>
      <c r="Q13" s="133">
        <v>0.95</v>
      </c>
      <c r="R13" s="180">
        <f>+D13+I13+N13</f>
        <v>100.00000000000001</v>
      </c>
      <c r="S13" s="133">
        <v>0</v>
      </c>
      <c r="T13" s="133">
        <v>0</v>
      </c>
      <c r="U13" s="212">
        <v>1</v>
      </c>
      <c r="V13" s="133">
        <v>1</v>
      </c>
      <c r="W13" s="125"/>
      <c r="X13" s="180">
        <f>D13+I13+N13+S13</f>
        <v>100.00000000000001</v>
      </c>
      <c r="Y13" s="125"/>
      <c r="Z13" s="267">
        <v>0</v>
      </c>
      <c r="AA13" s="200">
        <f>IF('Folioles=disposition&amp;groupes'!$BK$30="",100,'Folioles=disposition&amp;groupes'!$BQ$30)</f>
        <v>100</v>
      </c>
      <c r="AB13" s="200">
        <f>IF('Folioles=disposition&amp;groupes'!$BK$30="",0,'Folioles=disposition&amp;groupes'!$BR$30)</f>
        <v>0</v>
      </c>
      <c r="AC13" s="200">
        <f>IF('Folioles=disposition&amp;groupes'!$BK$30="",0,'Folioles=disposition&amp;groupes'!$BS$30)</f>
        <v>0</v>
      </c>
      <c r="AD13" s="200">
        <f>IF('Folioles=disposition&amp;groupes'!$BK$30="",0,'Folioles=disposition&amp;groupes'!$BT$30)</f>
        <v>0</v>
      </c>
      <c r="AE13" s="180">
        <f t="shared" ref="AE13:AE36" si="1">SUM(AA13:AD13)</f>
        <v>100</v>
      </c>
      <c r="AF13" s="201">
        <v>0</v>
      </c>
      <c r="AG13" s="200">
        <f>IF('Folioles=disposition&amp;groupes'!$CF$52="",2.1,'Folioles=disposition&amp;groupes'!$CG$52)</f>
        <v>3.65</v>
      </c>
      <c r="AH13" s="200">
        <f>IF('Folioles=disposition&amp;groupes'!$CF$52="",1.1,'Folioles=disposition&amp;groupes'!$CH$52)</f>
        <v>0.59707620954112695</v>
      </c>
      <c r="AI13" s="200">
        <f>IF('Folioles=disposition&amp;groupes'!$CF$52="",0.1,'Folioles=disposition&amp;groupes'!$CI$52)</f>
        <v>3.65</v>
      </c>
      <c r="AJ13" s="200">
        <f>IF('Folioles=disposition&amp;groupes'!$CF$52="",0.01,'Folioles=disposition&amp;groupes'!$CJ$52)</f>
        <v>0.59707620954112695</v>
      </c>
      <c r="AK13" s="126"/>
      <c r="AL13" s="1673"/>
      <c r="AM13" s="125"/>
      <c r="AN13" s="201">
        <v>0</v>
      </c>
      <c r="AO13" s="200">
        <f>IF(MIN('Angle rotation pennes (1-1)'!$D$13:$G$13,'Angle rotation pennes (1-1)'!$I$13:$L$13,'Angle rotation pennes (1-1)'!$P$13:$S$13,'Angle rotation pennes (1-1)'!$U$13:$X$13)=0,45,MIN('Angle rotation pennes (1-1)'!$D$13:$G$13,'Angle rotation pennes (1-1)'!$I$13:$L$13,'Angle rotation pennes (1-1)'!$P$13:$S$13,'Angle rotation pennes (1-1)'!$U$13:$X$13))</f>
        <v>-21</v>
      </c>
      <c r="AP13" s="200">
        <v>0</v>
      </c>
      <c r="AQ13" s="267">
        <v>0</v>
      </c>
      <c r="AR13" s="200">
        <v>45</v>
      </c>
      <c r="AS13" s="200">
        <v>0</v>
      </c>
      <c r="AT13" s="201">
        <v>0</v>
      </c>
      <c r="AU13" s="200">
        <f>IF(MIN('Angle rotation pennes (1-1)'!$D$13:$G$13,'Angle rotation pennes (1-1)'!$I$13:$L$13,'Angle rotation pennes (1-1)'!$P$13:$S$13,'Angle rotation pennes (1-1)'!$U$13:$X$13)=0,46.15,MIN('Angle rotation pennes (1-1)'!$D$13:$G$13,'Angle rotation pennes (1-1)'!$I$13:$L$13,'Angle rotation pennes (1-1)'!$P$13:$S$13,'Angle rotation pennes (1-1)'!$U$13:$X$13))</f>
        <v>-21</v>
      </c>
      <c r="AV13" s="200">
        <v>0</v>
      </c>
      <c r="AW13" s="125"/>
      <c r="AX13" s="267">
        <v>0</v>
      </c>
      <c r="AY13" s="105">
        <f>$AL$36*AO13+$AL$37</f>
        <v>14.294185173796306</v>
      </c>
      <c r="AZ13" s="105">
        <v>0</v>
      </c>
      <c r="BA13" s="267">
        <v>0</v>
      </c>
      <c r="BB13" s="105">
        <f>$AL$36*AR13+$AL$37</f>
        <v>34.048456662062833</v>
      </c>
      <c r="BC13" s="105">
        <v>0</v>
      </c>
      <c r="BD13" s="267">
        <v>0</v>
      </c>
      <c r="BE13" s="105">
        <f>$AL$36*AU13+$AL$37</f>
        <v>14.294185173796306</v>
      </c>
      <c r="BF13" s="105">
        <v>0</v>
      </c>
      <c r="BG13" s="125"/>
      <c r="BH13" s="267">
        <v>0</v>
      </c>
      <c r="BI13" s="105">
        <f>IF(MIN('Angle horizontal pennes (1-1)'!$D$13:$G$13,'Angle horizontal pennes (1-1)'!$I$13:$L$13,'Angle horizontal pennes (1-1)'!$P$13:$S$13,'Angle horizontal pennes (1-1)'!$U$13:$X$13)=0,7.4,MIN('Angle horizontal pennes (1-1)'!$D$13:$G$13,'Angle horizontal pennes (1-1)'!$I$13:$L$13,'Angle horizontal pennes (1-1)'!$P$13:$S$13,'Angle horizontal pennes (1-1)'!$U$13:$X$13))</f>
        <v>20.5</v>
      </c>
      <c r="BJ13" s="105">
        <v>0</v>
      </c>
      <c r="BK13" s="267">
        <v>0</v>
      </c>
      <c r="BL13" s="105">
        <f>IF(MIN('Angle horizontal pennes (1-1)'!$D$13:$G$13,'Angle horizontal pennes (1-1)'!$I$13:$L$13,'Angle horizontal pennes (1-1)'!$P$13:$S$13,'Angle horizontal pennes (1-1)'!$U$13:$X$13)=0,10.68,MIN('Angle horizontal pennes (1-1)'!$D$13:$G$13,'Angle horizontal pennes (1-1)'!$I$13:$L$13,'Angle horizontal pennes (1-1)'!$P$13:$S$13,'Angle horizontal pennes (1-1)'!$U$13:$X$13))</f>
        <v>20.5</v>
      </c>
      <c r="BM13" s="105">
        <v>0</v>
      </c>
      <c r="BN13" s="267">
        <v>0</v>
      </c>
      <c r="BO13" s="105">
        <f>IF(MIN('Angle horizontal pennes (1-1)'!$D$13:$G$13,'Angle horizontal pennes (1-1)'!$I$13:$L$13,'Angle horizontal pennes (1-1)'!$P$13:$S$13,'Angle horizontal pennes (1-1)'!$U$13:$X$13)=0,13.95,MIN('Angle horizontal pennes (1-1)'!$D$13:$G$13,'Angle horizontal pennes (1-1)'!$I$13:$L$13,'Angle horizontal pennes (1-1)'!$P$13:$S$13,'Angle horizontal pennes (1-1)'!$U$13:$X$13))</f>
        <v>20.5</v>
      </c>
      <c r="BP13" s="105">
        <v>0</v>
      </c>
      <c r="BQ13" s="212">
        <v>1</v>
      </c>
      <c r="BR13" s="133">
        <v>0.2</v>
      </c>
      <c r="BS13" s="125"/>
    </row>
    <row r="14" spans="1:86">
      <c r="A14" s="130">
        <v>2</v>
      </c>
      <c r="B14" s="125"/>
      <c r="C14" s="141">
        <f>IF('Feuilles=description rejets'!$P$32="",IF('Nervure=pétiole&amp;rachis'!$K$11&lt;100,ROUND('Nervure=pétiole&amp;rachis'!$K$11/3,0),36),'Feuilles=description rejets'!$P$32)</f>
        <v>28</v>
      </c>
      <c r="D14" s="163">
        <f>IF('Feuilles=description rejets'!$P$32="",10,ROUND(100*'Feuilles=description rejets'!$P$38/'Feuilles=description rejets'!$P$37,1))</f>
        <v>12.5</v>
      </c>
      <c r="E14" s="163">
        <f>$E$16*$D$14/$D$16</f>
        <v>0.38106645638890463</v>
      </c>
      <c r="F14" s="212">
        <v>10</v>
      </c>
      <c r="G14" s="143">
        <v>0.8</v>
      </c>
      <c r="H14" s="180">
        <f>D14</f>
        <v>12.5</v>
      </c>
      <c r="I14" s="163">
        <f>IF('Feuilles=description rejets'!$P$32="",14,ROUND(100*'Feuilles=description rejets'!$P$35/'Feuilles=description rejets'!$P$37,1))</f>
        <v>17.600000000000001</v>
      </c>
      <c r="J14" s="163">
        <f>$J$16*$I$14/$I$16</f>
        <v>0.82634992188986134</v>
      </c>
      <c r="K14" s="212">
        <v>10</v>
      </c>
      <c r="L14" s="143">
        <v>0.92</v>
      </c>
      <c r="M14" s="180">
        <f>+D14+I14</f>
        <v>30.1</v>
      </c>
      <c r="N14" s="163">
        <f>100-I14-D14</f>
        <v>69.900000000000006</v>
      </c>
      <c r="O14" s="163">
        <v>0</v>
      </c>
      <c r="P14" s="212">
        <v>10</v>
      </c>
      <c r="Q14" s="143">
        <v>0.98</v>
      </c>
      <c r="R14" s="180">
        <f>+D14+I14+N14</f>
        <v>100</v>
      </c>
      <c r="S14" s="163">
        <v>0</v>
      </c>
      <c r="T14" s="163">
        <v>0</v>
      </c>
      <c r="U14" s="212">
        <v>10</v>
      </c>
      <c r="V14" s="143">
        <v>1</v>
      </c>
      <c r="W14" s="125"/>
      <c r="X14" s="180">
        <f t="shared" ref="X14:X37" si="2">D14+I14+N14+S14</f>
        <v>100</v>
      </c>
      <c r="Y14" s="125"/>
      <c r="Z14" s="267">
        <f>IF('Folioles=disposition&amp;groupes'!$BK$31="",11.5,IF('Folioles=disposition&amp;groupes'!$BK$31=100,11.5,'Folioles=disposition&amp;groupes'!$BK$31))</f>
        <v>3.5</v>
      </c>
      <c r="AA14" s="202">
        <f>IF('Folioles=disposition&amp;groupes'!$BK$31="",100,'Folioles=disposition&amp;groupes'!$BQ$31)</f>
        <v>50</v>
      </c>
      <c r="AB14" s="202">
        <f>IF('Folioles=disposition&amp;groupes'!$BK$31="",0,'Folioles=disposition&amp;groupes'!$BR$31)</f>
        <v>50</v>
      </c>
      <c r="AC14" s="202">
        <f>IF('Folioles=disposition&amp;groupes'!$BK$31="",0,'Folioles=disposition&amp;groupes'!$BS$31)</f>
        <v>0</v>
      </c>
      <c r="AD14" s="202">
        <f>IF('Folioles=disposition&amp;groupes'!$BK$31="",0,'Folioles=disposition&amp;groupes'!$BT$31)</f>
        <v>0</v>
      </c>
      <c r="AE14" s="180">
        <f t="shared" si="1"/>
        <v>100</v>
      </c>
      <c r="AF14" s="201">
        <f>IF('Folioles=disposition&amp;groupes'!$CF$53="",11.5,IF('Folioles=disposition&amp;groupes'!$CF$53=100,11.5,'Folioles=disposition&amp;groupes'!$CF$53))</f>
        <v>3.5</v>
      </c>
      <c r="AG14" s="202">
        <f>IF('Folioles=disposition&amp;groupes'!$CF$53="",2.1,'Folioles=disposition&amp;groupes'!$CG$53)</f>
        <v>9.9500000000000028</v>
      </c>
      <c r="AH14" s="202">
        <f>IF('Folioles=disposition&amp;groupes'!$CF$53="",1.1,'Folioles=disposition&amp;groupes'!$CH$53)</f>
        <v>1.5713582235335983</v>
      </c>
      <c r="AI14" s="202">
        <f>IF('Folioles=disposition&amp;groupes'!$CF$53="",0.1,'Folioles=disposition&amp;groupes'!$CI$53)</f>
        <v>4.5599999999999996</v>
      </c>
      <c r="AJ14" s="202">
        <f>IF('Folioles=disposition&amp;groupes'!$CF$53="",0.01,'Folioles=disposition&amp;groupes'!$CJ$53)</f>
        <v>1.2757742747053644</v>
      </c>
      <c r="AK14" s="126"/>
      <c r="AL14" s="1673"/>
      <c r="AM14" s="125"/>
      <c r="AN14" s="201">
        <f>IF('Angle rotation pennes (1-1)'!$H$70="",19.68,'Angle rotation pennes (1-1)'!$H$70)</f>
        <v>5.3605555861977985</v>
      </c>
      <c r="AO14" s="202">
        <f>IF('Angle rotation pennes (1-1)'!$H$71="",39.4,'Angle rotation pennes (1-1)'!$H$71)</f>
        <v>53.35</v>
      </c>
      <c r="AP14" s="202">
        <f>IF('Angle rotation pennes (1-1)'!$H$72="",10.47,'Angle rotation pennes (1-1)'!$H$72)</f>
        <v>8.980256121069127</v>
      </c>
      <c r="AQ14" s="267">
        <f>IF('Angle rotation pennes (1-1)'!$H$75="",13.83,'Angle rotation pennes (1-1)'!$H$75)</f>
        <v>10</v>
      </c>
      <c r="AR14" s="202">
        <f>IF('Angle rotation pennes (1-1)'!$H$76="",71.13,'Angle rotation pennes (1-1)'!$H$76)</f>
        <v>1.4000000000000057</v>
      </c>
      <c r="AS14" s="202">
        <f>IF('Angle rotation pennes (1-1)'!$H$77="",1.5,'Angle rotation pennes (1-1)'!$H$77)</f>
        <v>84.287128317436455</v>
      </c>
      <c r="AT14" s="201">
        <f>IF('Angle rotation pennes (1-1)'!$H$80="",19.68,'Angle rotation pennes (1-1)'!$H$80)</f>
        <v>5.3605555861977985</v>
      </c>
      <c r="AU14" s="202">
        <f>IF('Angle rotation pennes (1-1)'!$H$81="",84.25,'Angle rotation pennes (1-1)'!$H$81)</f>
        <v>12</v>
      </c>
      <c r="AV14" s="202">
        <f>IF('Angle rotation pennes (1-1)'!$H$82="",19.66,'Angle rotation pennes (1-1)'!$H$82)</f>
        <v>46.669047558312137</v>
      </c>
      <c r="AW14" s="125"/>
      <c r="AX14" s="267">
        <f>IF('Angle rotation pennes (1-1)'!$H$70="",19.68,'Angle rotation pennes (1-1)'!$H$70)</f>
        <v>5.3605555861977985</v>
      </c>
      <c r="AY14" s="107">
        <f t="shared" ref="AY14:AY30" si="3">IF(AX14="","",$AL$36*AO14+$AL$37)</f>
        <v>36.547671312472303</v>
      </c>
      <c r="AZ14" s="107">
        <f>IF('Angle rotation pennes (1-1)'!$H$72="",10.47,'Angle rotation pennes (1-1)'!$H$72)</f>
        <v>8.980256121069127</v>
      </c>
      <c r="BA14" s="267">
        <f>IF('Angle rotation pennes (1-1)'!$H$75="",13.83,'Angle rotation pennes (1-1)'!$H$75)</f>
        <v>10</v>
      </c>
      <c r="BB14" s="107">
        <f t="shared" ref="BB14:BB23" si="4">IF(BA14="","",$AL$36*AR14+$AL$37)</f>
        <v>20.998665194056461</v>
      </c>
      <c r="BC14" s="107">
        <f>IF('Angle rotation pennes (1-1)'!$H$77="",1.5,'Angle rotation pennes (1-1)'!$H$77)</f>
        <v>84.287128317436455</v>
      </c>
      <c r="BD14" s="267">
        <f>IF('Angle rotation pennes (1-1)'!$H$80="",19.68,'Angle rotation pennes (1-1)'!$H$80)</f>
        <v>5.3605555861977985</v>
      </c>
      <c r="BE14" s="107">
        <f t="shared" ref="BE14:BE30" si="5">IF(BD14="","",$AL$36*AU14+$AL$37)</f>
        <v>24.171320917929567</v>
      </c>
      <c r="BF14" s="107">
        <f>IF('Angle rotation pennes (1-1)'!$H$82="",19.66,'Angle rotation pennes (1-1)'!$H$82)</f>
        <v>46.669047558312137</v>
      </c>
      <c r="BG14" s="125"/>
      <c r="BH14" s="267">
        <f>IF('Angle horizontal pennes (1-1)'!$H$70="",19.68,'Angle horizontal pennes (1-1)'!$H$70)</f>
        <v>5.3605555861977985</v>
      </c>
      <c r="BI14" s="107">
        <f>IF('Angle horizontal pennes (1-1)'!$H$71="",16.4,'Angle horizontal pennes (1-1)'!$H$71)</f>
        <v>46.8</v>
      </c>
      <c r="BJ14" s="107">
        <f>IF('Angle horizontal pennes (1-1)'!$H$72="",3.63,'Angle horizontal pennes (1-1)'!$H$72)</f>
        <v>5.3740115370177621</v>
      </c>
      <c r="BK14" s="267">
        <f>IF('Angle horizontal pennes (1-1)'!$H$75="",13.83,'Angle horizontal pennes (1-1)'!$H$75)</f>
        <v>10</v>
      </c>
      <c r="BL14" s="107">
        <f>IF('Angle horizontal pennes (1-1)'!$H$76="",33.05,'Angle horizontal pennes (1-1)'!$H$76)</f>
        <v>32.549999999999997</v>
      </c>
      <c r="BM14" s="107">
        <f>IF('Angle horizontal pennes (1-1)'!$H$77="",0.6,'Angle horizontal pennes (1-1)'!$H$77)</f>
        <v>6.1518289963229842</v>
      </c>
      <c r="BN14" s="267">
        <f>IF('Angle horizontal pennes (1-1)'!$H$80="",19.68,'Angle horizontal pennes (1-1)'!$H$80)</f>
        <v>5.3605555861977985</v>
      </c>
      <c r="BO14" s="107">
        <f>IF('Angle horizontal pennes (1-1)'!$H$81="",17.15,'Angle horizontal pennes (1-1)'!$H$81)</f>
        <v>36</v>
      </c>
      <c r="BP14" s="107">
        <f>IF('Angle horizontal pennes (1-1)'!$H$82="",3.03,'Angle horizontal pennes (1-1)'!$H$82)</f>
        <v>21.920310216782973</v>
      </c>
      <c r="BQ14" s="212">
        <v>5</v>
      </c>
      <c r="BR14" s="143">
        <v>0.8</v>
      </c>
      <c r="BS14" s="125"/>
    </row>
    <row r="15" spans="1:86">
      <c r="A15" s="130">
        <v>3</v>
      </c>
      <c r="B15" s="125"/>
      <c r="C15" s="141">
        <f>IF('Feuilles=description rejets'!$P$34="",IF('Nervure=pétiole&amp;rachis'!$K$11&lt;100,ROUND(2*'Nervure=pétiole&amp;rachis'!$K$11/3,0),67),'Feuilles=description rejets'!$P$34)</f>
        <v>32</v>
      </c>
      <c r="D15" s="133">
        <f>IF('Feuilles=description rejets'!$Q$32="",12,ROUND(100*'Feuilles=description rejets'!$Q$38/'Feuilles=description rejets'!$Q$37,1))</f>
        <v>11.1</v>
      </c>
      <c r="E15" s="133">
        <f>$E$16*$D$15/$D$16</f>
        <v>0.3383870132733473</v>
      </c>
      <c r="F15" s="212">
        <v>30</v>
      </c>
      <c r="G15" s="133">
        <v>1</v>
      </c>
      <c r="H15" s="180">
        <f>D15</f>
        <v>11.1</v>
      </c>
      <c r="I15" s="133">
        <f>IF('Feuilles=description rejets'!$Q$32="",16.5,ROUND(100*'Feuilles=description rejets'!$Q$35/'Feuilles=description rejets'!$Q$37,1))</f>
        <v>19.600000000000001</v>
      </c>
      <c r="J15" s="133">
        <f>$J$16*$I$15/$I$16</f>
        <v>0.92025332210461808</v>
      </c>
      <c r="K15" s="212">
        <v>30</v>
      </c>
      <c r="L15" s="133">
        <v>1</v>
      </c>
      <c r="M15" s="180">
        <f>+D15+I15</f>
        <v>30.700000000000003</v>
      </c>
      <c r="N15" s="163">
        <f>100-I15-D15</f>
        <v>69.300000000000011</v>
      </c>
      <c r="O15" s="133">
        <v>0</v>
      </c>
      <c r="P15" s="212">
        <v>30</v>
      </c>
      <c r="Q15" s="133">
        <v>1</v>
      </c>
      <c r="R15" s="180">
        <f>+D15+I15+N15</f>
        <v>100.00000000000001</v>
      </c>
      <c r="S15" s="133">
        <v>0</v>
      </c>
      <c r="T15" s="133">
        <v>0</v>
      </c>
      <c r="U15" s="212">
        <v>30</v>
      </c>
      <c r="V15" s="133">
        <v>1</v>
      </c>
      <c r="W15" s="125"/>
      <c r="X15" s="180">
        <f t="shared" si="2"/>
        <v>100.00000000000001</v>
      </c>
      <c r="Y15" s="125"/>
      <c r="Z15" s="267">
        <f>IF('Folioles=disposition&amp;groupes'!$BK$32="",13.58,'Folioles=disposition&amp;groupes'!$BK$32)</f>
        <v>7</v>
      </c>
      <c r="AA15" s="200">
        <f>IF('Folioles=disposition&amp;groupes'!$BK$32="",60,'Folioles=disposition&amp;groupes'!$BQ$32)</f>
        <v>60</v>
      </c>
      <c r="AB15" s="200">
        <f>IF('Folioles=disposition&amp;groupes'!$BK$32="",40,'Folioles=disposition&amp;groupes'!$BR$32)</f>
        <v>40</v>
      </c>
      <c r="AC15" s="200">
        <f>IF('Folioles=disposition&amp;groupes'!$BK$32="",0,'Folioles=disposition&amp;groupes'!$BS$32)</f>
        <v>0</v>
      </c>
      <c r="AD15" s="200">
        <f>IF('Folioles=disposition&amp;groupes'!$BK$32="",0,'Folioles=disposition&amp;groupes'!$BT$32)</f>
        <v>0</v>
      </c>
      <c r="AE15" s="180">
        <f t="shared" si="1"/>
        <v>100</v>
      </c>
      <c r="AF15" s="201">
        <f>IF('Folioles=disposition&amp;groupes'!$CF$54="",13,'Folioles=disposition&amp;groupes'!$CF$54)</f>
        <v>7</v>
      </c>
      <c r="AG15" s="200">
        <f>IF('Folioles=disposition&amp;groupes'!$CF$54="",2.9,'Folioles=disposition&amp;groupes'!$CG$54)</f>
        <v>2.7380952380952386</v>
      </c>
      <c r="AH15" s="200">
        <f>IF('Folioles=disposition&amp;groupes'!$CF$54="",0.26,'Folioles=disposition&amp;groupes'!$CH$54)</f>
        <v>1.1136699560350258</v>
      </c>
      <c r="AI15" s="200">
        <f>IF('Folioles=disposition&amp;groupes'!$CF$54="",0.9,'Folioles=disposition&amp;groupes'!$CI$54)</f>
        <v>3.0499999999999972</v>
      </c>
      <c r="AJ15" s="200">
        <f>IF('Folioles=disposition&amp;groupes'!$CF$54="",0.26,'Folioles=disposition&amp;groupes'!$CJ$54)</f>
        <v>0.25000000000001421</v>
      </c>
      <c r="AK15" s="126"/>
      <c r="AL15" s="1673"/>
      <c r="AM15" s="125"/>
      <c r="AN15" s="201">
        <f>IF('Angle rotation pennes (1-1)'!$I$70="",29.52,'Angle rotation pennes (1-1)'!$I$70)</f>
        <v>10</v>
      </c>
      <c r="AO15" s="200">
        <f>IF('Angle rotation pennes (1-1)'!$I$71="",43.8,'Angle rotation pennes (1-1)'!$I$71)</f>
        <v>49.199999999999996</v>
      </c>
      <c r="AP15" s="200">
        <f>IF('Angle rotation pennes (1-1)'!$I$72="",3.96,'Angle rotation pennes (1-1)'!$I$72)</f>
        <v>28.1428498912246</v>
      </c>
      <c r="AQ15" s="267">
        <f>IF('Angle rotation pennes (1-1)'!$I$75="",15.8,'Angle rotation pennes (1-1)'!$I$75)</f>
        <v>40</v>
      </c>
      <c r="AR15" s="200">
        <f>IF('Angle rotation pennes (1-1)'!$I$76="",61.2,'Angle rotation pennes (1-1)'!$I$76)</f>
        <v>22.299999999999997</v>
      </c>
      <c r="AS15" s="200">
        <f>IF('Angle rotation pennes (1-1)'!$I$77="",3,'Angle rotation pennes (1-1)'!$I$77)</f>
        <v>0</v>
      </c>
      <c r="AT15" s="201">
        <f>IF('Angle rotation pennes (1-1)'!$I$80="",30.13,'Angle rotation pennes (1-1)'!$I$80)</f>
        <v>10</v>
      </c>
      <c r="AU15" s="200">
        <f>IF('Angle rotation pennes (1-1)'!$I$81="",96.78,'Angle rotation pennes (1-1)'!$I$81)</f>
        <v>-35.299999999999997</v>
      </c>
      <c r="AV15" s="200">
        <f>IF('Angle rotation pennes (1-1)'!$I$82="",2.57,'Angle rotation pennes (1-1)'!$I$82)</f>
        <v>0</v>
      </c>
      <c r="AW15" s="125"/>
      <c r="AX15" s="267">
        <f>IF('Angle rotation pennes (1-1)'!$I$70="",29.52,'Angle rotation pennes (1-1)'!$I$70)</f>
        <v>10</v>
      </c>
      <c r="AY15" s="107">
        <f t="shared" si="3"/>
        <v>35.305546665861606</v>
      </c>
      <c r="AZ15" s="107">
        <f>IF('Angle rotation pennes (1-1)'!$I$72="",3.96,'Angle rotation pennes (1-1)'!$I$72)</f>
        <v>28.1428498912246</v>
      </c>
      <c r="BA15" s="267">
        <f>IF('Angle rotation pennes (1-1)'!$I$75="",15.8,'Angle rotation pennes (1-1)'!$I$75)</f>
        <v>40</v>
      </c>
      <c r="BB15" s="107">
        <f t="shared" si="4"/>
        <v>27.254184498674192</v>
      </c>
      <c r="BC15" s="107">
        <f>IF('Angle rotation pennes (1-1)'!$I$77="",3,'Angle rotation pennes (1-1)'!$I$77)</f>
        <v>0</v>
      </c>
      <c r="BD15" s="267">
        <f>IF('Angle rotation pennes (1-1)'!$I$80="",30.13,'Angle rotation pennes (1-1)'!$I$80)</f>
        <v>10</v>
      </c>
      <c r="BE15" s="107">
        <f t="shared" si="5"/>
        <v>10.014093018005227</v>
      </c>
      <c r="BF15" s="107">
        <f>IF('Angle rotation pennes (1-1)'!$I$82="",2.57,'Angle rotation pennes (1-1)'!$I$82)</f>
        <v>0</v>
      </c>
      <c r="BG15" s="125"/>
      <c r="BH15" s="267">
        <f>IF('Angle horizontal pennes (1-1)'!$I$70="",29.52,'Angle horizontal pennes (1-1)'!$I$70)</f>
        <v>10</v>
      </c>
      <c r="BI15" s="107">
        <f>IF('Angle horizontal pennes (1-1)'!$I$71="",19.8,'Angle horizontal pennes (1-1)'!$I$71)</f>
        <v>24.25</v>
      </c>
      <c r="BJ15" s="107">
        <f>IF('Angle horizontal pennes (1-1)'!$I$72="",6.01,'Angle horizontal pennes (1-1)'!$I$72)</f>
        <v>4.7376154339498857</v>
      </c>
      <c r="BK15" s="267">
        <f>IF('Angle horizontal pennes (1-1)'!$I$75="",15.8,'Angle horizontal pennes (1-1)'!$I$75)</f>
        <v>40</v>
      </c>
      <c r="BL15" s="107">
        <f>IF('Angle horizontal pennes (1-1)'!$I$76="",24.66,'Angle horizontal pennes (1-1)'!$I$76)</f>
        <v>13.6</v>
      </c>
      <c r="BM15" s="107">
        <f>IF('Angle horizontal pennes (1-1)'!$I$77="",0.55,'Angle horizontal pennes (1-1)'!$I$77)</f>
        <v>0</v>
      </c>
      <c r="BN15" s="267">
        <f>IF('Angle horizontal pennes (1-1)'!$I$80="",30.13,'Angle horizontal pennes (1-1)'!$I$80)</f>
        <v>10</v>
      </c>
      <c r="BO15" s="107">
        <f>IF('Angle horizontal pennes (1-1)'!$I$81="",28.96,'Angle horizontal pennes (1-1)'!$I$81)</f>
        <v>17.899999999999999</v>
      </c>
      <c r="BP15" s="107">
        <f>IF('Angle horizontal pennes (1-1)'!$I$82="",1.68,'Angle horizontal pennes (1-1)'!$I$82)</f>
        <v>0</v>
      </c>
      <c r="BQ15" s="212">
        <v>10</v>
      </c>
      <c r="BR15" s="133">
        <v>1</v>
      </c>
      <c r="BS15" s="125"/>
    </row>
    <row r="16" spans="1:86">
      <c r="A16" s="130">
        <v>4</v>
      </c>
      <c r="B16" s="125"/>
      <c r="C16" s="141">
        <f>IF('Nervure=pétiole&amp;rachis'!$K$11="",175,'Nervure=pétiole&amp;rachis'!$K$11)</f>
        <v>124</v>
      </c>
      <c r="D16" s="163">
        <f>IF('Sections rachis &amp; L pennes'!$R$37="",14.91,ROUND('Sections rachis &amp; L pennes'!$R$37,1))</f>
        <v>5.4</v>
      </c>
      <c r="E16" s="163">
        <f>IF('Sections rachis &amp; L pennes'!$S$37="",1.13,'Sections rachis &amp; L pennes'!$S$37)</f>
        <v>0.16462070916000682</v>
      </c>
      <c r="F16" s="212"/>
      <c r="G16" s="143"/>
      <c r="H16" s="180">
        <f>D16</f>
        <v>5.4</v>
      </c>
      <c r="I16" s="163">
        <f>IF('Sections rachis &amp; L pennes'!$R$38="",19.19,ROUND('Sections rachis &amp; L pennes'!$R$38-$D$16,1))</f>
        <v>22.3</v>
      </c>
      <c r="J16" s="163">
        <f>IF('Sections rachis &amp; L pennes'!$S$38="",1.04,'Sections rachis &amp; L pennes'!$S$38*$I$16/($D$16+$I$16))</f>
        <v>1.04702291239454</v>
      </c>
      <c r="K16" s="212"/>
      <c r="L16" s="143"/>
      <c r="M16" s="180">
        <f>+D16+I16</f>
        <v>27.700000000000003</v>
      </c>
      <c r="N16" s="163">
        <f>100-I16-D16</f>
        <v>72.3</v>
      </c>
      <c r="O16" s="163">
        <v>0</v>
      </c>
      <c r="P16" s="212"/>
      <c r="Q16" s="143"/>
      <c r="R16" s="180">
        <f>+D16+I16+N16</f>
        <v>100</v>
      </c>
      <c r="S16" s="163">
        <v>0</v>
      </c>
      <c r="T16" s="163">
        <v>0</v>
      </c>
      <c r="U16" s="212"/>
      <c r="V16" s="143"/>
      <c r="W16" s="125"/>
      <c r="X16" s="180">
        <f t="shared" si="2"/>
        <v>100</v>
      </c>
      <c r="Y16" s="125"/>
      <c r="Z16" s="201">
        <f>IF('Folioles=disposition&amp;groupes'!$BK$33="",17,'Folioles=disposition&amp;groupes'!$BK$33)</f>
        <v>11.5</v>
      </c>
      <c r="AA16" s="202">
        <f>IF('Folioles=disposition&amp;groupes'!$BK$33="",36.8,'Folioles=disposition&amp;groupes'!$BQ$33)</f>
        <v>20</v>
      </c>
      <c r="AB16" s="202">
        <f>IF('Folioles=disposition&amp;groupes'!$BK$33="",57.9,'Folioles=disposition&amp;groupes'!$BR$33)</f>
        <v>80</v>
      </c>
      <c r="AC16" s="202">
        <f>IF('Folioles=disposition&amp;groupes'!$BK$33="",5.3,'Folioles=disposition&amp;groupes'!$BS$33)</f>
        <v>0</v>
      </c>
      <c r="AD16" s="202">
        <f>IF('Folioles=disposition&amp;groupes'!$BK$33="",0,'Folioles=disposition&amp;groupes'!$BT$33)</f>
        <v>0</v>
      </c>
      <c r="AE16" s="180">
        <f t="shared" si="1"/>
        <v>100</v>
      </c>
      <c r="AF16" s="201">
        <f>IF('Folioles=disposition&amp;groupes'!$CF$55="",17,'Folioles=disposition&amp;groupes'!$CF$55)</f>
        <v>11.5</v>
      </c>
      <c r="AG16" s="202">
        <f>IF('Folioles=disposition&amp;groupes'!$CF$55="",4.77,'Folioles=disposition&amp;groupes'!$CG$55)</f>
        <v>14.840000000000003</v>
      </c>
      <c r="AH16" s="202">
        <f>IF('Folioles=disposition&amp;groupes'!$CF$55="",0.86,'Folioles=disposition&amp;groupes'!$CH$55)</f>
        <v>1.7045820602129951</v>
      </c>
      <c r="AI16" s="202">
        <f>IF('Folioles=disposition&amp;groupes'!$CF$55="",0.88,'Folioles=disposition&amp;groupes'!$CI$55)</f>
        <v>2.6499999999999986</v>
      </c>
      <c r="AJ16" s="202">
        <f>IF('Folioles=disposition&amp;groupes'!$CF$55="",0.2,'Folioles=disposition&amp;groupes'!$CJ$55)</f>
        <v>0.85391256382996805</v>
      </c>
      <c r="AK16" s="126"/>
      <c r="AL16" s="1673"/>
      <c r="AM16" s="125"/>
      <c r="AN16" s="201">
        <f>IF('Angle rotation pennes (1-1)'!$J$70="",32.89,'Angle rotation pennes (1-1)'!$J$70)</f>
        <v>20</v>
      </c>
      <c r="AO16" s="202">
        <f>IF('Angle rotation pennes (1-1)'!$J$71="",45.1,'Angle rotation pennes (1-1)'!$J$71)</f>
        <v>66.95</v>
      </c>
      <c r="AP16" s="202">
        <f>IF('Angle rotation pennes (1-1)'!$J$72="",0,'Angle rotation pennes (1-1)'!$J$72)</f>
        <v>5.5235857918565907</v>
      </c>
      <c r="AQ16" s="267">
        <f>IF('Angle rotation pennes (1-1)'!$J$75="",43.96,'Angle rotation pennes (1-1)'!$J$75)</f>
        <v>50</v>
      </c>
      <c r="AR16" s="202">
        <f>IF('Angle rotation pennes (1-1)'!$J$76="",50.62,'Angle rotation pennes (1-1)'!$J$76)</f>
        <v>-18.5</v>
      </c>
      <c r="AS16" s="202">
        <f>IF('Angle rotation pennes (1-1)'!$J$77="",4.56,'Angle rotation pennes (1-1)'!$J$77)</f>
        <v>0</v>
      </c>
      <c r="AT16" s="201">
        <f>IF('Angle rotation pennes (1-1)'!$J$80="",34.54,'Angle rotation pennes (1-1)'!$J$80)</f>
        <v>20</v>
      </c>
      <c r="AU16" s="202">
        <f>IF('Angle rotation pennes (1-1)'!$J$81="",91.25,'Angle rotation pennes (1-1)'!$J$81)</f>
        <v>-60</v>
      </c>
      <c r="AV16" s="202">
        <f>IF('Angle rotation pennes (1-1)'!$J$82="",3.87,'Angle rotation pennes (1-1)'!$J$82)</f>
        <v>12.727922061357855</v>
      </c>
      <c r="AW16" s="125"/>
      <c r="AX16" s="267">
        <f>IF('Angle rotation pennes (1-1)'!$J$70="",32.89,'Angle rotation pennes (1-1)'!$J$70)</f>
        <v>20</v>
      </c>
      <c r="AY16" s="107">
        <f t="shared" si="3"/>
        <v>40.618248467630252</v>
      </c>
      <c r="AZ16" s="107">
        <f>IF('Angle rotation pennes (1-1)'!$J$72="",0,'Angle rotation pennes (1-1)'!$J$72)</f>
        <v>5.5235857918565907</v>
      </c>
      <c r="BA16" s="267">
        <f>IF('Angle rotation pennes (1-1)'!$J$75="",43.96,'Angle rotation pennes (1-1)'!$J$75)</f>
        <v>50</v>
      </c>
      <c r="BB16" s="107">
        <f t="shared" si="4"/>
        <v>15.04245303320034</v>
      </c>
      <c r="BC16" s="107">
        <f>IF('Angle rotation pennes (1-1)'!$J$77="",4.56,'Angle rotation pennes (1-1)'!$J$77)</f>
        <v>0</v>
      </c>
      <c r="BD16" s="267">
        <f>IF('Angle rotation pennes (1-1)'!$J$80="",34.54,'Angle rotation pennes (1-1)'!$J$80)</f>
        <v>20</v>
      </c>
      <c r="BE16" s="107">
        <f t="shared" si="5"/>
        <v>2.6212065670933598</v>
      </c>
      <c r="BF16" s="107">
        <f>IF('Angle rotation pennes (1-1)'!$J$82="",3.87,'Angle rotation pennes (1-1)'!$J$82)</f>
        <v>12.727922061357855</v>
      </c>
      <c r="BG16" s="125"/>
      <c r="BH16" s="267">
        <f>IF('Angle horizontal pennes (1-1)'!$J$70="",33.56,'Angle horizontal pennes (1-1)'!$J$70)</f>
        <v>20</v>
      </c>
      <c r="BI16" s="107">
        <f>IF('Angle horizontal pennes (1-1)'!$J$71="",17.56,'Angle horizontal pennes (1-1)'!$J$71)</f>
        <v>14.774999999999999</v>
      </c>
      <c r="BJ16" s="107">
        <f>IF('Angle horizontal pennes (1-1)'!$J$72="",5.75,'Angle horizontal pennes (1-1)'!$J$72)</f>
        <v>11.699394571230314</v>
      </c>
      <c r="BK16" s="267">
        <f>IF('Angle horizontal pennes (1-1)'!$J$75="",43.96,'Angle horizontal pennes (1-1)'!$J$75)</f>
        <v>50</v>
      </c>
      <c r="BL16" s="107">
        <f>IF('Angle horizontal pennes (1-1)'!$J$76="",34.4,'Angle horizontal pennes (1-1)'!$J$76)</f>
        <v>9.8000000000000007</v>
      </c>
      <c r="BM16" s="107">
        <f>IF('Angle horizontal pennes (1-1)'!$J$77="",1.4,'Angle horizontal pennes (1-1)'!$J$77)</f>
        <v>0</v>
      </c>
      <c r="BN16" s="267">
        <f>IF('Angle horizontal pennes (1-1)'!$J$80="",34.54,'Angle horizontal pennes (1-1)'!$J$80)</f>
        <v>20</v>
      </c>
      <c r="BO16" s="107">
        <f>IF('Angle horizontal pennes (1-1)'!$J$81="",29.15,'Angle horizontal pennes (1-1)'!$J$81)</f>
        <v>13.8</v>
      </c>
      <c r="BP16" s="107">
        <f>IF('Angle horizontal pennes (1-1)'!$J$82="",2.7,'Angle horizontal pennes (1-1)'!$J$82)</f>
        <v>0.42426406871192823</v>
      </c>
      <c r="BQ16" s="212"/>
      <c r="BR16" s="143"/>
      <c r="BS16" s="125"/>
    </row>
    <row r="17" spans="1:71">
      <c r="A17" s="130">
        <v>5</v>
      </c>
      <c r="B17" s="125"/>
      <c r="C17" s="141"/>
      <c r="D17" s="133"/>
      <c r="E17" s="133"/>
      <c r="F17" s="212"/>
      <c r="G17" s="133"/>
      <c r="H17" s="180"/>
      <c r="I17" s="133"/>
      <c r="J17" s="133"/>
      <c r="K17" s="212"/>
      <c r="L17" s="133"/>
      <c r="M17" s="180" t="str">
        <f>IF(D17+I17=0,"",D17+I17)</f>
        <v/>
      </c>
      <c r="N17" s="133"/>
      <c r="O17" s="133"/>
      <c r="P17" s="212"/>
      <c r="Q17" s="133"/>
      <c r="R17" s="180" t="str">
        <f>IF(D17+I17+N17=0,"",D17+I17+N17)</f>
        <v/>
      </c>
      <c r="S17" s="133"/>
      <c r="T17" s="133"/>
      <c r="U17" s="212"/>
      <c r="V17" s="133"/>
      <c r="W17" s="125"/>
      <c r="X17" s="180">
        <f t="shared" si="2"/>
        <v>0</v>
      </c>
      <c r="Y17" s="125"/>
      <c r="Z17" s="201">
        <f>IF('Folioles=disposition&amp;groupes'!$BK$34="",24,'Folioles=disposition&amp;groupes'!$BK$34)</f>
        <v>17</v>
      </c>
      <c r="AA17" s="200">
        <f>IF('Folioles=disposition&amp;groupes'!$BK$34="",0,'Folioles=disposition&amp;groupes'!$BQ$34)</f>
        <v>0</v>
      </c>
      <c r="AB17" s="200">
        <f>IF('Folioles=disposition&amp;groupes'!$BK$34="",90,'Folioles=disposition&amp;groupes'!$BR$34)</f>
        <v>100</v>
      </c>
      <c r="AC17" s="200">
        <f>IF('Folioles=disposition&amp;groupes'!$BK$34="",10,'Folioles=disposition&amp;groupes'!$BS$34)</f>
        <v>0</v>
      </c>
      <c r="AD17" s="200">
        <f>IF('Folioles=disposition&amp;groupes'!$BK$34="",0,'Folioles=disposition&amp;groupes'!$BT$34)</f>
        <v>0</v>
      </c>
      <c r="AE17" s="180">
        <f t="shared" si="1"/>
        <v>100</v>
      </c>
      <c r="AF17" s="201">
        <f>IF('Folioles=disposition&amp;groupes'!$CF$56="",24,'Folioles=disposition&amp;groupes'!$CF$56)</f>
        <v>17</v>
      </c>
      <c r="AG17" s="200">
        <f>IF('Folioles=disposition&amp;groupes'!$CF$56="",10.75,'Folioles=disposition&amp;groupes'!$CG$56)</f>
        <v>16.716666666666669</v>
      </c>
      <c r="AH17" s="200">
        <f>IF('Folioles=disposition&amp;groupes'!$CF$56="",0.81,'Folioles=disposition&amp;groupes'!$CH$56)</f>
        <v>1.1688788550477587</v>
      </c>
      <c r="AI17" s="200">
        <f>IF('Folioles=disposition&amp;groupes'!$CF$56="",1.48,'Folioles=disposition&amp;groupes'!$CI$56)</f>
        <v>1.7</v>
      </c>
      <c r="AJ17" s="200">
        <f>IF('Folioles=disposition&amp;groupes'!$CF$56="",0.32,'Folioles=disposition&amp;groupes'!$CJ$56)</f>
        <v>0.11401754250991677</v>
      </c>
      <c r="AK17" s="126"/>
      <c r="AL17" s="1673"/>
      <c r="AM17" s="125"/>
      <c r="AN17" s="201">
        <f>IF('Angle rotation pennes (1-1)'!$K$70="",36.74,'Angle rotation pennes (1-1)'!$K$70)</f>
        <v>26.922669813782981</v>
      </c>
      <c r="AO17" s="200">
        <v>48.85</v>
      </c>
      <c r="AP17" s="200">
        <f>IF('Angle rotation pennes (1-1)'!$K$72="",3.78,'Angle rotation pennes (1-1)'!$K$72)</f>
        <v>1.131370849898482</v>
      </c>
      <c r="AQ17" s="267">
        <f>IF('Angle rotation pennes (1-1)'!$K$75="",54.08,'Angle rotation pennes (1-1)'!$K$75)</f>
        <v>60</v>
      </c>
      <c r="AR17" s="200">
        <f>IF('Angle rotation pennes (1-1)'!$K$76="",61.35,'Angle rotation pennes (1-1)'!$K$76)</f>
        <v>-1.6000000000000014</v>
      </c>
      <c r="AS17" s="200">
        <f>IF('Angle rotation pennes (1-1)'!$K$77="",15.49,'Angle rotation pennes (1-1)'!$K$77)</f>
        <v>6.2225396744416157</v>
      </c>
      <c r="AT17" s="201">
        <f>IF('Angle rotation pennes (1-1)'!$K$80="",39.36,'Angle rotation pennes (1-1)'!$K$80)</f>
        <v>26.922669813782981</v>
      </c>
      <c r="AU17" s="200">
        <f>IF('Angle rotation pennes (1-1)'!$K$81="",92.89,'Angle rotation pennes (1-1)'!$K$81)</f>
        <v>-56.400000000000006</v>
      </c>
      <c r="AV17" s="200">
        <f>IF('Angle rotation pennes (1-1)'!$K$82="",6.33,'Angle rotation pennes (1-1)'!$K$82)</f>
        <v>13.435028842544403</v>
      </c>
      <c r="AW17" s="125"/>
      <c r="AX17" s="267">
        <f>IF('Angle rotation pennes (1-1)'!$K$70="",36.74,'Angle rotation pennes (1-1)'!$K$70)</f>
        <v>26.922669813782981</v>
      </c>
      <c r="AY17" s="105">
        <f t="shared" si="3"/>
        <v>35.200789165545046</v>
      </c>
      <c r="AZ17" s="105">
        <f>IF('Angle rotation pennes (1-1)'!$K$72="",3.78,'Angle rotation pennes (1-1)'!$K$72)</f>
        <v>1.131370849898482</v>
      </c>
      <c r="BA17" s="267">
        <f>IF('Angle rotation pennes (1-1)'!$K$75="",54.08,'Angle rotation pennes (1-1)'!$K$75)</f>
        <v>60</v>
      </c>
      <c r="BB17" s="105">
        <f t="shared" si="4"/>
        <v>20.100743762771618</v>
      </c>
      <c r="BC17" s="105">
        <f>IF('Angle rotation pennes (1-1)'!$K$77="",15.49,'Angle rotation pennes (1-1)'!$K$77)</f>
        <v>6.2225396744416157</v>
      </c>
      <c r="BD17" s="267">
        <f>IF('Angle rotation pennes (1-1)'!$K$80="",39.36,'Angle rotation pennes (1-1)'!$K$80)</f>
        <v>26.922669813782981</v>
      </c>
      <c r="BE17" s="105">
        <f t="shared" si="5"/>
        <v>3.6987122846351674</v>
      </c>
      <c r="BF17" s="105">
        <f>IF('Angle rotation pennes (1-1)'!$K$82="",6.33,'Angle rotation pennes (1-1)'!$K$82)</f>
        <v>13.435028842544403</v>
      </c>
      <c r="BG17" s="125"/>
      <c r="BH17" s="267">
        <f>IF('Angle horizontal pennes (1-1)'!$K$70="",39.36,'Angle horizontal pennes (1-1)'!$K$70)</f>
        <v>26.922669813782981</v>
      </c>
      <c r="BI17" s="105">
        <f>IF('Angle horizontal pennes (1-1)'!$K$71="",14.03,'Angle horizontal pennes (1-1)'!$K$71)</f>
        <v>12</v>
      </c>
      <c r="BJ17" s="105">
        <f>IF('Angle horizontal pennes (1-1)'!$K$72="",5.62,'Angle horizontal pennes (1-1)'!$K$72)</f>
        <v>6.08111831820431</v>
      </c>
      <c r="BK17" s="267">
        <f>IF('Angle horizontal pennes (1-1)'!$K$75="",54.08,'Angle horizontal pennes (1-1)'!$K$75)</f>
        <v>60</v>
      </c>
      <c r="BL17" s="105">
        <f>IF('Angle horizontal pennes (1-1)'!$K$76="",38.13,'Angle horizontal pennes (1-1)'!$K$76)</f>
        <v>20.45</v>
      </c>
      <c r="BM17" s="105">
        <f>IF('Angle horizontal pennes (1-1)'!$K$77="",1.8,'Angle horizontal pennes (1-1)'!$K$77)</f>
        <v>10.253048327204938</v>
      </c>
      <c r="BN17" s="267">
        <f>IF('Angle horizontal pennes (1-1)'!$K$80="",39.36,'Angle horizontal pennes (1-1)'!$K$80)</f>
        <v>26.922669813782981</v>
      </c>
      <c r="BO17" s="105">
        <f>IF('Angle horizontal pennes (1-1)'!$K$81="",23.83,'Angle horizontal pennes (1-1)'!$K$81)</f>
        <v>17.149999999999999</v>
      </c>
      <c r="BP17" s="105">
        <f>IF('Angle horizontal pennes (1-1)'!$K$82="",3.9,'Angle horizontal pennes (1-1)'!$K$82)</f>
        <v>2.0506096654409891</v>
      </c>
      <c r="BQ17" s="212"/>
      <c r="BR17" s="133"/>
      <c r="BS17" s="125"/>
    </row>
    <row r="18" spans="1:71">
      <c r="A18" s="130">
        <v>6</v>
      </c>
      <c r="B18" s="125"/>
      <c r="C18" s="141"/>
      <c r="D18" s="163"/>
      <c r="E18" s="163"/>
      <c r="F18" s="212"/>
      <c r="G18" s="143"/>
      <c r="H18" s="130"/>
      <c r="I18" s="163"/>
      <c r="J18" s="163"/>
      <c r="K18" s="212"/>
      <c r="L18" s="143"/>
      <c r="M18" s="130"/>
      <c r="N18" s="163"/>
      <c r="O18" s="163"/>
      <c r="P18" s="212"/>
      <c r="Q18" s="143"/>
      <c r="R18" s="180" t="str">
        <f t="shared" ref="R18:R19" si="6">IF(D18+I18+N18=0,"",D18+I18+N18)</f>
        <v/>
      </c>
      <c r="S18" s="163"/>
      <c r="T18" s="163"/>
      <c r="U18" s="212"/>
      <c r="V18" s="143"/>
      <c r="W18" s="125"/>
      <c r="X18" s="180">
        <f t="shared" si="2"/>
        <v>0</v>
      </c>
      <c r="Y18" s="125"/>
      <c r="Z18" s="201">
        <f>IF('Folioles=disposition&amp;groupes'!$BK$35="",32,'Folioles=disposition&amp;groupes'!$BK$35)</f>
        <v>24</v>
      </c>
      <c r="AA18" s="202">
        <f>IF('Folioles=disposition&amp;groupes'!$BK$35="",0,'Folioles=disposition&amp;groupes'!$BQ$35)</f>
        <v>0</v>
      </c>
      <c r="AB18" s="202">
        <f>IF('Folioles=disposition&amp;groupes'!$BK$35="",92.3,'Folioles=disposition&amp;groupes'!$BR$35)</f>
        <v>100</v>
      </c>
      <c r="AC18" s="202">
        <f>IF('Folioles=disposition&amp;groupes'!$BK$35="",7.7,'Folioles=disposition&amp;groupes'!$BS$35)</f>
        <v>0</v>
      </c>
      <c r="AD18" s="202">
        <f>IF('Folioles=disposition&amp;groupes'!$BK$35="",0,'Folioles=disposition&amp;groupes'!$BT$35)</f>
        <v>0</v>
      </c>
      <c r="AE18" s="180">
        <f t="shared" si="1"/>
        <v>100</v>
      </c>
      <c r="AF18" s="201">
        <f>IF('Folioles=disposition&amp;groupes'!$CF$57="",32,'Folioles=disposition&amp;groupes'!$CF$57)</f>
        <v>24</v>
      </c>
      <c r="AG18" s="202">
        <f>IF('Folioles=disposition&amp;groupes'!$CF$57="",9.01,'Folioles=disposition&amp;groupes'!$CG$57)</f>
        <v>14.542857142857139</v>
      </c>
      <c r="AH18" s="202">
        <f>IF('Folioles=disposition&amp;groupes'!$CF$57="",1,'Folioles=disposition&amp;groupes'!$CH$57)</f>
        <v>1.1882073618244708</v>
      </c>
      <c r="AI18" s="202">
        <f>IF('Folioles=disposition&amp;groupes'!$CF$57="",1.07,'Folioles=disposition&amp;groupes'!$CI$57)</f>
        <v>1.6250000000000018</v>
      </c>
      <c r="AJ18" s="202">
        <f>IF('Folioles=disposition&amp;groupes'!$CF$57="",0.11,'Folioles=disposition&amp;groupes'!$CJ$57)</f>
        <v>3.1339158526399347E-2</v>
      </c>
      <c r="AK18" s="126"/>
      <c r="AL18" s="1185"/>
      <c r="AM18" s="125"/>
      <c r="AN18" s="201">
        <f>IF('Angle rotation pennes (1-1)'!$L$70="",44.24,'Angle rotation pennes (1-1)'!$L$70)</f>
        <v>28.402760758696882</v>
      </c>
      <c r="AO18" s="202">
        <v>55.12</v>
      </c>
      <c r="AP18" s="202">
        <f>IF('Angle rotation pennes (1-1)'!$L$72="",7.81,'Angle rotation pennes (1-1)'!$L$72)</f>
        <v>3.6062445840513986</v>
      </c>
      <c r="AQ18" s="267">
        <f>IF('Angle rotation pennes (1-1)'!$L$75="",77.24,'Angle rotation pennes (1-1)'!$L$75)</f>
        <v>70</v>
      </c>
      <c r="AR18" s="202">
        <f>IF('Angle rotation pennes (1-1)'!$L$76="",64.24,'Angle rotation pennes (1-1)'!$L$76)</f>
        <v>8.5</v>
      </c>
      <c r="AS18" s="202">
        <f>IF('Angle rotation pennes (1-1)'!$L$77="",12.5,'Angle rotation pennes (1-1)'!$L$77)</f>
        <v>0</v>
      </c>
      <c r="AT18" s="201">
        <f>IF('Angle rotation pennes (1-1)'!$L$80="",49.55,'Angle rotation pennes (1-1)'!$L$80)</f>
        <v>28.402760758696882</v>
      </c>
      <c r="AU18" s="202">
        <f>IF('Angle rotation pennes (1-1)'!$L$81="",77.46,'Angle rotation pennes (1-1)'!$L$81)</f>
        <v>-62.100000000000009</v>
      </c>
      <c r="AV18" s="202">
        <f>IF('Angle rotation pennes (1-1)'!$L$82="",8.24,'Angle rotation pennes (1-1)'!$L$82)</f>
        <v>9.4752308678997235</v>
      </c>
      <c r="AW18" s="125"/>
      <c r="AX18" s="267">
        <f>IF('Angle rotation pennes (1-1)'!$L$70="",44.24,'Angle rotation pennes (1-1)'!$L$70)</f>
        <v>28.402760758696882</v>
      </c>
      <c r="AY18" s="107">
        <f t="shared" si="3"/>
        <v>37.077444956930364</v>
      </c>
      <c r="AZ18" s="107">
        <f>IF('Angle rotation pennes (1-1)'!$L$72="",7.81,'Angle rotation pennes (1-1)'!$L$72)</f>
        <v>3.6062445840513986</v>
      </c>
      <c r="BA18" s="267">
        <f>IF('Angle rotation pennes (1-1)'!$L$75="",77.24,'Angle rotation pennes (1-1)'!$L$75)</f>
        <v>70</v>
      </c>
      <c r="BB18" s="107">
        <f t="shared" si="4"/>
        <v>23.123745914763919</v>
      </c>
      <c r="BC18" s="107">
        <f>IF('Angle rotation pennes (1-1)'!$L$77="",12.5,'Angle rotation pennes (1-1)'!$L$77)</f>
        <v>0</v>
      </c>
      <c r="BD18" s="267">
        <f>IF('Angle rotation pennes (1-1)'!$L$80="",49.55,'Angle rotation pennes (1-1)'!$L$80)</f>
        <v>28.402760758696882</v>
      </c>
      <c r="BE18" s="107">
        <f t="shared" si="5"/>
        <v>1.9926615651939663</v>
      </c>
      <c r="BF18" s="107">
        <f>IF('Angle rotation pennes (1-1)'!$L$82="",8.24,'Angle rotation pennes (1-1)'!$L$82)</f>
        <v>9.4752308678997235</v>
      </c>
      <c r="BG18" s="125"/>
      <c r="BH18" s="267">
        <f>IF('Angle horizontal pennes (1-1)'!$L$70="",49.2,'Angle horizontal pennes (1-1)'!$L$70)</f>
        <v>28.402760758696882</v>
      </c>
      <c r="BI18" s="107">
        <f>IF('Angle horizontal pennes (1-1)'!$L$71="",14.97,'Angle horizontal pennes (1-1)'!$L$71)</f>
        <v>13.399999999999999</v>
      </c>
      <c r="BJ18" s="107">
        <f>IF('Angle horizontal pennes (1-1)'!$L$72="",4.83,'Angle horizontal pennes (1-1)'!$L$72)</f>
        <v>9.6166522241370469</v>
      </c>
      <c r="BK18" s="267">
        <f>IF('Angle horizontal pennes (1-1)'!$L$75="",77.24,'Angle horizontal pennes (1-1)'!$L$75)</f>
        <v>70</v>
      </c>
      <c r="BL18" s="107">
        <f>IF('Angle horizontal pennes (1-1)'!$L$76="",26.23,'Angle horizontal pennes (1-1)'!$L$76)</f>
        <v>14.2</v>
      </c>
      <c r="BM18" s="107">
        <f>IF('Angle horizontal pennes (1-1)'!$L$77="",2.79,'Angle horizontal pennes (1-1)'!$L$77)</f>
        <v>0</v>
      </c>
      <c r="BN18" s="267">
        <f>IF('Angle horizontal pennes (1-1)'!$L$80="",49.55,'Angle horizontal pennes (1-1)'!$L$80)</f>
        <v>28.402760758696882</v>
      </c>
      <c r="BO18" s="107">
        <f>IF('Angle horizontal pennes (1-1)'!$L$81="",26,'Angle horizontal pennes (1-1)'!$L$81)</f>
        <v>12.2</v>
      </c>
      <c r="BP18" s="107">
        <f>IF('Angle horizontal pennes (1-1)'!$L$82="",4.55,'Angle horizontal pennes (1-1)'!$L$82)</f>
        <v>8.4852813742385695</v>
      </c>
      <c r="BQ18" s="212"/>
      <c r="BR18" s="143"/>
      <c r="BS18" s="125"/>
    </row>
    <row r="19" spans="1:71">
      <c r="A19" s="130">
        <v>7</v>
      </c>
      <c r="B19" s="125"/>
      <c r="C19" s="141"/>
      <c r="D19" s="133"/>
      <c r="E19" s="133"/>
      <c r="F19" s="212"/>
      <c r="G19" s="133"/>
      <c r="H19" s="130"/>
      <c r="I19" s="133"/>
      <c r="J19" s="133"/>
      <c r="K19" s="212"/>
      <c r="L19" s="133"/>
      <c r="M19" s="130"/>
      <c r="N19" s="133"/>
      <c r="O19" s="133"/>
      <c r="P19" s="212"/>
      <c r="Q19" s="133"/>
      <c r="R19" s="180" t="str">
        <f t="shared" si="6"/>
        <v/>
      </c>
      <c r="S19" s="133"/>
      <c r="T19" s="133"/>
      <c r="U19" s="212"/>
      <c r="V19" s="133"/>
      <c r="W19" s="125"/>
      <c r="X19" s="180">
        <f t="shared" si="2"/>
        <v>0</v>
      </c>
      <c r="Y19" s="125"/>
      <c r="Z19" s="201">
        <f>IF('Folioles=disposition&amp;groupes'!$BK$36="",44,'Folioles=disposition&amp;groupes'!$BK$36)</f>
        <v>32</v>
      </c>
      <c r="AA19" s="200">
        <f>IF('Folioles=disposition&amp;groupes'!$BK$36="",0,'Folioles=disposition&amp;groupes'!$BQ$36)</f>
        <v>0</v>
      </c>
      <c r="AB19" s="200">
        <f>IF('Folioles=disposition&amp;groupes'!$BK$36="",69.7,'Folioles=disposition&amp;groupes'!$BR$36)</f>
        <v>87.5</v>
      </c>
      <c r="AC19" s="200">
        <f>IF('Folioles=disposition&amp;groupes'!$BK$36="",27.3,'Folioles=disposition&amp;groupes'!$BS$36)</f>
        <v>12.5</v>
      </c>
      <c r="AD19" s="200">
        <f>IF('Folioles=disposition&amp;groupes'!$BK$36="",3,'Folioles=disposition&amp;groupes'!$BT$36)</f>
        <v>0</v>
      </c>
      <c r="AE19" s="180">
        <f t="shared" si="1"/>
        <v>100</v>
      </c>
      <c r="AF19" s="201">
        <f>IF('Folioles=disposition&amp;groupes'!$CF$58="",44,'Folioles=disposition&amp;groupes'!$CF$58)</f>
        <v>32</v>
      </c>
      <c r="AG19" s="200">
        <f>IF('Folioles=disposition&amp;groupes'!$CF$58="",5.76,'Folioles=disposition&amp;groupes'!$CG$58)</f>
        <v>11.8775</v>
      </c>
      <c r="AH19" s="200">
        <f>IF('Folioles=disposition&amp;groupes'!$CF$58="",0.29,'Folioles=disposition&amp;groupes'!$CH$58)</f>
        <v>1.018896023715308</v>
      </c>
      <c r="AI19" s="200">
        <f>IF('Folioles=disposition&amp;groupes'!$CF$58="",1.19,'Folioles=disposition&amp;groupes'!$CI$58)</f>
        <v>1.7125000000000021</v>
      </c>
      <c r="AJ19" s="200">
        <f>IF('Folioles=disposition&amp;groupes'!$CF$58="",0.05,'Folioles=disposition&amp;groupes'!$CJ$58)</f>
        <v>8.9517556139246335E-2</v>
      </c>
      <c r="AK19" s="126"/>
      <c r="AL19" s="1185"/>
      <c r="AM19" s="125"/>
      <c r="AN19" s="201">
        <f>IF('Angle rotation pennes (1-1)'!$M$70="",54.08,'Angle rotation pennes (1-1)'!$M$70)</f>
        <v>30</v>
      </c>
      <c r="AO19" s="200">
        <f>IF('Angle rotation pennes (1-1)'!$M$71="",54.78,'Angle rotation pennes (1-1)'!$M$71)</f>
        <v>64.5</v>
      </c>
      <c r="AP19" s="200">
        <f>IF('Angle rotation pennes (1-1)'!$M$72="",8.1,'Angle rotation pennes (1-1)'!$M$72)</f>
        <v>6.103004724450626</v>
      </c>
      <c r="AQ19" s="267">
        <f>IF('Angle rotation pennes (1-1)'!$M$75="",IF(AQ18&lt;100,100,""),'Angle rotation pennes (1-1)'!$M$75)</f>
        <v>80</v>
      </c>
      <c r="AR19" s="200">
        <f>IF('Angle rotation pennes (1-1)'!$M$76="",IF(AQ18&lt;100,10,""),'Angle rotation pennes (1-1)'!$M$76)</f>
        <v>-12.9</v>
      </c>
      <c r="AS19" s="200">
        <f>IF('Angle rotation pennes (1-1)'!$M$77="","",'Angle rotation pennes (1-1)'!$M$77)</f>
        <v>13.327040181525678</v>
      </c>
      <c r="AT19" s="201">
        <f>IF('Angle rotation pennes (1-1)'!$M$80="",59.04,'Angle rotation pennes (1-1)'!$M$80)</f>
        <v>30</v>
      </c>
      <c r="AU19" s="200">
        <f>IF('Angle rotation pennes (1-1)'!$M$81="",80.92,'Angle rotation pennes (1-1)'!$M$81)</f>
        <v>-47.7</v>
      </c>
      <c r="AV19" s="200">
        <f>IF('Angle rotation pennes (1-1)'!$M$82="",9.52,'Angle rotation pennes (1-1)'!$M$82)</f>
        <v>19.925695303635791</v>
      </c>
      <c r="AW19" s="125"/>
      <c r="AX19" s="267">
        <f>IF('Angle rotation pennes (1-1)'!$M$70="",54.08,'Angle rotation pennes (1-1)'!$M$70)</f>
        <v>30</v>
      </c>
      <c r="AY19" s="105">
        <f t="shared" si="3"/>
        <v>39.884945965414303</v>
      </c>
      <c r="AZ19" s="105">
        <f>IF('Angle rotation pennes (1-1)'!$M$72="",8.1,'Angle rotation pennes (1-1)'!$M$72)</f>
        <v>6.103004724450626</v>
      </c>
      <c r="BA19" s="267">
        <f>IF('Angle rotation pennes (1-1)'!$M$75="",IF(BA18&lt;100,100,""),'Angle rotation pennes (1-1)'!$M$75)</f>
        <v>80</v>
      </c>
      <c r="BB19" s="105">
        <f>IF(BA19="",IF(BA18&lt;100,10,""),$AL$36*AR19+$AL$37)</f>
        <v>16.718573038265379</v>
      </c>
      <c r="BC19" s="105">
        <f>IF('Angle rotation pennes (1-1)'!$M$77="",IF(BA18&lt;100,10,""),'Angle rotation pennes (1-1)'!$M$77)</f>
        <v>13.327040181525678</v>
      </c>
      <c r="BD19" s="267">
        <f>IF('Angle rotation pennes (1-1)'!$M$80="",59.04,'Angle rotation pennes (1-1)'!$M$80)</f>
        <v>30</v>
      </c>
      <c r="BE19" s="105">
        <f t="shared" si="5"/>
        <v>6.3026844353612113</v>
      </c>
      <c r="BF19" s="105">
        <f>IF('Angle rotation pennes (1-1)'!$M$82="",9.52,'Angle rotation pennes (1-1)'!$M$82)</f>
        <v>19.925695303635791</v>
      </c>
      <c r="BG19" s="125"/>
      <c r="BH19" s="267">
        <f>IF('Angle horizontal pennes (1-1)'!$M$70="",59.04,'Angle horizontal pennes (1-1)'!$M$70)</f>
        <v>30</v>
      </c>
      <c r="BI19" s="105">
        <f>IF('Angle horizontal pennes (1-1)'!$M$71="",23.06,'Angle horizontal pennes (1-1)'!$M$71)</f>
        <v>12.65</v>
      </c>
      <c r="BJ19" s="105">
        <f>IF('Angle horizontal pennes (1-1)'!$M$72="",4.33,'Angle horizontal pennes (1-1)'!$M$72)</f>
        <v>4.8031239834091322</v>
      </c>
      <c r="BK19" s="267">
        <f>IF('Angle horizontal pennes (1-1)'!$M$75="",IF(BK18&lt;100,100,""),'Angle horizontal pennes (1-1)'!$M$75)</f>
        <v>80</v>
      </c>
      <c r="BL19" s="105">
        <f>IF('Angle horizontal pennes (1-1)'!$M$76="",IF(BK18&lt;100,5.95,""),'Angle horizontal pennes (1-1)'!$M$76)</f>
        <v>17.933333333333334</v>
      </c>
      <c r="BM19" s="105">
        <f>IF('Angle horizontal pennes (1-1)'!$M$77="",IF(BK18&lt;100,2.85,""),'Angle horizontal pennes (1-1)'!$M$77)</f>
        <v>3.9004273270160312</v>
      </c>
      <c r="BN19" s="267">
        <f>IF('Angle horizontal pennes (1-1)'!$M$80="",59.04,'Angle horizontal pennes (1-1)'!$M$80)</f>
        <v>30</v>
      </c>
      <c r="BO19" s="105">
        <f>IF('Angle horizontal pennes (1-1)'!$M$81="",31.76,'Angle horizontal pennes (1-1)'!$M$81)</f>
        <v>16.274999999999999</v>
      </c>
      <c r="BP19" s="105">
        <f>IF('Angle horizontal pennes (1-1)'!$M$82="",4.96,'Angle horizontal pennes (1-1)'!$M$82)</f>
        <v>6.4639384279245808</v>
      </c>
      <c r="BQ19" s="212"/>
      <c r="BR19" s="133"/>
      <c r="BS19" s="125"/>
    </row>
    <row r="20" spans="1:71">
      <c r="A20" s="130">
        <v>8</v>
      </c>
      <c r="B20" s="125"/>
      <c r="C20" s="141"/>
      <c r="D20" s="163"/>
      <c r="E20" s="163"/>
      <c r="F20" s="212"/>
      <c r="G20" s="143"/>
      <c r="H20" s="130"/>
      <c r="I20" s="163"/>
      <c r="J20" s="163"/>
      <c r="K20" s="212"/>
      <c r="L20" s="143"/>
      <c r="M20" s="130"/>
      <c r="N20" s="163"/>
      <c r="O20" s="163"/>
      <c r="P20" s="212"/>
      <c r="Q20" s="143"/>
      <c r="R20" s="130"/>
      <c r="S20" s="163"/>
      <c r="T20" s="163"/>
      <c r="U20" s="212"/>
      <c r="V20" s="143"/>
      <c r="W20" s="125"/>
      <c r="X20" s="180">
        <f t="shared" si="2"/>
        <v>0</v>
      </c>
      <c r="Y20" s="125"/>
      <c r="Z20" s="201">
        <f>IF('Folioles=disposition&amp;groupes'!$BK$37="",60,'Folioles=disposition&amp;groupes'!$BK$37)</f>
        <v>44</v>
      </c>
      <c r="AA20" s="202">
        <f>IF('Folioles=disposition&amp;groupes'!$BK$37="",0,'Folioles=disposition&amp;groupes'!$BQ$37)</f>
        <v>0</v>
      </c>
      <c r="AB20" s="202">
        <f>IF('Folioles=disposition&amp;groupes'!$BK$37="",65.9,'Folioles=disposition&amp;groupes'!$BR$37)</f>
        <v>69.230769230769226</v>
      </c>
      <c r="AC20" s="202">
        <f>IF('Folioles=disposition&amp;groupes'!$BK$37="",31.8,'Folioles=disposition&amp;groupes'!$BS$37)</f>
        <v>30.76923076923077</v>
      </c>
      <c r="AD20" s="202">
        <f>IF('Folioles=disposition&amp;groupes'!$BK$37="",2.3,'Folioles=disposition&amp;groupes'!$BT$37)</f>
        <v>0</v>
      </c>
      <c r="AE20" s="180">
        <f t="shared" si="1"/>
        <v>100</v>
      </c>
      <c r="AF20" s="201">
        <f>IF('Folioles=disposition&amp;groupes'!$CF$59="",60,'Folioles=disposition&amp;groupes'!$CF$59)</f>
        <v>44</v>
      </c>
      <c r="AG20" s="202">
        <f>IF('Folioles=disposition&amp;groupes'!$CF$59="",4.07,'Folioles=disposition&amp;groupes'!$CG$59)</f>
        <v>9.0576923076923066</v>
      </c>
      <c r="AH20" s="202">
        <f>IF('Folioles=disposition&amp;groupes'!$CF$59="",0.16,'Folioles=disposition&amp;groupes'!$CH$59)</f>
        <v>1.7475536578263486</v>
      </c>
      <c r="AI20" s="202">
        <f>IF('Folioles=disposition&amp;groupes'!$CF$59="",1.3,'Folioles=disposition&amp;groupes'!$CI$59)</f>
        <v>0.76857142857142857</v>
      </c>
      <c r="AJ20" s="202">
        <f>IF('Folioles=disposition&amp;groupes'!$CF$59="",0.06,'Folioles=disposition&amp;groupes'!$CJ$59)</f>
        <v>1.0691831833733771</v>
      </c>
      <c r="AK20" s="126"/>
      <c r="AL20" s="1185"/>
      <c r="AM20" s="125"/>
      <c r="AN20" s="201">
        <f>IF('Angle rotation pennes (1-1)'!$N$70="",63.92,'Angle rotation pennes (1-1)'!$N$70)</f>
        <v>40</v>
      </c>
      <c r="AO20" s="202">
        <v>52.1</v>
      </c>
      <c r="AP20" s="202">
        <f>IF('Angle rotation pennes (1-1)'!$N$72="",4.14,'Angle rotation pennes (1-1)'!$N$72)</f>
        <v>9.6831468714119087</v>
      </c>
      <c r="AQ20" s="267">
        <f>IF('Angle rotation pennes (1-1)'!$N$75="","",'Angle rotation pennes (1-1)'!$N$75)</f>
        <v>90</v>
      </c>
      <c r="AR20" s="202">
        <f>IF('Angle rotation pennes (1-1)'!$N$76="","",'Angle rotation pennes (1-1)'!$N$76)</f>
        <v>8.8999999999999986</v>
      </c>
      <c r="AS20" s="202">
        <f>IF('Angle rotation pennes (1-1)'!$N$77="","",'Angle rotation pennes (1-1)'!$N$77)</f>
        <v>4.8083261120685208</v>
      </c>
      <c r="AT20" s="201">
        <f>IF('Angle rotation pennes (1-1)'!$N$80="",68.88,'Angle rotation pennes (1-1)'!$N$80)</f>
        <v>40</v>
      </c>
      <c r="AU20" s="202">
        <f>IF('Angle rotation pennes (1-1)'!$N$81="",90.13,'Angle rotation pennes (1-1)'!$N$81)</f>
        <v>-46.7</v>
      </c>
      <c r="AV20" s="202">
        <f>IF('Angle rotation pennes (1-1)'!$N$82="",4,'Angle rotation pennes (1-1)'!$N$82)</f>
        <v>11.637009925234208</v>
      </c>
      <c r="AW20" s="125"/>
      <c r="AX20" s="267">
        <f>IF('Angle rotation pennes (1-1)'!$N$70="",63.92,'Angle rotation pennes (1-1)'!$N$70)</f>
        <v>40</v>
      </c>
      <c r="AY20" s="107">
        <f t="shared" si="3"/>
        <v>36.173537382770292</v>
      </c>
      <c r="AZ20" s="107">
        <f>IF('Angle rotation pennes (1-1)'!$N$72="",4.14,'Angle rotation pennes (1-1)'!$N$72)</f>
        <v>9.6831468714119087</v>
      </c>
      <c r="BA20" s="267">
        <f>IF('Angle rotation pennes (1-1)'!$N$75="","",'Angle rotation pennes (1-1)'!$N$75)</f>
        <v>90</v>
      </c>
      <c r="BB20" s="107">
        <f t="shared" si="4"/>
        <v>23.243468772268564</v>
      </c>
      <c r="BC20" s="107">
        <f>IF('Angle rotation pennes (1-1)'!$N$77="","",'Angle rotation pennes (1-1)'!$N$77)</f>
        <v>4.8083261120685208</v>
      </c>
      <c r="BD20" s="267">
        <f>IF('Angle rotation pennes (1-1)'!$N$80="",68.88,'Angle rotation pennes (1-1)'!$N$80)</f>
        <v>40</v>
      </c>
      <c r="BE20" s="107">
        <f t="shared" si="5"/>
        <v>6.6019915791228261</v>
      </c>
      <c r="BF20" s="107">
        <f>IF('Angle rotation pennes (1-1)'!$N$82="",4,'Angle rotation pennes (1-1)'!$N$82)</f>
        <v>11.637009925234208</v>
      </c>
      <c r="BG20" s="125"/>
      <c r="BH20" s="267">
        <f>IF('Angle horizontal pennes (1-1)'!$N$70="",68.88,'Angle horizontal pennes (1-1)'!$N$70)</f>
        <v>40</v>
      </c>
      <c r="BI20" s="107">
        <f>IF('Angle horizontal pennes (1-1)'!$N$71="",28.58,'Angle horizontal pennes (1-1)'!$N$71)</f>
        <v>10.55</v>
      </c>
      <c r="BJ20" s="107">
        <f>IF('Angle horizontal pennes (1-1)'!$N$72="",3.44,'Angle horizontal pennes (1-1)'!$N$72)</f>
        <v>5.5943423801789809</v>
      </c>
      <c r="BK20" s="267">
        <f>IF('Angle horizontal pennes (1-1)'!$N$75="","",'Angle horizontal pennes (1-1)'!$N$75)</f>
        <v>90</v>
      </c>
      <c r="BL20" s="107">
        <f>IF('Angle horizontal pennes (1-1)'!$N$76="","",'Angle horizontal pennes (1-1)'!$N$76)</f>
        <v>19.799999999999997</v>
      </c>
      <c r="BM20" s="107">
        <f>IF('Angle horizontal pennes (1-1)'!$N$77="","",'Angle horizontal pennes (1-1)'!$N$77)</f>
        <v>1.5556349186104039</v>
      </c>
      <c r="BN20" s="267">
        <f>IF('Angle horizontal pennes (1-1)'!$N$80="",68.88,'Angle horizontal pennes (1-1)'!$N$80)</f>
        <v>40</v>
      </c>
      <c r="BO20" s="107">
        <f>IF('Angle horizontal pennes (1-1)'!$N$81="",33.02,'Angle horizontal pennes (1-1)'!$N$81)</f>
        <v>12.250000000000002</v>
      </c>
      <c r="BP20" s="107">
        <f>IF('Angle horizontal pennes (1-1)'!$N$82="",4.42,'Angle horizontal pennes (1-1)'!$N$82)</f>
        <v>5.1778373863998421</v>
      </c>
      <c r="BQ20" s="212"/>
      <c r="BR20" s="143"/>
      <c r="BS20" s="125"/>
    </row>
    <row r="21" spans="1:71">
      <c r="A21" s="130">
        <v>9</v>
      </c>
      <c r="B21" s="125"/>
      <c r="C21" s="141"/>
      <c r="D21" s="133"/>
      <c r="E21" s="133"/>
      <c r="F21" s="212"/>
      <c r="G21" s="133"/>
      <c r="H21" s="130"/>
      <c r="I21" s="133"/>
      <c r="J21" s="133"/>
      <c r="K21" s="212"/>
      <c r="L21" s="133"/>
      <c r="M21" s="130"/>
      <c r="N21" s="133"/>
      <c r="O21" s="133"/>
      <c r="P21" s="212"/>
      <c r="Q21" s="133"/>
      <c r="R21" s="130"/>
      <c r="S21" s="133"/>
      <c r="T21" s="133"/>
      <c r="U21" s="212"/>
      <c r="V21" s="133"/>
      <c r="W21" s="125"/>
      <c r="X21" s="180">
        <f t="shared" si="2"/>
        <v>0</v>
      </c>
      <c r="Y21" s="125"/>
      <c r="Z21" s="201">
        <f>IF('Folioles=disposition&amp;groupes'!$BK$38="",76,'Folioles=disposition&amp;groupes'!$BK$38)</f>
        <v>60</v>
      </c>
      <c r="AA21" s="200">
        <f>IF('Folioles=disposition&amp;groupes'!$BK$38="",13.4,'Folioles=disposition&amp;groupes'!$BQ$38)</f>
        <v>0</v>
      </c>
      <c r="AB21" s="200">
        <f>IF('Folioles=disposition&amp;groupes'!$BK$38="",78.8,'Folioles=disposition&amp;groupes'!$BR$38)</f>
        <v>55.882352941176471</v>
      </c>
      <c r="AC21" s="200">
        <f>IF('Folioles=disposition&amp;groupes'!$BK$38="",7.7,'Folioles=disposition&amp;groupes'!$BS$38)</f>
        <v>44.117647058823529</v>
      </c>
      <c r="AD21" s="200">
        <f>IF('Folioles=disposition&amp;groupes'!$BK$38="",0.1,'Folioles=disposition&amp;groupes'!$BT$38)</f>
        <v>0</v>
      </c>
      <c r="AE21" s="180">
        <f t="shared" si="1"/>
        <v>100</v>
      </c>
      <c r="AF21" s="201">
        <f>IF('Folioles=disposition&amp;groupes'!$CF$60="",76,'Folioles=disposition&amp;groupes'!$CF$60)</f>
        <v>60</v>
      </c>
      <c r="AG21" s="200">
        <f>IF('Folioles=disposition&amp;groupes'!$CF$60="",3.51,'Folioles=disposition&amp;groupes'!$CG$60)</f>
        <v>4.6897058823529401</v>
      </c>
      <c r="AH21" s="200">
        <f>IF('Folioles=disposition&amp;groupes'!$CF$60="",0.14,'Folioles=disposition&amp;groupes'!$CH$60)</f>
        <v>0.16945676300041607</v>
      </c>
      <c r="AI21" s="200">
        <f>IF('Folioles=disposition&amp;groupes'!$CF$60="",1.67,'Folioles=disposition&amp;groupes'!$CI$60)</f>
        <v>2.8770000000000016</v>
      </c>
      <c r="AJ21" s="200">
        <f>IF('Folioles=disposition&amp;groupes'!$CF$60="",0.1,'Folioles=disposition&amp;groupes'!$CJ$60)</f>
        <v>1.1970484193913566</v>
      </c>
      <c r="AK21" s="126"/>
      <c r="AL21" s="1185"/>
      <c r="AM21" s="125"/>
      <c r="AN21" s="201">
        <f>IF('Angle rotation pennes (1-1)'!$O$70="",73.76,'Angle rotation pennes (1-1)'!$O$70)</f>
        <v>50</v>
      </c>
      <c r="AO21" s="200">
        <v>61.2</v>
      </c>
      <c r="AP21" s="200">
        <f>IF('Angle rotation pennes (1-1)'!$O$72="",3.11,'Angle rotation pennes (1-1)'!$O$72)</f>
        <v>7.1856338157001085</v>
      </c>
      <c r="AQ21" s="267">
        <f>IF('Angle rotation pennes (1-1)'!$O$75="","",'Angle rotation pennes (1-1)'!$O$75)</f>
        <v>98.474693898206965</v>
      </c>
      <c r="AR21" s="200">
        <f>IF('Angle rotation pennes (1-1)'!$O$76="","",'Angle rotation pennes (1-1)'!$O$76)</f>
        <v>-2.2000000000000028</v>
      </c>
      <c r="AS21" s="200">
        <f>IF('Angle rotation pennes (1-1)'!$O$77="","",'Angle rotation pennes (1-1)'!$O$77)</f>
        <v>0</v>
      </c>
      <c r="AT21" s="201">
        <f>IF('Angle rotation pennes (1-1)'!$O$80="",78.72,'Angle rotation pennes (1-1)'!$O$80)</f>
        <v>50</v>
      </c>
      <c r="AU21" s="200">
        <f>IF('Angle rotation pennes (1-1)'!$O$81="",87.75,'Angle rotation pennes (1-1)'!$O$81)</f>
        <v>-56.266666666666659</v>
      </c>
      <c r="AV21" s="200">
        <f>IF('Angle rotation pennes (1-1)'!$O$82="",5.44,'Angle rotation pennes (1-1)'!$O$82)</f>
        <v>11.353119982336725</v>
      </c>
      <c r="AW21" s="125"/>
      <c r="AX21" s="267">
        <f>IF('Angle rotation pennes (1-1)'!$O$70="",73.76,'Angle rotation pennes (1-1)'!$O$70)</f>
        <v>50</v>
      </c>
      <c r="AY21" s="105">
        <f t="shared" si="3"/>
        <v>38.897232391000976</v>
      </c>
      <c r="AZ21" s="105">
        <f>IF('Angle rotation pennes (1-1)'!$O$72="",3.11,'Angle rotation pennes (1-1)'!$O$72)</f>
        <v>7.1856338157001085</v>
      </c>
      <c r="BA21" s="267">
        <f>IF('Angle rotation pennes (1-1)'!$O$75="","",'Angle rotation pennes (1-1)'!$O$75)</f>
        <v>98.474693898206965</v>
      </c>
      <c r="BB21" s="105">
        <f t="shared" si="4"/>
        <v>19.921159476514649</v>
      </c>
      <c r="BC21" s="105">
        <f>IF('Angle rotation pennes (1-1)'!$O$77="","",'Angle rotation pennes (1-1)'!$O$77)</f>
        <v>0</v>
      </c>
      <c r="BD21" s="267">
        <f>IF('Angle rotation pennes (1-1)'!$O$80="",78.72,'Angle rotation pennes (1-1)'!$O$80)</f>
        <v>50</v>
      </c>
      <c r="BE21" s="105">
        <f t="shared" si="5"/>
        <v>3.7386199038033894</v>
      </c>
      <c r="BF21" s="105">
        <f>IF('Angle rotation pennes (1-1)'!$O$82="",5.44,'Angle rotation pennes (1-1)'!$O$82)</f>
        <v>11.353119982336725</v>
      </c>
      <c r="BG21" s="125"/>
      <c r="BH21" s="267">
        <f>IF('Angle horizontal pennes (1-1)'!$O$70="",78.72,'Angle horizontal pennes (1-1)'!$O$70)</f>
        <v>50</v>
      </c>
      <c r="BI21" s="105">
        <f>IF('Angle horizontal pennes (1-1)'!$O$71="",29.06,'Angle horizontal pennes (1-1)'!$O$71)</f>
        <v>20.2</v>
      </c>
      <c r="BJ21" s="105">
        <f>IF('Angle horizontal pennes (1-1)'!$O$72="",4.79,'Angle horizontal pennes (1-1)'!$O$72)</f>
        <v>13.59705850542683</v>
      </c>
      <c r="BK21" s="267">
        <f>IF('Angle horizontal pennes (1-1)'!$O$75="","",'Angle horizontal pennes (1-1)'!$O$75)</f>
        <v>98.474693898206965</v>
      </c>
      <c r="BL21" s="105">
        <f>IF('Angle horizontal pennes (1-1)'!$O$76="","",'Angle horizontal pennes (1-1)'!$O$76)</f>
        <v>8.6999999999999993</v>
      </c>
      <c r="BM21" s="105">
        <f>IF('Angle horizontal pennes (1-1)'!$O$77="","",'Angle horizontal pennes (1-1)'!$O$77)</f>
        <v>0</v>
      </c>
      <c r="BN21" s="267">
        <f>IF('Angle horizontal pennes (1-1)'!$O$80="",78.72,'Angle horizontal pennes (1-1)'!$O$80)</f>
        <v>50</v>
      </c>
      <c r="BO21" s="105">
        <f>IF('Angle horizontal pennes (1-1)'!$O$81="",32.01,'Angle horizontal pennes (1-1)'!$O$81)</f>
        <v>25.299999999999997</v>
      </c>
      <c r="BP21" s="105">
        <f>IF('Angle horizontal pennes (1-1)'!$O$82="",4.74,'Angle horizontal pennes (1-1)'!$O$82)</f>
        <v>17.386489007272289</v>
      </c>
      <c r="BQ21" s="212"/>
      <c r="BR21" s="133"/>
      <c r="BS21" s="125"/>
    </row>
    <row r="22" spans="1:71">
      <c r="A22" s="130">
        <v>10</v>
      </c>
      <c r="B22" s="125"/>
      <c r="C22" s="141"/>
      <c r="D22" s="163"/>
      <c r="E22" s="163"/>
      <c r="F22" s="212"/>
      <c r="G22" s="143"/>
      <c r="H22" s="130"/>
      <c r="I22" s="163"/>
      <c r="J22" s="163"/>
      <c r="K22" s="212"/>
      <c r="L22" s="143"/>
      <c r="M22" s="130"/>
      <c r="N22" s="163"/>
      <c r="O22" s="163"/>
      <c r="P22" s="212"/>
      <c r="Q22" s="143"/>
      <c r="R22" s="130"/>
      <c r="S22" s="163"/>
      <c r="T22" s="163"/>
      <c r="U22" s="212"/>
      <c r="V22" s="143"/>
      <c r="W22" s="125"/>
      <c r="X22" s="180">
        <f t="shared" si="2"/>
        <v>0</v>
      </c>
      <c r="Y22" s="125"/>
      <c r="Z22" s="201">
        <f>IF('Folioles=disposition&amp;groupes'!$BK$39="",88,'Folioles=disposition&amp;groupes'!$BK$39)</f>
        <v>76</v>
      </c>
      <c r="AA22" s="202">
        <f>IF('Folioles=disposition&amp;groupes'!$BK$39="",65.6,'Folioles=disposition&amp;groupes'!$BQ$39)</f>
        <v>4.4444444444444446</v>
      </c>
      <c r="AB22" s="202">
        <f>IF('Folioles=disposition&amp;groupes'!$BK$39="",31.2,'Folioles=disposition&amp;groupes'!$BR$39)</f>
        <v>64.444444444444443</v>
      </c>
      <c r="AC22" s="202">
        <f>IF('Folioles=disposition&amp;groupes'!$BK$39="",3.1,'Folioles=disposition&amp;groupes'!$BS$39)</f>
        <v>31.111111111111111</v>
      </c>
      <c r="AD22" s="202">
        <f>IF('Folioles=disposition&amp;groupes'!$BK$39="",0.1,'Folioles=disposition&amp;groupes'!$BT$39)</f>
        <v>0</v>
      </c>
      <c r="AE22" s="180">
        <f t="shared" si="1"/>
        <v>100</v>
      </c>
      <c r="AF22" s="201">
        <f>IF('Folioles=disposition&amp;groupes'!$CF$61="",88,'Folioles=disposition&amp;groupes'!$CF$61)</f>
        <v>76</v>
      </c>
      <c r="AG22" s="202">
        <f>IF('Folioles=disposition&amp;groupes'!$CF$61="",3.34,'Folioles=disposition&amp;groupes'!$CG$61)</f>
        <v>2.4355555555555575</v>
      </c>
      <c r="AH22" s="202">
        <f>IF('Folioles=disposition&amp;groupes'!$CF$61="",0.14,'Folioles=disposition&amp;groupes'!$CH$61)</f>
        <v>1.3290927472769523</v>
      </c>
      <c r="AI22" s="202">
        <f>IF('Folioles=disposition&amp;groupes'!$CF$61="",2.05,'Folioles=disposition&amp;groupes'!$CI$61)</f>
        <v>1.6067796610169485</v>
      </c>
      <c r="AJ22" s="202">
        <f>IF('Folioles=disposition&amp;groupes'!$CF$61="",0.15,'Folioles=disposition&amp;groupes'!$CJ$61)</f>
        <v>8.6092335096451506E-2</v>
      </c>
      <c r="AK22" s="126"/>
      <c r="AL22" s="1185"/>
      <c r="AM22" s="125"/>
      <c r="AN22" s="201">
        <f>IF('Angle rotation pennes (1-1)'!$P$70="",79.29,'Angle rotation pennes (1-1)'!$P$70)</f>
        <v>60</v>
      </c>
      <c r="AO22" s="202">
        <v>68.2</v>
      </c>
      <c r="AP22" s="202">
        <f>IF('Angle rotation pennes (1-1)'!$P$72="",4.17,'Angle rotation pennes (1-1)'!$P$72)</f>
        <v>15.847081750278187</v>
      </c>
      <c r="AQ22" s="267">
        <f>IF('Angle rotation pennes (1-1)'!$P$75="","",'Angle rotation pennes (1-1)'!$P$75)</f>
        <v>99.665653482478291</v>
      </c>
      <c r="AR22" s="202">
        <f>IF('Angle rotation pennes (1-1)'!$P$76="","",'Angle rotation pennes (1-1)'!$P$76)</f>
        <v>-32.6</v>
      </c>
      <c r="AS22" s="202">
        <f>IF('Angle rotation pennes (1-1)'!$P$77="","",'Angle rotation pennes (1-1)'!$P$77)</f>
        <v>10.465180361560902</v>
      </c>
      <c r="AT22" s="201">
        <f>IF('Angle rotation pennes (1-1)'!$P$80="",89.36,'Angle rotation pennes (1-1)'!$P$80)</f>
        <v>60</v>
      </c>
      <c r="AU22" s="202">
        <f>IF('Angle rotation pennes (1-1)'!$P$81="",94.75,'Angle rotation pennes (1-1)'!$P$81)</f>
        <v>-39.074999999999996</v>
      </c>
      <c r="AV22" s="202">
        <f>IF('Angle rotation pennes (1-1)'!$P$82="",0,'Angle rotation pennes (1-1)'!$P$82)</f>
        <v>13.436610435671634</v>
      </c>
      <c r="AW22" s="125"/>
      <c r="AX22" s="267">
        <f>IF('Angle rotation pennes (1-1)'!$P$70="",79.29,'Angle rotation pennes (1-1)'!$P$70)</f>
        <v>60</v>
      </c>
      <c r="AY22" s="107">
        <f t="shared" si="3"/>
        <v>40.992382397332278</v>
      </c>
      <c r="AZ22" s="107">
        <f>IF('Angle rotation pennes (1-1)'!$P$72="",4.17,'Angle rotation pennes (1-1)'!$P$72)</f>
        <v>15.847081750278187</v>
      </c>
      <c r="BA22" s="267">
        <f>IF('Angle rotation pennes (1-1)'!$P$75="","",'Angle rotation pennes (1-1)'!$P$75)</f>
        <v>99.665653482478291</v>
      </c>
      <c r="BB22" s="107">
        <f t="shared" si="4"/>
        <v>10.822222306161583</v>
      </c>
      <c r="BC22" s="107">
        <f>IF('Angle rotation pennes (1-1)'!$P$77="","",'Angle rotation pennes (1-1)'!$P$77)</f>
        <v>10.465180361560902</v>
      </c>
      <c r="BD22" s="267">
        <f>IF('Angle rotation pennes (1-1)'!$P$80="",89.36,'Angle rotation pennes (1-1)'!$P$80)</f>
        <v>60</v>
      </c>
      <c r="BE22" s="107">
        <f t="shared" si="5"/>
        <v>8.884208550305134</v>
      </c>
      <c r="BF22" s="107">
        <f>IF('Angle rotation pennes (1-1)'!$P$82="",0,'Angle rotation pennes (1-1)'!$P$82)</f>
        <v>13.436610435671634</v>
      </c>
      <c r="BG22" s="125"/>
      <c r="BH22" s="267">
        <f>IF('Angle horizontal pennes (1-1)'!$P$70="",100,'Angle horizontal pennes (1-1)'!$P$70)</f>
        <v>60</v>
      </c>
      <c r="BI22" s="107">
        <f>IF('Angle horizontal pennes (1-1)'!$P$71="",25,'Angle horizontal pennes (1-1)'!$P$71)</f>
        <v>18.974999999999998</v>
      </c>
      <c r="BJ22" s="107">
        <f>IF('Angle horizontal pennes (1-1)'!$P$72="",6,'Angle horizontal pennes (1-1)'!$P$72)</f>
        <v>8.1393591066291453</v>
      </c>
      <c r="BK22" s="267">
        <f>IF('Angle horizontal pennes (1-1)'!$P$75="","",'Angle horizontal pennes (1-1)'!$P$75)</f>
        <v>99.665653482478291</v>
      </c>
      <c r="BL22" s="107">
        <f>IF('Angle horizontal pennes (1-1)'!$P$76="","",'Angle horizontal pennes (1-1)'!$P$76)</f>
        <v>10.199999999999999</v>
      </c>
      <c r="BM22" s="107">
        <f>IF('Angle horizontal pennes (1-1)'!$P$77="","",'Angle horizontal pennes (1-1)'!$P$77)</f>
        <v>5.9396969619670017</v>
      </c>
      <c r="BN22" s="267">
        <f>IF('Angle horizontal pennes (1-1)'!$P$80="",89.36,'Angle horizontal pennes (1-1)'!$P$80)</f>
        <v>60</v>
      </c>
      <c r="BO22" s="107">
        <f>IF('Angle horizontal pennes (1-1)'!$P$81="",18.3,'Angle horizontal pennes (1-1)'!$P$81)</f>
        <v>21.5</v>
      </c>
      <c r="BP22" s="107">
        <f>IF('Angle horizontal pennes (1-1)'!$P$82="",2.05,'Angle horizontal pennes (1-1)'!$P$82)</f>
        <v>4.3984845875217813</v>
      </c>
      <c r="BQ22" s="212"/>
      <c r="BR22" s="143"/>
      <c r="BS22" s="125"/>
    </row>
    <row r="23" spans="1:71">
      <c r="A23" s="130">
        <v>11</v>
      </c>
      <c r="B23" s="125"/>
      <c r="C23" s="141"/>
      <c r="D23" s="133"/>
      <c r="E23" s="133"/>
      <c r="F23" s="212"/>
      <c r="G23" s="133"/>
      <c r="H23" s="130"/>
      <c r="I23" s="133"/>
      <c r="J23" s="133"/>
      <c r="K23" s="212"/>
      <c r="L23" s="133"/>
      <c r="M23" s="130"/>
      <c r="N23" s="133"/>
      <c r="O23" s="133"/>
      <c r="P23" s="212"/>
      <c r="Q23" s="133"/>
      <c r="R23" s="130"/>
      <c r="S23" s="133"/>
      <c r="T23" s="133"/>
      <c r="U23" s="212"/>
      <c r="V23" s="133"/>
      <c r="W23" s="125"/>
      <c r="X23" s="180">
        <f t="shared" si="2"/>
        <v>0</v>
      </c>
      <c r="Y23" s="125"/>
      <c r="Z23" s="201">
        <f>IF('Folioles=disposition&amp;groupes'!$BK$40="",96,'Folioles=disposition&amp;groupes'!$BK$40)</f>
        <v>88</v>
      </c>
      <c r="AA23" s="200">
        <f>IF('Folioles=disposition&amp;groupes'!$BK$40="",100,'Folioles=disposition&amp;groupes'!$BQ$40)</f>
        <v>5.5555555555555554</v>
      </c>
      <c r="AB23" s="200">
        <f>IF('Folioles=disposition&amp;groupes'!$BK$40="",0,'Folioles=disposition&amp;groupes'!$BR$40)</f>
        <v>55.555555555555557</v>
      </c>
      <c r="AC23" s="200">
        <f>IF('Folioles=disposition&amp;groupes'!$BK$40="",0,'Folioles=disposition&amp;groupes'!$BS$40)</f>
        <v>38.888888888888886</v>
      </c>
      <c r="AD23" s="200">
        <f>IF('Folioles=disposition&amp;groupes'!$BK$40="",0,'Folioles=disposition&amp;groupes'!$BT$40)</f>
        <v>0</v>
      </c>
      <c r="AE23" s="180">
        <f t="shared" si="1"/>
        <v>100</v>
      </c>
      <c r="AF23" s="201">
        <f>IF('Folioles=disposition&amp;groupes'!$CF$62="",96,'Folioles=disposition&amp;groupes'!$CF$62)</f>
        <v>88</v>
      </c>
      <c r="AG23" s="200">
        <f>IF('Folioles=disposition&amp;groupes'!$CF$62="",3.05,'Folioles=disposition&amp;groupes'!$CG$62)</f>
        <v>4.0555555555555589</v>
      </c>
      <c r="AH23" s="200">
        <f>IF('Folioles=disposition&amp;groupes'!$CF$62="",0.19,'Folioles=disposition&amp;groupes'!$CH$62)</f>
        <v>0.12890241083003368</v>
      </c>
      <c r="AI23" s="200">
        <f>IF('Folioles=disposition&amp;groupes'!$CF$62="",2.24,'Folioles=disposition&amp;groupes'!$CI$62)</f>
        <v>1.9119999999999937</v>
      </c>
      <c r="AJ23" s="200">
        <f>IF('Folioles=disposition&amp;groupes'!$CF$62="",0.17,'Folioles=disposition&amp;groupes'!$CJ$62)</f>
        <v>0.12306096050331643</v>
      </c>
      <c r="AK23" s="126"/>
      <c r="AL23" s="1185"/>
      <c r="AM23" s="125"/>
      <c r="AN23" s="201">
        <f>IF('Angle rotation pennes (1-1)'!$Q$70="",100,'Angle rotation pennes (1-1)'!$Q$70)</f>
        <v>70</v>
      </c>
      <c r="AO23" s="200">
        <v>70.55</v>
      </c>
      <c r="AP23" s="200">
        <f>IF('Angle rotation pennes (1-1)'!$Q$72="",7,'Angle rotation pennes (1-1)'!$Q$72)</f>
        <v>5.8111243891923898</v>
      </c>
      <c r="AQ23" s="267">
        <f>IF('Angle rotation pennes (1-1)'!$Q$75="","",'Angle rotation pennes (1-1)'!$Q$75)</f>
        <v>99.951573567634654</v>
      </c>
      <c r="AR23" s="200">
        <f>IF('Angle rotation pennes (1-1)'!$Q$76="","",'Angle rotation pennes (1-1)'!$Q$76)</f>
        <v>-58.800000000000011</v>
      </c>
      <c r="AS23" s="200">
        <f>IF('Angle rotation pennes (1-1)'!$Q$77="","",'Angle rotation pennes (1-1)'!$Q$77)</f>
        <v>0</v>
      </c>
      <c r="AT23" s="201">
        <f>IF('Angle rotation pennes (1-1)'!$Q$80="",100,'Angle rotation pennes (1-1)'!$Q$80)</f>
        <v>70</v>
      </c>
      <c r="AU23" s="200">
        <f>IF('Angle rotation pennes (1-1)'!$Q$81="",85.1,'Angle rotation pennes (1-1)'!$Q$81)</f>
        <v>-38.274999999999999</v>
      </c>
      <c r="AV23" s="200">
        <f>IF('Angle rotation pennes (1-1)'!$Q$82="",12,'Angle rotation pennes (1-1)'!$Q$82)</f>
        <v>21.442694948785391</v>
      </c>
      <c r="AW23" s="125"/>
      <c r="AX23" s="267">
        <f>IF('Angle rotation pennes (1-1)'!$Q$70="",100,'Angle rotation pennes (1-1)'!$Q$70)</f>
        <v>70</v>
      </c>
      <c r="AY23" s="105">
        <f t="shared" si="3"/>
        <v>41.695754185172063</v>
      </c>
      <c r="AZ23" s="105">
        <f>IF('Angle rotation pennes (1-1)'!$Q$72="",7,'Angle rotation pennes (1-1)'!$Q$72)</f>
        <v>5.8111243891923898</v>
      </c>
      <c r="BA23" s="267">
        <f>IF('Angle rotation pennes (1-1)'!$Q$75="","",'Angle rotation pennes (1-1)'!$Q$75)</f>
        <v>99.951573567634654</v>
      </c>
      <c r="BB23" s="105">
        <f t="shared" si="4"/>
        <v>2.9803751396072933</v>
      </c>
      <c r="BC23" s="105">
        <f>IF('Angle rotation pennes (1-1)'!$Q$77="","",'Angle rotation pennes (1-1)'!$Q$77)</f>
        <v>0</v>
      </c>
      <c r="BD23" s="267">
        <f>IF('Angle rotation pennes (1-1)'!$Q$80="",100,'Angle rotation pennes (1-1)'!$Q$80)</f>
        <v>70</v>
      </c>
      <c r="BE23" s="105">
        <f t="shared" si="5"/>
        <v>9.1236542653144248</v>
      </c>
      <c r="BF23" s="105">
        <f>IF('Angle rotation pennes (1-1)'!$Q$82="",12,'Angle rotation pennes (1-1)'!$Q$82)</f>
        <v>21.442694948785391</v>
      </c>
      <c r="BG23" s="125"/>
      <c r="BH23" s="267">
        <f>IF('Angle horizontal pennes (1-1)'!$Q$70="","",'Angle horizontal pennes (1-1)'!$Q$70)</f>
        <v>70</v>
      </c>
      <c r="BI23" s="105">
        <f>IF('Angle horizontal pennes (1-1)'!$Q$71="","",'Angle horizontal pennes (1-1)'!$Q$71)</f>
        <v>14.825000000000001</v>
      </c>
      <c r="BJ23" s="105">
        <f>IF('Angle horizontal pennes (1-1)'!$Q$72="","",'Angle horizontal pennes (1-1)'!$Q$72)</f>
        <v>3.3974254958718286</v>
      </c>
      <c r="BK23" s="267">
        <f>IF('Angle horizontal pennes (1-1)'!$Q$75="","",'Angle horizontal pennes (1-1)'!$Q$75)</f>
        <v>99.951573567634654</v>
      </c>
      <c r="BL23" s="105">
        <f>IF('Angle horizontal pennes (1-1)'!$Q$76="","",'Angle horizontal pennes (1-1)'!$Q$76)</f>
        <v>4.1500000000000004</v>
      </c>
      <c r="BM23" s="105">
        <f>IF('Angle horizontal pennes (1-1)'!$Q$77="","",'Angle horizontal pennes (1-1)'!$Q$77)</f>
        <v>0.21213203435596412</v>
      </c>
      <c r="BN23" s="267">
        <f>IF('Angle horizontal pennes (1-1)'!$Q$80="",IF(BN2&lt;100,100,""),'Angle horizontal pennes (1-1)'!$Q$80)</f>
        <v>70</v>
      </c>
      <c r="BO23" s="105">
        <f>IF('Angle horizontal pennes (1-1)'!$Q$81="",IF(BN2&lt;100,20,""),'Angle horizontal pennes (1-1)'!$Q$81)</f>
        <v>16.899999999999999</v>
      </c>
      <c r="BP23" s="105">
        <f>IF('Angle horizontal pennes (1-1)'!$Q$82="",IF(BN2&lt;100,3,""),'Angle horizontal pennes (1-1)'!$Q$82)</f>
        <v>4.695387807909662</v>
      </c>
      <c r="BQ23" s="177"/>
      <c r="BR23" s="133"/>
      <c r="BS23" s="125"/>
    </row>
    <row r="24" spans="1:71">
      <c r="A24" s="130">
        <v>12</v>
      </c>
      <c r="B24" s="125"/>
      <c r="C24" s="141"/>
      <c r="D24" s="163"/>
      <c r="E24" s="163"/>
      <c r="F24" s="212"/>
      <c r="G24" s="143"/>
      <c r="H24" s="130"/>
      <c r="I24" s="163"/>
      <c r="J24" s="163"/>
      <c r="K24" s="212"/>
      <c r="L24" s="143"/>
      <c r="M24" s="130"/>
      <c r="N24" s="163"/>
      <c r="O24" s="163"/>
      <c r="P24" s="212"/>
      <c r="Q24" s="143"/>
      <c r="R24" s="130"/>
      <c r="S24" s="163"/>
      <c r="T24" s="163"/>
      <c r="U24" s="212"/>
      <c r="V24" s="143"/>
      <c r="W24" s="125"/>
      <c r="X24" s="180">
        <f t="shared" si="2"/>
        <v>0</v>
      </c>
      <c r="Y24" s="125"/>
      <c r="Z24" s="201">
        <f>IF('Folioles=disposition&amp;groupes'!$BK$41="",IF(Z23&lt;100,100,""),'Folioles=disposition&amp;groupes'!$BK$41)</f>
        <v>96</v>
      </c>
      <c r="AA24" s="202">
        <f>IF('Folioles=disposition&amp;groupes'!$BK$41="",IF(Z23&lt;100,100,""),'Folioles=disposition&amp;groupes'!$BQ$41)</f>
        <v>33.333333333333336</v>
      </c>
      <c r="AB24" s="202">
        <f>IF('Folioles=disposition&amp;groupes'!$BK$41="",IF(Z23&lt;100,0,""),'Folioles=disposition&amp;groupes'!$BR$41)</f>
        <v>56.666666666666664</v>
      </c>
      <c r="AC24" s="202">
        <f>IF('Folioles=disposition&amp;groupes'!$BK$41="",IF(Z23&lt;100,0,""),'Folioles=disposition&amp;groupes'!$BS$41)</f>
        <v>10</v>
      </c>
      <c r="AD24" s="202">
        <f>IF('Folioles=disposition&amp;groupes'!$BK$41="",IF(Z23&lt;100,0,""),'Folioles=disposition&amp;groupes'!$BT$41)</f>
        <v>0</v>
      </c>
      <c r="AE24" s="180">
        <f t="shared" si="1"/>
        <v>100</v>
      </c>
      <c r="AF24" s="201">
        <f>IF('Folioles=disposition&amp;groupes'!$CF$63="",IF(AF23&lt;100,100,""),'Folioles=disposition&amp;groupes'!$CF$63)</f>
        <v>96</v>
      </c>
      <c r="AG24" s="202">
        <f>IF('Folioles=disposition&amp;groupes'!$CF$63="",IF(AF23&lt;100,1.63,""),'Folioles=disposition&amp;groupes'!$CG$63)</f>
        <v>3.4000000000000035</v>
      </c>
      <c r="AH24" s="202">
        <f>IF('Folioles=disposition&amp;groupes'!$CF$63="",IF(AF23&lt;100,0.85,""),'Folioles=disposition&amp;groupes'!$CH$63)</f>
        <v>0.2681560969056821</v>
      </c>
      <c r="AI24" s="202">
        <f>IF('Folioles=disposition&amp;groupes'!$CF$63="",IF(AF23&lt;100,1.63,""),'Folioles=disposition&amp;groupes'!$CI$63)</f>
        <v>1.8526315789473649</v>
      </c>
      <c r="AJ24" s="202">
        <f>IF('Folioles=disposition&amp;groupes'!$CF$63="",IF(AF23&lt;100,0.63,""),'Folioles=disposition&amp;groupes'!$CJ$63)</f>
        <v>0.10985594529441114</v>
      </c>
      <c r="AK24" s="126"/>
      <c r="AL24" s="126"/>
      <c r="AM24" s="125"/>
      <c r="AN24" s="201">
        <f>IF('Angle rotation pennes (1-1)'!$R$70="","",'Angle rotation pennes (1-1)'!$R$70)</f>
        <v>80</v>
      </c>
      <c r="AO24" s="202">
        <f>IF('Angle rotation pennes (1-1)'!$R$71="","",'Angle rotation pennes (1-1)'!$R$71)</f>
        <v>21.924999999999997</v>
      </c>
      <c r="AP24" s="202">
        <f>IF('Angle rotation pennes (1-1)'!$R$72="","",'Angle rotation pennes (1-1)'!$R$72)</f>
        <v>16.686196890444116</v>
      </c>
      <c r="AQ24" s="267">
        <f>IF('Angle rotation pennes (1-1)'!$R$75="","",'Angle rotation pennes (1-1)'!$R$75)</f>
        <v>100</v>
      </c>
      <c r="AR24" s="202">
        <f>IF('Angle rotation pennes (1-1)'!$R$76="","",'Angle rotation pennes (1-1)'!$R$76)</f>
        <v>-19</v>
      </c>
      <c r="AS24" s="202">
        <f>IF('Angle rotation pennes (1-1)'!$R$77="","",'Angle rotation pennes (1-1)'!$R$77)</f>
        <v>19.798989873223331</v>
      </c>
      <c r="AT24" s="201">
        <f>IF('Angle rotation pennes (1-1)'!$R$80="","",'Angle rotation pennes (1-1)'!$R$80)</f>
        <v>80</v>
      </c>
      <c r="AU24" s="202">
        <f>IF('Angle rotation pennes (1-1)'!$R$81="","",'Angle rotation pennes (1-1)'!$R$81)</f>
        <v>-49.774999999999999</v>
      </c>
      <c r="AV24" s="202">
        <f>IF('Angle rotation pennes (1-1)'!$R$82="","",'Angle rotation pennes (1-1)'!$R$82)</f>
        <v>8.039226745568687</v>
      </c>
      <c r="AW24" s="125"/>
      <c r="AX24" s="267">
        <f>IF('Angle rotation pennes (1-1)'!$R$70="","",'Angle rotation pennes (1-1)'!$R$70)</f>
        <v>80</v>
      </c>
      <c r="AY24" s="107">
        <f t="shared" si="3"/>
        <v>27.141944319763585</v>
      </c>
      <c r="AZ24" s="107">
        <f>IF('Angle rotation pennes (1-1)'!$R$72="","",'Angle rotation pennes (1-1)'!$R$72)</f>
        <v>16.686196890444116</v>
      </c>
      <c r="BA24" s="267">
        <f>IF('Angle rotation pennes (1-1)'!$R$75="","",'Angle rotation pennes (1-1)'!$R$75)</f>
        <v>100</v>
      </c>
      <c r="BB24" s="107">
        <f t="shared" ref="BB24:BB30" si="7">IF(BA24="","",$AL$36*AR24+$AL$37)</f>
        <v>14.892799461319534</v>
      </c>
      <c r="BC24" s="107">
        <f>IF('Angle rotation pennes (1-1)'!$R$77="","",'Angle rotation pennes (1-1)'!$R$77)</f>
        <v>19.798989873223331</v>
      </c>
      <c r="BD24" s="267">
        <f>IF('Angle rotation pennes (1-1)'!$R$80="","",'Angle rotation pennes (1-1)'!$R$80)</f>
        <v>80</v>
      </c>
      <c r="BE24" s="107">
        <f t="shared" si="5"/>
        <v>5.6816221120558641</v>
      </c>
      <c r="BF24" s="107">
        <f>IF('Angle rotation pennes (1-1)'!$R$82="","",'Angle rotation pennes (1-1)'!$R$82)</f>
        <v>8.039226745568687</v>
      </c>
      <c r="BG24" s="125"/>
      <c r="BH24" s="267">
        <f>IF('Angle horizontal pennes (1-1)'!$R$70="","",'Angle horizontal pennes (1-1)'!$R$70)</f>
        <v>80</v>
      </c>
      <c r="BI24" s="107">
        <f>IF('Angle horizontal pennes (1-1)'!$R$71="","",'Angle horizontal pennes (1-1)'!$R$71)</f>
        <v>14.025</v>
      </c>
      <c r="BJ24" s="107">
        <f>IF('Angle horizontal pennes (1-1)'!$R$72="","",'Angle horizontal pennes (1-1)'!$R$72)</f>
        <v>1.3696106502701171</v>
      </c>
      <c r="BK24" s="267">
        <f>IF('Angle horizontal pennes (1-1)'!$R$75="","",'Angle horizontal pennes (1-1)'!$R$75)</f>
        <v>100</v>
      </c>
      <c r="BL24" s="107">
        <f>IF('Angle horizontal pennes (1-1)'!$R$76="","",'Angle horizontal pennes (1-1)'!$R$76)</f>
        <v>1.05</v>
      </c>
      <c r="BM24" s="107">
        <f>IF('Angle horizontal pennes (1-1)'!$R$77="","",'Angle horizontal pennes (1-1)'!$R$77)</f>
        <v>1.2020815280171306</v>
      </c>
      <c r="BN24" s="267">
        <f>IF('Angle horizontal pennes (1-1)'!$R$80="","",'Angle horizontal pennes (1-1)'!$R$80)</f>
        <v>80</v>
      </c>
      <c r="BO24" s="107">
        <f>IF('Angle horizontal pennes (1-1)'!$R$81="","",'Angle horizontal pennes (1-1)'!$R$81)</f>
        <v>16.175000000000001</v>
      </c>
      <c r="BP24" s="107">
        <f>IF('Angle horizontal pennes (1-1)'!$R$82="","",'Angle horizontal pennes (1-1)'!$R$82)</f>
        <v>1.2996794476587941</v>
      </c>
      <c r="BQ24" s="177"/>
      <c r="BR24" s="143"/>
      <c r="BS24" s="125"/>
    </row>
    <row r="25" spans="1:71">
      <c r="A25" s="130">
        <v>13</v>
      </c>
      <c r="B25" s="125"/>
      <c r="C25" s="141"/>
      <c r="D25" s="133"/>
      <c r="E25" s="133"/>
      <c r="F25" s="145"/>
      <c r="G25" s="133"/>
      <c r="H25" s="130"/>
      <c r="I25" s="133"/>
      <c r="J25" s="133"/>
      <c r="K25" s="212"/>
      <c r="L25" s="133"/>
      <c r="M25" s="130"/>
      <c r="N25" s="133"/>
      <c r="O25" s="133"/>
      <c r="P25" s="212"/>
      <c r="Q25" s="133"/>
      <c r="R25" s="130"/>
      <c r="S25" s="133"/>
      <c r="T25" s="133"/>
      <c r="U25" s="212"/>
      <c r="V25" s="133"/>
      <c r="W25" s="125"/>
      <c r="X25" s="180">
        <f t="shared" si="2"/>
        <v>0</v>
      </c>
      <c r="Y25" s="125"/>
      <c r="Z25" s="201">
        <f>IF('Folioles=disposition&amp;groupes'!$BK$42="",IF(Z24&lt;100,100,""),'Folioles=disposition&amp;groupes'!$BK$42)</f>
        <v>100</v>
      </c>
      <c r="AA25" s="200">
        <f>IF('Folioles=disposition&amp;groupes'!$BK$42="",IF(Z24&lt;100,100,""),'Folioles=disposition&amp;groupes'!$BQ$42)</f>
        <v>100</v>
      </c>
      <c r="AB25" s="200">
        <f>IF('Folioles=disposition&amp;groupes'!$BK$42="",IF(Z24&lt;100,0,""),'Folioles=disposition&amp;groupes'!$BR$42)</f>
        <v>0</v>
      </c>
      <c r="AC25" s="200">
        <f>IF('Folioles=disposition&amp;groupes'!$BK$42="",IF(Z24&lt;100,0,""),'Folioles=disposition&amp;groupes'!$BS$42)</f>
        <v>0</v>
      </c>
      <c r="AD25" s="200">
        <f>IF('Folioles=disposition&amp;groupes'!$BK$42="",IF(Z24&lt;100,0,""),'Folioles=disposition&amp;groupes'!$BT$42)</f>
        <v>0</v>
      </c>
      <c r="AE25" s="180">
        <f t="shared" si="1"/>
        <v>100</v>
      </c>
      <c r="AF25" s="201">
        <f>IF('Folioles=disposition&amp;groupes'!$CF$64="",IF(AF24&lt;100,100,""),'Folioles=disposition&amp;groupes'!$CF$64)</f>
        <v>100</v>
      </c>
      <c r="AG25" s="200">
        <f>IF('Folioles=disposition&amp;groupes'!$CF$63="",IF(AF24&lt;100,1.64,""),'Folioles=disposition&amp;groupes'!$CG$64)</f>
        <v>0.01</v>
      </c>
      <c r="AH25" s="200">
        <f>IF('Folioles=disposition&amp;groupes'!$CF$64="",IF(AF24&lt;100,0.85,""),'Folioles=disposition&amp;groupes'!$CH$64)</f>
        <v>0</v>
      </c>
      <c r="AI25" s="200">
        <f>IF('Folioles=disposition&amp;groupes'!$CF$63="",IF(AF24&lt;100,1.64,""),'Folioles=disposition&amp;groupes'!$CI$64)</f>
        <v>0.01</v>
      </c>
      <c r="AJ25" s="200">
        <f>IF('Folioles=disposition&amp;groupes'!$CF$64="",IF(AF24&lt;100,0.63,""),'Folioles=disposition&amp;groupes'!$CJ$64)</f>
        <v>0</v>
      </c>
      <c r="AK25" s="126"/>
      <c r="AL25" s="126"/>
      <c r="AM25" s="125"/>
      <c r="AN25" s="201">
        <f>IF('Angle rotation pennes (1-1)'!$S$70="","",'Angle rotation pennes (1-1)'!$S$70)</f>
        <v>90</v>
      </c>
      <c r="AO25" s="200">
        <f>IF('Angle rotation pennes (1-1)'!$S$71="","",'Angle rotation pennes (1-1)'!$S$71)</f>
        <v>7</v>
      </c>
      <c r="AP25" s="200">
        <f>IF('Angle rotation pennes (1-1)'!$S$72="","",'Angle rotation pennes (1-1)'!$S$72)</f>
        <v>6.0811183182043056</v>
      </c>
      <c r="AQ25" s="267"/>
      <c r="AR25" s="200"/>
      <c r="AS25" s="200"/>
      <c r="AT25" s="201">
        <f>IF('Angle rotation pennes (1-1)'!$S$80="","",'Angle rotation pennes (1-1)'!$S$80)</f>
        <v>90</v>
      </c>
      <c r="AU25" s="200">
        <f>IF('Angle rotation pennes (1-1)'!$S$81="","",'Angle rotation pennes (1-1)'!$S$81)</f>
        <v>-52.800000000000011</v>
      </c>
      <c r="AV25" s="200">
        <f>IF('Angle rotation pennes (1-1)'!$S$82="","",'Angle rotation pennes (1-1)'!$S$82)</f>
        <v>0</v>
      </c>
      <c r="AW25" s="125"/>
      <c r="AX25" s="267">
        <f>IF('Angle rotation pennes (1-1)'!$S$70="","",'Angle rotation pennes (1-1)'!$S$70)</f>
        <v>90</v>
      </c>
      <c r="AY25" s="105">
        <f t="shared" si="3"/>
        <v>22.674785199121498</v>
      </c>
      <c r="AZ25" s="105">
        <f>IF('Angle rotation pennes (1-1)'!$S$72="","",'Angle rotation pennes (1-1)'!$S$72)</f>
        <v>6.0811183182043056</v>
      </c>
      <c r="BA25" s="267"/>
      <c r="BB25" s="105"/>
      <c r="BC25" s="105"/>
      <c r="BD25" s="267">
        <f>IF('Angle rotation pennes (1-1)'!$S$80="","",'Angle rotation pennes (1-1)'!$S$80)</f>
        <v>90</v>
      </c>
      <c r="BE25" s="105">
        <f t="shared" si="5"/>
        <v>4.7762180021769769</v>
      </c>
      <c r="BF25" s="105">
        <f>IF('Angle rotation pennes (1-1)'!$S$82="","",'Angle rotation pennes (1-1)'!$S$82)</f>
        <v>0</v>
      </c>
      <c r="BG25" s="125"/>
      <c r="BH25" s="267">
        <f>IF('Angle horizontal pennes (1-1)'!$S$70="","",'Angle horizontal pennes (1-1)'!$S$70)</f>
        <v>90</v>
      </c>
      <c r="BI25" s="105">
        <f>IF('Angle horizontal pennes (1-1)'!$S$71="","",'Angle horizontal pennes (1-1)'!$S$71)</f>
        <v>12.6</v>
      </c>
      <c r="BJ25" s="105">
        <f>IF('Angle horizontal pennes (1-1)'!$S$72="","",'Angle horizontal pennes (1-1)'!$S$72)</f>
        <v>0</v>
      </c>
      <c r="BK25" s="267"/>
      <c r="BL25" s="105"/>
      <c r="BM25" s="105"/>
      <c r="BN25" s="267">
        <f>IF('Angle horizontal pennes (1-1)'!$S$80="","",'Angle horizontal pennes (1-1)'!$S$80)</f>
        <v>90</v>
      </c>
      <c r="BO25" s="105">
        <f>IF('Angle horizontal pennes (1-1)'!$S$81="","",'Angle horizontal pennes (1-1)'!$S$81)</f>
        <v>14.8</v>
      </c>
      <c r="BP25" s="105">
        <f>IF('Angle horizontal pennes (1-1)'!$S$82="","",'Angle horizontal pennes (1-1)'!$S$82)</f>
        <v>0</v>
      </c>
      <c r="BQ25" s="177"/>
      <c r="BR25" s="133"/>
      <c r="BS25" s="125"/>
    </row>
    <row r="26" spans="1:71">
      <c r="A26" s="130">
        <v>14</v>
      </c>
      <c r="B26" s="125"/>
      <c r="C26" s="141"/>
      <c r="D26" s="163"/>
      <c r="E26" s="163"/>
      <c r="F26" s="145"/>
      <c r="G26" s="143"/>
      <c r="H26" s="130"/>
      <c r="I26" s="163"/>
      <c r="J26" s="163"/>
      <c r="K26" s="212"/>
      <c r="L26" s="143"/>
      <c r="M26" s="130"/>
      <c r="N26" s="163"/>
      <c r="O26" s="163"/>
      <c r="P26" s="212"/>
      <c r="Q26" s="143"/>
      <c r="R26" s="130"/>
      <c r="S26" s="163"/>
      <c r="T26" s="163"/>
      <c r="U26" s="212"/>
      <c r="V26" s="143"/>
      <c r="W26" s="125"/>
      <c r="X26" s="180">
        <f t="shared" si="2"/>
        <v>0</v>
      </c>
      <c r="Y26" s="125"/>
      <c r="Z26" s="171"/>
      <c r="AA26" s="163"/>
      <c r="AB26" s="163"/>
      <c r="AC26" s="163"/>
      <c r="AD26" s="163"/>
      <c r="AE26" s="180">
        <f t="shared" si="1"/>
        <v>0</v>
      </c>
      <c r="AF26" s="171"/>
      <c r="AG26" s="163"/>
      <c r="AH26" s="163"/>
      <c r="AI26" s="163"/>
      <c r="AJ26" s="163"/>
      <c r="AK26" s="126"/>
      <c r="AL26" s="126"/>
      <c r="AM26" s="125"/>
      <c r="AN26" s="201">
        <f>IF('Angle rotation pennes (1-1)'!$T$70="","",'Angle rotation pennes (1-1)'!$T$70)</f>
        <v>97.736572490101764</v>
      </c>
      <c r="AO26" s="202">
        <f>IF('Angle rotation pennes (1-1)'!$T$71="","",'Angle rotation pennes (1-1)'!$T$71)</f>
        <v>39.700000000000003</v>
      </c>
      <c r="AP26" s="202">
        <f>IF('Angle rotation pennes (1-1)'!$T$72="","",'Angle rotation pennes (1-1)'!$T$72)</f>
        <v>0</v>
      </c>
      <c r="AQ26" s="267"/>
      <c r="AR26" s="202"/>
      <c r="AS26" s="202"/>
      <c r="AT26" s="201">
        <f>IF('Angle rotation pennes (1-1)'!$T$80="","",'Angle rotation pennes (1-1)'!$T$80)</f>
        <v>97.736572490101764</v>
      </c>
      <c r="AU26" s="202">
        <f>IF('Angle rotation pennes (1-1)'!$T$81="","",'Angle rotation pennes (1-1)'!$T$81)</f>
        <v>-52.9</v>
      </c>
      <c r="AV26" s="202">
        <f>IF('Angle rotation pennes (1-1)'!$T$82="","",'Angle rotation pennes (1-1)'!$T$82)</f>
        <v>6.2265560304232359</v>
      </c>
      <c r="AW26" s="125"/>
      <c r="AX26" s="267">
        <f>IF('Angle rotation pennes (1-1)'!$T$70="","",'Angle rotation pennes (1-1)'!$T$70)</f>
        <v>97.736572490101764</v>
      </c>
      <c r="AY26" s="107">
        <f t="shared" si="3"/>
        <v>32.46212880012628</v>
      </c>
      <c r="AZ26" s="107">
        <f>IF('Angle rotation pennes (1-1)'!$T$72="","",'Angle rotation pennes (1-1)'!$T$72)</f>
        <v>0</v>
      </c>
      <c r="BA26" s="267"/>
      <c r="BB26" s="107"/>
      <c r="BC26" s="107"/>
      <c r="BD26" s="267">
        <f>IF('Angle rotation pennes (1-1)'!$T$80="","",'Angle rotation pennes (1-1)'!$T$80)</f>
        <v>97.736572490101764</v>
      </c>
      <c r="BE26" s="107">
        <f t="shared" si="5"/>
        <v>4.7462872878008202</v>
      </c>
      <c r="BF26" s="107">
        <f>IF('Angle rotation pennes (1-1)'!$T$82="","",'Angle rotation pennes (1-1)'!$T$82)</f>
        <v>6.2265560304232359</v>
      </c>
      <c r="BG26" s="125"/>
      <c r="BH26" s="267">
        <f>IF('Angle horizontal pennes (1-1)'!$T$70="","",'Angle horizontal pennes (1-1)'!$T$70)</f>
        <v>97.736572490101764</v>
      </c>
      <c r="BI26" s="107">
        <f>IF('Angle horizontal pennes (1-1)'!$T$71="","",'Angle horizontal pennes (1-1)'!$T$71)</f>
        <v>19.8</v>
      </c>
      <c r="BJ26" s="107">
        <f>IF('Angle horizontal pennes (1-1)'!$T$72="","",'Angle horizontal pennes (1-1)'!$T$72)</f>
        <v>0</v>
      </c>
      <c r="BK26" s="267"/>
      <c r="BL26" s="107"/>
      <c r="BM26" s="107"/>
      <c r="BN26" s="267">
        <f>IF('Angle horizontal pennes (1-1)'!$T$80="","",'Angle horizontal pennes (1-1)'!$T$80)</f>
        <v>97.736572490101764</v>
      </c>
      <c r="BO26" s="107">
        <f>IF('Angle horizontal pennes (1-1)'!$T$81="","",'Angle horizontal pennes (1-1)'!$T$81)</f>
        <v>15.333333333333336</v>
      </c>
      <c r="BP26" s="107">
        <f>IF('Angle horizontal pennes (1-1)'!$T$82="","",'Angle horizontal pennes (1-1)'!$T$82)</f>
        <v>4.9963319879020505</v>
      </c>
      <c r="BQ26" s="177"/>
      <c r="BR26" s="143"/>
      <c r="BS26" s="125"/>
    </row>
    <row r="27" spans="1:71">
      <c r="A27" s="130">
        <v>15</v>
      </c>
      <c r="B27" s="125"/>
      <c r="C27" s="141"/>
      <c r="D27" s="133"/>
      <c r="E27" s="133"/>
      <c r="F27" s="145"/>
      <c r="G27" s="133"/>
      <c r="H27" s="130"/>
      <c r="I27" s="133"/>
      <c r="J27" s="133"/>
      <c r="K27" s="212"/>
      <c r="L27" s="133"/>
      <c r="M27" s="130"/>
      <c r="N27" s="133"/>
      <c r="O27" s="133"/>
      <c r="P27" s="212"/>
      <c r="Q27" s="133"/>
      <c r="R27" s="130"/>
      <c r="S27" s="133"/>
      <c r="T27" s="133"/>
      <c r="U27" s="212"/>
      <c r="V27" s="133"/>
      <c r="W27" s="125"/>
      <c r="X27" s="180">
        <f t="shared" si="2"/>
        <v>0</v>
      </c>
      <c r="Y27" s="125"/>
      <c r="Z27" s="171"/>
      <c r="AA27" s="133"/>
      <c r="AB27" s="133"/>
      <c r="AC27" s="133"/>
      <c r="AD27" s="133"/>
      <c r="AE27" s="180">
        <f t="shared" si="1"/>
        <v>0</v>
      </c>
      <c r="AF27" s="171"/>
      <c r="AG27" s="133"/>
      <c r="AH27" s="133"/>
      <c r="AI27" s="133"/>
      <c r="AJ27" s="133"/>
      <c r="AK27" s="126"/>
      <c r="AL27" s="126"/>
      <c r="AM27" s="125"/>
      <c r="AN27" s="201">
        <f>IF('Angle rotation pennes (1-1)'!$U$70="","",'Angle rotation pennes (1-1)'!$U$70)</f>
        <v>98.474693898206965</v>
      </c>
      <c r="AO27" s="200">
        <f>IF('Angle rotation pennes (1-1)'!$U$71="","",'Angle rotation pennes (1-1)'!$U$71)</f>
        <v>22.150000000000002</v>
      </c>
      <c r="AP27" s="200">
        <f>IF('Angle rotation pennes (1-1)'!$U$72="","",'Angle rotation pennes (1-1)'!$U$72)</f>
        <v>12.657211383239193</v>
      </c>
      <c r="AQ27" s="267"/>
      <c r="AR27" s="200"/>
      <c r="AS27" s="200"/>
      <c r="AT27" s="201">
        <f>IF('Angle rotation pennes (1-1)'!$U$80="","",'Angle rotation pennes (1-1)'!$U$80)</f>
        <v>98.474693898206965</v>
      </c>
      <c r="AU27" s="200">
        <f>IF('Angle rotation pennes (1-1)'!$U$81="","",'Angle rotation pennes (1-1)'!$U$81)</f>
        <v>-45.699999999999989</v>
      </c>
      <c r="AV27" s="200">
        <f>IF('Angle rotation pennes (1-1)'!$U$82="","",'Angle rotation pennes (1-1)'!$U$82)</f>
        <v>0</v>
      </c>
      <c r="AW27" s="125"/>
      <c r="AX27" s="267">
        <f>IF('Angle rotation pennes (1-1)'!$U$70="","",'Angle rotation pennes (1-1)'!$U$70)</f>
        <v>98.474693898206965</v>
      </c>
      <c r="AY27" s="105">
        <f t="shared" si="3"/>
        <v>27.20928842710995</v>
      </c>
      <c r="AZ27" s="105">
        <f>IF('Angle rotation pennes (1-1)'!$U$72="","",'Angle rotation pennes (1-1)'!$U$72)</f>
        <v>12.657211383239193</v>
      </c>
      <c r="BA27" s="267"/>
      <c r="BB27" s="105"/>
      <c r="BC27" s="105"/>
      <c r="BD27" s="267">
        <f>IF('Angle rotation pennes (1-1)'!$U$80="","",'Angle rotation pennes (1-1)'!$U$80)</f>
        <v>98.474693898206965</v>
      </c>
      <c r="BE27" s="105">
        <f t="shared" si="5"/>
        <v>6.9012987228844427</v>
      </c>
      <c r="BF27" s="105">
        <f>IF('Angle rotation pennes (1-1)'!$U$82="","",'Angle rotation pennes (1-1)'!$U$82)</f>
        <v>0</v>
      </c>
      <c r="BG27" s="125"/>
      <c r="BH27" s="267">
        <f>IF('Angle horizontal pennes (1-1)'!$U$70="","",'Angle horizontal pennes (1-1)'!$U$70)</f>
        <v>98.474693898206965</v>
      </c>
      <c r="BI27" s="105">
        <f>IF('Angle horizontal pennes (1-1)'!$U$71="","",'Angle horizontal pennes (1-1)'!$U$71)</f>
        <v>14.149999999999999</v>
      </c>
      <c r="BJ27" s="105">
        <f>IF('Angle horizontal pennes (1-1)'!$U$72="","",'Angle horizontal pennes (1-1)'!$U$72)</f>
        <v>6.7175144212722016</v>
      </c>
      <c r="BK27" s="267"/>
      <c r="BL27" s="105"/>
      <c r="BM27" s="105"/>
      <c r="BN27" s="267">
        <f>IF('Angle horizontal pennes (1-1)'!$U$80="","",'Angle horizontal pennes (1-1)'!$U$80)</f>
        <v>98.474693898206965</v>
      </c>
      <c r="BO27" s="105">
        <f>IF('Angle horizontal pennes (1-1)'!$U$81="","",'Angle horizontal pennes (1-1)'!$U$81)</f>
        <v>13</v>
      </c>
      <c r="BP27" s="105">
        <f>IF('Angle horizontal pennes (1-1)'!$U$82="","",'Angle horizontal pennes (1-1)'!$U$82)</f>
        <v>0</v>
      </c>
      <c r="BQ27" s="177"/>
      <c r="BR27" s="133"/>
      <c r="BS27" s="125"/>
    </row>
    <row r="28" spans="1:71">
      <c r="A28" s="130">
        <v>16</v>
      </c>
      <c r="B28" s="125"/>
      <c r="C28" s="141"/>
      <c r="D28" s="163"/>
      <c r="E28" s="163"/>
      <c r="F28" s="145"/>
      <c r="G28" s="143"/>
      <c r="H28" s="130"/>
      <c r="I28" s="163"/>
      <c r="J28" s="163"/>
      <c r="K28" s="212"/>
      <c r="L28" s="143"/>
      <c r="M28" s="130"/>
      <c r="N28" s="163"/>
      <c r="O28" s="163"/>
      <c r="P28" s="212"/>
      <c r="Q28" s="143"/>
      <c r="R28" s="130"/>
      <c r="S28" s="163"/>
      <c r="T28" s="163"/>
      <c r="U28" s="212"/>
      <c r="V28" s="143"/>
      <c r="W28" s="125"/>
      <c r="X28" s="180">
        <f t="shared" si="2"/>
        <v>0</v>
      </c>
      <c r="Y28" s="125"/>
      <c r="Z28" s="171"/>
      <c r="AA28" s="163"/>
      <c r="AB28" s="163"/>
      <c r="AC28" s="163"/>
      <c r="AD28" s="163"/>
      <c r="AE28" s="180">
        <f t="shared" si="1"/>
        <v>0</v>
      </c>
      <c r="AF28" s="171"/>
      <c r="AG28" s="163"/>
      <c r="AH28" s="163"/>
      <c r="AI28" s="163"/>
      <c r="AJ28" s="163"/>
      <c r="AK28" s="126"/>
      <c r="AL28" s="126"/>
      <c r="AM28" s="125"/>
      <c r="AN28" s="201">
        <f>IF('Angle rotation pennes (1-1)'!$V$70="","",'Angle rotation pennes (1-1)'!$V$70)</f>
        <v>99.115172061249353</v>
      </c>
      <c r="AO28" s="202">
        <f>IF('Angle rotation pennes (1-1)'!$V$71="","",'Angle rotation pennes (1-1)'!$V$71)</f>
        <v>-16.349999999999994</v>
      </c>
      <c r="AP28" s="202">
        <f>IF('Angle rotation pennes (1-1)'!$V$71="","",'Angle rotation pennes (1-1)'!$V$71)</f>
        <v>-16.349999999999994</v>
      </c>
      <c r="AQ28" s="267"/>
      <c r="AR28" s="202"/>
      <c r="AS28" s="202"/>
      <c r="AT28" s="201">
        <f>IF('Angle rotation pennes (1-1)'!$V$80="","",'Angle rotation pennes (1-1)'!$V$80)</f>
        <v>99.115172061249353</v>
      </c>
      <c r="AU28" s="202">
        <f>IF('Angle rotation pennes (1-1)'!$V$81="","",'Angle rotation pennes (1-1)'!$V$81)</f>
        <v>-50.35</v>
      </c>
      <c r="AV28" s="202">
        <f>IF('Angle rotation pennes (1-1)'!$V$81="","",'Angle rotation pennes (1-1)'!$V$82)</f>
        <v>17.748380207782347</v>
      </c>
      <c r="AW28" s="125"/>
      <c r="AX28" s="267">
        <f>IF('Angle rotation pennes (1-1)'!$V$70="","",'Angle rotation pennes (1-1)'!$V$70)</f>
        <v>99.115172061249353</v>
      </c>
      <c r="AY28" s="107">
        <f t="shared" si="3"/>
        <v>15.685963392287812</v>
      </c>
      <c r="AZ28" s="107">
        <f>IF('Angle rotation pennes (1-1)'!$V$71="","",'Angle rotation pennes (1-1)'!$V$71)</f>
        <v>-16.349999999999994</v>
      </c>
      <c r="BA28" s="267"/>
      <c r="BB28" s="107"/>
      <c r="BC28" s="107"/>
      <c r="BD28" s="267">
        <f>IF('Angle rotation pennes (1-1)'!$V$80="","",'Angle rotation pennes (1-1)'!$V$80)</f>
        <v>99.115172061249353</v>
      </c>
      <c r="BE28" s="107">
        <f t="shared" si="5"/>
        <v>5.5095205043929347</v>
      </c>
      <c r="BF28" s="107">
        <f>IF('Angle rotation pennes (1-1)'!$V$81="","",'Angle rotation pennes (1-1)'!$V$82)</f>
        <v>17.748380207782347</v>
      </c>
      <c r="BG28" s="125"/>
      <c r="BH28" s="267">
        <f>IF('Angle horizontal pennes (1-1)'!$V$70="","",'Angle horizontal pennes (1-1)'!$V$70)</f>
        <v>99.115172061249353</v>
      </c>
      <c r="BI28" s="107">
        <f>IF('Angle horizontal pennes (1-1)'!$V$71="","",'Angle horizontal pennes (1-1)'!$V$71)</f>
        <v>13.100000000000001</v>
      </c>
      <c r="BJ28" s="107">
        <f>IF('Angle horizontal pennes (1-1)'!$V$72="","",'Angle horizontal pennes (1-1)'!$V$72)</f>
        <v>0.42426406871192823</v>
      </c>
      <c r="BK28" s="267"/>
      <c r="BL28" s="107"/>
      <c r="BM28" s="107"/>
      <c r="BN28" s="267">
        <f>IF('Angle horizontal pennes (1-1)'!$V$80="","",'Angle horizontal pennes (1-1)'!$V$80)</f>
        <v>99.115172061249353</v>
      </c>
      <c r="BO28" s="107">
        <f>IF('Angle horizontal pennes (1-1)'!$V$81="","",'Angle horizontal pennes (1-1)'!$V$81)</f>
        <v>9.4499999999999993</v>
      </c>
      <c r="BP28" s="107">
        <f>IF('Angle horizontal pennes (1-1)'!$V$82="","",'Angle horizontal pennes (1-1)'!$V$82)</f>
        <v>5.4447222151364194</v>
      </c>
      <c r="BQ28" s="177"/>
      <c r="BR28" s="143"/>
      <c r="BS28" s="125"/>
    </row>
    <row r="29" spans="1:71">
      <c r="A29" s="130">
        <v>17</v>
      </c>
      <c r="B29" s="125"/>
      <c r="C29" s="141"/>
      <c r="D29" s="133"/>
      <c r="E29" s="133"/>
      <c r="F29" s="145"/>
      <c r="G29" s="133"/>
      <c r="H29" s="130"/>
      <c r="I29" s="133"/>
      <c r="J29" s="133"/>
      <c r="K29" s="212"/>
      <c r="L29" s="133"/>
      <c r="M29" s="130"/>
      <c r="N29" s="133"/>
      <c r="O29" s="133"/>
      <c r="P29" s="212"/>
      <c r="Q29" s="133"/>
      <c r="R29" s="130"/>
      <c r="S29" s="133"/>
      <c r="T29" s="133"/>
      <c r="U29" s="212"/>
      <c r="V29" s="133"/>
      <c r="W29" s="125"/>
      <c r="X29" s="180">
        <f t="shared" si="2"/>
        <v>0</v>
      </c>
      <c r="Y29" s="125"/>
      <c r="Z29" s="171"/>
      <c r="AA29" s="133"/>
      <c r="AB29" s="133"/>
      <c r="AC29" s="133"/>
      <c r="AD29" s="133"/>
      <c r="AE29" s="180">
        <f t="shared" si="1"/>
        <v>0</v>
      </c>
      <c r="AF29" s="171"/>
      <c r="AG29" s="133"/>
      <c r="AH29" s="133"/>
      <c r="AI29" s="133"/>
      <c r="AJ29" s="133"/>
      <c r="AK29" s="126"/>
      <c r="AL29" s="126"/>
      <c r="AM29" s="125"/>
      <c r="AN29" s="201">
        <f>IF('Angle rotation pennes (1-1)'!$W$70="","",'Angle rotation pennes (1-1)'!$W$70)</f>
        <v>99.665653482478291</v>
      </c>
      <c r="AO29" s="200">
        <f>IF('Angle rotation pennes (1-1)'!$W$71="","",'Angle rotation pennes (1-1)'!$W$71)</f>
        <v>-50.400000000000006</v>
      </c>
      <c r="AP29" s="200">
        <f>IF('Angle rotation pennes (1-1)'!$W$71="","",'Angle rotation pennes (1-1)'!$W$71)</f>
        <v>-50.400000000000006</v>
      </c>
      <c r="AQ29" s="267"/>
      <c r="AR29" s="200"/>
      <c r="AS29" s="200"/>
      <c r="AT29" s="201">
        <f>IF('Angle rotation pennes (1-1)'!$W$80="","",'Angle rotation pennes (1-1)'!$W$80)</f>
        <v>99.665653482478291</v>
      </c>
      <c r="AU29" s="200">
        <f>IF('Angle rotation pennes (1-1)'!$W$81="","",'Angle rotation pennes (1-1)'!$W$81)</f>
        <v>-27.5</v>
      </c>
      <c r="AV29" s="200">
        <f>IF('Angle rotation pennes (1-1)'!$W$81="","",'Angle rotation pennes (1-1)'!$W$82)</f>
        <v>0</v>
      </c>
      <c r="AW29" s="125"/>
      <c r="AX29" s="267">
        <f>IF('Angle rotation pennes (1-1)'!$W$70="","",'Angle rotation pennes (1-1)'!$W$70)</f>
        <v>99.665653482478291</v>
      </c>
      <c r="AY29" s="105">
        <f t="shared" si="3"/>
        <v>5.4945551472048528</v>
      </c>
      <c r="AZ29" s="105">
        <f>IF('Angle rotation pennes (1-1)'!$W$71="","",'Angle rotation pennes (1-1)'!$W$71)</f>
        <v>-50.400000000000006</v>
      </c>
      <c r="BA29" s="267"/>
      <c r="BB29" s="105"/>
      <c r="BC29" s="105"/>
      <c r="BD29" s="267">
        <f>IF('Angle rotation pennes (1-1)'!$W$80="","",'Angle rotation pennes (1-1)'!$W$80)</f>
        <v>99.665653482478291</v>
      </c>
      <c r="BE29" s="105">
        <f t="shared" si="5"/>
        <v>12.348688739345814</v>
      </c>
      <c r="BF29" s="105">
        <f>IF('Angle rotation pennes (1-1)'!$W$81="","",'Angle rotation pennes (1-1)'!$W$82)</f>
        <v>0</v>
      </c>
      <c r="BG29" s="125"/>
      <c r="BH29" s="267">
        <f>IF('Angle horizontal pennes (1-1)'!$W$70="","",'Angle horizontal pennes (1-1)'!$W$70)</f>
        <v>99.665653482478291</v>
      </c>
      <c r="BI29" s="105">
        <f>IF('Angle horizontal pennes (1-1)'!$W$71="","",'Angle horizontal pennes (1-1)'!$W$71)</f>
        <v>10.8</v>
      </c>
      <c r="BJ29" s="105">
        <f>IF('Angle horizontal pennes (1-1)'!$W$72="","",'Angle horizontal pennes (1-1)'!$W$72)</f>
        <v>0</v>
      </c>
      <c r="BK29" s="267"/>
      <c r="BL29" s="105"/>
      <c r="BM29" s="105"/>
      <c r="BN29" s="267">
        <f>IF('Angle horizontal pennes (1-1)'!$W$80="","",'Angle horizontal pennes (1-1)'!$W$80)</f>
        <v>99.665653482478291</v>
      </c>
      <c r="BO29" s="105">
        <f>IF('Angle horizontal pennes (1-1)'!$W$81="","",'Angle horizontal pennes (1-1)'!$W$81)</f>
        <v>11.1</v>
      </c>
      <c r="BP29" s="105">
        <f>IF('Angle horizontal pennes (1-1)'!$W$82="","",'Angle horizontal pennes (1-1)'!$W$82)</f>
        <v>0</v>
      </c>
      <c r="BQ29" s="177"/>
      <c r="BR29" s="133"/>
      <c r="BS29" s="125"/>
    </row>
    <row r="30" spans="1:71">
      <c r="A30" s="130">
        <v>18</v>
      </c>
      <c r="B30" s="125"/>
      <c r="C30" s="141"/>
      <c r="D30" s="163"/>
      <c r="E30" s="163"/>
      <c r="F30" s="145"/>
      <c r="G30" s="143"/>
      <c r="H30" s="130"/>
      <c r="I30" s="163"/>
      <c r="J30" s="163"/>
      <c r="K30" s="212"/>
      <c r="L30" s="143"/>
      <c r="M30" s="130"/>
      <c r="N30" s="163"/>
      <c r="O30" s="163"/>
      <c r="P30" s="212"/>
      <c r="Q30" s="143"/>
      <c r="R30" s="130"/>
      <c r="S30" s="163"/>
      <c r="T30" s="163"/>
      <c r="U30" s="212"/>
      <c r="V30" s="143"/>
      <c r="W30" s="125"/>
      <c r="X30" s="180">
        <f t="shared" si="2"/>
        <v>0</v>
      </c>
      <c r="Y30" s="125"/>
      <c r="Z30" s="171"/>
      <c r="AA30" s="163"/>
      <c r="AB30" s="163"/>
      <c r="AC30" s="163"/>
      <c r="AD30" s="163"/>
      <c r="AE30" s="180">
        <f t="shared" si="1"/>
        <v>0</v>
      </c>
      <c r="AF30" s="171"/>
      <c r="AG30" s="163"/>
      <c r="AH30" s="163"/>
      <c r="AI30" s="163"/>
      <c r="AJ30" s="163"/>
      <c r="AK30" s="126"/>
      <c r="AL30" s="126"/>
      <c r="AM30" s="125"/>
      <c r="AN30" s="201"/>
      <c r="AO30" s="202"/>
      <c r="AP30" s="202"/>
      <c r="AQ30" s="267"/>
      <c r="AR30" s="202"/>
      <c r="AS30" s="202"/>
      <c r="AT30" s="201">
        <f>IF('Angle rotation pennes (1-1)'!$X$80="","",'Angle rotation pennes (1-1)'!$X$80)</f>
        <v>99.951573567634654</v>
      </c>
      <c r="AU30" s="202">
        <f>IF('Angle rotation pennes (1-1)'!$X$81="","",'Angle rotation pennes (1-1)'!$X$81)</f>
        <v>-56.849999999999994</v>
      </c>
      <c r="AV30" s="202">
        <f>IF('Angle rotation pennes (1-1)'!$X$81="","",'Angle rotation pennes (1-1)'!$X$82)</f>
        <v>5.3033008588991066</v>
      </c>
      <c r="AW30" s="125"/>
      <c r="AX30" s="267"/>
      <c r="AY30" s="107"/>
      <c r="AZ30" s="107"/>
      <c r="BA30" s="267"/>
      <c r="BB30" s="107"/>
      <c r="BC30" s="107"/>
      <c r="BD30" s="267">
        <f>IF('Angle rotation pennes (1-1)'!$X$80="","",'Angle rotation pennes (1-1)'!$X$80)</f>
        <v>99.951573567634654</v>
      </c>
      <c r="BE30" s="107">
        <f t="shared" si="5"/>
        <v>3.5640240699424446</v>
      </c>
      <c r="BF30" s="107">
        <f>IF('Angle rotation pennes (1-1)'!$X$81="","",'Angle rotation pennes (1-1)'!$X$82)</f>
        <v>5.3033008588991066</v>
      </c>
      <c r="BG30" s="125"/>
      <c r="BH30" s="267"/>
      <c r="BI30" s="107"/>
      <c r="BJ30" s="107"/>
      <c r="BK30" s="267"/>
      <c r="BL30" s="107"/>
      <c r="BM30" s="107"/>
      <c r="BN30" s="267">
        <f>IF('Angle horizontal pennes (1-1)'!$X$80="","",'Angle horizontal pennes (1-1)'!$X$80)</f>
        <v>99.951573567634654</v>
      </c>
      <c r="BO30" s="107">
        <f>IF('Angle horizontal pennes (1-1)'!$X$81="","",'Angle horizontal pennes (1-1)'!$X$81)</f>
        <v>4.3499999999999996</v>
      </c>
      <c r="BP30" s="107">
        <f>IF('Angle horizontal pennes (1-1)'!$X$82="","",'Angle horizontal pennes (1-1)'!$X$82)</f>
        <v>0.91923881554251508</v>
      </c>
      <c r="BQ30" s="177"/>
      <c r="BR30" s="143"/>
      <c r="BS30" s="125"/>
    </row>
    <row r="31" spans="1:71">
      <c r="A31" s="130">
        <v>19</v>
      </c>
      <c r="B31" s="125"/>
      <c r="C31" s="141"/>
      <c r="D31" s="133"/>
      <c r="E31" s="133"/>
      <c r="F31" s="145"/>
      <c r="G31" s="133"/>
      <c r="H31" s="130"/>
      <c r="I31" s="133"/>
      <c r="J31" s="133"/>
      <c r="K31" s="212"/>
      <c r="L31" s="133"/>
      <c r="M31" s="130"/>
      <c r="N31" s="133"/>
      <c r="O31" s="133"/>
      <c r="P31" s="212"/>
      <c r="Q31" s="133"/>
      <c r="R31" s="130"/>
      <c r="S31" s="133"/>
      <c r="T31" s="133"/>
      <c r="U31" s="212"/>
      <c r="V31" s="133"/>
      <c r="W31" s="125"/>
      <c r="X31" s="180">
        <f t="shared" si="2"/>
        <v>0</v>
      </c>
      <c r="Y31" s="125"/>
      <c r="Z31" s="171"/>
      <c r="AA31" s="133"/>
      <c r="AB31" s="133"/>
      <c r="AC31" s="133"/>
      <c r="AD31" s="133"/>
      <c r="AE31" s="180">
        <f t="shared" si="1"/>
        <v>0</v>
      </c>
      <c r="AF31" s="171"/>
      <c r="AG31" s="133"/>
      <c r="AH31" s="133"/>
      <c r="AI31" s="133"/>
      <c r="AJ31" s="133"/>
      <c r="AK31" s="126"/>
      <c r="AL31" s="126"/>
      <c r="AM31" s="125"/>
      <c r="AN31" s="171"/>
      <c r="AO31" s="133"/>
      <c r="AP31" s="133"/>
      <c r="AQ31" s="267"/>
      <c r="AR31" s="200"/>
      <c r="AS31" s="200"/>
      <c r="AT31" s="171"/>
      <c r="AU31" s="133"/>
      <c r="AV31" s="133"/>
      <c r="AW31" s="125"/>
      <c r="AX31" s="171"/>
      <c r="AY31" s="133"/>
      <c r="AZ31" s="133"/>
      <c r="BA31" s="267"/>
      <c r="BB31" s="107"/>
      <c r="BC31" s="107"/>
      <c r="BD31" s="171"/>
      <c r="BE31" s="133"/>
      <c r="BF31" s="133"/>
      <c r="BG31" s="125"/>
      <c r="BH31" s="267"/>
      <c r="BI31" s="105"/>
      <c r="BJ31" s="105"/>
      <c r="BK31" s="267"/>
      <c r="BL31" s="105"/>
      <c r="BM31" s="105"/>
      <c r="BN31" s="267"/>
      <c r="BO31" s="105"/>
      <c r="BP31" s="105"/>
      <c r="BQ31" s="177"/>
      <c r="BR31" s="133"/>
      <c r="BS31" s="125"/>
    </row>
    <row r="32" spans="1:71">
      <c r="A32" s="130">
        <v>20</v>
      </c>
      <c r="B32" s="125"/>
      <c r="C32" s="141"/>
      <c r="D32" s="163"/>
      <c r="E32" s="163"/>
      <c r="F32" s="145"/>
      <c r="G32" s="143"/>
      <c r="H32" s="130"/>
      <c r="I32" s="163"/>
      <c r="J32" s="163"/>
      <c r="K32" s="212"/>
      <c r="L32" s="143"/>
      <c r="M32" s="130"/>
      <c r="N32" s="163"/>
      <c r="O32" s="163"/>
      <c r="P32" s="212"/>
      <c r="Q32" s="143"/>
      <c r="R32" s="130"/>
      <c r="S32" s="163"/>
      <c r="T32" s="163"/>
      <c r="U32" s="212"/>
      <c r="V32" s="143"/>
      <c r="W32" s="125"/>
      <c r="X32" s="180">
        <f t="shared" si="2"/>
        <v>0</v>
      </c>
      <c r="Y32" s="125"/>
      <c r="Z32" s="171"/>
      <c r="AA32" s="163"/>
      <c r="AB32" s="163"/>
      <c r="AC32" s="163"/>
      <c r="AD32" s="163"/>
      <c r="AE32" s="180">
        <f t="shared" si="1"/>
        <v>0</v>
      </c>
      <c r="AF32" s="171"/>
      <c r="AG32" s="163"/>
      <c r="AH32" s="163"/>
      <c r="AI32" s="163"/>
      <c r="AJ32" s="163"/>
      <c r="AK32" s="126"/>
      <c r="AL32" s="126"/>
      <c r="AM32" s="125"/>
      <c r="AN32" s="171"/>
      <c r="AO32" s="163"/>
      <c r="AP32" s="163"/>
      <c r="AQ32" s="171"/>
      <c r="AR32" s="163"/>
      <c r="AS32" s="163"/>
      <c r="AT32" s="171"/>
      <c r="AU32" s="163"/>
      <c r="AV32" s="163"/>
      <c r="AW32" s="125"/>
      <c r="AX32" s="171"/>
      <c r="AY32" s="163"/>
      <c r="AZ32" s="163"/>
      <c r="BA32" s="171"/>
      <c r="BB32" s="163"/>
      <c r="BC32" s="163"/>
      <c r="BD32" s="171"/>
      <c r="BE32" s="163"/>
      <c r="BF32" s="163"/>
      <c r="BG32" s="125"/>
      <c r="BH32" s="171"/>
      <c r="BI32" s="163"/>
      <c r="BJ32" s="163"/>
      <c r="BK32" s="171"/>
      <c r="BL32" s="163"/>
      <c r="BM32" s="163"/>
      <c r="BN32" s="171"/>
      <c r="BO32" s="163"/>
      <c r="BP32" s="163"/>
      <c r="BQ32" s="177"/>
      <c r="BR32" s="143"/>
      <c r="BS32" s="125"/>
    </row>
    <row r="33" spans="1:71">
      <c r="A33" s="130">
        <v>21</v>
      </c>
      <c r="B33" s="125"/>
      <c r="C33" s="141"/>
      <c r="D33" s="133"/>
      <c r="E33" s="133"/>
      <c r="F33" s="145"/>
      <c r="G33" s="133"/>
      <c r="H33" s="130"/>
      <c r="I33" s="133"/>
      <c r="J33" s="133"/>
      <c r="K33" s="212"/>
      <c r="L33" s="133"/>
      <c r="M33" s="130"/>
      <c r="N33" s="133"/>
      <c r="O33" s="133"/>
      <c r="P33" s="212"/>
      <c r="Q33" s="133"/>
      <c r="R33" s="130"/>
      <c r="S33" s="133"/>
      <c r="T33" s="133"/>
      <c r="U33" s="212"/>
      <c r="V33" s="133"/>
      <c r="W33" s="125"/>
      <c r="X33" s="180">
        <f t="shared" si="2"/>
        <v>0</v>
      </c>
      <c r="Y33" s="125"/>
      <c r="Z33" s="171"/>
      <c r="AA33" s="133"/>
      <c r="AB33" s="133"/>
      <c r="AC33" s="133"/>
      <c r="AD33" s="133"/>
      <c r="AE33" s="180">
        <f t="shared" si="1"/>
        <v>0</v>
      </c>
      <c r="AF33" s="171"/>
      <c r="AG33" s="133"/>
      <c r="AH33" s="133"/>
      <c r="AI33" s="133"/>
      <c r="AJ33" s="133"/>
      <c r="AK33" s="126"/>
      <c r="AL33" s="126"/>
      <c r="AM33" s="125"/>
      <c r="AN33" s="171"/>
      <c r="AO33" s="133"/>
      <c r="AP33" s="133"/>
      <c r="AQ33" s="171"/>
      <c r="AR33" s="133"/>
      <c r="AS33" s="133"/>
      <c r="AT33" s="171"/>
      <c r="AU33" s="133"/>
      <c r="AV33" s="133"/>
      <c r="AW33" s="125"/>
      <c r="AX33" s="171"/>
      <c r="AY33" s="133"/>
      <c r="AZ33" s="133"/>
      <c r="BA33" s="171"/>
      <c r="BB33" s="133"/>
      <c r="BC33" s="133"/>
      <c r="BD33" s="171"/>
      <c r="BE33" s="133"/>
      <c r="BF33" s="133"/>
      <c r="BG33" s="125"/>
      <c r="BH33" s="171"/>
      <c r="BI33" s="133"/>
      <c r="BJ33" s="133"/>
      <c r="BK33" s="171"/>
      <c r="BL33" s="133"/>
      <c r="BM33" s="133"/>
      <c r="BN33" s="171"/>
      <c r="BO33" s="133"/>
      <c r="BP33" s="133"/>
      <c r="BQ33" s="177"/>
      <c r="BR33" s="133"/>
      <c r="BS33" s="125"/>
    </row>
    <row r="34" spans="1:71">
      <c r="A34" s="130">
        <v>22</v>
      </c>
      <c r="B34" s="125"/>
      <c r="C34" s="141"/>
      <c r="D34" s="163"/>
      <c r="E34" s="163"/>
      <c r="F34" s="145"/>
      <c r="G34" s="143"/>
      <c r="H34" s="130"/>
      <c r="I34" s="163"/>
      <c r="J34" s="163"/>
      <c r="K34" s="212"/>
      <c r="L34" s="143"/>
      <c r="M34" s="130"/>
      <c r="N34" s="163"/>
      <c r="O34" s="163"/>
      <c r="P34" s="212"/>
      <c r="Q34" s="143"/>
      <c r="R34" s="130"/>
      <c r="S34" s="163"/>
      <c r="T34" s="163"/>
      <c r="U34" s="212"/>
      <c r="V34" s="143"/>
      <c r="W34" s="125"/>
      <c r="X34" s="180">
        <f t="shared" si="2"/>
        <v>0</v>
      </c>
      <c r="Y34" s="125"/>
      <c r="Z34" s="171"/>
      <c r="AA34" s="163"/>
      <c r="AB34" s="163"/>
      <c r="AC34" s="163"/>
      <c r="AD34" s="163"/>
      <c r="AE34" s="180">
        <f t="shared" si="1"/>
        <v>0</v>
      </c>
      <c r="AF34" s="171"/>
      <c r="AG34" s="163"/>
      <c r="AH34" s="163"/>
      <c r="AI34" s="163"/>
      <c r="AJ34" s="163"/>
      <c r="AK34" s="126"/>
      <c r="AL34" s="126"/>
      <c r="AM34" s="125"/>
      <c r="AN34" s="171"/>
      <c r="AO34" s="163"/>
      <c r="AP34" s="163"/>
      <c r="AQ34" s="171"/>
      <c r="AR34" s="163"/>
      <c r="AS34" s="163"/>
      <c r="AT34" s="171"/>
      <c r="AU34" s="163"/>
      <c r="AV34" s="163"/>
      <c r="AW34" s="125"/>
      <c r="AX34" s="171"/>
      <c r="AY34" s="163"/>
      <c r="AZ34" s="163"/>
      <c r="BA34" s="171"/>
      <c r="BB34" s="163"/>
      <c r="BC34" s="163"/>
      <c r="BD34" s="171"/>
      <c r="BE34" s="163"/>
      <c r="BF34" s="163"/>
      <c r="BG34" s="125"/>
      <c r="BH34" s="171"/>
      <c r="BI34" s="163"/>
      <c r="BJ34" s="163"/>
      <c r="BK34" s="171"/>
      <c r="BL34" s="163"/>
      <c r="BM34" s="163"/>
      <c r="BN34" s="171"/>
      <c r="BO34" s="163"/>
      <c r="BP34" s="163"/>
      <c r="BQ34" s="177"/>
      <c r="BR34" s="143"/>
      <c r="BS34" s="125"/>
    </row>
    <row r="35" spans="1:71">
      <c r="A35" s="130">
        <v>23</v>
      </c>
      <c r="B35" s="125"/>
      <c r="C35" s="141"/>
      <c r="D35" s="133"/>
      <c r="E35" s="133"/>
      <c r="F35" s="145"/>
      <c r="G35" s="133"/>
      <c r="H35" s="130"/>
      <c r="I35" s="133"/>
      <c r="J35" s="133"/>
      <c r="K35" s="212"/>
      <c r="L35" s="133"/>
      <c r="M35" s="130"/>
      <c r="N35" s="133"/>
      <c r="O35" s="133"/>
      <c r="P35" s="212"/>
      <c r="Q35" s="133"/>
      <c r="R35" s="130"/>
      <c r="S35" s="133"/>
      <c r="T35" s="133"/>
      <c r="U35" s="212"/>
      <c r="V35" s="133"/>
      <c r="W35" s="125"/>
      <c r="X35" s="180">
        <f t="shared" si="2"/>
        <v>0</v>
      </c>
      <c r="Y35" s="125"/>
      <c r="Z35" s="171"/>
      <c r="AA35" s="133"/>
      <c r="AB35" s="133"/>
      <c r="AC35" s="133"/>
      <c r="AD35" s="133"/>
      <c r="AE35" s="180">
        <f t="shared" si="1"/>
        <v>0</v>
      </c>
      <c r="AF35" s="171"/>
      <c r="AG35" s="133"/>
      <c r="AH35" s="133"/>
      <c r="AI35" s="133"/>
      <c r="AJ35" s="133"/>
      <c r="AK35" s="984"/>
      <c r="AL35" s="984" t="s">
        <v>1316</v>
      </c>
      <c r="AM35" s="125"/>
      <c r="AN35" s="171"/>
      <c r="AO35" s="133"/>
      <c r="AP35" s="133"/>
      <c r="AQ35" s="171"/>
      <c r="AR35" s="133"/>
      <c r="AS35" s="133"/>
      <c r="AT35" s="171"/>
      <c r="AU35" s="133"/>
      <c r="AV35" s="133"/>
      <c r="AW35" s="125"/>
      <c r="AX35" s="171"/>
      <c r="AY35" s="133"/>
      <c r="AZ35" s="133"/>
      <c r="BA35" s="171"/>
      <c r="BB35" s="133"/>
      <c r="BC35" s="133"/>
      <c r="BD35" s="171"/>
      <c r="BE35" s="133"/>
      <c r="BF35" s="133"/>
      <c r="BG35" s="125"/>
      <c r="BH35" s="171"/>
      <c r="BI35" s="133"/>
      <c r="BJ35" s="133"/>
      <c r="BK35" s="171"/>
      <c r="BL35" s="133"/>
      <c r="BM35" s="133"/>
      <c r="BN35" s="171"/>
      <c r="BO35" s="133"/>
      <c r="BP35" s="133"/>
      <c r="BQ35" s="177"/>
      <c r="BR35" s="133"/>
      <c r="BS35" s="125"/>
    </row>
    <row r="36" spans="1:71">
      <c r="A36" s="130">
        <v>24</v>
      </c>
      <c r="B36" s="125"/>
      <c r="C36" s="141"/>
      <c r="D36" s="163"/>
      <c r="E36" s="163"/>
      <c r="F36" s="145"/>
      <c r="G36" s="143"/>
      <c r="H36" s="130"/>
      <c r="I36" s="163"/>
      <c r="J36" s="163"/>
      <c r="K36" s="212"/>
      <c r="L36" s="143"/>
      <c r="M36" s="130"/>
      <c r="N36" s="163"/>
      <c r="O36" s="163"/>
      <c r="P36" s="212"/>
      <c r="Q36" s="143"/>
      <c r="R36" s="130"/>
      <c r="S36" s="163"/>
      <c r="T36" s="163"/>
      <c r="U36" s="212"/>
      <c r="V36" s="143"/>
      <c r="W36" s="125"/>
      <c r="X36" s="180">
        <f t="shared" si="2"/>
        <v>0</v>
      </c>
      <c r="Y36" s="125"/>
      <c r="Z36" s="171"/>
      <c r="AA36" s="163"/>
      <c r="AB36" s="163"/>
      <c r="AC36" s="163"/>
      <c r="AD36" s="163"/>
      <c r="AE36" s="180">
        <f t="shared" si="1"/>
        <v>0</v>
      </c>
      <c r="AF36" s="171"/>
      <c r="AG36" s="163"/>
      <c r="AH36" s="163"/>
      <c r="AI36" s="163"/>
      <c r="AJ36" s="163"/>
      <c r="AK36" s="984" t="s">
        <v>1317</v>
      </c>
      <c r="AL36" s="174">
        <f>'Angles des pennes'!$Q$79</f>
        <v>0.29930714376161399</v>
      </c>
      <c r="AM36" s="125"/>
      <c r="AN36" s="171"/>
      <c r="AO36" s="163"/>
      <c r="AP36" s="163"/>
      <c r="AQ36" s="171"/>
      <c r="AR36" s="163"/>
      <c r="AS36" s="163"/>
      <c r="AT36" s="171"/>
      <c r="AU36" s="163"/>
      <c r="AV36" s="163"/>
      <c r="AW36" s="125"/>
      <c r="AX36" s="171"/>
      <c r="AY36" s="163"/>
      <c r="AZ36" s="163"/>
      <c r="BA36" s="171"/>
      <c r="BB36" s="163"/>
      <c r="BC36" s="163"/>
      <c r="BD36" s="171"/>
      <c r="BE36" s="163"/>
      <c r="BF36" s="163"/>
      <c r="BG36" s="125"/>
      <c r="BH36" s="171"/>
      <c r="BI36" s="163"/>
      <c r="BJ36" s="163"/>
      <c r="BK36" s="171"/>
      <c r="BL36" s="163"/>
      <c r="BM36" s="163"/>
      <c r="BN36" s="171"/>
      <c r="BO36" s="163"/>
      <c r="BP36" s="163"/>
      <c r="BQ36" s="177"/>
      <c r="BR36" s="143"/>
      <c r="BS36" s="125"/>
    </row>
    <row r="37" spans="1:71">
      <c r="A37" s="130">
        <v>25</v>
      </c>
      <c r="B37" s="125"/>
      <c r="C37" s="141"/>
      <c r="D37" s="133"/>
      <c r="E37" s="133"/>
      <c r="F37" s="145"/>
      <c r="G37" s="133"/>
      <c r="H37" s="130"/>
      <c r="I37" s="133"/>
      <c r="J37" s="133"/>
      <c r="K37" s="212"/>
      <c r="L37" s="133"/>
      <c r="M37" s="130"/>
      <c r="N37" s="133"/>
      <c r="O37" s="133"/>
      <c r="P37" s="212"/>
      <c r="Q37" s="133"/>
      <c r="R37" s="130"/>
      <c r="S37" s="133"/>
      <c r="T37" s="133"/>
      <c r="U37" s="212"/>
      <c r="V37" s="133"/>
      <c r="W37" s="125"/>
      <c r="X37" s="180">
        <f t="shared" si="2"/>
        <v>0</v>
      </c>
      <c r="Y37" s="125"/>
      <c r="Z37" s="171"/>
      <c r="AA37" s="133"/>
      <c r="AB37" s="133"/>
      <c r="AC37" s="133"/>
      <c r="AD37" s="133"/>
      <c r="AE37" s="180"/>
      <c r="AF37" s="171"/>
      <c r="AG37" s="133"/>
      <c r="AH37" s="133"/>
      <c r="AI37" s="133"/>
      <c r="AJ37" s="133"/>
      <c r="AK37" s="984" t="s">
        <v>1318</v>
      </c>
      <c r="AL37" s="174">
        <f>'Angles des pennes'!$V$79</f>
        <v>20.579635192790199</v>
      </c>
      <c r="AM37" s="125"/>
      <c r="AN37" s="171"/>
      <c r="AO37" s="133"/>
      <c r="AP37" s="133"/>
      <c r="AQ37" s="171"/>
      <c r="AR37" s="133"/>
      <c r="AS37" s="133"/>
      <c r="AT37" s="171"/>
      <c r="AU37" s="133"/>
      <c r="AV37" s="133"/>
      <c r="AW37" s="125"/>
      <c r="AX37" s="171"/>
      <c r="AY37" s="133"/>
      <c r="AZ37" s="133"/>
      <c r="BA37" s="171"/>
      <c r="BB37" s="133"/>
      <c r="BC37" s="133"/>
      <c r="BD37" s="171"/>
      <c r="BE37" s="133"/>
      <c r="BF37" s="133"/>
      <c r="BG37" s="125"/>
      <c r="BH37" s="171"/>
      <c r="BI37" s="133"/>
      <c r="BJ37" s="133"/>
      <c r="BK37" s="171"/>
      <c r="BL37" s="133"/>
      <c r="BM37" s="133"/>
      <c r="BN37" s="171"/>
      <c r="BO37" s="133"/>
      <c r="BP37" s="133"/>
      <c r="BQ37" s="177"/>
      <c r="BR37" s="133"/>
      <c r="BS37" s="125"/>
    </row>
    <row r="38" spans="1:7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6"/>
      <c r="AL38" s="126"/>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669" t="s">
        <v>632</v>
      </c>
      <c r="BI38" s="1669"/>
      <c r="BJ38" s="1669"/>
      <c r="BK38" s="1669"/>
      <c r="BL38" s="1669"/>
      <c r="BM38" s="1669"/>
      <c r="BN38" s="1669"/>
      <c r="BO38" s="1669"/>
      <c r="BP38" s="1669"/>
      <c r="BQ38" s="1669"/>
      <c r="BR38" s="1669"/>
      <c r="BS38" s="125"/>
    </row>
    <row r="39" spans="1:71">
      <c r="A39" s="125"/>
      <c r="B39" s="125"/>
      <c r="C39" s="104" t="s">
        <v>832</v>
      </c>
      <c r="D39" s="104"/>
      <c r="E39" s="104"/>
      <c r="F39" s="126" t="s">
        <v>817</v>
      </c>
      <c r="G39" s="104" t="s">
        <v>833</v>
      </c>
      <c r="H39" s="104"/>
      <c r="I39" s="104"/>
      <c r="J39" s="104"/>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row>
    <row r="40" spans="1:7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row>
    <row r="41" spans="1:71">
      <c r="A41" s="125"/>
      <c r="B41" s="125"/>
      <c r="C41" s="104" t="s">
        <v>813</v>
      </c>
      <c r="D41" s="104"/>
      <c r="E41" s="104"/>
      <c r="F41" s="126" t="s">
        <v>817</v>
      </c>
      <c r="G41" s="104" t="s">
        <v>818</v>
      </c>
      <c r="H41" s="104"/>
      <c r="I41" s="104"/>
      <c r="J41" s="104"/>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row>
    <row r="42" spans="1:71">
      <c r="A42" s="125"/>
      <c r="B42" s="125"/>
      <c r="C42" s="104" t="s">
        <v>814</v>
      </c>
      <c r="D42" s="104"/>
      <c r="E42" s="104"/>
      <c r="F42" s="126" t="s">
        <v>817</v>
      </c>
      <c r="G42" s="104" t="s">
        <v>819</v>
      </c>
      <c r="H42" s="104"/>
      <c r="I42" s="104"/>
      <c r="J42" s="104"/>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row>
    <row r="43" spans="1:71">
      <c r="A43" s="125"/>
      <c r="B43" s="125"/>
      <c r="C43" s="104" t="s">
        <v>815</v>
      </c>
      <c r="D43" s="104"/>
      <c r="E43" s="104"/>
      <c r="F43" s="126" t="s">
        <v>817</v>
      </c>
      <c r="G43" s="104" t="s">
        <v>820</v>
      </c>
      <c r="H43" s="104"/>
      <c r="I43" s="104"/>
      <c r="J43" s="104"/>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row>
    <row r="44" spans="1:71">
      <c r="A44" s="125"/>
      <c r="B44" s="125"/>
      <c r="C44" s="104" t="s">
        <v>816</v>
      </c>
      <c r="D44" s="104"/>
      <c r="E44" s="104"/>
      <c r="F44" s="126" t="s">
        <v>817</v>
      </c>
      <c r="G44" s="104" t="s">
        <v>821</v>
      </c>
      <c r="H44" s="104"/>
      <c r="I44" s="104"/>
      <c r="J44" s="104"/>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row>
    <row r="45" spans="1:7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row>
    <row r="46" spans="1:7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row>
    <row r="47" spans="1:7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row>
    <row r="48" spans="1:7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81" t="s">
        <v>788</v>
      </c>
      <c r="AB48" s="125"/>
      <c r="AC48" s="181" t="s">
        <v>793</v>
      </c>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row>
    <row r="49" spans="1:7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row>
    <row r="50" spans="1:7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81" t="s">
        <v>789</v>
      </c>
      <c r="AB50" s="125"/>
      <c r="AC50" s="181" t="s">
        <v>531</v>
      </c>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row>
    <row r="51" spans="1:7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81" t="s">
        <v>790</v>
      </c>
      <c r="AB51" s="125"/>
      <c r="AC51" s="181" t="s">
        <v>794</v>
      </c>
      <c r="AD51" s="181" t="s">
        <v>795</v>
      </c>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row>
    <row r="52" spans="1:7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81" t="s">
        <v>791</v>
      </c>
      <c r="AB52" s="125"/>
      <c r="AC52" s="181" t="s">
        <v>794</v>
      </c>
      <c r="AD52" s="181" t="s">
        <v>531</v>
      </c>
      <c r="AE52" s="181" t="s">
        <v>795</v>
      </c>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row>
    <row r="53" spans="1:7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81" t="s">
        <v>792</v>
      </c>
      <c r="AB53" s="125"/>
      <c r="AC53" s="181" t="s">
        <v>794</v>
      </c>
      <c r="AD53" s="181" t="s">
        <v>531</v>
      </c>
      <c r="AE53" s="181" t="s">
        <v>531</v>
      </c>
      <c r="AF53" s="181" t="s">
        <v>795</v>
      </c>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row>
    <row r="54" spans="1:7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row>
    <row r="55" spans="1:7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row>
    <row r="56" spans="1:7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row>
    <row r="57" spans="1:7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row>
  </sheetData>
  <sheetProtection selectLockedCells="1"/>
  <mergeCells count="51">
    <mergeCell ref="BA11:BC11"/>
    <mergeCell ref="BD11:BF11"/>
    <mergeCell ref="D11:G11"/>
    <mergeCell ref="I11:L11"/>
    <mergeCell ref="N11:Q11"/>
    <mergeCell ref="S11:V11"/>
    <mergeCell ref="AF11:AJ11"/>
    <mergeCell ref="AL11:AL17"/>
    <mergeCell ref="C4:V4"/>
    <mergeCell ref="BH7:BR7"/>
    <mergeCell ref="AF4:AL4"/>
    <mergeCell ref="AF5:AL5"/>
    <mergeCell ref="BH5:BR5"/>
    <mergeCell ref="AI6:AJ6"/>
    <mergeCell ref="AO6:AP6"/>
    <mergeCell ref="BH4:BR4"/>
    <mergeCell ref="AN4:AV4"/>
    <mergeCell ref="AG6:AH6"/>
    <mergeCell ref="AX4:BF4"/>
    <mergeCell ref="AX5:BF5"/>
    <mergeCell ref="AR6:AS6"/>
    <mergeCell ref="AU6:AV6"/>
    <mergeCell ref="AY6:AZ6"/>
    <mergeCell ref="BB6:BC6"/>
    <mergeCell ref="Z4:AD4"/>
    <mergeCell ref="BO6:BP6"/>
    <mergeCell ref="BI6:BJ6"/>
    <mergeCell ref="BL6:BM6"/>
    <mergeCell ref="AN5:AV5"/>
    <mergeCell ref="BE6:BF6"/>
    <mergeCell ref="AN7:AV7"/>
    <mergeCell ref="AX7:BF7"/>
    <mergeCell ref="BH38:BR38"/>
    <mergeCell ref="Z5:AD5"/>
    <mergeCell ref="AK9:AL9"/>
    <mergeCell ref="Z7:AD7"/>
    <mergeCell ref="AF7:AL7"/>
    <mergeCell ref="BQ11:BR11"/>
    <mergeCell ref="BH11:BJ11"/>
    <mergeCell ref="BK11:BM11"/>
    <mergeCell ref="BN11:BP11"/>
    <mergeCell ref="Z11:AD11"/>
    <mergeCell ref="AN11:AP11"/>
    <mergeCell ref="AQ11:AS11"/>
    <mergeCell ref="AT11:AV11"/>
    <mergeCell ref="AX11:AZ11"/>
    <mergeCell ref="I6:L6"/>
    <mergeCell ref="N6:Q6"/>
    <mergeCell ref="S6:V6"/>
    <mergeCell ref="C5:V5"/>
    <mergeCell ref="D6:G6"/>
  </mergeCells>
  <hyperlinks>
    <hyperlink ref="A1" location="IGAP!A1" display="IGAP!A1"/>
  </hyperlinks>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BD57"/>
  <sheetViews>
    <sheetView topLeftCell="T25" zoomScale="90" zoomScaleNormal="90" workbookViewId="0">
      <selection activeCell="AT32" sqref="AT32"/>
    </sheetView>
  </sheetViews>
  <sheetFormatPr baseColWidth="10" defaultRowHeight="15.75"/>
  <cols>
    <col min="1" max="1" width="13.28515625" style="127" bestFit="1" customWidth="1"/>
    <col min="2" max="2" width="1.7109375" style="127" customWidth="1"/>
    <col min="3" max="4" width="11.7109375" style="127" customWidth="1"/>
    <col min="5" max="5" width="12.28515625" style="127" bestFit="1" customWidth="1"/>
    <col min="6" max="8" width="11.7109375" style="127" customWidth="1"/>
    <col min="9" max="9" width="14" style="127" bestFit="1" customWidth="1"/>
    <col min="10" max="10" width="1.7109375" style="127" customWidth="1"/>
    <col min="11" max="12" width="11.7109375" style="127" customWidth="1"/>
    <col min="13" max="13" width="12.28515625" style="127" bestFit="1" customWidth="1"/>
    <col min="14" max="21" width="11.7109375" style="127" customWidth="1"/>
    <col min="22" max="22" width="1.7109375" style="127" customWidth="1"/>
    <col min="23" max="24" width="11.7109375" style="127" customWidth="1"/>
    <col min="25" max="25" width="12.28515625" style="127" bestFit="1" customWidth="1"/>
    <col min="26" max="33" width="11.7109375" style="127" customWidth="1"/>
    <col min="34" max="34" width="1.7109375" style="127" customWidth="1"/>
    <col min="35" max="35" width="11.7109375" style="127" customWidth="1"/>
    <col min="36" max="36" width="14.85546875" style="127" bestFit="1" customWidth="1"/>
    <col min="37" max="39" width="11.7109375" style="127" customWidth="1"/>
    <col min="40" max="40" width="1.7109375" style="127" customWidth="1"/>
    <col min="41" max="41" width="19.28515625" style="127" customWidth="1"/>
    <col min="42" max="42" width="12.42578125" style="127" customWidth="1"/>
    <col min="43" max="43" width="12.7109375" style="127" bestFit="1" customWidth="1"/>
    <col min="44" max="44" width="12.7109375" style="127" customWidth="1"/>
    <col min="45" max="45" width="1.7109375" style="127" customWidth="1"/>
    <col min="46" max="56" width="11.42578125" style="151"/>
    <col min="57" max="16384" width="11.42578125" style="127"/>
  </cols>
  <sheetData>
    <row r="1" spans="1:5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325"/>
      <c r="AS1" s="125"/>
    </row>
    <row r="2" spans="1:56" ht="21">
      <c r="A2" s="13" t="s">
        <v>444</v>
      </c>
      <c r="B2" s="125"/>
      <c r="C2" s="241" t="s">
        <v>772</v>
      </c>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52"/>
      <c r="AO2" s="246"/>
      <c r="AP2" s="246"/>
      <c r="AQ2" s="246"/>
      <c r="AR2" s="246"/>
      <c r="AS2" s="125"/>
    </row>
    <row r="3" spans="1:5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row>
    <row r="4" spans="1:56" ht="16.5" thickBot="1">
      <c r="A4" s="35" t="s">
        <v>446</v>
      </c>
      <c r="B4" s="125"/>
      <c r="C4" s="1645" t="s">
        <v>252</v>
      </c>
      <c r="D4" s="1646"/>
      <c r="E4" s="1646"/>
      <c r="F4" s="1646"/>
      <c r="G4" s="1646"/>
      <c r="H4" s="1646"/>
      <c r="I4" s="1647"/>
      <c r="J4" s="125"/>
      <c r="K4" s="1648" t="s">
        <v>252</v>
      </c>
      <c r="L4" s="1646"/>
      <c r="M4" s="1646"/>
      <c r="N4" s="1646"/>
      <c r="O4" s="1646"/>
      <c r="P4" s="1646"/>
      <c r="Q4" s="1646"/>
      <c r="R4" s="1646"/>
      <c r="S4" s="1646"/>
      <c r="T4" s="1646"/>
      <c r="U4" s="1647"/>
      <c r="V4" s="125"/>
      <c r="W4" s="1648" t="s">
        <v>252</v>
      </c>
      <c r="X4" s="1646"/>
      <c r="Y4" s="1646"/>
      <c r="Z4" s="1646"/>
      <c r="AA4" s="1646"/>
      <c r="AB4" s="1646"/>
      <c r="AC4" s="1646"/>
      <c r="AD4" s="1646"/>
      <c r="AE4" s="1646"/>
      <c r="AF4" s="1646"/>
      <c r="AG4" s="1647"/>
      <c r="AH4" s="125"/>
      <c r="AI4" s="1661" t="s">
        <v>252</v>
      </c>
      <c r="AJ4" s="1655"/>
      <c r="AK4" s="1655"/>
      <c r="AL4" s="1655"/>
      <c r="AM4" s="1662"/>
      <c r="AN4" s="125"/>
      <c r="AO4" s="1645" t="s">
        <v>252</v>
      </c>
      <c r="AP4" s="1646"/>
      <c r="AQ4" s="1646"/>
      <c r="AR4" s="1647"/>
      <c r="AS4" s="125"/>
    </row>
    <row r="5" spans="1:56" ht="16.5" thickBot="1">
      <c r="A5" s="135" t="s">
        <v>445</v>
      </c>
      <c r="B5" s="125"/>
      <c r="C5" s="1645" t="s">
        <v>513</v>
      </c>
      <c r="D5" s="1646"/>
      <c r="E5" s="1646"/>
      <c r="F5" s="1646"/>
      <c r="G5" s="1646"/>
      <c r="H5" s="1646"/>
      <c r="I5" s="1647"/>
      <c r="J5" s="125"/>
      <c r="K5" s="1648" t="s">
        <v>551</v>
      </c>
      <c r="L5" s="1649"/>
      <c r="M5" s="1649"/>
      <c r="N5" s="1649"/>
      <c r="O5" s="1649"/>
      <c r="P5" s="1649"/>
      <c r="Q5" s="1649"/>
      <c r="R5" s="1649"/>
      <c r="S5" s="1649"/>
      <c r="T5" s="1649"/>
      <c r="U5" s="1650"/>
      <c r="V5" s="125"/>
      <c r="W5" s="1648" t="s">
        <v>511</v>
      </c>
      <c r="X5" s="1649"/>
      <c r="Y5" s="1649"/>
      <c r="Z5" s="1649"/>
      <c r="AA5" s="1649"/>
      <c r="AB5" s="1649"/>
      <c r="AC5" s="1649"/>
      <c r="AD5" s="1649"/>
      <c r="AE5" s="1649"/>
      <c r="AF5" s="1649"/>
      <c r="AG5" s="1650"/>
      <c r="AH5" s="125"/>
      <c r="AI5" s="1665" t="s">
        <v>622</v>
      </c>
      <c r="AJ5" s="1655"/>
      <c r="AK5" s="1655"/>
      <c r="AL5" s="1655"/>
      <c r="AM5" s="1662"/>
      <c r="AN5" s="125"/>
      <c r="AO5" s="1648" t="s">
        <v>700</v>
      </c>
      <c r="AP5" s="1646"/>
      <c r="AQ5" s="1646"/>
      <c r="AR5" s="1647"/>
      <c r="AS5" s="125"/>
    </row>
    <row r="6" spans="1:56" ht="16.5" thickBot="1">
      <c r="A6" s="125"/>
      <c r="B6" s="125"/>
      <c r="C6" s="125"/>
      <c r="D6" s="248" t="s">
        <v>441</v>
      </c>
      <c r="E6" s="125"/>
      <c r="F6" s="1648" t="s">
        <v>455</v>
      </c>
      <c r="G6" s="1650"/>
      <c r="H6" s="125"/>
      <c r="I6" s="245" t="s">
        <v>775</v>
      </c>
      <c r="J6" s="125"/>
      <c r="K6" s="125"/>
      <c r="L6" s="248" t="s">
        <v>441</v>
      </c>
      <c r="M6" s="125"/>
      <c r="N6" s="1648" t="s">
        <v>455</v>
      </c>
      <c r="O6" s="1650"/>
      <c r="P6" s="125"/>
      <c r="Q6" s="1648" t="s">
        <v>648</v>
      </c>
      <c r="R6" s="1649"/>
      <c r="S6" s="1649"/>
      <c r="T6" s="1649"/>
      <c r="U6" s="1650"/>
      <c r="V6" s="125"/>
      <c r="W6" s="125"/>
      <c r="X6" s="248" t="s">
        <v>441</v>
      </c>
      <c r="Y6" s="125"/>
      <c r="Z6" s="1648" t="s">
        <v>455</v>
      </c>
      <c r="AA6" s="1650"/>
      <c r="AB6" s="125"/>
      <c r="AC6" s="1648" t="s">
        <v>648</v>
      </c>
      <c r="AD6" s="1649"/>
      <c r="AE6" s="1649"/>
      <c r="AF6" s="1649"/>
      <c r="AG6" s="1650"/>
      <c r="AH6" s="125"/>
      <c r="AI6" s="125"/>
      <c r="AJ6" s="1661" t="s">
        <v>436</v>
      </c>
      <c r="AK6" s="1662"/>
      <c r="AL6" s="125" t="s">
        <v>774</v>
      </c>
      <c r="AM6" s="250" t="s">
        <v>633</v>
      </c>
      <c r="AN6" s="125"/>
      <c r="AO6" s="1648" t="s">
        <v>651</v>
      </c>
      <c r="AP6" s="1649"/>
      <c r="AQ6" s="1649"/>
      <c r="AR6" s="1650"/>
      <c r="AS6" s="125"/>
    </row>
    <row r="7" spans="1:56" ht="16.5" thickBot="1">
      <c r="A7" s="125"/>
      <c r="B7" s="125"/>
      <c r="C7" s="1638" t="s">
        <v>846</v>
      </c>
      <c r="D7" s="1639"/>
      <c r="E7" s="1639"/>
      <c r="F7" s="1639"/>
      <c r="G7" s="1639"/>
      <c r="H7" s="1639"/>
      <c r="I7" s="1674"/>
      <c r="J7" s="125"/>
      <c r="K7" s="1657" t="s">
        <v>852</v>
      </c>
      <c r="L7" s="1658"/>
      <c r="M7" s="1658"/>
      <c r="N7" s="1658"/>
      <c r="O7" s="1658"/>
      <c r="P7" s="1675"/>
      <c r="Q7" s="247" t="s">
        <v>552</v>
      </c>
      <c r="R7" s="125"/>
      <c r="S7" s="249" t="s">
        <v>553</v>
      </c>
      <c r="T7" s="125"/>
      <c r="U7" s="247" t="s">
        <v>554</v>
      </c>
      <c r="V7" s="125"/>
      <c r="W7" s="1657" t="s">
        <v>853</v>
      </c>
      <c r="X7" s="1658"/>
      <c r="Y7" s="1658"/>
      <c r="Z7" s="1658"/>
      <c r="AA7" s="1658"/>
      <c r="AB7" s="1675"/>
      <c r="AC7" s="247" t="s">
        <v>552</v>
      </c>
      <c r="AD7" s="125"/>
      <c r="AE7" s="247" t="s">
        <v>553</v>
      </c>
      <c r="AF7" s="125"/>
      <c r="AG7" s="247" t="s">
        <v>554</v>
      </c>
      <c r="AH7" s="125"/>
      <c r="AI7" s="1657" t="s">
        <v>854</v>
      </c>
      <c r="AJ7" s="1658"/>
      <c r="AK7" s="1658"/>
      <c r="AL7" s="1658"/>
      <c r="AM7" s="1658"/>
      <c r="AN7" s="125"/>
      <c r="AO7" s="1638" t="s">
        <v>871</v>
      </c>
      <c r="AP7" s="1639"/>
      <c r="AQ7" s="1639"/>
      <c r="AR7" s="1639"/>
      <c r="AS7" s="125"/>
    </row>
    <row r="8" spans="1:56" ht="16.5" thickBot="1">
      <c r="A8" s="146" t="s">
        <v>645</v>
      </c>
      <c r="B8" s="125"/>
      <c r="C8" s="146" t="s">
        <v>636</v>
      </c>
      <c r="D8" s="146" t="s">
        <v>441</v>
      </c>
      <c r="E8" s="146" t="s">
        <v>636</v>
      </c>
      <c r="F8" s="146" t="s">
        <v>442</v>
      </c>
      <c r="G8" s="146" t="s">
        <v>427</v>
      </c>
      <c r="H8" s="154" t="s">
        <v>638</v>
      </c>
      <c r="I8" s="154" t="s">
        <v>637</v>
      </c>
      <c r="J8" s="125"/>
      <c r="K8" s="146" t="s">
        <v>636</v>
      </c>
      <c r="L8" s="146" t="s">
        <v>441</v>
      </c>
      <c r="M8" s="146" t="s">
        <v>636</v>
      </c>
      <c r="N8" s="146" t="s">
        <v>442</v>
      </c>
      <c r="O8" s="146" t="s">
        <v>427</v>
      </c>
      <c r="P8" s="146" t="s">
        <v>636</v>
      </c>
      <c r="Q8" s="146" t="s">
        <v>442</v>
      </c>
      <c r="R8" s="146" t="s">
        <v>636</v>
      </c>
      <c r="S8" s="146" t="s">
        <v>442</v>
      </c>
      <c r="T8" s="146" t="s">
        <v>636</v>
      </c>
      <c r="U8" s="146" t="s">
        <v>442</v>
      </c>
      <c r="V8" s="125"/>
      <c r="W8" s="146" t="s">
        <v>636</v>
      </c>
      <c r="X8" s="146" t="s">
        <v>441</v>
      </c>
      <c r="Y8" s="146" t="s">
        <v>636</v>
      </c>
      <c r="Z8" s="146" t="s">
        <v>442</v>
      </c>
      <c r="AA8" s="146" t="s">
        <v>427</v>
      </c>
      <c r="AB8" s="146" t="s">
        <v>636</v>
      </c>
      <c r="AC8" s="146" t="s">
        <v>442</v>
      </c>
      <c r="AD8" s="146" t="s">
        <v>636</v>
      </c>
      <c r="AE8" s="146" t="s">
        <v>442</v>
      </c>
      <c r="AF8" s="146" t="s">
        <v>636</v>
      </c>
      <c r="AG8" s="146" t="s">
        <v>442</v>
      </c>
      <c r="AH8" s="125"/>
      <c r="AI8" s="146" t="s">
        <v>636</v>
      </c>
      <c r="AJ8" s="146" t="s">
        <v>426</v>
      </c>
      <c r="AK8" s="154" t="s">
        <v>427</v>
      </c>
      <c r="AL8" s="154" t="s">
        <v>638</v>
      </c>
      <c r="AM8" s="154" t="s">
        <v>637</v>
      </c>
      <c r="AN8" s="125"/>
      <c r="AO8" s="158" t="s">
        <v>636</v>
      </c>
      <c r="AP8" s="146" t="s">
        <v>426</v>
      </c>
      <c r="AQ8" s="146" t="s">
        <v>427</v>
      </c>
      <c r="AR8" s="146" t="s">
        <v>701</v>
      </c>
      <c r="AS8" s="125"/>
    </row>
    <row r="9" spans="1:56" s="129" customFormat="1">
      <c r="A9" s="216" t="s">
        <v>644</v>
      </c>
      <c r="B9" s="325"/>
      <c r="C9" s="325"/>
      <c r="D9" s="218">
        <v>1</v>
      </c>
      <c r="E9" s="325"/>
      <c r="F9" s="218">
        <v>1</v>
      </c>
      <c r="G9" s="218">
        <v>1</v>
      </c>
      <c r="H9" s="325"/>
      <c r="I9" s="218">
        <v>1</v>
      </c>
      <c r="J9" s="325"/>
      <c r="K9" s="325"/>
      <c r="L9" s="218">
        <v>1</v>
      </c>
      <c r="M9" s="325"/>
      <c r="N9" s="218">
        <v>1</v>
      </c>
      <c r="O9" s="218">
        <v>1</v>
      </c>
      <c r="P9" s="325"/>
      <c r="Q9" s="218">
        <v>1</v>
      </c>
      <c r="R9" s="325"/>
      <c r="S9" s="218">
        <v>1</v>
      </c>
      <c r="T9" s="325"/>
      <c r="U9" s="218">
        <v>1</v>
      </c>
      <c r="V9" s="325"/>
      <c r="W9" s="325"/>
      <c r="X9" s="218">
        <v>1</v>
      </c>
      <c r="Y9" s="325"/>
      <c r="Z9" s="218">
        <v>1</v>
      </c>
      <c r="AA9" s="218">
        <v>1</v>
      </c>
      <c r="AB9" s="325"/>
      <c r="AC9" s="218">
        <v>1</v>
      </c>
      <c r="AD9" s="325"/>
      <c r="AE9" s="218">
        <v>1</v>
      </c>
      <c r="AF9" s="325"/>
      <c r="AG9" s="218">
        <v>1</v>
      </c>
      <c r="AH9" s="325"/>
      <c r="AI9" s="325"/>
      <c r="AJ9" s="218">
        <v>1</v>
      </c>
      <c r="AK9" s="218">
        <v>1</v>
      </c>
      <c r="AL9" s="218">
        <v>1</v>
      </c>
      <c r="AM9" s="218">
        <v>0</v>
      </c>
      <c r="AN9" s="325"/>
      <c r="AO9" s="325"/>
      <c r="AP9" s="236">
        <v>1</v>
      </c>
      <c r="AQ9" s="236">
        <v>1</v>
      </c>
      <c r="AR9" s="218">
        <v>1</v>
      </c>
      <c r="AS9" s="325"/>
      <c r="AT9" s="152"/>
      <c r="AU9" s="152"/>
      <c r="AV9" s="152"/>
      <c r="AW9" s="152"/>
      <c r="AX9" s="152"/>
      <c r="AY9" s="152"/>
      <c r="AZ9" s="152"/>
      <c r="BA9" s="152"/>
      <c r="BB9" s="152"/>
      <c r="BC9" s="152"/>
      <c r="BD9" s="152"/>
    </row>
    <row r="10" spans="1:56" s="228" customFormat="1">
      <c r="A10" s="220" t="s">
        <v>642</v>
      </c>
      <c r="B10" s="221"/>
      <c r="C10" s="221"/>
      <c r="D10" s="222">
        <f>COUNT(D13:D37)</f>
        <v>4</v>
      </c>
      <c r="E10" s="221"/>
      <c r="F10" s="222">
        <f>COUNT(F13:F37)</f>
        <v>19</v>
      </c>
      <c r="G10" s="222">
        <f>COUNT(G13:G37)</f>
        <v>19</v>
      </c>
      <c r="H10" s="221"/>
      <c r="I10" s="222">
        <f>COUNT(I13:I37)</f>
        <v>3</v>
      </c>
      <c r="J10" s="221"/>
      <c r="K10" s="221"/>
      <c r="L10" s="222">
        <f>COUNT(L13:L37)</f>
        <v>4</v>
      </c>
      <c r="M10" s="221"/>
      <c r="N10" s="222">
        <f>COUNT(N13:N37)</f>
        <v>19</v>
      </c>
      <c r="O10" s="222">
        <f>COUNT(O13:O37)</f>
        <v>19</v>
      </c>
      <c r="P10" s="221"/>
      <c r="Q10" s="222">
        <f>COUNT(Q13:Q37)</f>
        <v>4</v>
      </c>
      <c r="R10" s="221"/>
      <c r="S10" s="222">
        <f>COUNT(S13:S37)</f>
        <v>4</v>
      </c>
      <c r="T10" s="221"/>
      <c r="U10" s="222">
        <f>COUNT(U13:U37)</f>
        <v>4</v>
      </c>
      <c r="V10" s="221"/>
      <c r="W10" s="221"/>
      <c r="X10" s="222">
        <f>COUNT(X13:X37)</f>
        <v>4</v>
      </c>
      <c r="Y10" s="221"/>
      <c r="Z10" s="222">
        <f>COUNT(Z13:Z37)</f>
        <v>19</v>
      </c>
      <c r="AA10" s="222">
        <f>COUNT(AA13:AA37)</f>
        <v>19</v>
      </c>
      <c r="AB10" s="221"/>
      <c r="AC10" s="222">
        <f>COUNT(AC13:AC37)</f>
        <v>4</v>
      </c>
      <c r="AD10" s="221"/>
      <c r="AE10" s="222">
        <f>COUNT(AE13:AE37)</f>
        <v>4</v>
      </c>
      <c r="AF10" s="221"/>
      <c r="AG10" s="222">
        <f>COUNT(AG13:AG37)</f>
        <v>4</v>
      </c>
      <c r="AH10" s="221"/>
      <c r="AI10" s="221"/>
      <c r="AJ10" s="222">
        <f>COUNT(AJ13:AJ37)</f>
        <v>3</v>
      </c>
      <c r="AK10" s="222">
        <f>COUNT(AK13:AK37)</f>
        <v>3</v>
      </c>
      <c r="AL10" s="222">
        <f>COUNT(AL13:AL37)</f>
        <v>2</v>
      </c>
      <c r="AM10" s="222">
        <f>COUNT(AM13:AM37)</f>
        <v>2</v>
      </c>
      <c r="AN10" s="221"/>
      <c r="AO10" s="221"/>
      <c r="AP10" s="222">
        <f>COUNT(AP13:AP37)</f>
        <v>5</v>
      </c>
      <c r="AQ10" s="222">
        <f>COUNT(AQ13:AQ37)</f>
        <v>5</v>
      </c>
      <c r="AR10" s="222">
        <f>COUNT(AR13:AR37)</f>
        <v>5</v>
      </c>
      <c r="AS10" s="221"/>
      <c r="AT10" s="227"/>
      <c r="AU10" s="227"/>
      <c r="AV10" s="227"/>
      <c r="AW10" s="227"/>
      <c r="AX10" s="227"/>
      <c r="AY10" s="227"/>
      <c r="AZ10" s="227"/>
      <c r="BA10" s="227"/>
      <c r="BB10" s="227"/>
      <c r="BC10" s="227"/>
      <c r="BD10" s="227"/>
    </row>
    <row r="11" spans="1:56" s="228" customFormat="1">
      <c r="A11" s="323" t="s">
        <v>643</v>
      </c>
      <c r="B11" s="221"/>
      <c r="C11" s="1640" t="s">
        <v>902</v>
      </c>
      <c r="D11" s="1640"/>
      <c r="E11" s="1640"/>
      <c r="F11" s="1640"/>
      <c r="G11" s="1640"/>
      <c r="H11" s="1640" t="s">
        <v>673</v>
      </c>
      <c r="I11" s="1640"/>
      <c r="J11" s="221"/>
      <c r="K11" s="1640" t="s">
        <v>903</v>
      </c>
      <c r="L11" s="1640"/>
      <c r="M11" s="1640"/>
      <c r="N11" s="1640"/>
      <c r="O11" s="1640"/>
      <c r="P11" s="1640"/>
      <c r="Q11" s="1640"/>
      <c r="R11" s="1640"/>
      <c r="S11" s="1640"/>
      <c r="T11" s="1640"/>
      <c r="U11" s="1640"/>
      <c r="V11" s="221"/>
      <c r="W11" s="1640" t="s">
        <v>904</v>
      </c>
      <c r="X11" s="1640"/>
      <c r="Y11" s="1640"/>
      <c r="Z11" s="1640"/>
      <c r="AA11" s="1640"/>
      <c r="AB11" s="1640"/>
      <c r="AC11" s="1640"/>
      <c r="AD11" s="1640"/>
      <c r="AE11" s="1640"/>
      <c r="AF11" s="1640"/>
      <c r="AG11" s="1640"/>
      <c r="AH11" s="221"/>
      <c r="AI11" s="1640" t="s">
        <v>905</v>
      </c>
      <c r="AJ11" s="1640"/>
      <c r="AK11" s="1640"/>
      <c r="AL11" s="1640" t="s">
        <v>735</v>
      </c>
      <c r="AM11" s="1640"/>
      <c r="AN11" s="221"/>
      <c r="AO11" s="1640" t="s">
        <v>906</v>
      </c>
      <c r="AP11" s="1640"/>
      <c r="AQ11" s="1640"/>
      <c r="AR11" s="322"/>
      <c r="AS11" s="221"/>
      <c r="AT11" s="227"/>
      <c r="AU11" s="227"/>
      <c r="AV11" s="227"/>
      <c r="AW11" s="227"/>
      <c r="AX11" s="227"/>
      <c r="AY11" s="227"/>
      <c r="AZ11" s="227"/>
      <c r="BA11" s="227"/>
      <c r="BB11" s="227"/>
      <c r="BC11" s="227"/>
      <c r="BD11" s="227"/>
    </row>
    <row r="12" spans="1:56">
      <c r="A12" s="130" t="s">
        <v>317</v>
      </c>
      <c r="B12" s="125"/>
      <c r="C12" s="131" t="s">
        <v>434</v>
      </c>
      <c r="D12" s="131" t="s">
        <v>0</v>
      </c>
      <c r="E12" s="131" t="s">
        <v>438</v>
      </c>
      <c r="F12" s="130" t="s">
        <v>9</v>
      </c>
      <c r="G12" s="130" t="s">
        <v>0</v>
      </c>
      <c r="H12" s="130" t="s">
        <v>635</v>
      </c>
      <c r="I12" s="130" t="s">
        <v>454</v>
      </c>
      <c r="J12" s="125"/>
      <c r="K12" s="131" t="s">
        <v>434</v>
      </c>
      <c r="L12" s="131" t="s">
        <v>0</v>
      </c>
      <c r="M12" s="131" t="s">
        <v>438</v>
      </c>
      <c r="N12" s="130" t="s">
        <v>9</v>
      </c>
      <c r="O12" s="130" t="s">
        <v>0</v>
      </c>
      <c r="P12" s="131" t="s">
        <v>433</v>
      </c>
      <c r="Q12" s="131" t="s">
        <v>9</v>
      </c>
      <c r="R12" s="131" t="s">
        <v>433</v>
      </c>
      <c r="S12" s="131" t="s">
        <v>9</v>
      </c>
      <c r="T12" s="131" t="s">
        <v>433</v>
      </c>
      <c r="U12" s="131" t="s">
        <v>9</v>
      </c>
      <c r="V12" s="125"/>
      <c r="W12" s="131" t="s">
        <v>434</v>
      </c>
      <c r="X12" s="131" t="s">
        <v>0</v>
      </c>
      <c r="Y12" s="131" t="s">
        <v>438</v>
      </c>
      <c r="Z12" s="130" t="s">
        <v>9</v>
      </c>
      <c r="AA12" s="130" t="s">
        <v>0</v>
      </c>
      <c r="AB12" s="131" t="s">
        <v>433</v>
      </c>
      <c r="AC12" s="131" t="s">
        <v>9</v>
      </c>
      <c r="AD12" s="131" t="s">
        <v>433</v>
      </c>
      <c r="AE12" s="131" t="s">
        <v>9</v>
      </c>
      <c r="AF12" s="131" t="s">
        <v>433</v>
      </c>
      <c r="AG12" s="131" t="s">
        <v>9</v>
      </c>
      <c r="AH12" s="125"/>
      <c r="AI12" s="131" t="s">
        <v>438</v>
      </c>
      <c r="AJ12" s="130" t="s">
        <v>443</v>
      </c>
      <c r="AK12" s="130" t="s">
        <v>443</v>
      </c>
      <c r="AL12" s="130" t="s">
        <v>635</v>
      </c>
      <c r="AM12" s="130" t="s">
        <v>713</v>
      </c>
      <c r="AN12" s="125"/>
      <c r="AO12" s="131" t="s">
        <v>438</v>
      </c>
      <c r="AP12" s="131" t="s">
        <v>650</v>
      </c>
      <c r="AQ12" s="130" t="s">
        <v>4</v>
      </c>
      <c r="AR12" s="130" t="s">
        <v>4</v>
      </c>
      <c r="AS12" s="125"/>
    </row>
    <row r="13" spans="1:56">
      <c r="A13" s="130">
        <v>1</v>
      </c>
      <c r="B13" s="125"/>
      <c r="C13" s="1074">
        <v>1</v>
      </c>
      <c r="D13" s="200">
        <f>IF(D14&gt;=25,D14/5,9.8)</f>
        <v>5.7</v>
      </c>
      <c r="E13" s="201">
        <v>0</v>
      </c>
      <c r="F13" s="200">
        <f>IF('Longueurs pennes (1-1)'!H$86="",0.02,'Longueurs pennes (1-1)'!H$86)</f>
        <v>2.2690343569754325E-2</v>
      </c>
      <c r="G13" s="200">
        <f>IF('Longueurs pennes (1-1)'!H$87="",0.25,'Longueurs pennes (1-1)'!H$87)</f>
        <v>0.37336214359762632</v>
      </c>
      <c r="H13" s="212">
        <v>1</v>
      </c>
      <c r="I13" s="133">
        <v>0.9</v>
      </c>
      <c r="J13" s="125"/>
      <c r="K13" s="1074">
        <v>1</v>
      </c>
      <c r="L13" s="133">
        <f>IF('Feuilles=description rejets'!$P$45="",1.25,'Feuilles=description rejets'!$P$45*'Ouvertures pennes'!$B$70/2.2)</f>
        <v>1.4727153607943391</v>
      </c>
      <c r="M13" s="201">
        <v>0</v>
      </c>
      <c r="N13" s="200">
        <f>IF('Ouvertures pennes (MAX)'!H$86="",0.08,'Ouvertures pennes (MAX)'!H$86)</f>
        <v>6.0451119928720716E-2</v>
      </c>
      <c r="O13" s="200">
        <f>IF('Ouvertures pennes (MAX)'!H$87="",0.07,'Ouvertures pennes (MAX)'!H$87)</f>
        <v>1.1670693683609165E-2</v>
      </c>
      <c r="P13" s="203">
        <v>0</v>
      </c>
      <c r="Q13" s="200">
        <v>0.1</v>
      </c>
      <c r="R13" s="203">
        <v>0</v>
      </c>
      <c r="S13" s="200">
        <v>0.05</v>
      </c>
      <c r="T13" s="203">
        <v>0</v>
      </c>
      <c r="U13" s="200">
        <v>1</v>
      </c>
      <c r="V13" s="125"/>
      <c r="W13" s="1074">
        <v>1</v>
      </c>
      <c r="X13" s="133">
        <f>IF('Feuilles=description rejets'!$P$45="",1.25,'Feuilles=description rejets'!$P$45*'Largeurs pennes'!$B$70/2.2)</f>
        <v>0.74364940415661251</v>
      </c>
      <c r="Y13" s="201">
        <v>0</v>
      </c>
      <c r="Z13" s="200">
        <f>IF($X$14="",0.21,$X$14*0.67)</f>
        <v>0.54806961086342354</v>
      </c>
      <c r="AA13" s="200">
        <f>IF($Y$14="",0.13,$Y$14*1.33)</f>
        <v>7.129538929643072</v>
      </c>
      <c r="AB13" s="203">
        <v>0</v>
      </c>
      <c r="AC13" s="133">
        <f>IF('Hauteurs pennes (0-1)'!$AA$15="",1,'Hauteurs pennes (0-1)'!$AA$15)</f>
        <v>1</v>
      </c>
      <c r="AD13" s="203">
        <v>0</v>
      </c>
      <c r="AE13" s="133">
        <f>IF('Hauteurs pennes (0-1)'!$AB$88="",1,'Hauteurs pennes (0-1)'!$AB$88)</f>
        <v>1</v>
      </c>
      <c r="AF13" s="203">
        <v>0</v>
      </c>
      <c r="AG13" s="200">
        <v>1</v>
      </c>
      <c r="AH13" s="125"/>
      <c r="AI13" s="161">
        <v>0</v>
      </c>
      <c r="AJ13" s="105">
        <v>310000</v>
      </c>
      <c r="AK13" s="105">
        <v>40</v>
      </c>
      <c r="AL13" s="212">
        <v>1</v>
      </c>
      <c r="AM13" s="133">
        <v>1</v>
      </c>
      <c r="AN13" s="125"/>
      <c r="AO13" s="161">
        <v>0</v>
      </c>
      <c r="AP13" s="133">
        <v>90</v>
      </c>
      <c r="AQ13" s="133">
        <v>0</v>
      </c>
      <c r="AR13" s="133">
        <v>0</v>
      </c>
      <c r="AS13" s="125"/>
    </row>
    <row r="14" spans="1:56">
      <c r="A14" s="130">
        <v>2</v>
      </c>
      <c r="B14" s="125"/>
      <c r="C14" s="1074">
        <f>IF('Feuilles=description rejets'!$P$32="",36,'Feuilles=description rejets'!$P$32)</f>
        <v>28</v>
      </c>
      <c r="D14" s="1075">
        <f>IF('Feuilles=description rejets'!$P$44="",44,'Feuilles=description rejets'!$P$44)</f>
        <v>28.5</v>
      </c>
      <c r="E14" s="201">
        <f>IF('Longueurs pennes (1-1)'!H$86="",14.92,'Longueurs pennes (1-1)'!H$85)</f>
        <v>5.3605555861977985</v>
      </c>
      <c r="F14" s="202">
        <f>IF('Longueurs pennes (1-1)'!H$86="",0.03,'Longueurs pennes (1-1)'!H$86)</f>
        <v>2.2690343569754325E-2</v>
      </c>
      <c r="G14" s="202">
        <f>IF('Longueurs pennes (1-1)'!H$87="",0.28,'Longueurs pennes (1-1)'!H$87)</f>
        <v>0.37336214359762632</v>
      </c>
      <c r="H14" s="212">
        <v>10</v>
      </c>
      <c r="I14" s="143">
        <v>0.95</v>
      </c>
      <c r="J14" s="125"/>
      <c r="K14" s="1074">
        <f>IF('Feuilles=description rejets'!$P$32="",36,'Feuilles=description rejets'!$P$32)</f>
        <v>28</v>
      </c>
      <c r="L14" s="142">
        <f>IF('Feuilles=description rejets'!$P$45="",2.5,'Feuilles=description rejets'!$P$45*'Ouvertures pennes'!$B$70/2)</f>
        <v>1.6199868968737732</v>
      </c>
      <c r="M14" s="201">
        <f>IF('Ouvertures pennes (MAX)'!H$86="",13.83,'Ouvertures pennes (MAX)'!H$85)</f>
        <v>5.3605555861977985</v>
      </c>
      <c r="N14" s="202">
        <f>IF('Ouvertures pennes (MAX)'!H$86="",0.07,'Ouvertures pennes (MAX)'!H$86)</f>
        <v>6.0451119928720716E-2</v>
      </c>
      <c r="O14" s="202">
        <f>IF('Ouvertures pennes (MAX)'!H$87="",0.05,'Ouvertures pennes (MAX)'!H$87)</f>
        <v>1.1670693683609165E-2</v>
      </c>
      <c r="P14" s="203">
        <v>33.33</v>
      </c>
      <c r="Q14" s="204">
        <f>IF('Ouvertures pennes (1-1)'!AA15="",1,'Ouvertures pennes (1-1)'!AA15)</f>
        <v>1</v>
      </c>
      <c r="R14" s="203">
        <v>33.33</v>
      </c>
      <c r="S14" s="204">
        <f>IF('Ouvertures pennes (1-1)'!$AB$88="",1,'Ouvertures pennes (1-1)'!$AB$88)</f>
        <v>1</v>
      </c>
      <c r="T14" s="203">
        <v>33.33</v>
      </c>
      <c r="U14" s="204">
        <v>1</v>
      </c>
      <c r="V14" s="125"/>
      <c r="W14" s="1074">
        <f>IF('Feuilles=description rejets'!$P$32="",36,'Feuilles=description rejets'!$P$32)</f>
        <v>28</v>
      </c>
      <c r="X14" s="142">
        <f>IF('Feuilles=description rejets'!$P$45="",2.5,'Feuilles=description rejets'!$P$45*'Largeurs pennes'!$B$70/2)</f>
        <v>0.81801434457227384</v>
      </c>
      <c r="Y14" s="201">
        <f>IF('Hauteurs pennes (MAX)'!H$86="",13.83,'Hauteurs pennes (MAX)'!H$85)</f>
        <v>5.3605555861977985</v>
      </c>
      <c r="Z14" s="202">
        <f>IF('Hauteurs pennes (MAX)'!$H$86="",0.32,'Hauteurs pennes (MAX)'!$H$86)</f>
        <v>0.2024729273868385</v>
      </c>
      <c r="AA14" s="202">
        <f>IF('Hauteurs pennes (MAX)'!$H$87="",0.06,'Hauteurs pennes (MAX)'!$H$87)</f>
        <v>7.2549239117210645E-2</v>
      </c>
      <c r="AB14" s="203">
        <v>33.33</v>
      </c>
      <c r="AC14" s="150">
        <f>IF('Hauteurs pennes (1-1)'!$AA$15="",0.53,'Hauteurs pennes (1-1)'!$AA$15)</f>
        <v>0.78772824304771161</v>
      </c>
      <c r="AD14" s="203">
        <v>33.33</v>
      </c>
      <c r="AE14" s="150">
        <f>IF('Hauteurs pennes (1-1)'!$AB$88="",0.6,'Hauteurs pennes (1-1)'!$AB$88)</f>
        <v>0.6</v>
      </c>
      <c r="AF14" s="203">
        <v>33.33</v>
      </c>
      <c r="AG14" s="204">
        <v>1</v>
      </c>
      <c r="AH14" s="125"/>
      <c r="AI14" s="161">
        <v>50</v>
      </c>
      <c r="AJ14" s="107">
        <v>283000</v>
      </c>
      <c r="AK14" s="107">
        <v>30</v>
      </c>
      <c r="AL14" s="212">
        <v>45</v>
      </c>
      <c r="AM14" s="143">
        <v>0.9</v>
      </c>
      <c r="AN14" s="125"/>
      <c r="AO14" s="161">
        <v>25</v>
      </c>
      <c r="AP14" s="150">
        <v>70</v>
      </c>
      <c r="AQ14" s="150">
        <v>0</v>
      </c>
      <c r="AR14" s="150">
        <v>0</v>
      </c>
      <c r="AS14" s="125"/>
    </row>
    <row r="15" spans="1:56">
      <c r="A15" s="130">
        <v>3</v>
      </c>
      <c r="B15" s="125"/>
      <c r="C15" s="1074">
        <f>IF('Feuilles=description rejets'!$Q$32="",67,'Feuilles=description rejets'!$Q$32)</f>
        <v>114</v>
      </c>
      <c r="D15" s="200">
        <f>IF('Feuilles=description rejets'!$Q$44="",45.9,'Feuilles=description rejets'!$Q$44)</f>
        <v>54</v>
      </c>
      <c r="E15" s="201">
        <f>IF('Longueurs pennes (1-1)'!I$86="",17.96,'Longueurs pennes (1-1)'!I$85)</f>
        <v>10</v>
      </c>
      <c r="F15" s="200">
        <f>IF('Longueurs pennes (1-1)'!I$86="",0.08,'Longueurs pennes (1-1)'!I$86)</f>
        <v>8.6307524460910418E-2</v>
      </c>
      <c r="G15" s="200">
        <f>IF('Longueurs pennes (1-1)'!I$87="",0.86,'Longueurs pennes (1-1)'!I$87)</f>
        <v>1.268054006805275</v>
      </c>
      <c r="H15" s="212">
        <v>30</v>
      </c>
      <c r="I15" s="133">
        <v>1</v>
      </c>
      <c r="J15" s="125"/>
      <c r="K15" s="1074">
        <f>IF('Feuilles=description rejets'!$Q$32="",67,'Feuilles=description rejets'!$Q$32)</f>
        <v>114</v>
      </c>
      <c r="L15" s="133">
        <f>IF('Feuilles=description rejets'!$Q$45="",3.3,'Feuilles=description rejets'!$Q$45*'Ouvertures pennes'!$B$70/2)</f>
        <v>2.0056980627961001</v>
      </c>
      <c r="M15" s="201">
        <f>IF('Ouvertures pennes (MAX)'!I$86="",19.68,'Ouvertures pennes (MAX)'!I$85)</f>
        <v>10</v>
      </c>
      <c r="N15" s="200">
        <f>IF('Ouvertures pennes (MAX)'!I$86="",0.23,'Ouvertures pennes (MAX)'!I$86)</f>
        <v>0.41905708736350705</v>
      </c>
      <c r="O15" s="200">
        <f>IF('Ouvertures pennes (MAX)'!I$87="",0.04,'Ouvertures pennes (MAX)'!I$87)</f>
        <v>1.9470225331650933E-2</v>
      </c>
      <c r="P15" s="148">
        <v>66.67</v>
      </c>
      <c r="Q15" s="200">
        <f>IF('Ouvertures pennes (2-1)'!AA15="",0.67,'Ouvertures pennes (2-1)'!AA15)</f>
        <v>0.83014354066985641</v>
      </c>
      <c r="R15" s="203">
        <v>66.67</v>
      </c>
      <c r="S15" s="200">
        <f>IF('Ouvertures pennes (2-1)'!$AB$88="",0.57,'Ouvertures pennes (2-1)'!$AB$88)</f>
        <v>0.56999999999999995</v>
      </c>
      <c r="T15" s="148">
        <v>66.67</v>
      </c>
      <c r="U15" s="200">
        <v>1</v>
      </c>
      <c r="V15" s="125"/>
      <c r="W15" s="1074">
        <f>IF('Feuilles=description rejets'!$Q$32="",67,'Feuilles=description rejets'!$Q$32)</f>
        <v>114</v>
      </c>
      <c r="X15" s="133">
        <f>IF('Feuilles=description rejets'!$Q$45="",3.3,'Feuilles=description rejets'!$Q$45*'Largeurs pennes'!$B$70/2)</f>
        <v>1.0127796647085294</v>
      </c>
      <c r="Y15" s="201">
        <f>IF('Hauteurs pennes (MAX)'!I$86="",15.8,'Hauteurs pennes (MAX)'!I$85)</f>
        <v>10</v>
      </c>
      <c r="Z15" s="200">
        <f>IF('Hauteurs pennes (MAX)'!$I$86="",0.38,'Hauteurs pennes (MAX)'!$I$86)</f>
        <v>0.52744327374227051</v>
      </c>
      <c r="AA15" s="200">
        <f>IF('Hauteurs pennes (MAX)'!$I$87="",0.13,'Hauteurs pennes (MAX)'!$I$87)</f>
        <v>3.1989666682541982E-3</v>
      </c>
      <c r="AB15" s="203">
        <v>66.67</v>
      </c>
      <c r="AC15" s="133">
        <f>IF('Hauteurs pennes (2-1)'!$AA$15="",0.32,'Hauteurs pennes (2-1)'!$AA$15)</f>
        <v>0.48236304082814963</v>
      </c>
      <c r="AD15" s="203">
        <v>66.67</v>
      </c>
      <c r="AE15" s="133">
        <f>IF('Hauteurs pennes (2-1)'!$AB$88="",0.32,'Hauteurs pennes (2-1)'!$AB$88)</f>
        <v>0.32</v>
      </c>
      <c r="AF15" s="203">
        <v>66.67</v>
      </c>
      <c r="AG15" s="200">
        <v>1</v>
      </c>
      <c r="AH15" s="125"/>
      <c r="AI15" s="161">
        <v>100</v>
      </c>
      <c r="AJ15" s="105">
        <v>260000</v>
      </c>
      <c r="AK15" s="105">
        <v>20</v>
      </c>
      <c r="AL15" s="212"/>
      <c r="AM15" s="133"/>
      <c r="AN15" s="125"/>
      <c r="AO15" s="161">
        <v>50</v>
      </c>
      <c r="AP15" s="133">
        <v>50</v>
      </c>
      <c r="AQ15" s="133">
        <v>0</v>
      </c>
      <c r="AR15" s="133">
        <v>0</v>
      </c>
      <c r="AS15" s="125"/>
    </row>
    <row r="16" spans="1:56">
      <c r="A16" s="130">
        <v>4</v>
      </c>
      <c r="B16" s="125"/>
      <c r="C16" s="1074">
        <f>IF('Nervure=pétiole&amp;rachis'!$K$11="",175,'Nervure=pétiole&amp;rachis'!$K$11)</f>
        <v>124</v>
      </c>
      <c r="D16" s="1075">
        <f>IF('Longueurs pennes (1-1)'!$C$34="",50,'Longueurs pennes (1-1)'!$C$34)</f>
        <v>50</v>
      </c>
      <c r="E16" s="201">
        <f>IF('Longueurs pennes (1-1)'!J$86="",30.3,'Longueurs pennes (1-1)'!J$85)</f>
        <v>20</v>
      </c>
      <c r="F16" s="202">
        <f>IF('Longueurs pennes (1-1)'!J$86="",0.31,'Longueurs pennes (1-1)'!J$86)</f>
        <v>0.13795941653936974</v>
      </c>
      <c r="G16" s="202">
        <f>IF('Longueurs pennes (1-1)'!J$87="",3.11,'Longueurs pennes (1-1)'!J$87)</f>
        <v>2.013313570371039</v>
      </c>
      <c r="H16" s="212"/>
      <c r="I16" s="143"/>
      <c r="J16" s="125"/>
      <c r="K16" s="1074">
        <f>IF('Nervure=pétiole&amp;rachis'!$K$11="",175,'Nervure=pétiole&amp;rachis'!$K$11)</f>
        <v>124</v>
      </c>
      <c r="L16" s="142">
        <f>IF('Ouvertures pennes (MAX)'!$F$35="",2.95,'Ouvertures pennes (MAX)'!$F$35)</f>
        <v>2.6550767173058456</v>
      </c>
      <c r="M16" s="201">
        <f>IF('Ouvertures pennes (MAX)'!J$86="",31.19,'Ouvertures pennes (MAX)'!J$85)</f>
        <v>20</v>
      </c>
      <c r="N16" s="202">
        <f>IF('Ouvertures pennes (MAX)'!J$86="",0.36,'Ouvertures pennes (MAX)'!J$86)</f>
        <v>0.59286648916954554</v>
      </c>
      <c r="O16" s="202">
        <f>IF('Ouvertures pennes (MAX)'!J$87="",0.19,'Ouvertures pennes (MAX)'!J$87)</f>
        <v>2.4631983613370621E-2</v>
      </c>
      <c r="P16" s="148">
        <v>100</v>
      </c>
      <c r="Q16" s="204">
        <v>0.01</v>
      </c>
      <c r="R16" s="203">
        <v>100</v>
      </c>
      <c r="S16" s="204">
        <v>0.01</v>
      </c>
      <c r="T16" s="148">
        <v>100</v>
      </c>
      <c r="U16" s="204">
        <v>1</v>
      </c>
      <c r="V16" s="125"/>
      <c r="W16" s="1074">
        <f>IF('Nervure=pétiole&amp;rachis'!$K$11="",175,'Nervure=pétiole&amp;rachis'!$K$11)</f>
        <v>124</v>
      </c>
      <c r="X16" s="142">
        <f>IF('Hauteurs pennes (MAX)'!$F$35="",2.8,'Hauteurs pennes (MAX)'!$F$35)</f>
        <v>1.3406842023767778</v>
      </c>
      <c r="Y16" s="201">
        <f>IF('Hauteurs pennes (MAX)'!J$86="",19.82,'Hauteurs pennes (MAX)'!J$85)</f>
        <v>20</v>
      </c>
      <c r="Z16" s="202">
        <f>IF('Hauteurs pennes (MAX)'!$J$86="",0.42,'Hauteurs pennes (MAX)'!$J$86)</f>
        <v>0.64474114696268459</v>
      </c>
      <c r="AA16" s="202">
        <f>IF('Hauteurs pennes (MAX)'!$J$87="",0.06,'Hauteurs pennes (MAX)'!$J$87)</f>
        <v>3.891689485432474E-3</v>
      </c>
      <c r="AB16" s="203">
        <v>100</v>
      </c>
      <c r="AC16" s="150">
        <v>4.0000000000000001E-3</v>
      </c>
      <c r="AD16" s="203">
        <v>100</v>
      </c>
      <c r="AE16" s="150">
        <v>4.0000000000000001E-3</v>
      </c>
      <c r="AF16" s="203">
        <v>100</v>
      </c>
      <c r="AG16" s="204">
        <v>1</v>
      </c>
      <c r="AH16" s="125"/>
      <c r="AI16" s="161"/>
      <c r="AJ16" s="163"/>
      <c r="AK16" s="163"/>
      <c r="AL16" s="212"/>
      <c r="AM16" s="143"/>
      <c r="AN16" s="125"/>
      <c r="AO16" s="161">
        <v>75</v>
      </c>
      <c r="AP16" s="150">
        <v>60</v>
      </c>
      <c r="AQ16" s="150">
        <v>0</v>
      </c>
      <c r="AR16" s="150">
        <v>0</v>
      </c>
      <c r="AS16" s="125"/>
    </row>
    <row r="17" spans="1:45">
      <c r="A17" s="130">
        <v>5</v>
      </c>
      <c r="B17" s="125"/>
      <c r="C17" s="1072"/>
      <c r="D17" s="105"/>
      <c r="E17" s="201">
        <f>IF('Longueurs pennes (1-1)'!K$86="",33.07,'Longueurs pennes (1-1)'!K$85)</f>
        <v>26.922669813782981</v>
      </c>
      <c r="F17" s="200">
        <f>IF('Longueurs pennes (1-1)'!K$86="",0.5,'Longueurs pennes (1-1)'!K$86)</f>
        <v>0.26135782924466189</v>
      </c>
      <c r="G17" s="200">
        <f>IF('Longueurs pennes (1-1)'!K$87="",2.92,'Longueurs pennes (1-1)'!K$87)</f>
        <v>5.8761763788347325</v>
      </c>
      <c r="H17" s="212"/>
      <c r="I17" s="133"/>
      <c r="J17" s="125"/>
      <c r="K17" s="1074"/>
      <c r="L17" s="133"/>
      <c r="M17" s="201">
        <f>IF('Ouvertures pennes (MAX)'!K$86="",34.14,'Ouvertures pennes (MAX)'!K$85)</f>
        <v>26.922669813782981</v>
      </c>
      <c r="N17" s="200">
        <f>IF('Ouvertures pennes (MAX)'!K$86="",0.44,'Ouvertures pennes (MAX)'!K$86)</f>
        <v>0.13790369716305859</v>
      </c>
      <c r="O17" s="200">
        <f>IF('Ouvertures pennes (MAX)'!K$87="",0.1,'Ouvertures pennes (MAX)'!K$87)</f>
        <v>4.3672098064023814E-2</v>
      </c>
      <c r="P17" s="148"/>
      <c r="Q17" s="133"/>
      <c r="R17" s="203"/>
      <c r="S17" s="133"/>
      <c r="T17" s="148"/>
      <c r="U17" s="133"/>
      <c r="V17" s="125"/>
      <c r="W17" s="1074"/>
      <c r="X17" s="133"/>
      <c r="Y17" s="201">
        <f>IF('Hauteurs pennes (MAX)'!K$86="",30.3,'Hauteurs pennes (MAX)'!K$85)</f>
        <v>26.922669813782981</v>
      </c>
      <c r="Z17" s="200">
        <f>IF('Hauteurs pennes (MAX)'!$K$86="",0.5,'Hauteurs pennes (MAX)'!$K$86)</f>
        <v>0.34078263144217608</v>
      </c>
      <c r="AA17" s="200">
        <f>IF('Hauteurs pennes (MAX)'!$K$87="",0.06,'Hauteurs pennes (MAX)'!$K$87)</f>
        <v>5.2226089101028425E-2</v>
      </c>
      <c r="AB17" s="265"/>
      <c r="AC17" s="133"/>
      <c r="AD17" s="265"/>
      <c r="AE17" s="133"/>
      <c r="AF17" s="265"/>
      <c r="AG17" s="133"/>
      <c r="AH17" s="125"/>
      <c r="AI17" s="161"/>
      <c r="AJ17" s="133"/>
      <c r="AK17" s="133"/>
      <c r="AL17" s="212"/>
      <c r="AM17" s="133"/>
      <c r="AN17" s="125"/>
      <c r="AO17" s="161">
        <v>100</v>
      </c>
      <c r="AP17" s="133">
        <v>80</v>
      </c>
      <c r="AQ17" s="133">
        <v>0</v>
      </c>
      <c r="AR17" s="133">
        <v>0</v>
      </c>
      <c r="AS17" s="125"/>
    </row>
    <row r="18" spans="1:45">
      <c r="A18" s="130">
        <v>6</v>
      </c>
      <c r="B18" s="125"/>
      <c r="C18" s="141"/>
      <c r="D18" s="142"/>
      <c r="E18" s="201">
        <f>IF('Longueurs pennes (1-1)'!L$86="",37.26,'Longueurs pennes (1-1)'!L$85)</f>
        <v>28.402760758696882</v>
      </c>
      <c r="F18" s="202">
        <f>IF('Longueurs pennes (1-1)'!L$86="",0.77,'Longueurs pennes (1-1)'!L$86)</f>
        <v>0.56028171860920428</v>
      </c>
      <c r="G18" s="202">
        <f>IF('Longueurs pennes (1-1)'!L$87="",2.41,'Longueurs pennes (1-1)'!L$87)</f>
        <v>15.862844813517444</v>
      </c>
      <c r="H18" s="212"/>
      <c r="I18" s="143"/>
      <c r="J18" s="125"/>
      <c r="K18" s="141"/>
      <c r="L18" s="142"/>
      <c r="M18" s="201">
        <f>IF('Ouvertures pennes (MAX)'!L$86="",44.28,'Ouvertures pennes (MAX)'!L$85)</f>
        <v>28.402760758696882</v>
      </c>
      <c r="N18" s="202">
        <f>IF('Ouvertures pennes (MAX)'!L$86="",0.63,'Ouvertures pennes (MAX)'!L$86)</f>
        <v>0.16121014738668019</v>
      </c>
      <c r="O18" s="202">
        <f>IF('Ouvertures pennes (MAX)'!L$87="",0.24,'Ouvertures pennes (MAX)'!L$87)</f>
        <v>8.0546596402234619E-2</v>
      </c>
      <c r="P18" s="148"/>
      <c r="Q18" s="150"/>
      <c r="R18" s="148"/>
      <c r="S18" s="150"/>
      <c r="T18" s="148"/>
      <c r="U18" s="150"/>
      <c r="V18" s="125"/>
      <c r="W18" s="141"/>
      <c r="X18" s="142"/>
      <c r="Y18" s="201">
        <f>IF('Hauteurs pennes (MAX)'!L$86="",32.83,'Hauteurs pennes (MAX)'!L$85)</f>
        <v>28.402760758696882</v>
      </c>
      <c r="Z18" s="202">
        <f>IF('Hauteurs pennes (MAX)'!$L$86="",0.56,'Hauteurs pennes (MAX)'!$L$86)</f>
        <v>0.3734054239992538</v>
      </c>
      <c r="AA18" s="202">
        <f>IF('Hauteurs pennes (MAX)'!$L$87="",0.04,'Hauteurs pennes (MAX)'!$L$87)</f>
        <v>5.9408704755158054E-2</v>
      </c>
      <c r="AB18" s="265"/>
      <c r="AC18" s="150"/>
      <c r="AD18" s="265"/>
      <c r="AE18" s="150"/>
      <c r="AF18" s="265"/>
      <c r="AG18" s="150"/>
      <c r="AH18" s="125"/>
      <c r="AI18" s="161"/>
      <c r="AJ18" s="163"/>
      <c r="AK18" s="163"/>
      <c r="AL18" s="212"/>
      <c r="AM18" s="143"/>
      <c r="AN18" s="125"/>
      <c r="AO18" s="161"/>
      <c r="AP18" s="150"/>
      <c r="AQ18" s="150"/>
      <c r="AR18" s="150"/>
      <c r="AS18" s="125"/>
    </row>
    <row r="19" spans="1:45">
      <c r="A19" s="130">
        <v>7</v>
      </c>
      <c r="B19" s="125"/>
      <c r="C19" s="141"/>
      <c r="D19" s="133"/>
      <c r="E19" s="201">
        <f>IF('Longueurs pennes (1-1)'!M$86="",54.12,'Longueurs pennes (1-1)'!M$85)</f>
        <v>30</v>
      </c>
      <c r="F19" s="200">
        <f>IF('Longueurs pennes (1-1)'!M$86="",0.92,'Longueurs pennes (1-1)'!M$86)</f>
        <v>0.9546344821119066</v>
      </c>
      <c r="G19" s="200">
        <f>IF('Longueurs pennes (1-1)'!M$87="",2.12,'Longueurs pennes (1-1)'!M$87)</f>
        <v>8.9900625713150752</v>
      </c>
      <c r="H19" s="212"/>
      <c r="I19" s="133"/>
      <c r="J19" s="125"/>
      <c r="K19" s="141"/>
      <c r="L19" s="133"/>
      <c r="M19" s="201">
        <f>IF('Ouvertures pennes (MAX)'!M$86="",63.96,'Ouvertures pennes (MAX)'!M$85)</f>
        <v>30</v>
      </c>
      <c r="N19" s="200">
        <f>IF('Ouvertures pennes (MAX)'!M$86="",1,'Ouvertures pennes (MAX)'!M$86)</f>
        <v>0.53083380142421566</v>
      </c>
      <c r="O19" s="200">
        <f>IF('Ouvertures pennes (MAX)'!M$87="",0.26,'Ouvertures pennes (MAX)'!M$87)</f>
        <v>6.9682933154996074E-2</v>
      </c>
      <c r="P19" s="148"/>
      <c r="Q19" s="133"/>
      <c r="R19" s="148"/>
      <c r="S19" s="133"/>
      <c r="T19" s="148"/>
      <c r="U19" s="133"/>
      <c r="V19" s="125"/>
      <c r="W19" s="141"/>
      <c r="X19" s="133"/>
      <c r="Y19" s="201">
        <f>IF('Hauteurs pennes (MAX)'!M$86="",37,'Hauteurs pennes (MAX)'!M$85)</f>
        <v>30</v>
      </c>
      <c r="Z19" s="200">
        <f>IF('Hauteurs pennes (MAX)'!$M$86="",0.67,'Hauteurs pennes (MAX)'!$M$86)</f>
        <v>0.68187915575935398</v>
      </c>
      <c r="AA19" s="200">
        <f>IF('Hauteurs pennes (MAX)'!$M$87="",0.04,'Hauteurs pennes (MAX)'!$M$87)</f>
        <v>1.1206142135119905E-2</v>
      </c>
      <c r="AB19" s="265"/>
      <c r="AC19" s="133"/>
      <c r="AD19" s="265"/>
      <c r="AE19" s="133"/>
      <c r="AF19" s="265"/>
      <c r="AG19" s="133"/>
      <c r="AH19" s="125"/>
      <c r="AI19" s="161"/>
      <c r="AJ19" s="133"/>
      <c r="AK19" s="133"/>
      <c r="AL19" s="212"/>
      <c r="AM19" s="133"/>
      <c r="AN19" s="125"/>
      <c r="AO19" s="161"/>
      <c r="AP19" s="133"/>
      <c r="AQ19" s="133"/>
      <c r="AR19" s="133"/>
      <c r="AS19" s="125"/>
    </row>
    <row r="20" spans="1:45">
      <c r="A20" s="130">
        <v>8</v>
      </c>
      <c r="B20" s="125"/>
      <c r="C20" s="141"/>
      <c r="D20" s="142"/>
      <c r="E20" s="201">
        <f>IF('Longueurs pennes (1-1)'!N$86="",73.8,'Longueurs pennes (1-1)'!N$85)</f>
        <v>40</v>
      </c>
      <c r="F20" s="202">
        <f>IF('Longueurs pennes (1-1)'!N$86="",0.96,'Longueurs pennes (1-1)'!N$86)</f>
        <v>1</v>
      </c>
      <c r="G20" s="202">
        <f>IF('Longueurs pennes (1-1)'!N$87="",2.52,'Longueurs pennes (1-1)'!N$87)</f>
        <v>4.1697928098745045</v>
      </c>
      <c r="H20" s="212"/>
      <c r="I20" s="143"/>
      <c r="J20" s="125"/>
      <c r="K20" s="141"/>
      <c r="L20" s="142"/>
      <c r="M20" s="201">
        <f>IF('Ouvertures pennes (MAX)'!N$86="",82.09,'Ouvertures pennes (MAX)'!N$85)</f>
        <v>40</v>
      </c>
      <c r="N20" s="202">
        <f>IF('Ouvertures pennes (MAX)'!N$86="",0.92,'Ouvertures pennes (MAX)'!N$86)</f>
        <v>0.66968744168999161</v>
      </c>
      <c r="O20" s="202">
        <f>IF('Ouvertures pennes (MAX)'!N$87="",0.76,'Ouvertures pennes (MAX)'!N$87)</f>
        <v>4.1983408349476926E-2</v>
      </c>
      <c r="P20" s="148"/>
      <c r="Q20" s="150"/>
      <c r="R20" s="148"/>
      <c r="S20" s="150"/>
      <c r="T20" s="148"/>
      <c r="U20" s="150"/>
      <c r="V20" s="125"/>
      <c r="W20" s="141"/>
      <c r="X20" s="142"/>
      <c r="Y20" s="201">
        <f>IF('Hauteurs pennes (MAX)'!N$86="",54.12,'Hauteurs pennes (MAX)'!N$85)</f>
        <v>40</v>
      </c>
      <c r="Z20" s="202">
        <f>IF('Hauteurs pennes (MAX)'!$N$86="",0.83,'Hauteurs pennes (MAX)'!$N$86)</f>
        <v>0.78162731566514243</v>
      </c>
      <c r="AA20" s="202">
        <f>IF('Hauteurs pennes (MAX)'!$N$87="",0.08,'Hauteurs pennes (MAX)'!$N$87)</f>
        <v>6.222160457392851E-3</v>
      </c>
      <c r="AB20" s="265"/>
      <c r="AC20" s="150"/>
      <c r="AD20" s="265"/>
      <c r="AE20" s="150"/>
      <c r="AF20" s="265"/>
      <c r="AG20" s="150"/>
      <c r="AH20" s="125"/>
      <c r="AI20" s="161"/>
      <c r="AJ20" s="163"/>
      <c r="AK20" s="163"/>
      <c r="AL20" s="212"/>
      <c r="AM20" s="143"/>
      <c r="AN20" s="125"/>
      <c r="AO20" s="161"/>
      <c r="AP20" s="150"/>
      <c r="AQ20" s="150"/>
      <c r="AR20" s="150"/>
      <c r="AS20" s="125"/>
    </row>
    <row r="21" spans="1:45">
      <c r="A21" s="130">
        <v>9</v>
      </c>
      <c r="B21" s="125"/>
      <c r="C21" s="141"/>
      <c r="D21" s="133"/>
      <c r="E21" s="201">
        <f>IF('Longueurs pennes (1-1)'!O$86="",85.73,'Longueurs pennes (1-1)'!O$85)</f>
        <v>50</v>
      </c>
      <c r="F21" s="200">
        <f>IF('Longueurs pennes (1-1)'!O$86="",1,'Longueurs pennes (1-1)'!O$86)</f>
        <v>0.79796738926150967</v>
      </c>
      <c r="G21" s="200">
        <f>IF('Longueurs pennes (1-1)'!O$87="",2.48,'Longueurs pennes (1-1)'!O$87)</f>
        <v>23.240578528944813</v>
      </c>
      <c r="H21" s="212"/>
      <c r="I21" s="133"/>
      <c r="J21" s="125"/>
      <c r="K21" s="141"/>
      <c r="L21" s="133"/>
      <c r="M21" s="201">
        <f>IF('Ouvertures pennes (MAX)'!O$86="",86.21,'Ouvertures pennes (MAX)'!O$85)</f>
        <v>50</v>
      </c>
      <c r="N21" s="200">
        <f>IF('Ouvertures pennes (MAX)'!O$86="",0.84,'Ouvertures pennes (MAX)'!O$86)</f>
        <v>0.84223940798541075</v>
      </c>
      <c r="O21" s="200">
        <f>IF('Ouvertures pennes (MAX)'!O$87="",0.52,'Ouvertures pennes (MAX)'!O$87)</f>
        <v>0.16208806589243011</v>
      </c>
      <c r="P21" s="148"/>
      <c r="Q21" s="133"/>
      <c r="R21" s="148"/>
      <c r="S21" s="133"/>
      <c r="T21" s="148"/>
      <c r="U21" s="133"/>
      <c r="V21" s="125"/>
      <c r="W21" s="141"/>
      <c r="X21" s="133"/>
      <c r="Y21" s="201">
        <f>IF('Hauteurs pennes (MAX)'!O$86="",73.8,'Hauteurs pennes (MAX)'!O$85)</f>
        <v>50</v>
      </c>
      <c r="Z21" s="200">
        <f>IF('Hauteurs pennes (MAX)'!$O$86="",1,'Hauteurs pennes (MAX)'!$O$86)</f>
        <v>0.89155594950570005</v>
      </c>
      <c r="AA21" s="200">
        <f>IF('Hauteurs pennes (MAX)'!$O$87="",0.07,'Hauteurs pennes (MAX)'!$O$87)</f>
        <v>2.5255442647204616E-2</v>
      </c>
      <c r="AB21" s="265"/>
      <c r="AC21" s="133"/>
      <c r="AD21" s="265"/>
      <c r="AE21" s="133"/>
      <c r="AF21" s="265"/>
      <c r="AG21" s="133"/>
      <c r="AH21" s="125"/>
      <c r="AI21" s="161"/>
      <c r="AJ21" s="133"/>
      <c r="AK21" s="133"/>
      <c r="AL21" s="212"/>
      <c r="AM21" s="133"/>
      <c r="AN21" s="125"/>
      <c r="AO21" s="161"/>
      <c r="AP21" s="133"/>
      <c r="AQ21" s="133"/>
      <c r="AR21" s="133"/>
      <c r="AS21" s="125"/>
    </row>
    <row r="22" spans="1:45">
      <c r="A22" s="130">
        <v>10</v>
      </c>
      <c r="B22" s="125"/>
      <c r="C22" s="141"/>
      <c r="D22" s="142"/>
      <c r="E22" s="201">
        <f>IF('Longueurs pennes (1-1)'!P$86="",86.64,'Longueurs pennes (1-1)'!P$85)</f>
        <v>60</v>
      </c>
      <c r="F22" s="202">
        <f>IF('Longueurs pennes (1-1)'!P$86="",1,'Longueurs pennes (1-1)'!P$86)</f>
        <v>0.85925259325248071</v>
      </c>
      <c r="G22" s="202">
        <f>IF('Longueurs pennes (1-1)'!P$87="",5.71,'Longueurs pennes (1-1)'!P$87)</f>
        <v>3.0400927773186841</v>
      </c>
      <c r="H22" s="212"/>
      <c r="I22" s="143"/>
      <c r="J22" s="125"/>
      <c r="K22" s="141"/>
      <c r="L22" s="142"/>
      <c r="M22" s="201">
        <f>IF('Ouvertures pennes (MAX)'!P$86="",87,'Ouvertures pennes (MAX)'!P$85)</f>
        <v>60</v>
      </c>
      <c r="N22" s="202">
        <f>IF('Ouvertures pennes (MAX)'!P$86="",0.71,'Ouvertures pennes (MAX)'!P$86)</f>
        <v>0.93840996563652601</v>
      </c>
      <c r="O22" s="202">
        <f>IF('Ouvertures pennes (MAX)'!P$87="",0.22,'Ouvertures pennes (MAX)'!P$87)</f>
        <v>2.0083373422509182E-2</v>
      </c>
      <c r="P22" s="148"/>
      <c r="Q22" s="150"/>
      <c r="R22" s="148"/>
      <c r="S22" s="150"/>
      <c r="T22" s="148"/>
      <c r="U22" s="150"/>
      <c r="V22" s="125"/>
      <c r="W22" s="141"/>
      <c r="X22" s="142"/>
      <c r="Y22" s="201">
        <f>IF('Hauteurs pennes (MAX)'!P$86="",85.73,'Hauteurs pennes (MAX)'!P$85)</f>
        <v>60</v>
      </c>
      <c r="Z22" s="202">
        <f>IF('Hauteurs pennes (MAX)'!$P$86="",0.7,'Hauteurs pennes (MAX)'!$P$86)</f>
        <v>0.96677694123264091</v>
      </c>
      <c r="AA22" s="202">
        <f>IF('Hauteurs pennes (MAX)'!$P$87="",0.12,'Hauteurs pennes (MAX)'!$P$87)</f>
        <v>3.0941502589007419E-3</v>
      </c>
      <c r="AB22" s="265"/>
      <c r="AC22" s="150"/>
      <c r="AD22" s="265"/>
      <c r="AE22" s="150"/>
      <c r="AF22" s="265"/>
      <c r="AG22" s="150"/>
      <c r="AH22" s="125"/>
      <c r="AI22" s="161"/>
      <c r="AJ22" s="163"/>
      <c r="AK22" s="163"/>
      <c r="AL22" s="212"/>
      <c r="AM22" s="143"/>
      <c r="AN22" s="125"/>
      <c r="AO22" s="161"/>
      <c r="AP22" s="150"/>
      <c r="AQ22" s="150"/>
      <c r="AR22" s="150"/>
      <c r="AS22" s="125"/>
    </row>
    <row r="23" spans="1:45">
      <c r="A23" s="130">
        <v>11</v>
      </c>
      <c r="B23" s="125"/>
      <c r="C23" s="141"/>
      <c r="D23" s="133"/>
      <c r="E23" s="201">
        <f>IF('Longueurs pennes (1-1)'!Q$86="",88.32,'Longueurs pennes (1-1)'!Q$85)</f>
        <v>70</v>
      </c>
      <c r="F23" s="200">
        <f>IF('Longueurs pennes (1-1)'!Q$86="",0.7,'Longueurs pennes (1-1)'!Q$86)</f>
        <v>0.8226876052243689</v>
      </c>
      <c r="G23" s="200">
        <f>IF('Longueurs pennes (1-1)'!Q$87="",4.01,'Longueurs pennes (1-1)'!Q$87)</f>
        <v>2.4173526562442658</v>
      </c>
      <c r="H23" s="212"/>
      <c r="I23" s="133"/>
      <c r="J23" s="125"/>
      <c r="K23" s="141"/>
      <c r="L23" s="133"/>
      <c r="M23" s="201">
        <f>IF('Ouvertures pennes (MAX)'!Q$86="",100,'Ouvertures pennes (MAX)'!Q$85)</f>
        <v>70</v>
      </c>
      <c r="N23" s="200">
        <f>IF('Ouvertures pennes (MAX)'!Q$86="",0.45,'Ouvertures pennes (MAX)'!Q$86)</f>
        <v>1</v>
      </c>
      <c r="O23" s="200">
        <f>IF('Ouvertures pennes (MAX)'!Q$87="",0.05,'Ouvertures pennes (MAX)'!Q$87)</f>
        <v>1.3916111807544007E-2</v>
      </c>
      <c r="P23" s="148"/>
      <c r="Q23" s="133"/>
      <c r="R23" s="148"/>
      <c r="S23" s="133"/>
      <c r="T23" s="148"/>
      <c r="U23" s="133"/>
      <c r="V23" s="125"/>
      <c r="W23" s="141"/>
      <c r="X23" s="133"/>
      <c r="Y23" s="201">
        <f>IF('Hauteurs pennes (MAX)'!Q$86="",86.64,'Hauteurs pennes (MAX)'!Q$85)</f>
        <v>70</v>
      </c>
      <c r="Z23" s="200">
        <f>IF('Hauteurs pennes (MAX)'!$Q$86="",0.67,'Hauteurs pennes (MAX)'!$Q$86)</f>
        <v>1</v>
      </c>
      <c r="AA23" s="200">
        <f>IF('Hauteurs pennes (MAX)'!$Q$87="",0.04,'Hauteurs pennes (MAX)'!$Q$87)</f>
        <v>2.1783667519555431E-3</v>
      </c>
      <c r="AB23" s="148"/>
      <c r="AC23" s="133"/>
      <c r="AD23" s="148"/>
      <c r="AE23" s="133"/>
      <c r="AF23" s="148"/>
      <c r="AG23" s="133"/>
      <c r="AH23" s="125"/>
      <c r="AI23" s="161"/>
      <c r="AJ23" s="133"/>
      <c r="AK23" s="133"/>
      <c r="AL23" s="212"/>
      <c r="AM23" s="133"/>
      <c r="AN23" s="125"/>
      <c r="AO23" s="161"/>
      <c r="AP23" s="133"/>
      <c r="AQ23" s="133"/>
      <c r="AR23" s="133"/>
      <c r="AS23" s="125"/>
    </row>
    <row r="24" spans="1:45">
      <c r="A24" s="130">
        <v>12</v>
      </c>
      <c r="B24" s="125"/>
      <c r="C24" s="141"/>
      <c r="D24" s="142"/>
      <c r="E24" s="201">
        <f>IF('Longueurs pennes (1-1)'!R$86="",89.9,'Longueurs pennes (1-1)'!R$85)</f>
        <v>80</v>
      </c>
      <c r="F24" s="202">
        <f>IF('Longueurs pennes (1-1)'!R$86="",0.7,'Longueurs pennes (1-1)'!R$86)</f>
        <v>0.69915706601103023</v>
      </c>
      <c r="G24" s="202">
        <f>IF('Longueurs pennes (1-1)'!R$87="",4.67,'Longueurs pennes (1-1)'!R$87)</f>
        <v>2.8905373897002713</v>
      </c>
      <c r="H24" s="212"/>
      <c r="I24" s="143"/>
      <c r="J24" s="125"/>
      <c r="K24" s="141"/>
      <c r="L24" s="142"/>
      <c r="M24" s="201">
        <f>IF('Ouvertures pennes (MAX)'!R$86="","",'Ouvertures pennes (MAX)'!R$85)</f>
        <v>80</v>
      </c>
      <c r="N24" s="202">
        <f>IF('Ouvertures pennes (MAX)'!R$86="","",'Ouvertures pennes (MAX)'!R$86)</f>
        <v>0.97588525516237101</v>
      </c>
      <c r="O24" s="202">
        <f>IF('Ouvertures pennes (MAX)'!R$87="","",'Ouvertures pennes (MAX)'!R$87)</f>
        <v>1.5558477511444953E-2</v>
      </c>
      <c r="P24" s="148"/>
      <c r="Q24" s="150"/>
      <c r="R24" s="148"/>
      <c r="S24" s="150"/>
      <c r="T24" s="148"/>
      <c r="U24" s="150"/>
      <c r="V24" s="125"/>
      <c r="W24" s="141"/>
      <c r="X24" s="142"/>
      <c r="Y24" s="201">
        <f>IF('Hauteurs pennes (MAX)'!R$86="",88.32,'Hauteurs pennes (MAX)'!R$85)</f>
        <v>80</v>
      </c>
      <c r="Z24" s="202">
        <f>IF('Hauteurs pennes (MAX)'!$R$86="",0.65,'Hauteurs pennes (MAX)'!$R$86)</f>
        <v>0.94699217718002382</v>
      </c>
      <c r="AA24" s="202">
        <f>IF('Hauteurs pennes (MAX)'!$R$87="",0.08,'Hauteurs pennes (MAX)'!$R$87)</f>
        <v>2.3909160456668842E-3</v>
      </c>
      <c r="AB24" s="148"/>
      <c r="AC24" s="150"/>
      <c r="AD24" s="148"/>
      <c r="AE24" s="150"/>
      <c r="AF24" s="148"/>
      <c r="AG24" s="150"/>
      <c r="AH24" s="125"/>
      <c r="AI24" s="161"/>
      <c r="AJ24" s="163"/>
      <c r="AK24" s="163"/>
      <c r="AL24" s="212"/>
      <c r="AM24" s="143"/>
      <c r="AN24" s="125"/>
      <c r="AO24" s="161"/>
      <c r="AP24" s="150"/>
      <c r="AQ24" s="150"/>
      <c r="AR24" s="150"/>
      <c r="AS24" s="125"/>
    </row>
    <row r="25" spans="1:45">
      <c r="A25" s="130">
        <v>13</v>
      </c>
      <c r="B25" s="125"/>
      <c r="C25" s="141"/>
      <c r="D25" s="133"/>
      <c r="E25" s="201">
        <f>IF('Longueurs pennes (1-1)'!S$86="",100,'Longueurs pennes (1-1)'!S$85)</f>
        <v>90</v>
      </c>
      <c r="F25" s="200">
        <f>IF('Longueurs pennes (1-1)'!S$86="",0.71,'Longueurs pennes (1-1)'!S$86)</f>
        <v>0.56572403231011159</v>
      </c>
      <c r="G25" s="200">
        <f>IF('Longueurs pennes (1-1)'!S$87="",5.36,'Longueurs pennes (1-1)'!S$87)</f>
        <v>4.8815718009116198</v>
      </c>
      <c r="H25" s="212"/>
      <c r="I25" s="133"/>
      <c r="J25" s="125"/>
      <c r="K25" s="141"/>
      <c r="L25" s="133"/>
      <c r="M25" s="201">
        <f>IF('Ouvertures pennes (MAX)'!S$86="","",'Ouvertures pennes (MAX)'!S$85)</f>
        <v>90</v>
      </c>
      <c r="N25" s="200">
        <f>IF('Ouvertures pennes (MAX)'!S$86="","",'Ouvertures pennes (MAX)'!S$86)</f>
        <v>0.79330050133994234</v>
      </c>
      <c r="O25" s="200">
        <f>IF('Ouvertures pennes (MAX)'!S$87="","",'Ouvertures pennes (MAX)'!S$87)</f>
        <v>9.3752323298752042E-3</v>
      </c>
      <c r="P25" s="148"/>
      <c r="Q25" s="133"/>
      <c r="R25" s="148"/>
      <c r="S25" s="133"/>
      <c r="T25" s="148"/>
      <c r="U25" s="133"/>
      <c r="V25" s="125"/>
      <c r="W25" s="141"/>
      <c r="X25" s="133"/>
      <c r="Y25" s="201">
        <f>IF('Hauteurs pennes (MAX)'!S$86="",100,'Hauteurs pennes (MAX)'!S$85)</f>
        <v>90</v>
      </c>
      <c r="Z25" s="200">
        <f>IF('Hauteurs pennes (MAX)'!$S$86="",0.3,'Hauteurs pennes (MAX)'!$S$86)</f>
        <v>0.75175762452766159</v>
      </c>
      <c r="AA25" s="200">
        <f>IF('Hauteurs pennes (MAX)'!$S$87="",0.03,'Hauteurs pennes (MAX)'!$S$87)</f>
        <v>1.5113392708180624E-3</v>
      </c>
      <c r="AB25" s="148"/>
      <c r="AC25" s="133"/>
      <c r="AD25" s="148"/>
      <c r="AE25" s="133"/>
      <c r="AF25" s="148"/>
      <c r="AG25" s="133"/>
      <c r="AH25" s="125"/>
      <c r="AI25" s="161"/>
      <c r="AJ25" s="133"/>
      <c r="AK25" s="133"/>
      <c r="AL25" s="212"/>
      <c r="AM25" s="133"/>
      <c r="AN25" s="125"/>
      <c r="AO25" s="161"/>
      <c r="AP25" s="133"/>
      <c r="AQ25" s="133"/>
      <c r="AR25" s="133"/>
      <c r="AS25" s="125"/>
    </row>
    <row r="26" spans="1:45">
      <c r="A26" s="130">
        <v>14</v>
      </c>
      <c r="B26" s="125"/>
      <c r="C26" s="141"/>
      <c r="D26" s="142"/>
      <c r="E26" s="201">
        <f>IF('Longueurs pennes (1-1)'!T$86="","",'Longueurs pennes (1-1)'!T$85)</f>
        <v>97.737572490101769</v>
      </c>
      <c r="F26" s="202">
        <f>IF('Longueurs pennes (1-1)'!T$86="","",'Longueurs pennes (1-1)'!T$86)</f>
        <v>0.50475930338069419</v>
      </c>
      <c r="G26" s="202">
        <f>IF('Longueurs pennes (1-1)'!T$87="","",'Longueurs pennes (1-1)'!T$87)</f>
        <v>4.536132719804093</v>
      </c>
      <c r="H26" s="212"/>
      <c r="I26" s="143"/>
      <c r="J26" s="125"/>
      <c r="K26" s="141"/>
      <c r="L26" s="142"/>
      <c r="M26" s="201">
        <f>IF('Ouvertures pennes (MAX)'!T$86="","",'Ouvertures pennes (MAX)'!T$85)</f>
        <v>97.736572490101764</v>
      </c>
      <c r="N26" s="202">
        <f>IF('Ouvertures pennes (MAX)'!T$86="","",'Ouvertures pennes (MAX)'!T$86)</f>
        <v>0.69450689756235984</v>
      </c>
      <c r="O26" s="202">
        <f>IF('Ouvertures pennes (MAX)'!T$87="","",'Ouvertures pennes (MAX)'!T$87)</f>
        <v>0.22653266687873469</v>
      </c>
      <c r="P26" s="148"/>
      <c r="Q26" s="150"/>
      <c r="R26" s="148"/>
      <c r="S26" s="150"/>
      <c r="T26" s="148"/>
      <c r="U26" s="150"/>
      <c r="V26" s="125"/>
      <c r="W26" s="141"/>
      <c r="X26" s="142"/>
      <c r="Y26" s="201">
        <f>IF('Hauteurs pennes (MAX)'!T$86="","",'Hauteurs pennes (MAX)'!T$85)</f>
        <v>97.736572490101764</v>
      </c>
      <c r="Z26" s="202">
        <f>IF('Hauteurs pennes (MAX)'!$T$86="","",'Hauteurs pennes (MAX)'!$T$86)</f>
        <v>0.53643812476286767</v>
      </c>
      <c r="AA26" s="202">
        <f>IF('Hauteurs pennes (MAX)'!$T$87="","",'Hauteurs pennes (MAX)'!$T$87)</f>
        <v>0.11770374257491059</v>
      </c>
      <c r="AB26" s="148"/>
      <c r="AC26" s="150"/>
      <c r="AD26" s="148"/>
      <c r="AE26" s="150"/>
      <c r="AF26" s="148"/>
      <c r="AG26" s="150"/>
      <c r="AH26" s="125"/>
      <c r="AI26" s="161"/>
      <c r="AJ26" s="163"/>
      <c r="AK26" s="163"/>
      <c r="AL26" s="212"/>
      <c r="AM26" s="143"/>
      <c r="AN26" s="125"/>
      <c r="AO26" s="161"/>
      <c r="AP26" s="150"/>
      <c r="AQ26" s="150"/>
      <c r="AR26" s="150"/>
      <c r="AS26" s="125"/>
    </row>
    <row r="27" spans="1:45">
      <c r="A27" s="130">
        <v>15</v>
      </c>
      <c r="B27" s="125"/>
      <c r="C27" s="141"/>
      <c r="D27" s="133"/>
      <c r="E27" s="201">
        <f>IF('Longueurs pennes (1-1)'!U$86="","",'Longueurs pennes (1-1)'!U$85)</f>
        <v>98.475693898206984</v>
      </c>
      <c r="F27" s="200">
        <f>IF('Longueurs pennes (1-1)'!U$86="","",'Longueurs pennes (1-1)'!U$86)</f>
        <v>0.49349613420492838</v>
      </c>
      <c r="G27" s="200">
        <f>IF('Longueurs pennes (1-1)'!U$87="","",'Longueurs pennes (1-1)'!U$87)</f>
        <v>5.5390323109869284</v>
      </c>
      <c r="H27" s="212"/>
      <c r="I27" s="133"/>
      <c r="J27" s="125"/>
      <c r="K27" s="141"/>
      <c r="L27" s="133"/>
      <c r="M27" s="201">
        <f>IF('Ouvertures pennes (MAX)'!U$86="","",'Ouvertures pennes (MAX)'!U$85)</f>
        <v>98.474693898206965</v>
      </c>
      <c r="N27" s="200">
        <f>IF('Ouvertures pennes (MAX)'!U$86="","",'Ouvertures pennes (MAX)'!U$86)</f>
        <v>0.57818266096255277</v>
      </c>
      <c r="O27" s="200">
        <f>IF('Ouvertures pennes (MAX)'!U$87="","",'Ouvertures pennes (MAX)'!U$87)</f>
        <v>3.1625653570130634E-2</v>
      </c>
      <c r="P27" s="148"/>
      <c r="Q27" s="133"/>
      <c r="R27" s="148"/>
      <c r="S27" s="133"/>
      <c r="T27" s="148"/>
      <c r="U27" s="133"/>
      <c r="V27" s="125"/>
      <c r="W27" s="141"/>
      <c r="X27" s="133"/>
      <c r="Y27" s="201">
        <f>IF('Hauteurs pennes (MAX)'!U$86="","",'Hauteurs pennes (MAX)'!U$85)</f>
        <v>98.474693898206965</v>
      </c>
      <c r="Z27" s="200">
        <f>IF('Hauteurs pennes (MAX)'!$U$86="","",'Hauteurs pennes (MAX)'!$U$86)</f>
        <v>0.50651509038857168</v>
      </c>
      <c r="AA27" s="200">
        <f>IF('Hauteurs pennes (MAX)'!$U$87="","",'Hauteurs pennes (MAX)'!$U$87)</f>
        <v>0.13655802680325807</v>
      </c>
      <c r="AB27" s="148"/>
      <c r="AC27" s="133"/>
      <c r="AD27" s="148"/>
      <c r="AE27" s="133"/>
      <c r="AF27" s="148"/>
      <c r="AG27" s="133"/>
      <c r="AH27" s="125"/>
      <c r="AI27" s="161"/>
      <c r="AJ27" s="133"/>
      <c r="AK27" s="133"/>
      <c r="AL27" s="212"/>
      <c r="AM27" s="133"/>
      <c r="AN27" s="125"/>
      <c r="AO27" s="161"/>
      <c r="AP27" s="133"/>
      <c r="AQ27" s="133"/>
      <c r="AR27" s="133"/>
      <c r="AS27" s="125"/>
    </row>
    <row r="28" spans="1:45">
      <c r="A28" s="130">
        <v>16</v>
      </c>
      <c r="B28" s="125"/>
      <c r="C28" s="141"/>
      <c r="D28" s="142"/>
      <c r="E28" s="201">
        <f>IF('Longueurs pennes (1-1)'!V$86="","",'Longueurs pennes (1-1)'!V$85)</f>
        <v>99.116172061249358</v>
      </c>
      <c r="F28" s="202">
        <f>IF('Longueurs pennes (1-1)'!V$86="","",'Longueurs pennes (1-1)'!V$86)</f>
        <v>0.48232604907193727</v>
      </c>
      <c r="G28" s="202">
        <f>IF('Longueurs pennes (1-1)'!V$87="","",'Longueurs pennes (1-1)'!V$87)</f>
        <v>5.5161285851208941</v>
      </c>
      <c r="H28" s="212"/>
      <c r="I28" s="143"/>
      <c r="J28" s="125"/>
      <c r="K28" s="141"/>
      <c r="L28" s="142"/>
      <c r="M28" s="201">
        <f>IF('Ouvertures pennes (MAX)'!V$86="","",'Ouvertures pennes (MAX)'!V$85)</f>
        <v>99.115172061249353</v>
      </c>
      <c r="N28" s="202">
        <f>IF('Ouvertures pennes (MAX)'!V$86="","",'Ouvertures pennes (MAX)'!V$86)</f>
        <v>0.56871820938166773</v>
      </c>
      <c r="O28" s="202">
        <f>IF('Ouvertures pennes (MAX)'!V$87="","",'Ouvertures pennes (MAX)'!V$87)</f>
        <v>7.3221142451954963E-2</v>
      </c>
      <c r="P28" s="148"/>
      <c r="Q28" s="150"/>
      <c r="R28" s="148"/>
      <c r="S28" s="150"/>
      <c r="T28" s="148"/>
      <c r="U28" s="150"/>
      <c r="V28" s="125"/>
      <c r="W28" s="141"/>
      <c r="X28" s="142"/>
      <c r="Y28" s="201">
        <f>IF('Hauteurs pennes (MAX)'!V$86="","",'Hauteurs pennes (MAX)'!V$85)</f>
        <v>99.115172061249353</v>
      </c>
      <c r="Z28" s="202">
        <f>IF('Hauteurs pennes (MAX)'!$V$86="","",'Hauteurs pennes (MAX)'!$V$86)</f>
        <v>0.4944241374353272</v>
      </c>
      <c r="AA28" s="202">
        <f>IF('Hauteurs pennes (MAX)'!$V$87="","",'Hauteurs pennes (MAX)'!$V$87)</f>
        <v>0.1385605264689827</v>
      </c>
      <c r="AB28" s="148"/>
      <c r="AC28" s="150"/>
      <c r="AD28" s="148"/>
      <c r="AE28" s="150"/>
      <c r="AF28" s="148"/>
      <c r="AG28" s="150"/>
      <c r="AH28" s="125"/>
      <c r="AI28" s="161"/>
      <c r="AJ28" s="163"/>
      <c r="AK28" s="163"/>
      <c r="AL28" s="212"/>
      <c r="AM28" s="143"/>
      <c r="AN28" s="125"/>
      <c r="AO28" s="161"/>
      <c r="AP28" s="150"/>
      <c r="AQ28" s="150"/>
      <c r="AR28" s="150"/>
      <c r="AS28" s="125"/>
    </row>
    <row r="29" spans="1:45">
      <c r="A29" s="130">
        <v>17</v>
      </c>
      <c r="B29" s="125"/>
      <c r="C29" s="141"/>
      <c r="D29" s="133"/>
      <c r="E29" s="201">
        <f>IF('Longueurs pennes (1-1)'!W$86="","",'Longueurs pennes (1-1)'!W$85)</f>
        <v>99.666653482478281</v>
      </c>
      <c r="F29" s="200">
        <f>IF('Longueurs pennes (1-1)'!W$86="","",'Longueurs pennes (1-1)'!W$86)</f>
        <v>0.48964422786343265</v>
      </c>
      <c r="G29" s="200">
        <f>IF('Longueurs pennes (1-1)'!W$87="","",'Longueurs pennes (1-1)'!W$87)</f>
        <v>6.6686016248566853</v>
      </c>
      <c r="H29" s="212"/>
      <c r="I29" s="133"/>
      <c r="J29" s="125"/>
      <c r="K29" s="141"/>
      <c r="L29" s="133"/>
      <c r="M29" s="201">
        <f>IF('Ouvertures pennes (MAX)'!W$86="","",'Ouvertures pennes (MAX)'!W$85)</f>
        <v>99.665653482478291</v>
      </c>
      <c r="N29" s="200">
        <f>IF('Ouvertures pennes (MAX)'!W$86="","",'Ouvertures pennes (MAX)'!W$86)</f>
        <v>0.50177934390817547</v>
      </c>
      <c r="O29" s="200">
        <f>IF('Ouvertures pennes (MAX)'!W$87="","",'Ouvertures pennes (MAX)'!W$87)</f>
        <v>0.14558244022609065</v>
      </c>
      <c r="P29" s="148"/>
      <c r="Q29" s="133"/>
      <c r="R29" s="148"/>
      <c r="S29" s="133"/>
      <c r="T29" s="148"/>
      <c r="U29" s="133"/>
      <c r="V29" s="125"/>
      <c r="W29" s="141"/>
      <c r="X29" s="133"/>
      <c r="Y29" s="201">
        <f>IF('Hauteurs pennes (MAX)'!W$86="","",'Hauteurs pennes (MAX)'!W$85)</f>
        <v>99.665653482478291</v>
      </c>
      <c r="Z29" s="200">
        <f>IF('Hauteurs pennes (MAX)'!$W$86="","",'Hauteurs pennes (MAX)'!$W$86)</f>
        <v>0.44535553384278098</v>
      </c>
      <c r="AA29" s="200">
        <f>IF('Hauteurs pennes (MAX)'!$W$87="","",'Hauteurs pennes (MAX)'!$W$87)</f>
        <v>0.1089817045791867</v>
      </c>
      <c r="AB29" s="148"/>
      <c r="AC29" s="133"/>
      <c r="AD29" s="148"/>
      <c r="AE29" s="133"/>
      <c r="AF29" s="148"/>
      <c r="AG29" s="133"/>
      <c r="AH29" s="125"/>
      <c r="AI29" s="161"/>
      <c r="AJ29" s="133"/>
      <c r="AK29" s="133"/>
      <c r="AL29" s="212"/>
      <c r="AM29" s="133"/>
      <c r="AN29" s="125"/>
      <c r="AO29" s="161"/>
      <c r="AP29" s="133"/>
      <c r="AQ29" s="133"/>
      <c r="AR29" s="133"/>
      <c r="AS29" s="125"/>
    </row>
    <row r="30" spans="1:45">
      <c r="A30" s="130">
        <v>18</v>
      </c>
      <c r="B30" s="125"/>
      <c r="C30" s="141"/>
      <c r="D30" s="142"/>
      <c r="E30" s="201">
        <f>IF('Longueurs pennes (1-1)'!X$86="","",'Longueurs pennes (1-1)'!X$85)</f>
        <v>99.952573567634673</v>
      </c>
      <c r="F30" s="202">
        <f>IF('Longueurs pennes (1-1)'!X$86="","",'Longueurs pennes (1-1)'!X$86)</f>
        <v>0.5058763118939934</v>
      </c>
      <c r="G30" s="202">
        <f>IF('Longueurs pennes (1-1)'!X$87="","",'Longueurs pennes (1-1)'!X$87)</f>
        <v>7.9523954672008328</v>
      </c>
      <c r="H30" s="212"/>
      <c r="I30" s="143"/>
      <c r="J30" s="125"/>
      <c r="K30" s="141"/>
      <c r="L30" s="142"/>
      <c r="M30" s="201">
        <f>IF('Ouvertures pennes (MAX)'!X$86="","",'Ouvertures pennes (MAX)'!X$85)</f>
        <v>99.951573567634654</v>
      </c>
      <c r="N30" s="202">
        <f>IF('Ouvertures pennes (MAX)'!X$86="","",'Ouvertures pennes (MAX)'!X$86)</f>
        <v>0.42468832244650184</v>
      </c>
      <c r="O30" s="202">
        <f>IF('Ouvertures pennes (MAX)'!X$87="","",'Ouvertures pennes (MAX)'!X$87)</f>
        <v>0.14136568641673875</v>
      </c>
      <c r="P30" s="148"/>
      <c r="Q30" s="150"/>
      <c r="R30" s="148"/>
      <c r="S30" s="150"/>
      <c r="T30" s="148"/>
      <c r="U30" s="150"/>
      <c r="V30" s="125"/>
      <c r="W30" s="141"/>
      <c r="X30" s="142"/>
      <c r="Y30" s="201">
        <f>IF('Hauteurs pennes (MAX)'!X$86="","",'Hauteurs pennes (MAX)'!X$85)</f>
        <v>99.951573567634654</v>
      </c>
      <c r="Z30" s="202">
        <f>IF('Hauteurs pennes (MAX)'!$X$86="","",'Hauteurs pennes (MAX)'!$X$86)</f>
        <v>0.43826088293752108</v>
      </c>
      <c r="AA30" s="202">
        <f>IF('Hauteurs pennes (MAX)'!$X$87="","",'Hauteurs pennes (MAX)'!$X$87)</f>
        <v>8.0342942459178585E-2</v>
      </c>
      <c r="AB30" s="148"/>
      <c r="AC30" s="150"/>
      <c r="AD30" s="148"/>
      <c r="AE30" s="150"/>
      <c r="AF30" s="148"/>
      <c r="AG30" s="150"/>
      <c r="AH30" s="125"/>
      <c r="AI30" s="161"/>
      <c r="AJ30" s="163"/>
      <c r="AK30" s="163"/>
      <c r="AL30" s="212"/>
      <c r="AM30" s="143"/>
      <c r="AN30" s="125"/>
      <c r="AO30" s="161"/>
      <c r="AP30" s="150"/>
      <c r="AQ30" s="150"/>
      <c r="AR30" s="150"/>
      <c r="AS30" s="125"/>
    </row>
    <row r="31" spans="1:45">
      <c r="A31" s="130">
        <v>19</v>
      </c>
      <c r="B31" s="125"/>
      <c r="C31" s="141"/>
      <c r="D31" s="133"/>
      <c r="E31" s="171">
        <f>IF('Longueurs pennes (1-1)'!Y$86="","",'Longueurs pennes (1-1)'!Y$85)</f>
        <v>100</v>
      </c>
      <c r="F31" s="133">
        <f>IF('Longueurs pennes (1-1)'!Y$86="","",'Longueurs pennes (1-1)'!Y$86)</f>
        <v>0.53675805122794107</v>
      </c>
      <c r="G31" s="133">
        <f>IF('Longueurs pennes (1-1)'!Y$87="","",'Longueurs pennes (1-1)'!Y$87)</f>
        <v>9.8576178657507203</v>
      </c>
      <c r="H31" s="212"/>
      <c r="I31" s="133"/>
      <c r="J31" s="125"/>
      <c r="K31" s="141"/>
      <c r="L31" s="133"/>
      <c r="M31" s="201">
        <f>IF('Ouvertures pennes (MAX)'!Y$86="","",'Ouvertures pennes (MAX)'!Y$85)</f>
        <v>100</v>
      </c>
      <c r="N31" s="200">
        <f>IF('Ouvertures pennes (MAX)'!Y$86="","",'Ouvertures pennes (MAX)'!Y$86)</f>
        <v>0.29012288709222106</v>
      </c>
      <c r="O31" s="200">
        <f>IF('Ouvertures pennes (MAX)'!Y$87="","",'Ouvertures pennes (MAX)'!Y$87)</f>
        <v>0.2364653349358255</v>
      </c>
      <c r="P31" s="148"/>
      <c r="Q31" s="133"/>
      <c r="R31" s="148"/>
      <c r="S31" s="133"/>
      <c r="T31" s="148"/>
      <c r="U31" s="133"/>
      <c r="V31" s="125"/>
      <c r="W31" s="141"/>
      <c r="X31" s="133"/>
      <c r="Y31" s="201">
        <f>IF('Hauteurs pennes (MAX)'!Y$86="","",'Hauteurs pennes (MAX)'!Y$85)</f>
        <v>100</v>
      </c>
      <c r="Z31" s="200">
        <f>IF('Hauteurs pennes (MAX)'!$Y$86="","",'Hauteurs pennes (MAX)'!$Y$86)</f>
        <v>0.47499058617664147</v>
      </c>
      <c r="AA31" s="200">
        <f>IF('Hauteurs pennes (MAX)'!$Y$87="","",'Hauteurs pennes (MAX)'!$Y$87)</f>
        <v>0.20507549404361355</v>
      </c>
      <c r="AB31" s="148"/>
      <c r="AC31" s="133"/>
      <c r="AD31" s="148"/>
      <c r="AE31" s="133"/>
      <c r="AF31" s="148"/>
      <c r="AG31" s="133"/>
      <c r="AH31" s="125"/>
      <c r="AI31" s="161"/>
      <c r="AJ31" s="133"/>
      <c r="AK31" s="133"/>
      <c r="AL31" s="212"/>
      <c r="AM31" s="133"/>
      <c r="AN31" s="125"/>
      <c r="AO31" s="161"/>
      <c r="AP31" s="133"/>
      <c r="AQ31" s="133"/>
      <c r="AR31" s="133"/>
      <c r="AS31" s="125"/>
    </row>
    <row r="32" spans="1:45">
      <c r="A32" s="130">
        <v>20</v>
      </c>
      <c r="B32" s="125"/>
      <c r="C32" s="141"/>
      <c r="D32" s="142"/>
      <c r="E32" s="171"/>
      <c r="F32" s="163"/>
      <c r="G32" s="163"/>
      <c r="H32" s="212"/>
      <c r="I32" s="143"/>
      <c r="J32" s="125"/>
      <c r="K32" s="141"/>
      <c r="L32" s="142"/>
      <c r="M32" s="201"/>
      <c r="N32" s="202"/>
      <c r="O32" s="202"/>
      <c r="P32" s="148"/>
      <c r="Q32" s="150"/>
      <c r="R32" s="148"/>
      <c r="S32" s="150"/>
      <c r="T32" s="148"/>
      <c r="U32" s="150"/>
      <c r="V32" s="125"/>
      <c r="W32" s="141"/>
      <c r="X32" s="142"/>
      <c r="Y32" s="201"/>
      <c r="Z32" s="202"/>
      <c r="AA32" s="202"/>
      <c r="AB32" s="148"/>
      <c r="AC32" s="150"/>
      <c r="AD32" s="148"/>
      <c r="AE32" s="150"/>
      <c r="AF32" s="148"/>
      <c r="AG32" s="150"/>
      <c r="AH32" s="125"/>
      <c r="AI32" s="161"/>
      <c r="AJ32" s="163"/>
      <c r="AK32" s="163"/>
      <c r="AL32" s="212"/>
      <c r="AM32" s="143"/>
      <c r="AN32" s="125"/>
      <c r="AO32" s="161"/>
      <c r="AP32" s="150"/>
      <c r="AQ32" s="150"/>
      <c r="AR32" s="150"/>
      <c r="AS32" s="125"/>
    </row>
    <row r="33" spans="1:45">
      <c r="A33" s="130">
        <v>21</v>
      </c>
      <c r="B33" s="125"/>
      <c r="C33" s="141"/>
      <c r="D33" s="133"/>
      <c r="E33" s="171"/>
      <c r="F33" s="133"/>
      <c r="G33" s="133"/>
      <c r="H33" s="212"/>
      <c r="I33" s="133"/>
      <c r="J33" s="125"/>
      <c r="K33" s="141"/>
      <c r="L33" s="133"/>
      <c r="M33" s="201"/>
      <c r="N33" s="200"/>
      <c r="O33" s="200"/>
      <c r="P33" s="148"/>
      <c r="Q33" s="133"/>
      <c r="R33" s="148"/>
      <c r="S33" s="133"/>
      <c r="T33" s="148"/>
      <c r="U33" s="133"/>
      <c r="V33" s="125"/>
      <c r="W33" s="141"/>
      <c r="X33" s="133"/>
      <c r="Y33" s="201"/>
      <c r="Z33" s="200"/>
      <c r="AA33" s="200"/>
      <c r="AB33" s="148"/>
      <c r="AC33" s="133"/>
      <c r="AD33" s="148"/>
      <c r="AE33" s="133"/>
      <c r="AF33" s="148"/>
      <c r="AG33" s="133"/>
      <c r="AH33" s="125"/>
      <c r="AI33" s="161"/>
      <c r="AJ33" s="133"/>
      <c r="AK33" s="133"/>
      <c r="AL33" s="212"/>
      <c r="AM33" s="133"/>
      <c r="AN33" s="125"/>
      <c r="AO33" s="161"/>
      <c r="AP33" s="133"/>
      <c r="AQ33" s="133"/>
      <c r="AR33" s="133"/>
      <c r="AS33" s="125"/>
    </row>
    <row r="34" spans="1:45">
      <c r="A34" s="130">
        <v>22</v>
      </c>
      <c r="B34" s="125"/>
      <c r="C34" s="141"/>
      <c r="D34" s="142"/>
      <c r="E34" s="171"/>
      <c r="F34" s="163"/>
      <c r="G34" s="163"/>
      <c r="H34" s="212"/>
      <c r="I34" s="143"/>
      <c r="J34" s="125"/>
      <c r="K34" s="141"/>
      <c r="L34" s="142"/>
      <c r="M34" s="267"/>
      <c r="N34" s="107"/>
      <c r="O34" s="107"/>
      <c r="P34" s="148"/>
      <c r="Q34" s="150"/>
      <c r="R34" s="148"/>
      <c r="S34" s="150"/>
      <c r="T34" s="148"/>
      <c r="U34" s="150"/>
      <c r="V34" s="125"/>
      <c r="W34" s="141"/>
      <c r="X34" s="142"/>
      <c r="Y34" s="267"/>
      <c r="Z34" s="107"/>
      <c r="AA34" s="107"/>
      <c r="AB34" s="148"/>
      <c r="AC34" s="150"/>
      <c r="AD34" s="148"/>
      <c r="AE34" s="150"/>
      <c r="AF34" s="148"/>
      <c r="AG34" s="150"/>
      <c r="AH34" s="125"/>
      <c r="AI34" s="161"/>
      <c r="AJ34" s="163"/>
      <c r="AK34" s="163"/>
      <c r="AL34" s="212"/>
      <c r="AM34" s="143"/>
      <c r="AN34" s="125"/>
      <c r="AO34" s="161"/>
      <c r="AP34" s="150"/>
      <c r="AQ34" s="150"/>
      <c r="AR34" s="150"/>
      <c r="AS34" s="125"/>
    </row>
    <row r="35" spans="1:45">
      <c r="A35" s="130">
        <v>23</v>
      </c>
      <c r="B35" s="125"/>
      <c r="C35" s="141"/>
      <c r="D35" s="133"/>
      <c r="E35" s="171"/>
      <c r="F35" s="133"/>
      <c r="G35" s="133"/>
      <c r="H35" s="212"/>
      <c r="I35" s="133"/>
      <c r="J35" s="125"/>
      <c r="K35" s="141"/>
      <c r="L35" s="133"/>
      <c r="M35" s="267"/>
      <c r="N35" s="105"/>
      <c r="O35" s="105"/>
      <c r="P35" s="148"/>
      <c r="Q35" s="133"/>
      <c r="R35" s="148"/>
      <c r="S35" s="133"/>
      <c r="T35" s="148"/>
      <c r="U35" s="133"/>
      <c r="V35" s="125"/>
      <c r="W35" s="141"/>
      <c r="X35" s="133"/>
      <c r="Y35" s="267"/>
      <c r="Z35" s="105"/>
      <c r="AA35" s="105"/>
      <c r="AB35" s="148"/>
      <c r="AC35" s="133"/>
      <c r="AD35" s="148"/>
      <c r="AE35" s="133"/>
      <c r="AF35" s="148"/>
      <c r="AG35" s="133"/>
      <c r="AH35" s="125"/>
      <c r="AI35" s="161"/>
      <c r="AJ35" s="133"/>
      <c r="AK35" s="133"/>
      <c r="AL35" s="212"/>
      <c r="AM35" s="133"/>
      <c r="AN35" s="125"/>
      <c r="AO35" s="161"/>
      <c r="AP35" s="133"/>
      <c r="AQ35" s="133"/>
      <c r="AR35" s="133"/>
      <c r="AS35" s="125"/>
    </row>
    <row r="36" spans="1:45">
      <c r="A36" s="130">
        <v>24</v>
      </c>
      <c r="B36" s="125"/>
      <c r="C36" s="141"/>
      <c r="D36" s="142"/>
      <c r="E36" s="171"/>
      <c r="F36" s="163"/>
      <c r="G36" s="163"/>
      <c r="H36" s="212"/>
      <c r="I36" s="143"/>
      <c r="J36" s="125"/>
      <c r="K36" s="141"/>
      <c r="L36" s="142"/>
      <c r="M36" s="267"/>
      <c r="N36" s="107"/>
      <c r="O36" s="107"/>
      <c r="P36" s="148"/>
      <c r="Q36" s="150"/>
      <c r="R36" s="148"/>
      <c r="S36" s="150"/>
      <c r="T36" s="148"/>
      <c r="U36" s="150"/>
      <c r="V36" s="125"/>
      <c r="W36" s="141"/>
      <c r="X36" s="142"/>
      <c r="Y36" s="171"/>
      <c r="Z36" s="163"/>
      <c r="AA36" s="163"/>
      <c r="AB36" s="148"/>
      <c r="AC36" s="150"/>
      <c r="AD36" s="148"/>
      <c r="AE36" s="150"/>
      <c r="AF36" s="148"/>
      <c r="AG36" s="150"/>
      <c r="AH36" s="125"/>
      <c r="AI36" s="161"/>
      <c r="AJ36" s="163"/>
      <c r="AK36" s="163"/>
      <c r="AL36" s="212"/>
      <c r="AM36" s="143"/>
      <c r="AN36" s="125"/>
      <c r="AO36" s="161"/>
      <c r="AP36" s="150"/>
      <c r="AQ36" s="150"/>
      <c r="AR36" s="150"/>
      <c r="AS36" s="125"/>
    </row>
    <row r="37" spans="1:45">
      <c r="A37" s="130">
        <v>25</v>
      </c>
      <c r="B37" s="125"/>
      <c r="C37" s="141"/>
      <c r="D37" s="133"/>
      <c r="E37" s="171"/>
      <c r="F37" s="133"/>
      <c r="G37" s="133"/>
      <c r="H37" s="212"/>
      <c r="I37" s="133"/>
      <c r="J37" s="125"/>
      <c r="K37" s="141"/>
      <c r="L37" s="133"/>
      <c r="M37" s="171"/>
      <c r="N37" s="133"/>
      <c r="O37" s="133"/>
      <c r="P37" s="148"/>
      <c r="Q37" s="133"/>
      <c r="R37" s="148"/>
      <c r="S37" s="133"/>
      <c r="T37" s="148"/>
      <c r="U37" s="133"/>
      <c r="V37" s="125"/>
      <c r="W37" s="141"/>
      <c r="X37" s="133"/>
      <c r="Y37" s="171"/>
      <c r="Z37" s="133"/>
      <c r="AA37" s="133"/>
      <c r="AB37" s="148"/>
      <c r="AC37" s="133"/>
      <c r="AD37" s="148"/>
      <c r="AE37" s="133"/>
      <c r="AF37" s="148"/>
      <c r="AG37" s="133"/>
      <c r="AH37" s="125"/>
      <c r="AI37" s="172"/>
      <c r="AJ37" s="173"/>
      <c r="AK37" s="173"/>
      <c r="AL37" s="212"/>
      <c r="AM37" s="133"/>
      <c r="AN37" s="125"/>
      <c r="AO37" s="172"/>
      <c r="AP37" s="133"/>
      <c r="AQ37" s="133"/>
      <c r="AR37" s="133"/>
      <c r="AS37" s="125"/>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326" t="s">
        <v>507</v>
      </c>
      <c r="AJ38" s="269"/>
      <c r="AK38" s="326" t="s">
        <v>508</v>
      </c>
      <c r="AL38" s="269"/>
      <c r="AM38" s="269"/>
      <c r="AN38" s="125"/>
      <c r="AO38" s="125"/>
      <c r="AP38" s="125"/>
      <c r="AQ38" s="125"/>
      <c r="AR38" s="125"/>
      <c r="AS38" s="125"/>
    </row>
    <row r="39" spans="1:45">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row>
    <row r="41" spans="1:45">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row>
    <row r="42" spans="1:45">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row>
    <row r="48" spans="1:45">
      <c r="A48" s="125"/>
      <c r="B48" s="125"/>
      <c r="C48" s="125"/>
      <c r="D48" s="125"/>
      <c r="E48" s="125"/>
      <c r="F48" s="125"/>
      <c r="G48" s="125"/>
      <c r="H48" s="125"/>
      <c r="I48" s="125"/>
      <c r="J48" s="125"/>
      <c r="K48" s="325" t="s">
        <v>524</v>
      </c>
      <c r="L48" s="174">
        <f>MAX(L13:L37)</f>
        <v>2.6550767173058456</v>
      </c>
      <c r="M48" s="325" t="s">
        <v>524</v>
      </c>
      <c r="N48" s="174">
        <f>L48*MAX(N13:N37)</f>
        <v>2.6550767173058456</v>
      </c>
      <c r="O48" s="125"/>
      <c r="P48" s="125"/>
      <c r="Q48" s="125"/>
      <c r="R48" s="325" t="s">
        <v>524</v>
      </c>
      <c r="S48" s="174">
        <f>L48*MAX(N13:N37)*MAX(S13:S37)</f>
        <v>2.6550767173058456</v>
      </c>
      <c r="T48" s="125"/>
      <c r="U48" s="125"/>
      <c r="V48" s="125"/>
      <c r="W48" s="325" t="s">
        <v>524</v>
      </c>
      <c r="X48" s="174">
        <f>MAX(X13:X37)</f>
        <v>1.3406842023767778</v>
      </c>
      <c r="Y48" s="325" t="s">
        <v>524</v>
      </c>
      <c r="Z48" s="174">
        <f>X48*MAX(Z13:Z37)</f>
        <v>1.3406842023767778</v>
      </c>
      <c r="AA48" s="125"/>
      <c r="AB48" s="125"/>
      <c r="AC48" s="125"/>
      <c r="AD48" s="325" t="s">
        <v>524</v>
      </c>
      <c r="AE48" s="174">
        <f>X48*MAX(Z13:Z37)*MAX(AE13:AE37)</f>
        <v>1.3406842023767778</v>
      </c>
      <c r="AF48" s="125"/>
      <c r="AG48" s="125"/>
      <c r="AH48" s="125"/>
      <c r="AI48" s="125"/>
      <c r="AJ48" s="125"/>
      <c r="AK48" s="125"/>
      <c r="AL48" s="125"/>
      <c r="AM48" s="125"/>
      <c r="AN48" s="125"/>
      <c r="AO48" s="125"/>
      <c r="AP48" s="125"/>
      <c r="AQ48" s="125"/>
      <c r="AR48" s="125"/>
      <c r="AS48" s="125"/>
    </row>
    <row r="49" spans="1:45">
      <c r="A49" s="125"/>
      <c r="B49" s="125"/>
      <c r="C49" s="125"/>
      <c r="D49" s="125"/>
      <c r="E49" s="125"/>
      <c r="F49" s="125"/>
      <c r="G49" s="125"/>
      <c r="H49" s="125"/>
      <c r="I49" s="125"/>
      <c r="J49" s="125"/>
      <c r="K49" s="125"/>
      <c r="L49" s="125"/>
      <c r="M49" s="175" t="s">
        <v>525</v>
      </c>
      <c r="N49" s="176">
        <f>L48*MIN(N13:N37)</f>
        <v>0.16050236105780979</v>
      </c>
      <c r="O49" s="125"/>
      <c r="P49" s="125"/>
      <c r="Q49" s="125"/>
      <c r="R49" s="175" t="s">
        <v>525</v>
      </c>
      <c r="S49" s="176">
        <f>L48*MIN(N13:N37)*MIN(S13:S37)</f>
        <v>1.605023610578098E-3</v>
      </c>
      <c r="T49" s="125"/>
      <c r="U49" s="125"/>
      <c r="V49" s="125"/>
      <c r="W49" s="125"/>
      <c r="X49" s="125"/>
      <c r="Y49" s="175" t="s">
        <v>525</v>
      </c>
      <c r="Z49" s="176">
        <f>X48*MIN(Z13:Z37)</f>
        <v>0.27145225515651483</v>
      </c>
      <c r="AA49" s="125"/>
      <c r="AB49" s="125"/>
      <c r="AC49" s="125"/>
      <c r="AD49" s="175" t="s">
        <v>525</v>
      </c>
      <c r="AE49" s="176">
        <f>X48*MIN(Z13:Z37)*MIN(AE13:AE37)</f>
        <v>1.0858090206260593E-3</v>
      </c>
      <c r="AF49" s="125"/>
      <c r="AG49" s="125"/>
      <c r="AH49" s="125"/>
      <c r="AI49" s="125"/>
      <c r="AJ49" s="125"/>
      <c r="AK49" s="125"/>
      <c r="AL49" s="125"/>
      <c r="AM49" s="125"/>
      <c r="AN49" s="125"/>
      <c r="AO49" s="125"/>
      <c r="AP49" s="125"/>
      <c r="AQ49" s="125"/>
      <c r="AR49" s="125"/>
      <c r="AS49" s="125"/>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t="s">
        <v>526</v>
      </c>
      <c r="AB50" s="125"/>
      <c r="AC50" s="125"/>
      <c r="AD50" s="125"/>
      <c r="AE50" s="125"/>
      <c r="AF50" s="125"/>
      <c r="AG50" s="125"/>
      <c r="AH50" s="125"/>
      <c r="AI50" s="125"/>
      <c r="AJ50" s="125"/>
      <c r="AK50" s="125"/>
      <c r="AL50" s="125"/>
      <c r="AM50" s="125"/>
      <c r="AN50" s="125"/>
      <c r="AO50" s="125"/>
      <c r="AP50" s="125"/>
      <c r="AQ50" s="125"/>
      <c r="AR50" s="125"/>
      <c r="AS50" s="125"/>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row>
  </sheetData>
  <sheetProtection selectLockedCells="1"/>
  <mergeCells count="29">
    <mergeCell ref="AO4:AR4"/>
    <mergeCell ref="AO5:AR5"/>
    <mergeCell ref="AO6:AR6"/>
    <mergeCell ref="C4:I4"/>
    <mergeCell ref="C5:I5"/>
    <mergeCell ref="AI5:AM5"/>
    <mergeCell ref="W5:AG5"/>
    <mergeCell ref="AI4:AM4"/>
    <mergeCell ref="K4:U4"/>
    <mergeCell ref="W4:AG4"/>
    <mergeCell ref="K5:U5"/>
    <mergeCell ref="F6:G6"/>
    <mergeCell ref="AJ6:AK6"/>
    <mergeCell ref="Q6:U6"/>
    <mergeCell ref="AC6:AG6"/>
    <mergeCell ref="N6:O6"/>
    <mergeCell ref="C11:G11"/>
    <mergeCell ref="AL11:AM11"/>
    <mergeCell ref="AI11:AK11"/>
    <mergeCell ref="Z6:AA6"/>
    <mergeCell ref="C7:I7"/>
    <mergeCell ref="K7:P7"/>
    <mergeCell ref="W7:AB7"/>
    <mergeCell ref="AI7:AM7"/>
    <mergeCell ref="AO7:AR7"/>
    <mergeCell ref="AO11:AQ11"/>
    <mergeCell ref="K11:U11"/>
    <mergeCell ref="W11:AG11"/>
    <mergeCell ref="H11:I11"/>
  </mergeCells>
  <hyperlinks>
    <hyperlink ref="A1" location="IGAP!A1" display="IGAP!A1"/>
  </hyperlink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102"/>
  <sheetViews>
    <sheetView topLeftCell="A19" workbookViewId="0">
      <selection activeCell="H26" sqref="H26:I27"/>
    </sheetView>
  </sheetViews>
  <sheetFormatPr baseColWidth="10" defaultRowHeight="12.75"/>
  <cols>
    <col min="11" max="11" width="12.28515625" customWidth="1"/>
    <col min="13" max="14" width="10.7109375" customWidth="1"/>
    <col min="15" max="26" width="5.7109375" customWidth="1"/>
    <col min="27" max="27" width="10.7109375" customWidth="1"/>
  </cols>
  <sheetData>
    <row r="1" spans="1:26" ht="18">
      <c r="A1" s="1228" t="s">
        <v>1101</v>
      </c>
      <c r="B1" s="1228"/>
      <c r="C1" s="345"/>
      <c r="D1" s="345"/>
      <c r="E1" s="345"/>
      <c r="F1" s="345"/>
      <c r="G1" s="1249">
        <f>IF('Stipe=phyllotaxie&amp;croissance'!E9&gt;0,'Stipe=phyllotaxie&amp;croissance'!E9,"")</f>
        <v>40826</v>
      </c>
      <c r="H1" s="1249"/>
      <c r="I1" s="345"/>
      <c r="J1" s="345"/>
      <c r="K1" s="345"/>
      <c r="L1" s="345"/>
      <c r="M1" s="345"/>
      <c r="N1" s="345"/>
      <c r="O1" s="345"/>
      <c r="P1" s="345"/>
      <c r="Q1" s="345"/>
    </row>
    <row r="2" spans="1:26" ht="18">
      <c r="A2" s="346"/>
      <c r="B2" s="346"/>
      <c r="C2" s="345"/>
      <c r="D2" s="345"/>
      <c r="E2" s="345"/>
      <c r="F2" s="345"/>
      <c r="G2" s="345"/>
      <c r="H2" s="345"/>
      <c r="I2" s="345"/>
      <c r="J2" s="345"/>
      <c r="K2" s="345"/>
      <c r="L2" s="345"/>
      <c r="M2" s="345"/>
      <c r="N2" s="345"/>
      <c r="O2" s="345"/>
      <c r="P2" s="345"/>
      <c r="Q2" s="345"/>
    </row>
    <row r="3" spans="1:26" ht="15.75">
      <c r="A3" s="1250" t="s">
        <v>1102</v>
      </c>
      <c r="B3" s="1250"/>
      <c r="C3" s="1250"/>
      <c r="D3" s="1251" t="str">
        <f>IF(E11="","",E11)</f>
        <v>Rochdi</v>
      </c>
      <c r="E3" s="1251"/>
      <c r="F3" s="1252" t="s">
        <v>1103</v>
      </c>
      <c r="G3" s="1252"/>
      <c r="H3" s="347" t="str">
        <f>IF(E10="","",E10)</f>
        <v>01</v>
      </c>
      <c r="I3" s="348"/>
      <c r="J3" s="345"/>
      <c r="K3" s="345"/>
      <c r="L3" s="345"/>
      <c r="M3" s="345"/>
      <c r="N3" s="345"/>
      <c r="O3" s="345"/>
      <c r="P3" s="345"/>
      <c r="Q3" s="345"/>
    </row>
    <row r="4" spans="1:26" ht="16.5" thickBot="1">
      <c r="A4" s="349"/>
      <c r="B4" s="349"/>
      <c r="C4" s="349"/>
      <c r="D4" s="350"/>
      <c r="E4" s="350"/>
      <c r="F4" s="351"/>
      <c r="G4" s="351"/>
      <c r="H4" s="350"/>
      <c r="I4" s="345"/>
      <c r="J4" s="345"/>
      <c r="K4" s="345"/>
      <c r="L4" s="345"/>
      <c r="M4" s="345"/>
      <c r="N4" s="345"/>
      <c r="O4" s="345"/>
      <c r="P4" s="345"/>
      <c r="Q4" s="345"/>
    </row>
    <row r="5" spans="1:26" ht="29.25" customHeight="1" thickBot="1">
      <c r="A5" s="1250" t="s">
        <v>1104</v>
      </c>
      <c r="B5" s="1250"/>
      <c r="C5" s="1250"/>
      <c r="D5" s="1253" t="s">
        <v>1374</v>
      </c>
      <c r="E5" s="1254"/>
      <c r="F5" s="1254"/>
      <c r="G5" s="1255"/>
      <c r="H5" s="1252" t="s">
        <v>1105</v>
      </c>
      <c r="I5" s="1252"/>
      <c r="J5" s="1252"/>
      <c r="K5" s="352">
        <v>1</v>
      </c>
      <c r="L5" s="345"/>
      <c r="M5" s="345"/>
      <c r="N5" s="345"/>
      <c r="O5" s="345"/>
      <c r="P5" s="345"/>
      <c r="Q5" s="345"/>
    </row>
    <row r="6" spans="1:26">
      <c r="A6" s="345"/>
      <c r="B6" s="345"/>
      <c r="C6" s="345"/>
      <c r="D6" s="345"/>
      <c r="E6" s="345"/>
      <c r="F6" s="345"/>
      <c r="G6" s="345"/>
      <c r="H6" s="345"/>
      <c r="I6" s="345"/>
      <c r="J6" s="345"/>
      <c r="K6" s="345"/>
      <c r="L6" s="345"/>
      <c r="M6" s="345"/>
      <c r="N6" s="345"/>
      <c r="O6" s="345"/>
      <c r="P6" s="345"/>
      <c r="Q6" s="345"/>
    </row>
    <row r="7" spans="1:26" ht="30.75" customHeight="1" thickBot="1">
      <c r="A7" s="345"/>
      <c r="B7" s="1229" t="s">
        <v>1106</v>
      </c>
      <c r="C7" s="1229"/>
      <c r="D7" s="1229"/>
      <c r="E7" s="1229"/>
      <c r="F7" s="1229"/>
      <c r="G7" s="1229"/>
      <c r="H7" s="1229"/>
      <c r="I7" s="345"/>
      <c r="J7" s="345"/>
      <c r="K7" s="345"/>
      <c r="L7" s="345"/>
      <c r="M7" s="345"/>
      <c r="N7" s="345"/>
      <c r="O7" s="345"/>
      <c r="P7" s="345"/>
      <c r="Q7" s="345"/>
    </row>
    <row r="8" spans="1:26" ht="30" customHeight="1" thickBot="1">
      <c r="A8" s="345"/>
      <c r="B8" s="345"/>
      <c r="C8" s="345"/>
      <c r="D8" s="345"/>
      <c r="E8" s="345"/>
      <c r="F8" s="345"/>
      <c r="G8" s="345"/>
      <c r="H8" s="1240" t="s">
        <v>1355</v>
      </c>
      <c r="I8" s="1241"/>
      <c r="J8" s="1241"/>
      <c r="K8" s="1242"/>
      <c r="L8" s="1292">
        <v>1</v>
      </c>
      <c r="M8" s="345"/>
      <c r="N8" s="345"/>
      <c r="O8" s="345"/>
      <c r="P8" s="345"/>
      <c r="Q8" s="345"/>
    </row>
    <row r="9" spans="1:26" ht="31.5" customHeight="1" thickBot="1">
      <c r="A9" s="345"/>
      <c r="B9" s="1230" t="s">
        <v>1107</v>
      </c>
      <c r="C9" s="1231"/>
      <c r="D9" s="1232"/>
      <c r="E9" s="1233">
        <v>40826</v>
      </c>
      <c r="F9" s="1234"/>
      <c r="G9" s="345"/>
      <c r="H9" s="1243"/>
      <c r="I9" s="1244"/>
      <c r="J9" s="1244"/>
      <c r="K9" s="1245"/>
      <c r="L9" s="1293"/>
      <c r="M9" s="345"/>
      <c r="N9" s="345"/>
      <c r="O9" s="345"/>
      <c r="P9" s="345"/>
      <c r="Q9" s="345"/>
    </row>
    <row r="10" spans="1:26" ht="31.5" customHeight="1" thickBot="1">
      <c r="A10" s="345"/>
      <c r="B10" s="1235" t="s">
        <v>1108</v>
      </c>
      <c r="C10" s="1236"/>
      <c r="D10" s="1237"/>
      <c r="E10" s="1238" t="s">
        <v>1375</v>
      </c>
      <c r="F10" s="1239"/>
      <c r="G10" s="345"/>
      <c r="H10" s="1246"/>
      <c r="I10" s="1247"/>
      <c r="J10" s="1247"/>
      <c r="K10" s="1248"/>
      <c r="L10" s="1294"/>
      <c r="M10" s="345"/>
      <c r="N10" s="345"/>
      <c r="O10" s="345"/>
      <c r="P10" s="345"/>
      <c r="Q10" s="345"/>
    </row>
    <row r="11" spans="1:26" ht="31.5" customHeight="1" thickBot="1">
      <c r="A11" s="345"/>
      <c r="B11" s="1202" t="s">
        <v>1102</v>
      </c>
      <c r="C11" s="1203"/>
      <c r="D11" s="1204"/>
      <c r="E11" s="1218" t="s">
        <v>1376</v>
      </c>
      <c r="F11" s="1219"/>
      <c r="G11" s="345"/>
      <c r="H11" s="345"/>
      <c r="I11" s="345"/>
      <c r="J11" s="345"/>
      <c r="K11" s="345"/>
      <c r="L11" s="345"/>
      <c r="M11" s="345"/>
      <c r="N11" s="345"/>
      <c r="O11" s="345"/>
      <c r="P11" s="345"/>
      <c r="Q11" s="345"/>
    </row>
    <row r="12" spans="1:26" ht="31.5" customHeight="1">
      <c r="A12" s="345"/>
      <c r="B12" s="1301" t="s">
        <v>1109</v>
      </c>
      <c r="C12" s="1302"/>
      <c r="D12" s="1303"/>
      <c r="E12" s="1304">
        <v>1</v>
      </c>
      <c r="F12" s="1305"/>
      <c r="G12" s="345"/>
      <c r="H12" s="1220" t="s">
        <v>1114</v>
      </c>
      <c r="I12" s="1221"/>
      <c r="J12" s="1221"/>
      <c r="K12" s="1222"/>
      <c r="L12" s="353">
        <v>2</v>
      </c>
      <c r="M12" s="345"/>
      <c r="N12" s="345"/>
      <c r="O12" s="345"/>
      <c r="P12" s="345"/>
      <c r="Q12" s="345"/>
    </row>
    <row r="13" spans="1:26" ht="31.5" customHeight="1">
      <c r="A13" s="345"/>
      <c r="B13" s="1205" t="s">
        <v>1110</v>
      </c>
      <c r="C13" s="1206"/>
      <c r="D13" s="1207"/>
      <c r="E13" s="1306">
        <v>3</v>
      </c>
      <c r="F13" s="1307"/>
      <c r="G13" s="345"/>
      <c r="H13" s="1295" t="s">
        <v>1116</v>
      </c>
      <c r="I13" s="1296"/>
      <c r="J13" s="1296"/>
      <c r="K13" s="1297"/>
      <c r="L13" s="354">
        <v>4</v>
      </c>
      <c r="M13" s="345"/>
      <c r="N13" s="345"/>
      <c r="O13" s="345"/>
      <c r="P13" s="345"/>
      <c r="Q13" s="345"/>
    </row>
    <row r="14" spans="1:26" ht="31.5" customHeight="1" thickBot="1">
      <c r="A14" s="345"/>
      <c r="B14" s="1205" t="s">
        <v>1111</v>
      </c>
      <c r="C14" s="1206"/>
      <c r="D14" s="1207"/>
      <c r="E14" s="1306">
        <v>95</v>
      </c>
      <c r="F14" s="1307"/>
      <c r="G14" s="345"/>
      <c r="H14" s="1298" t="s">
        <v>1117</v>
      </c>
      <c r="I14" s="1299"/>
      <c r="J14" s="1299"/>
      <c r="K14" s="1300"/>
      <c r="L14" s="355">
        <v>7</v>
      </c>
      <c r="M14" s="345"/>
      <c r="N14" s="345"/>
      <c r="O14" s="345">
        <v>20</v>
      </c>
      <c r="P14" s="345">
        <f>IF(L12="","",L12)</f>
        <v>2</v>
      </c>
      <c r="Q14">
        <f>IF(P14="","",ROUND(P14*8,0))</f>
        <v>16</v>
      </c>
      <c r="R14" s="345">
        <f>IF(L15="","",L15)</f>
        <v>170</v>
      </c>
      <c r="S14">
        <f>IF(P14="","",RANK(O14,O$14:O$17,1))</f>
        <v>1</v>
      </c>
      <c r="U14">
        <v>1</v>
      </c>
      <c r="V14">
        <f>IF(SUMIF(S$14:S$18,U14,O$14:O$18)=0,"",SUMIF(S$14:S$18,U14,O$14:O$18))</f>
        <v>20</v>
      </c>
      <c r="W14">
        <f ca="1">IF(SUMIF(S$14:S$178,U14,P$14:P$18)=0,"",SUMIF(S$14:S$178,U14,P$14:P$18))</f>
        <v>2</v>
      </c>
      <c r="X14">
        <f ca="1">IF(W14="","",ROUND(W14*8,0))</f>
        <v>16</v>
      </c>
      <c r="Y14">
        <f>IF(SUMIF(S$14:S$17,U14,R$14:R$17)=0,"",SUMIF(S$14:S$17,U14,R$14:R$17)/PI())</f>
        <v>54.112680651244418</v>
      </c>
      <c r="Z14">
        <f ca="1">IF(X14="","",IF(X14=0,"",V14/X14))</f>
        <v>1.25</v>
      </c>
    </row>
    <row r="15" spans="1:26" ht="31.5" customHeight="1" thickBot="1">
      <c r="A15" s="345"/>
      <c r="B15" s="1308" t="s">
        <v>1112</v>
      </c>
      <c r="C15" s="1309"/>
      <c r="D15" s="1310"/>
      <c r="E15" s="1311">
        <v>4</v>
      </c>
      <c r="F15" s="1312"/>
      <c r="G15" s="345"/>
      <c r="H15" s="1220" t="s">
        <v>1119</v>
      </c>
      <c r="I15" s="1221"/>
      <c r="J15" s="1221"/>
      <c r="K15" s="1222"/>
      <c r="L15" s="353">
        <v>170</v>
      </c>
      <c r="M15" s="345"/>
      <c r="N15" s="345"/>
      <c r="O15" s="345">
        <v>50</v>
      </c>
      <c r="P15" s="345">
        <f>IF(L13="","",L13)</f>
        <v>4</v>
      </c>
      <c r="Q15">
        <f>IF(P15="","",ROUND(P15*8,0))</f>
        <v>32</v>
      </c>
      <c r="R15" s="345">
        <f>IF(L16="","",L16)</f>
        <v>187</v>
      </c>
      <c r="S15">
        <f>IF(P15="","",RANK(O15,O$14:O$17,1))</f>
        <v>2</v>
      </c>
      <c r="U15">
        <v>2</v>
      </c>
      <c r="V15">
        <f>IF(SUMIF(S$14:S$18,U15,O$14:O$18)=0,"",SUMIF(S$14:S$18,U15,O$14:O$18))</f>
        <v>50</v>
      </c>
      <c r="W15">
        <f ca="1">IF(SUMIF(S$14:S$178,U15,P$14:P$18)=0,"",SUMIF(S$14:S$178,U15,P$14:P$18))</f>
        <v>4</v>
      </c>
      <c r="X15">
        <f ca="1">IF(W15="","",ROUND(W15*8,0))</f>
        <v>32</v>
      </c>
      <c r="Y15">
        <f>IF(SUMIF(S$14:S$17,U15,R$14:R$17)=0,"",SUMIF(S$14:S$17,U15,R$14:R$17)/PI())</f>
        <v>59.523948716368857</v>
      </c>
      <c r="Z15">
        <f ca="1">IF(X14="","",IF(X14=0,"",(V15-V14)/(X15-X14)))</f>
        <v>1.875</v>
      </c>
    </row>
    <row r="16" spans="1:26" ht="31.5" customHeight="1">
      <c r="A16" s="345"/>
      <c r="B16" s="1301" t="s">
        <v>1113</v>
      </c>
      <c r="C16" s="1302"/>
      <c r="D16" s="1303"/>
      <c r="E16" s="1223">
        <v>155</v>
      </c>
      <c r="F16" s="1224"/>
      <c r="G16" s="345"/>
      <c r="H16" s="1295" t="s">
        <v>1121</v>
      </c>
      <c r="I16" s="1296"/>
      <c r="J16" s="1296"/>
      <c r="K16" s="1297"/>
      <c r="L16" s="354">
        <v>187</v>
      </c>
      <c r="M16" s="345"/>
      <c r="N16" s="345"/>
      <c r="O16" s="345">
        <v>100</v>
      </c>
      <c r="P16" s="345">
        <f>IF(L14="","",L14)</f>
        <v>7</v>
      </c>
      <c r="Q16">
        <f>IF(P16="","",ROUND(P16*8,0))</f>
        <v>56</v>
      </c>
      <c r="R16" s="345">
        <f>IF(L17="","",L17)</f>
        <v>180</v>
      </c>
      <c r="S16">
        <f>IF(P16="","",RANK(O16,O$14:O$17,1))</f>
        <v>3</v>
      </c>
      <c r="U16">
        <v>3</v>
      </c>
      <c r="V16">
        <f>IF(SUMIF(S$14:S$18,U16,O$14:O$18)=0,"",SUMIF(S$14:S$18,U16,O$14:O$18))</f>
        <v>100</v>
      </c>
      <c r="W16">
        <f ca="1">IF(SUMIF(S$14:S$178,U16,P$14:P$18)=0,"",SUMIF(S$14:S$178,U16,P$14:P$18))</f>
        <v>7</v>
      </c>
      <c r="X16">
        <f ca="1">IF(W16="","",ROUND(W16*8,0))</f>
        <v>56</v>
      </c>
      <c r="Y16">
        <f>IF(SUMIF(S$14:S$17,U16,R$14:R$17)=0,"",SUMIF(S$14:S$17,U16,R$14:R$17)/PI())</f>
        <v>57.295779513082323</v>
      </c>
      <c r="Z16">
        <f ca="1">IF(X14="","",IF(X14=0,"",(V16-V15)/(X16-X15)))</f>
        <v>2.0833333333333335</v>
      </c>
    </row>
    <row r="17" spans="1:32" ht="31.5" customHeight="1" thickBot="1">
      <c r="A17" s="345"/>
      <c r="B17" s="1205" t="s">
        <v>1115</v>
      </c>
      <c r="C17" s="1206"/>
      <c r="D17" s="1207"/>
      <c r="E17" s="1208">
        <v>12</v>
      </c>
      <c r="F17" s="1209"/>
      <c r="G17" s="345"/>
      <c r="H17" s="1298" t="s">
        <v>1123</v>
      </c>
      <c r="I17" s="1299"/>
      <c r="J17" s="1299"/>
      <c r="K17" s="1300"/>
      <c r="L17" s="356">
        <v>180</v>
      </c>
      <c r="M17" s="345"/>
      <c r="N17" s="345"/>
      <c r="O17" s="345">
        <f>IF(E16="","",E16)</f>
        <v>155</v>
      </c>
      <c r="P17" s="345">
        <f>IF(E17="","",E17)</f>
        <v>12</v>
      </c>
      <c r="Q17">
        <f>IF(P17="","",ROUND(P17*8,0))</f>
        <v>96</v>
      </c>
      <c r="R17">
        <f>IF(E18="","",E18)</f>
        <v>150</v>
      </c>
      <c r="S17">
        <f>IF(P17="","",RANK(O17,O$14:O$17,1))</f>
        <v>4</v>
      </c>
      <c r="U17">
        <v>4</v>
      </c>
      <c r="V17">
        <f>IF(SUMIF(S$14:S$18,U17,O$14:O$18)=0,"",SUMIF(S$14:S$18,U17,O$14:O$18))</f>
        <v>155</v>
      </c>
      <c r="W17">
        <f ca="1">IF(SUMIF(S$14:S$178,U17,P$14:P$18)=0,"",SUMIF(S$14:S$178,U17,P$14:P$18))</f>
        <v>12</v>
      </c>
      <c r="X17">
        <f ca="1">IF(W17="","",ROUND(W17*8,0))</f>
        <v>96</v>
      </c>
      <c r="Y17">
        <f>IF(SUMIF(S$14:S$17,U17,R$14:R$17)=0,"",SUMIF(S$14:S$17,U17,R$14:R$17)/PI())</f>
        <v>47.7464829275686</v>
      </c>
      <c r="Z17">
        <f ca="1">IF(X14="","",IF(X14=0,"",IF(V17="",0.7*Z16,(V17-V16)/(X17-X16))))</f>
        <v>1.375</v>
      </c>
    </row>
    <row r="18" spans="1:32" ht="31.5" customHeight="1">
      <c r="A18" s="345"/>
      <c r="B18" s="1215" t="s">
        <v>1351</v>
      </c>
      <c r="C18" s="1216"/>
      <c r="D18" s="1217"/>
      <c r="E18" s="1208">
        <v>150</v>
      </c>
      <c r="F18" s="1209"/>
      <c r="G18" s="345"/>
      <c r="H18" s="1225" t="s">
        <v>1345</v>
      </c>
      <c r="I18" s="1226"/>
      <c r="J18" s="1226"/>
      <c r="K18" s="1227"/>
      <c r="L18" s="353"/>
      <c r="M18" s="345"/>
      <c r="N18" s="345"/>
      <c r="O18" s="345"/>
      <c r="P18" s="345">
        <f>IF(Q18="","",Q18/8)</f>
        <v>24.25</v>
      </c>
      <c r="Q18" s="345">
        <f>IF(L33="","",L33)</f>
        <v>194</v>
      </c>
      <c r="S18">
        <f>MAX(S14:S17)+1</f>
        <v>5</v>
      </c>
      <c r="U18">
        <v>5</v>
      </c>
      <c r="V18" t="str">
        <f>IF(SUMIF(S$14:S$18,U18,O$14:O$18)=0,"",SUMIF(S$14:S$18,U18,O$14:O$18))</f>
        <v/>
      </c>
      <c r="W18">
        <f ca="1">IF(SUMIF(S$14:S$178,U18,P$14:P$18)=0,"",SUMIF(S$14:S$178,U18,P$14:P$18))</f>
        <v>24.25</v>
      </c>
      <c r="X18">
        <f ca="1">IF(W18="","",ROUND(W18*8,0))</f>
        <v>194</v>
      </c>
      <c r="Y18" t="str">
        <f>IF(SUMIF(S$14:S$17,U18,R$14:R$17)=0,"",SUMIF(S$14:S$17,U18,R$14:R$17)/PI())</f>
        <v/>
      </c>
      <c r="Z18">
        <f ca="1">IF(X14="","",IF(X14=0,"",IF(V18="",0.8*Z17,(V18-V17)/(X18-X17))))</f>
        <v>1.1000000000000001</v>
      </c>
    </row>
    <row r="19" spans="1:32" ht="31.5" customHeight="1">
      <c r="A19" s="345"/>
      <c r="B19" s="1215" t="s">
        <v>1353</v>
      </c>
      <c r="C19" s="1216"/>
      <c r="D19" s="1217"/>
      <c r="E19" s="1208"/>
      <c r="F19" s="1209"/>
      <c r="G19" s="345"/>
      <c r="H19" s="1215" t="s">
        <v>1346</v>
      </c>
      <c r="I19" s="1216"/>
      <c r="J19" s="1216"/>
      <c r="K19" s="1217"/>
      <c r="L19" s="354"/>
      <c r="M19" s="345"/>
      <c r="N19" s="345"/>
      <c r="O19" s="345"/>
      <c r="P19" s="345"/>
      <c r="Q19" s="345"/>
      <c r="Y19">
        <f>IF(MAX(Y14:Y17)=0,"",MAX(Y14:Y17))</f>
        <v>59.523948716368857</v>
      </c>
    </row>
    <row r="20" spans="1:32" ht="31.5" customHeight="1" thickBot="1">
      <c r="A20" s="345"/>
      <c r="B20" s="1210" t="s">
        <v>1352</v>
      </c>
      <c r="C20" s="1211"/>
      <c r="D20" s="1212"/>
      <c r="E20" s="1213"/>
      <c r="F20" s="1214"/>
      <c r="G20" s="1184" t="str">
        <f>IF(L8=3,IF(E18="","",IF(E19="","",IF(E20="","",135+(360*E19/E18)/(8*E20)))),"")</f>
        <v/>
      </c>
      <c r="H20" s="1210" t="s">
        <v>1347</v>
      </c>
      <c r="I20" s="1211"/>
      <c r="J20" s="1211"/>
      <c r="K20" s="1212"/>
      <c r="L20" s="356"/>
      <c r="M20" s="345"/>
      <c r="N20" s="345"/>
      <c r="O20" s="345"/>
      <c r="P20" s="345"/>
      <c r="Q20" s="345"/>
      <c r="Y20">
        <f>IF(MIN(Y14:Y17)=0,"",MIN(Y14:Y17))</f>
        <v>47.7464829275686</v>
      </c>
    </row>
    <row r="21" spans="1:32" ht="31.5" customHeight="1">
      <c r="A21" s="345"/>
      <c r="B21" s="1225" t="s">
        <v>1118</v>
      </c>
      <c r="C21" s="1226"/>
      <c r="D21" s="1227"/>
      <c r="E21" s="1223">
        <v>1</v>
      </c>
      <c r="F21" s="1224"/>
      <c r="G21" s="345"/>
      <c r="H21" s="1225" t="s">
        <v>1348</v>
      </c>
      <c r="I21" s="1226"/>
      <c r="J21" s="1226"/>
      <c r="K21" s="1227"/>
      <c r="L21" s="353"/>
      <c r="M21" s="1184" t="str">
        <f>IF(L8=3,IF(L15="","",IF(L18="","",IF(L21="","",135+(360*L18/L15)/(8*L21)))),"")</f>
        <v/>
      </c>
      <c r="N21" s="345"/>
      <c r="O21" s="345"/>
      <c r="P21" s="345"/>
      <c r="Q21" s="345"/>
    </row>
    <row r="22" spans="1:32" ht="32.25" customHeight="1">
      <c r="A22" s="345"/>
      <c r="B22" s="1215" t="s">
        <v>1120</v>
      </c>
      <c r="C22" s="1216"/>
      <c r="D22" s="1217"/>
      <c r="E22" s="1208">
        <v>20</v>
      </c>
      <c r="F22" s="1209"/>
      <c r="G22" s="345"/>
      <c r="H22" s="1215" t="s">
        <v>1349</v>
      </c>
      <c r="I22" s="1216"/>
      <c r="J22" s="1216"/>
      <c r="K22" s="1217"/>
      <c r="L22" s="354"/>
      <c r="M22" s="1184" t="str">
        <f>IF(L8=3,IF(L16="","",IF(L19="","",IF(L22="","",135+(360*L19/L16)/(8*L22)))),"")</f>
        <v/>
      </c>
      <c r="N22" s="345"/>
      <c r="O22" s="345"/>
      <c r="P22" s="345"/>
      <c r="Q22" s="345"/>
    </row>
    <row r="23" spans="1:32" ht="32.25" customHeight="1" thickBot="1">
      <c r="A23" s="345"/>
      <c r="B23" s="1210" t="s">
        <v>1122</v>
      </c>
      <c r="C23" s="1211"/>
      <c r="D23" s="1212"/>
      <c r="E23" s="1213">
        <v>60</v>
      </c>
      <c r="F23" s="1214"/>
      <c r="G23" s="345"/>
      <c r="H23" s="1210" t="s">
        <v>1350</v>
      </c>
      <c r="I23" s="1211"/>
      <c r="J23" s="1211"/>
      <c r="K23" s="1212"/>
      <c r="L23" s="356"/>
      <c r="M23" s="1184" t="str">
        <f>IF(L8=3,IF(L17="","",IF(L20="","",IF(L23="","",135+(360*L20/L17)/(8*L23)))),"")</f>
        <v/>
      </c>
      <c r="N23" s="345"/>
      <c r="O23" s="345"/>
      <c r="P23" s="345"/>
      <c r="Q23" s="345"/>
    </row>
    <row r="24" spans="1:32" ht="31.5" customHeight="1" thickBot="1">
      <c r="A24" s="345"/>
      <c r="B24" s="345"/>
      <c r="C24" s="345"/>
      <c r="D24" s="345"/>
      <c r="E24" s="345"/>
      <c r="F24" s="345"/>
      <c r="G24" s="345"/>
      <c r="H24" s="345"/>
      <c r="I24" s="345"/>
      <c r="J24" s="345"/>
      <c r="K24" s="345"/>
      <c r="L24" s="345"/>
      <c r="M24" s="345"/>
      <c r="N24" s="345"/>
      <c r="O24" s="345"/>
      <c r="P24" s="359"/>
      <c r="Q24" s="359"/>
    </row>
    <row r="25" spans="1:32" ht="59.25" customHeight="1" thickBot="1">
      <c r="A25" s="345"/>
      <c r="B25" s="1256" t="s">
        <v>1124</v>
      </c>
      <c r="C25" s="1257"/>
      <c r="D25" s="1257" t="s">
        <v>1360</v>
      </c>
      <c r="E25" s="1258"/>
      <c r="F25" s="1261" t="s">
        <v>1125</v>
      </c>
      <c r="G25" s="1262"/>
      <c r="H25" s="357" t="s">
        <v>1126</v>
      </c>
      <c r="I25" s="358" t="s">
        <v>1127</v>
      </c>
      <c r="J25" s="1259" t="s">
        <v>1128</v>
      </c>
      <c r="K25" s="1260"/>
      <c r="L25" s="345"/>
      <c r="M25" s="345"/>
      <c r="N25" s="345"/>
      <c r="O25" s="345"/>
      <c r="P25" s="345"/>
      <c r="Q25" s="345"/>
    </row>
    <row r="26" spans="1:32" ht="32.25" customHeight="1">
      <c r="A26" s="345"/>
      <c r="B26" s="1263">
        <v>65</v>
      </c>
      <c r="C26" s="1264"/>
      <c r="D26" s="1265"/>
      <c r="E26" s="1264"/>
      <c r="F26" s="1265">
        <v>70</v>
      </c>
      <c r="G26" s="1272"/>
      <c r="H26" s="1266">
        <v>38</v>
      </c>
      <c r="I26" s="1268">
        <v>148</v>
      </c>
      <c r="J26" s="1270"/>
      <c r="K26" s="1271"/>
      <c r="L26" s="345"/>
      <c r="M26" s="345"/>
      <c r="N26" s="345"/>
      <c r="O26" s="345"/>
      <c r="P26" s="345"/>
      <c r="Q26" s="345"/>
    </row>
    <row r="27" spans="1:32" ht="32.25" customHeight="1" thickBot="1">
      <c r="A27" s="345"/>
      <c r="B27" s="1276">
        <v>89</v>
      </c>
      <c r="C27" s="1277"/>
      <c r="D27" s="1278"/>
      <c r="E27" s="1277"/>
      <c r="F27" s="1278">
        <v>75</v>
      </c>
      <c r="G27" s="1289"/>
      <c r="H27" s="1267"/>
      <c r="I27" s="1269"/>
      <c r="J27" s="1284"/>
      <c r="K27" s="1285"/>
      <c r="L27" s="345"/>
      <c r="M27" s="345"/>
      <c r="N27" s="345"/>
      <c r="O27" s="345"/>
      <c r="P27" s="345"/>
      <c r="Q27" s="345"/>
      <c r="AA27" s="1183"/>
      <c r="AB27" s="1183"/>
      <c r="AC27" s="1183"/>
      <c r="AD27" s="1183"/>
      <c r="AE27" s="1183"/>
      <c r="AF27" s="1183"/>
    </row>
    <row r="28" spans="1:32" ht="39" customHeight="1">
      <c r="A28" s="345"/>
      <c r="B28" s="345"/>
      <c r="C28" s="360"/>
      <c r="D28" s="1286" t="s">
        <v>1129</v>
      </c>
      <c r="E28" s="1286"/>
      <c r="F28" s="360"/>
      <c r="G28" s="345"/>
      <c r="H28" s="345"/>
      <c r="I28" s="345"/>
      <c r="J28" s="345"/>
      <c r="K28" s="345"/>
      <c r="L28" s="345"/>
      <c r="M28" s="345"/>
      <c r="N28" s="345"/>
      <c r="O28" s="345"/>
      <c r="P28" s="345"/>
      <c r="Q28" s="345"/>
    </row>
    <row r="29" spans="1:32" ht="13.5" thickBot="1">
      <c r="A29" s="345"/>
      <c r="B29" s="345">
        <f>IF(I26="","",ABS(I26-H26)/200)</f>
        <v>0.55000000000000004</v>
      </c>
      <c r="C29" s="345">
        <f>IF(B29="","",2*ASIN(B29))</f>
        <v>1.1647284757374869</v>
      </c>
      <c r="D29" s="345">
        <f>IF(C29="","",180*C29/PI())</f>
        <v>66.734025938463517</v>
      </c>
      <c r="E29" s="345">
        <f>IF(B27="","",ABS(B27-B26))</f>
        <v>24</v>
      </c>
      <c r="F29" s="361" t="str">
        <f>IF(J27="","",ABS(J27-J26))</f>
        <v/>
      </c>
      <c r="G29" s="361">
        <f>IF(L8="","",IF(L8=1,135+D29/E29,IF(L8=2,135+F29/E29,IF(L8=3,G20,""))))</f>
        <v>137.78058441410263</v>
      </c>
      <c r="H29" s="345">
        <f>IF(E17="","",E16/(8*E17))</f>
        <v>1.6145833333333333</v>
      </c>
      <c r="I29" s="345"/>
      <c r="J29" s="345"/>
      <c r="K29" s="345"/>
      <c r="L29" s="345"/>
      <c r="M29" s="345"/>
      <c r="N29" s="345"/>
      <c r="O29" s="367"/>
      <c r="P29" s="345"/>
      <c r="Q29" s="345"/>
    </row>
    <row r="30" spans="1:32" ht="43.5" customHeight="1">
      <c r="A30" s="345"/>
      <c r="B30" s="1290" t="s">
        <v>1130</v>
      </c>
      <c r="C30" s="1290"/>
      <c r="D30" s="1290"/>
      <c r="E30" s="1290"/>
      <c r="F30" s="1290"/>
      <c r="G30" s="1291"/>
      <c r="H30" s="1287" t="s">
        <v>1131</v>
      </c>
      <c r="I30" s="362" t="s">
        <v>1132</v>
      </c>
      <c r="J30" s="362" t="s">
        <v>1133</v>
      </c>
      <c r="K30" s="362" t="s">
        <v>1134</v>
      </c>
      <c r="L30" s="362" t="s">
        <v>1135</v>
      </c>
      <c r="M30" s="363" t="s">
        <v>1136</v>
      </c>
      <c r="N30" s="370"/>
      <c r="O30" s="370"/>
      <c r="P30" s="345"/>
      <c r="Q30" s="345"/>
    </row>
    <row r="31" spans="1:32" ht="12.75" customHeight="1" thickBot="1">
      <c r="A31" s="345"/>
      <c r="B31" s="364"/>
      <c r="C31" s="364"/>
      <c r="D31" s="364"/>
      <c r="E31" s="364"/>
      <c r="F31" s="364"/>
      <c r="G31" s="364"/>
      <c r="H31" s="1288"/>
      <c r="I31" s="365">
        <f>(I26-H26)/2</f>
        <v>55</v>
      </c>
      <c r="J31" s="365">
        <f>5*360/13</f>
        <v>138.46153846153845</v>
      </c>
      <c r="K31" s="365">
        <f>2*ASIN(I31/100)*180/PI()</f>
        <v>66.734025938463517</v>
      </c>
      <c r="L31" s="365">
        <f>E29</f>
        <v>24</v>
      </c>
      <c r="M31" s="366">
        <f>IF(L31="","",J31-K31/L31)</f>
        <v>135.68095404743582</v>
      </c>
      <c r="N31" s="345"/>
      <c r="O31" s="345"/>
      <c r="P31" s="345"/>
      <c r="Q31" s="345"/>
    </row>
    <row r="32" spans="1:32" ht="25.5" customHeight="1">
      <c r="A32" s="345"/>
      <c r="B32" s="1279" t="s">
        <v>1137</v>
      </c>
      <c r="C32" s="1279"/>
      <c r="D32" s="1279"/>
      <c r="E32" s="1280">
        <f>IF(E17&gt;0,H29,"")</f>
        <v>1.6145833333333333</v>
      </c>
      <c r="F32" s="1280"/>
      <c r="G32" s="364"/>
      <c r="H32" s="1281" t="s">
        <v>1138</v>
      </c>
      <c r="I32" s="1281"/>
      <c r="J32" s="1281"/>
      <c r="K32" s="1281"/>
      <c r="L32" s="368" t="s">
        <v>1139</v>
      </c>
      <c r="M32" s="369"/>
      <c r="N32" s="345"/>
      <c r="O32" s="345"/>
      <c r="P32" s="345"/>
      <c r="Q32" s="345"/>
    </row>
    <row r="33" spans="1:17" ht="15">
      <c r="A33" s="345"/>
      <c r="B33" s="1279" t="s">
        <v>1140</v>
      </c>
      <c r="C33" s="1282"/>
      <c r="D33" s="1282"/>
      <c r="E33" s="1283">
        <f>IF(E29="","",IF(M31="","",G29))</f>
        <v>137.78058441410263</v>
      </c>
      <c r="F33" s="1283"/>
      <c r="G33" s="364"/>
      <c r="H33" s="371">
        <f ca="1">IF(SUMIF(V14:V18,20,Z14:Z18)="","",SUMIF(V14:V18,20,Z14:Z18))</f>
        <v>1.25</v>
      </c>
      <c r="I33" s="371">
        <f ca="1">IF(SUMIF(V14:V18,50,Z14:Z18)="","",SUMIF(V14:V18,50,Z14:Z18))</f>
        <v>1.875</v>
      </c>
      <c r="J33" s="371">
        <f ca="1">IF(SUMIF(V14:V18,100,Z14:Z18)=0,Z17,SUMIF(V14:V18,100,Z14:Z18))</f>
        <v>2.0833333333333335</v>
      </c>
      <c r="K33" s="371">
        <f ca="1">Z18</f>
        <v>1.1000000000000001</v>
      </c>
      <c r="L33" s="372">
        <f>IF(8*E17+E14+E13=0,"",8*E17+E14+E13)</f>
        <v>194</v>
      </c>
      <c r="M33" s="345"/>
      <c r="N33" s="345"/>
      <c r="O33" s="345"/>
      <c r="P33" s="345"/>
      <c r="Q33" s="345"/>
    </row>
    <row r="34" spans="1:17">
      <c r="A34" s="345"/>
      <c r="B34" s="1273"/>
      <c r="C34" s="1273"/>
      <c r="D34" s="1273"/>
      <c r="E34" s="373" t="s">
        <v>1141</v>
      </c>
      <c r="F34" s="374" t="s">
        <v>1354</v>
      </c>
      <c r="G34" s="1274" t="s">
        <v>1142</v>
      </c>
      <c r="H34" s="1275"/>
      <c r="I34" s="345"/>
      <c r="J34" s="345"/>
      <c r="K34" s="345"/>
      <c r="L34" s="345"/>
      <c r="M34" s="345"/>
      <c r="N34" s="345"/>
      <c r="O34" s="345"/>
      <c r="P34" s="345"/>
      <c r="Q34" s="345"/>
    </row>
    <row r="35" spans="1:17">
      <c r="A35" s="345"/>
      <c r="B35" s="345"/>
      <c r="C35" s="345"/>
      <c r="D35" s="345"/>
      <c r="E35" s="345"/>
      <c r="F35" s="345"/>
      <c r="G35" s="345"/>
      <c r="H35" s="345"/>
      <c r="I35" s="345"/>
      <c r="J35" s="345"/>
      <c r="K35" s="345"/>
      <c r="L35" s="345"/>
      <c r="M35" s="345"/>
      <c r="N35" s="345"/>
      <c r="O35" s="345"/>
      <c r="P35" s="345"/>
      <c r="Q35" s="345"/>
    </row>
    <row r="36" spans="1:17">
      <c r="A36" s="345"/>
      <c r="B36" s="345"/>
      <c r="C36" s="345"/>
      <c r="D36" s="345"/>
      <c r="E36" s="345"/>
      <c r="F36" s="345"/>
      <c r="G36" s="345"/>
      <c r="H36" s="345"/>
      <c r="I36" s="345"/>
      <c r="J36" s="345"/>
      <c r="K36" s="345"/>
      <c r="L36" s="345"/>
      <c r="M36" s="345"/>
      <c r="N36" s="345"/>
      <c r="O36" s="345"/>
      <c r="P36" s="345"/>
      <c r="Q36" s="345"/>
    </row>
    <row r="37" spans="1:17">
      <c r="A37" s="345"/>
      <c r="B37" s="345"/>
      <c r="C37" s="345"/>
      <c r="D37" s="345"/>
      <c r="E37" s="345"/>
      <c r="F37" s="345"/>
      <c r="G37" s="345"/>
      <c r="H37" s="345"/>
      <c r="I37" s="345"/>
      <c r="J37" s="345"/>
      <c r="K37" s="345"/>
      <c r="L37" s="345"/>
      <c r="M37" s="345"/>
      <c r="N37" s="345"/>
      <c r="O37" s="345"/>
      <c r="P37" s="345"/>
      <c r="Q37" s="345"/>
    </row>
    <row r="38" spans="1:17">
      <c r="A38" s="345"/>
      <c r="B38" s="345"/>
      <c r="C38" s="345"/>
      <c r="D38" s="345"/>
      <c r="E38" s="345"/>
      <c r="F38" s="345"/>
      <c r="G38" s="345"/>
      <c r="H38" s="345"/>
      <c r="I38" s="345"/>
      <c r="J38" s="345"/>
      <c r="K38" s="345"/>
      <c r="L38" s="345"/>
      <c r="M38" s="345"/>
      <c r="N38" s="345"/>
      <c r="O38" s="345"/>
      <c r="P38" s="345"/>
      <c r="Q38" s="345"/>
    </row>
    <row r="39" spans="1:17">
      <c r="A39" s="345"/>
      <c r="B39" s="345"/>
      <c r="C39" s="345"/>
      <c r="D39" s="345"/>
      <c r="E39" s="345"/>
      <c r="F39" s="345"/>
      <c r="G39" s="345"/>
      <c r="H39" s="345"/>
      <c r="I39" s="345"/>
      <c r="J39" s="345"/>
      <c r="K39" s="345"/>
      <c r="L39" s="345"/>
      <c r="M39" s="345"/>
      <c r="N39" s="345"/>
      <c r="O39" s="345"/>
      <c r="P39" s="345"/>
      <c r="Q39" s="345"/>
    </row>
    <row r="40" spans="1:17">
      <c r="A40" s="345"/>
      <c r="B40" s="345"/>
      <c r="C40" s="345"/>
      <c r="D40" s="345"/>
      <c r="E40" s="345"/>
      <c r="F40" s="345"/>
      <c r="G40" s="345"/>
      <c r="H40" s="345"/>
      <c r="I40" s="345"/>
      <c r="J40" s="345"/>
      <c r="K40" s="345"/>
      <c r="L40" s="345"/>
      <c r="M40" s="345"/>
      <c r="N40" s="345"/>
      <c r="O40" s="345"/>
      <c r="P40" s="345"/>
      <c r="Q40" s="345"/>
    </row>
    <row r="41" spans="1:17">
      <c r="A41" s="345"/>
      <c r="B41" s="345"/>
      <c r="C41" s="345"/>
      <c r="D41" s="345"/>
      <c r="E41" s="345"/>
      <c r="F41" s="345"/>
      <c r="G41" s="345"/>
      <c r="H41" s="345"/>
      <c r="I41" s="345"/>
      <c r="J41" s="345"/>
      <c r="K41" s="345"/>
      <c r="L41" s="345"/>
      <c r="M41" s="345"/>
      <c r="N41" s="345"/>
      <c r="O41" s="345"/>
      <c r="P41" s="345"/>
      <c r="Q41" s="345"/>
    </row>
    <row r="42" spans="1:17">
      <c r="A42" s="345"/>
      <c r="B42" s="345"/>
      <c r="C42" s="345"/>
      <c r="D42" s="345"/>
      <c r="E42" s="345"/>
      <c r="F42" s="345"/>
      <c r="G42" s="345"/>
      <c r="H42" s="345"/>
      <c r="I42" s="345"/>
      <c r="J42" s="345"/>
      <c r="K42" s="345"/>
      <c r="L42" s="345"/>
      <c r="M42" s="345"/>
      <c r="N42" s="345"/>
      <c r="O42" s="345"/>
      <c r="P42" s="345"/>
      <c r="Q42" s="345"/>
    </row>
    <row r="43" spans="1:17">
      <c r="A43" s="345"/>
      <c r="B43" s="345"/>
      <c r="C43" s="345"/>
      <c r="D43" s="345"/>
      <c r="E43" s="345"/>
      <c r="F43" s="345"/>
      <c r="G43" s="345"/>
      <c r="H43" s="345"/>
      <c r="I43" s="345"/>
      <c r="J43" s="345"/>
      <c r="K43" s="345"/>
      <c r="L43" s="345"/>
      <c r="M43" s="345"/>
      <c r="N43" s="345"/>
      <c r="O43" s="345"/>
      <c r="P43" s="345"/>
      <c r="Q43" s="345"/>
    </row>
    <row r="44" spans="1:17">
      <c r="A44" s="345"/>
      <c r="B44" s="345"/>
      <c r="C44" s="345"/>
      <c r="D44" s="345"/>
      <c r="E44" s="345"/>
      <c r="F44" s="345"/>
      <c r="G44" s="345"/>
      <c r="H44" s="345"/>
      <c r="I44" s="345"/>
      <c r="J44" s="345"/>
      <c r="K44" s="345"/>
      <c r="L44" s="345"/>
      <c r="M44" s="345"/>
      <c r="N44" s="345"/>
      <c r="O44" s="345"/>
      <c r="P44" s="345"/>
      <c r="Q44" s="345"/>
    </row>
    <row r="45" spans="1:17">
      <c r="A45" s="345"/>
      <c r="B45" s="345"/>
      <c r="C45" s="345"/>
      <c r="D45" s="345"/>
      <c r="E45" s="345"/>
      <c r="F45" s="345"/>
      <c r="G45" s="345"/>
      <c r="H45" s="345"/>
      <c r="I45" s="345"/>
      <c r="J45" s="345"/>
      <c r="K45" s="345"/>
      <c r="L45" s="345"/>
      <c r="M45" s="345"/>
      <c r="N45" s="345"/>
      <c r="O45" s="345"/>
      <c r="P45" s="345"/>
      <c r="Q45" s="345"/>
    </row>
    <row r="46" spans="1:17">
      <c r="A46" s="345"/>
      <c r="B46" s="345"/>
      <c r="C46" s="345"/>
      <c r="D46" s="345"/>
      <c r="E46" s="345"/>
      <c r="F46" s="345"/>
      <c r="G46" s="345"/>
      <c r="H46" s="345"/>
      <c r="I46" s="345"/>
      <c r="J46" s="345"/>
      <c r="K46" s="345"/>
      <c r="L46" s="345"/>
      <c r="M46" s="345"/>
      <c r="N46" s="345"/>
      <c r="O46" s="345"/>
      <c r="P46" s="345"/>
      <c r="Q46" s="345"/>
    </row>
    <row r="47" spans="1:17">
      <c r="A47" s="345"/>
      <c r="B47" s="345"/>
      <c r="C47" s="345"/>
      <c r="D47" s="345"/>
      <c r="E47" s="345"/>
      <c r="F47" s="345"/>
      <c r="G47" s="345"/>
      <c r="H47" s="345"/>
      <c r="I47" s="345"/>
      <c r="J47" s="345"/>
      <c r="K47" s="345"/>
      <c r="L47" s="345"/>
      <c r="M47" s="345"/>
      <c r="N47" s="345"/>
      <c r="O47" s="345"/>
      <c r="P47" s="345"/>
      <c r="Q47" s="345"/>
    </row>
    <row r="48" spans="1:17">
      <c r="A48" s="345"/>
      <c r="B48" s="345"/>
      <c r="C48" s="345"/>
      <c r="D48" s="345"/>
      <c r="E48" s="345"/>
      <c r="F48" s="345"/>
      <c r="G48" s="345"/>
      <c r="H48" s="345"/>
      <c r="I48" s="345"/>
      <c r="J48" s="345"/>
      <c r="K48" s="345"/>
      <c r="L48" s="345"/>
      <c r="M48" s="345"/>
      <c r="N48" s="345"/>
      <c r="O48" s="345"/>
      <c r="P48" s="345"/>
      <c r="Q48" s="345"/>
    </row>
    <row r="49" spans="1:17">
      <c r="A49" s="345"/>
      <c r="B49" s="345"/>
      <c r="C49" s="345"/>
      <c r="D49" s="345"/>
      <c r="E49" s="345"/>
      <c r="F49" s="345"/>
      <c r="G49" s="345"/>
      <c r="H49" s="345"/>
      <c r="I49" s="345"/>
      <c r="J49" s="345"/>
      <c r="K49" s="345"/>
      <c r="L49" s="345"/>
      <c r="M49" s="345"/>
      <c r="N49" s="345"/>
      <c r="O49" s="345"/>
      <c r="P49" s="345"/>
      <c r="Q49" s="345"/>
    </row>
    <row r="50" spans="1:17">
      <c r="A50" s="345"/>
      <c r="B50" s="345"/>
      <c r="C50" s="345"/>
      <c r="D50" s="345"/>
      <c r="E50" s="345"/>
      <c r="F50" s="345"/>
      <c r="G50" s="345"/>
      <c r="H50" s="345"/>
      <c r="I50" s="345"/>
      <c r="J50" s="345"/>
      <c r="K50" s="345"/>
      <c r="L50" s="345"/>
      <c r="M50" s="345"/>
      <c r="N50" s="345"/>
      <c r="O50" s="345"/>
      <c r="P50" s="345"/>
      <c r="Q50" s="345"/>
    </row>
    <row r="51" spans="1:17">
      <c r="A51" s="345"/>
      <c r="B51" s="345"/>
      <c r="C51" s="345"/>
      <c r="D51" s="345"/>
      <c r="E51" s="345"/>
      <c r="F51" s="345"/>
      <c r="G51" s="345"/>
      <c r="H51" s="345"/>
      <c r="I51" s="345"/>
      <c r="J51" s="345"/>
      <c r="K51" s="345"/>
      <c r="L51" s="345"/>
      <c r="M51" s="345"/>
      <c r="N51" s="345"/>
      <c r="O51" s="345"/>
      <c r="P51" s="345"/>
      <c r="Q51" s="345"/>
    </row>
    <row r="52" spans="1:17">
      <c r="A52" s="345"/>
      <c r="B52" s="345"/>
      <c r="C52" s="345"/>
      <c r="D52" s="345"/>
      <c r="E52" s="345"/>
      <c r="F52" s="345"/>
      <c r="G52" s="345"/>
      <c r="H52" s="345"/>
      <c r="I52" s="345"/>
      <c r="J52" s="345"/>
      <c r="K52" s="345"/>
      <c r="L52" s="345"/>
      <c r="M52" s="345"/>
      <c r="N52" s="345"/>
      <c r="O52" s="345"/>
      <c r="P52" s="345"/>
      <c r="Q52" s="345"/>
    </row>
    <row r="53" spans="1:17">
      <c r="A53" s="345"/>
      <c r="B53" s="345"/>
      <c r="C53" s="345"/>
      <c r="D53" s="345"/>
      <c r="E53" s="345"/>
      <c r="F53" s="345"/>
      <c r="G53" s="345"/>
      <c r="H53" s="345"/>
      <c r="I53" s="345"/>
      <c r="J53" s="345"/>
      <c r="K53" s="345"/>
      <c r="L53" s="345"/>
      <c r="M53" s="345"/>
      <c r="N53" s="345"/>
      <c r="O53" s="345"/>
      <c r="P53" s="345"/>
      <c r="Q53" s="345"/>
    </row>
    <row r="54" spans="1:17">
      <c r="A54" s="345"/>
      <c r="B54" s="345"/>
      <c r="C54" s="345"/>
      <c r="D54" s="345"/>
      <c r="E54" s="345"/>
      <c r="F54" s="345"/>
      <c r="G54" s="345"/>
      <c r="H54" s="345"/>
      <c r="I54" s="345"/>
      <c r="J54" s="345"/>
      <c r="K54" s="345"/>
      <c r="L54" s="345"/>
      <c r="M54" s="345"/>
      <c r="N54" s="345"/>
      <c r="O54" s="345"/>
      <c r="P54" s="345"/>
      <c r="Q54" s="345"/>
    </row>
    <row r="55" spans="1:17">
      <c r="A55" s="345"/>
      <c r="B55" s="345"/>
      <c r="C55" s="345"/>
      <c r="D55" s="345"/>
      <c r="E55" s="345"/>
      <c r="F55" s="345"/>
      <c r="G55" s="345"/>
      <c r="H55" s="345"/>
      <c r="I55" s="345"/>
      <c r="J55" s="345"/>
      <c r="K55" s="345"/>
      <c r="L55" s="345"/>
      <c r="M55" s="345"/>
      <c r="N55" s="345"/>
      <c r="O55" s="345"/>
      <c r="P55" s="345"/>
      <c r="Q55" s="345"/>
    </row>
    <row r="56" spans="1:17">
      <c r="A56" s="345"/>
      <c r="B56" s="345"/>
      <c r="C56" s="345"/>
      <c r="D56" s="345"/>
      <c r="E56" s="345"/>
      <c r="F56" s="345"/>
      <c r="G56" s="345"/>
      <c r="H56" s="345"/>
      <c r="I56" s="345"/>
      <c r="J56" s="345"/>
      <c r="K56" s="345"/>
      <c r="L56" s="345"/>
      <c r="M56" s="345"/>
      <c r="N56" s="345"/>
      <c r="O56" s="345"/>
      <c r="P56" s="345"/>
      <c r="Q56" s="345"/>
    </row>
    <row r="57" spans="1:17">
      <c r="A57" s="345"/>
      <c r="B57" s="345"/>
      <c r="C57" s="345"/>
      <c r="D57" s="345"/>
      <c r="E57" s="345"/>
      <c r="F57" s="345"/>
      <c r="G57" s="345"/>
      <c r="H57" s="345"/>
      <c r="I57" s="345"/>
      <c r="J57" s="345"/>
      <c r="K57" s="345"/>
      <c r="L57" s="345"/>
      <c r="M57" s="345"/>
      <c r="N57" s="345"/>
      <c r="O57" s="345"/>
      <c r="P57" s="345"/>
      <c r="Q57" s="345"/>
    </row>
    <row r="58" spans="1:17">
      <c r="A58" s="345"/>
      <c r="B58" s="345"/>
      <c r="C58" s="345"/>
      <c r="D58" s="345"/>
      <c r="E58" s="345"/>
      <c r="F58" s="345"/>
      <c r="G58" s="345"/>
      <c r="H58" s="345"/>
      <c r="I58" s="345"/>
      <c r="J58" s="345"/>
      <c r="K58" s="345"/>
      <c r="L58" s="345"/>
      <c r="M58" s="345"/>
      <c r="N58" s="345"/>
      <c r="O58" s="345"/>
      <c r="P58" s="345"/>
      <c r="Q58" s="345"/>
    </row>
    <row r="59" spans="1:17">
      <c r="A59" s="345"/>
      <c r="B59" s="345"/>
      <c r="C59" s="345"/>
      <c r="D59" s="345"/>
      <c r="E59" s="345"/>
      <c r="F59" s="345"/>
      <c r="G59" s="345"/>
      <c r="H59" s="345"/>
      <c r="I59" s="345"/>
      <c r="J59" s="345"/>
      <c r="K59" s="345"/>
      <c r="L59" s="345"/>
      <c r="M59" s="345"/>
      <c r="N59" s="345"/>
      <c r="O59" s="345"/>
      <c r="P59" s="345"/>
      <c r="Q59" s="345"/>
    </row>
    <row r="60" spans="1:17">
      <c r="A60" s="345"/>
      <c r="B60" s="345"/>
      <c r="C60" s="345"/>
      <c r="D60" s="345"/>
      <c r="E60" s="345"/>
      <c r="F60" s="345"/>
      <c r="G60" s="345"/>
      <c r="H60" s="345"/>
      <c r="I60" s="345"/>
      <c r="J60" s="345"/>
      <c r="K60" s="345"/>
      <c r="L60" s="345"/>
      <c r="M60" s="345"/>
      <c r="N60" s="345"/>
      <c r="O60" s="345"/>
      <c r="P60" s="345"/>
      <c r="Q60" s="345"/>
    </row>
    <row r="61" spans="1:17">
      <c r="A61" s="345"/>
      <c r="B61" s="345"/>
      <c r="C61" s="345"/>
      <c r="D61" s="345"/>
      <c r="E61" s="345"/>
      <c r="F61" s="345"/>
      <c r="G61" s="345"/>
      <c r="H61" s="345"/>
      <c r="I61" s="345"/>
      <c r="J61" s="345"/>
      <c r="K61" s="345"/>
      <c r="L61" s="345"/>
      <c r="M61" s="345"/>
      <c r="N61" s="345"/>
      <c r="O61" s="345"/>
      <c r="P61" s="345"/>
      <c r="Q61" s="345"/>
    </row>
    <row r="62" spans="1:17">
      <c r="A62" s="345"/>
      <c r="B62" s="345"/>
      <c r="C62" s="345"/>
      <c r="D62" s="345"/>
      <c r="E62" s="345"/>
      <c r="F62" s="345"/>
      <c r="G62" s="345"/>
      <c r="H62" s="345"/>
      <c r="I62" s="345"/>
      <c r="J62" s="345"/>
      <c r="K62" s="345"/>
      <c r="L62" s="345"/>
      <c r="M62" s="345"/>
      <c r="N62" s="345"/>
      <c r="O62" s="345"/>
      <c r="P62" s="345"/>
      <c r="Q62" s="345"/>
    </row>
    <row r="63" spans="1:17">
      <c r="A63" s="345"/>
      <c r="B63" s="345"/>
      <c r="C63" s="345"/>
      <c r="D63" s="345"/>
      <c r="E63" s="345"/>
      <c r="F63" s="345"/>
      <c r="G63" s="345"/>
      <c r="H63" s="345"/>
      <c r="I63" s="345"/>
      <c r="J63" s="345"/>
      <c r="K63" s="345"/>
      <c r="L63" s="345"/>
      <c r="M63" s="345"/>
      <c r="N63" s="345"/>
      <c r="O63" s="345"/>
      <c r="P63" s="345"/>
      <c r="Q63" s="345"/>
    </row>
    <row r="64" spans="1:17">
      <c r="A64" s="345"/>
      <c r="B64" s="345"/>
      <c r="C64" s="345"/>
      <c r="D64" s="345"/>
      <c r="E64" s="345"/>
      <c r="F64" s="345"/>
      <c r="G64" s="345"/>
      <c r="H64" s="345"/>
      <c r="I64" s="345"/>
      <c r="J64" s="345"/>
      <c r="K64" s="345"/>
      <c r="L64" s="345"/>
      <c r="M64" s="345"/>
      <c r="N64" s="345"/>
      <c r="O64" s="345"/>
      <c r="P64" s="345"/>
      <c r="Q64" s="345"/>
    </row>
    <row r="65" spans="1:17">
      <c r="A65" s="345"/>
      <c r="B65" s="345"/>
      <c r="C65" s="345"/>
      <c r="D65" s="345"/>
      <c r="E65" s="345"/>
      <c r="F65" s="345"/>
      <c r="G65" s="345"/>
      <c r="H65" s="345"/>
      <c r="I65" s="345"/>
      <c r="J65" s="345"/>
      <c r="K65" s="345"/>
      <c r="L65" s="345"/>
      <c r="M65" s="345"/>
      <c r="N65" s="345"/>
      <c r="O65" s="345"/>
      <c r="P65" s="345"/>
      <c r="Q65" s="345"/>
    </row>
    <row r="66" spans="1:17">
      <c r="A66" s="345"/>
      <c r="B66" s="345"/>
      <c r="C66" s="345"/>
      <c r="D66" s="345"/>
      <c r="E66" s="345"/>
      <c r="F66" s="345"/>
      <c r="G66" s="345"/>
      <c r="H66" s="345"/>
      <c r="I66" s="345"/>
      <c r="J66" s="345"/>
      <c r="K66" s="345"/>
      <c r="L66" s="345"/>
      <c r="M66" s="345"/>
      <c r="N66" s="345"/>
      <c r="O66" s="345"/>
      <c r="P66" s="345"/>
      <c r="Q66" s="345"/>
    </row>
    <row r="67" spans="1:17">
      <c r="A67" s="345"/>
      <c r="B67" s="345"/>
      <c r="C67" s="345"/>
      <c r="D67" s="345"/>
      <c r="E67" s="345"/>
      <c r="F67" s="345"/>
      <c r="G67" s="345"/>
      <c r="H67" s="345"/>
      <c r="I67" s="345"/>
      <c r="J67" s="345"/>
      <c r="K67" s="345"/>
      <c r="L67" s="345"/>
      <c r="M67" s="345"/>
      <c r="N67" s="345"/>
      <c r="O67" s="345"/>
      <c r="P67" s="345"/>
      <c r="Q67" s="345"/>
    </row>
    <row r="68" spans="1:17">
      <c r="A68" s="345"/>
      <c r="B68" s="345"/>
      <c r="C68" s="345"/>
      <c r="D68" s="345"/>
      <c r="E68" s="345"/>
      <c r="F68" s="345"/>
      <c r="G68" s="345"/>
      <c r="H68" s="345"/>
      <c r="I68" s="345"/>
      <c r="J68" s="345"/>
      <c r="K68" s="345"/>
      <c r="L68" s="345"/>
      <c r="M68" s="345"/>
      <c r="N68" s="345"/>
      <c r="O68" s="345"/>
      <c r="P68" s="345"/>
      <c r="Q68" s="345"/>
    </row>
    <row r="69" spans="1:17">
      <c r="A69" s="345"/>
      <c r="B69" s="345"/>
      <c r="C69" s="345"/>
      <c r="D69" s="345"/>
      <c r="E69" s="345"/>
      <c r="F69" s="345"/>
      <c r="G69" s="345"/>
      <c r="H69" s="345"/>
      <c r="I69" s="345"/>
      <c r="J69" s="345"/>
      <c r="K69" s="345"/>
      <c r="L69" s="345"/>
      <c r="M69" s="345"/>
      <c r="N69" s="345"/>
      <c r="O69" s="345"/>
      <c r="P69" s="345"/>
      <c r="Q69" s="345"/>
    </row>
    <row r="70" spans="1:17">
      <c r="A70" s="345"/>
      <c r="B70" s="345"/>
      <c r="C70" s="345"/>
      <c r="D70" s="345"/>
      <c r="E70" s="345"/>
      <c r="F70" s="345"/>
      <c r="G70" s="345"/>
      <c r="H70" s="345"/>
      <c r="I70" s="345"/>
      <c r="J70" s="345"/>
      <c r="K70" s="345"/>
      <c r="L70" s="345"/>
      <c r="M70" s="345"/>
      <c r="N70" s="345"/>
      <c r="O70" s="345"/>
      <c r="P70" s="345"/>
      <c r="Q70" s="345"/>
    </row>
    <row r="71" spans="1:17">
      <c r="A71" s="345"/>
      <c r="B71" s="345"/>
      <c r="C71" s="345"/>
      <c r="D71" s="345"/>
      <c r="E71" s="345"/>
      <c r="F71" s="345"/>
      <c r="G71" s="345"/>
      <c r="H71" s="345"/>
      <c r="I71" s="345"/>
      <c r="J71" s="345"/>
      <c r="K71" s="345"/>
      <c r="L71" s="345"/>
      <c r="M71" s="345"/>
      <c r="N71" s="345"/>
      <c r="O71" s="345"/>
      <c r="P71" s="345"/>
      <c r="Q71" s="345"/>
    </row>
    <row r="72" spans="1:17">
      <c r="A72" s="345"/>
      <c r="B72" s="345"/>
      <c r="C72" s="345"/>
      <c r="D72" s="345"/>
      <c r="E72" s="345"/>
      <c r="F72" s="345"/>
      <c r="G72" s="345"/>
      <c r="H72" s="345"/>
      <c r="I72" s="345"/>
      <c r="J72" s="345"/>
      <c r="K72" s="345"/>
      <c r="L72" s="345"/>
      <c r="M72" s="345"/>
      <c r="N72" s="345"/>
      <c r="O72" s="345"/>
      <c r="P72" s="345"/>
      <c r="Q72" s="345"/>
    </row>
    <row r="73" spans="1:17">
      <c r="A73" s="345"/>
      <c r="B73" s="345"/>
      <c r="C73" s="345"/>
      <c r="D73" s="345"/>
      <c r="E73" s="345"/>
      <c r="F73" s="345"/>
      <c r="G73" s="345"/>
      <c r="H73" s="345"/>
      <c r="I73" s="345"/>
      <c r="J73" s="345"/>
      <c r="K73" s="345"/>
      <c r="L73" s="345"/>
      <c r="M73" s="345"/>
      <c r="N73" s="345"/>
      <c r="O73" s="345"/>
      <c r="P73" s="345"/>
      <c r="Q73" s="345"/>
    </row>
    <row r="74" spans="1:17">
      <c r="A74" s="345"/>
      <c r="B74" s="345"/>
      <c r="C74" s="345"/>
      <c r="D74" s="345"/>
      <c r="E74" s="345"/>
      <c r="F74" s="345"/>
      <c r="G74" s="345"/>
      <c r="H74" s="345"/>
      <c r="I74" s="345"/>
      <c r="J74" s="345"/>
      <c r="K74" s="345"/>
      <c r="L74" s="345"/>
      <c r="M74" s="345"/>
      <c r="N74" s="345"/>
      <c r="O74" s="345"/>
      <c r="P74" s="345"/>
      <c r="Q74" s="345"/>
    </row>
    <row r="75" spans="1:17">
      <c r="A75" s="345"/>
      <c r="B75" s="345"/>
      <c r="C75" s="345"/>
      <c r="D75" s="345"/>
      <c r="E75" s="345"/>
      <c r="F75" s="345"/>
      <c r="G75" s="345"/>
      <c r="H75" s="345"/>
      <c r="I75" s="345"/>
      <c r="J75" s="345"/>
      <c r="K75" s="345"/>
      <c r="L75" s="345"/>
      <c r="M75" s="345"/>
      <c r="N75" s="345"/>
      <c r="O75" s="345"/>
      <c r="P75" s="345"/>
      <c r="Q75" s="345"/>
    </row>
    <row r="76" spans="1:17">
      <c r="A76" s="345"/>
      <c r="B76" s="345"/>
      <c r="C76" s="345"/>
      <c r="D76" s="345"/>
      <c r="E76" s="345"/>
      <c r="F76" s="345"/>
      <c r="G76" s="345"/>
      <c r="H76" s="345"/>
      <c r="I76" s="345"/>
      <c r="J76" s="345"/>
      <c r="K76" s="345"/>
      <c r="L76" s="345"/>
      <c r="M76" s="345"/>
      <c r="N76" s="345"/>
      <c r="O76" s="345"/>
      <c r="P76" s="345"/>
      <c r="Q76" s="345"/>
    </row>
    <row r="77" spans="1:17">
      <c r="A77" s="345"/>
      <c r="B77" s="345"/>
      <c r="C77" s="345"/>
      <c r="D77" s="345"/>
      <c r="E77" s="345"/>
      <c r="F77" s="345"/>
      <c r="G77" s="345"/>
      <c r="H77" s="345"/>
      <c r="I77" s="345"/>
      <c r="J77" s="345"/>
      <c r="K77" s="345"/>
      <c r="L77" s="345"/>
      <c r="M77" s="345"/>
      <c r="N77" s="345"/>
      <c r="O77" s="345"/>
      <c r="P77" s="345"/>
      <c r="Q77" s="345"/>
    </row>
    <row r="78" spans="1:17">
      <c r="A78" s="345"/>
      <c r="B78" s="345"/>
      <c r="C78" s="345"/>
      <c r="D78" s="345"/>
      <c r="E78" s="345"/>
      <c r="F78" s="345"/>
      <c r="G78" s="345"/>
      <c r="H78" s="345"/>
      <c r="I78" s="345"/>
      <c r="J78" s="345"/>
      <c r="K78" s="345"/>
      <c r="L78" s="345"/>
      <c r="M78" s="345"/>
      <c r="N78" s="345"/>
      <c r="O78" s="345"/>
      <c r="P78" s="345"/>
      <c r="Q78" s="345"/>
    </row>
    <row r="79" spans="1:17">
      <c r="A79" s="345"/>
      <c r="B79" s="345"/>
      <c r="C79" s="345"/>
      <c r="D79" s="345"/>
      <c r="E79" s="345"/>
      <c r="F79" s="345"/>
      <c r="G79" s="345"/>
      <c r="H79" s="345"/>
      <c r="I79" s="345"/>
      <c r="J79" s="345"/>
      <c r="K79" s="345"/>
      <c r="L79" s="345"/>
      <c r="M79" s="345"/>
      <c r="N79" s="345"/>
      <c r="O79" s="345"/>
      <c r="P79" s="345"/>
      <c r="Q79" s="345"/>
    </row>
    <row r="80" spans="1:17">
      <c r="A80" s="345"/>
      <c r="B80" s="345"/>
      <c r="C80" s="345"/>
      <c r="D80" s="345"/>
      <c r="E80" s="345"/>
      <c r="F80" s="345"/>
      <c r="G80" s="345"/>
      <c r="H80" s="345"/>
      <c r="I80" s="345"/>
      <c r="J80" s="345"/>
      <c r="K80" s="345"/>
      <c r="L80" s="345"/>
      <c r="M80" s="345"/>
      <c r="N80" s="345"/>
      <c r="O80" s="345"/>
      <c r="P80" s="345"/>
      <c r="Q80" s="345"/>
    </row>
    <row r="81" spans="1:17">
      <c r="A81" s="345"/>
      <c r="B81" s="345"/>
      <c r="C81" s="345"/>
      <c r="D81" s="345"/>
      <c r="E81" s="345"/>
      <c r="F81" s="345"/>
      <c r="G81" s="345"/>
      <c r="H81" s="345"/>
      <c r="I81" s="345"/>
      <c r="J81" s="345"/>
      <c r="K81" s="345"/>
      <c r="L81" s="345"/>
      <c r="M81" s="345"/>
      <c r="N81" s="345"/>
      <c r="O81" s="345"/>
      <c r="P81" s="345"/>
      <c r="Q81" s="345"/>
    </row>
    <row r="82" spans="1:17">
      <c r="A82" s="345"/>
      <c r="B82" s="345"/>
      <c r="C82" s="345"/>
      <c r="D82" s="345"/>
      <c r="E82" s="345"/>
      <c r="F82" s="345"/>
      <c r="G82" s="345"/>
      <c r="H82" s="345"/>
      <c r="I82" s="345"/>
      <c r="J82" s="345"/>
      <c r="K82" s="345"/>
      <c r="L82" s="345"/>
      <c r="M82" s="345"/>
      <c r="N82" s="345"/>
      <c r="O82" s="345"/>
      <c r="P82" s="345"/>
      <c r="Q82" s="345"/>
    </row>
    <row r="83" spans="1:17">
      <c r="A83" s="345"/>
      <c r="B83" s="345"/>
      <c r="C83" s="345"/>
      <c r="D83" s="345"/>
      <c r="E83" s="345"/>
      <c r="F83" s="345"/>
      <c r="G83" s="345"/>
      <c r="H83" s="345"/>
      <c r="I83" s="345"/>
      <c r="J83" s="345"/>
      <c r="K83" s="345"/>
      <c r="L83" s="345"/>
      <c r="M83" s="345"/>
      <c r="N83" s="345"/>
      <c r="O83" s="345"/>
      <c r="P83" s="345"/>
      <c r="Q83" s="345"/>
    </row>
    <row r="84" spans="1:17">
      <c r="A84" s="345"/>
      <c r="B84" s="345"/>
      <c r="C84" s="345"/>
      <c r="D84" s="345"/>
      <c r="E84" s="345"/>
      <c r="F84" s="345"/>
      <c r="G84" s="345"/>
      <c r="H84" s="345"/>
      <c r="I84" s="345"/>
      <c r="J84" s="345"/>
      <c r="K84" s="345"/>
      <c r="L84" s="345"/>
      <c r="M84" s="345"/>
      <c r="N84" s="345"/>
      <c r="O84" s="345"/>
      <c r="P84" s="345"/>
      <c r="Q84" s="345"/>
    </row>
    <row r="85" spans="1:17">
      <c r="A85" s="345"/>
      <c r="B85" s="345"/>
      <c r="C85" s="345"/>
      <c r="D85" s="345"/>
      <c r="E85" s="345"/>
      <c r="F85" s="345"/>
      <c r="G85" s="345"/>
      <c r="H85" s="345"/>
      <c r="I85" s="345"/>
      <c r="J85" s="345"/>
      <c r="K85" s="345"/>
      <c r="L85" s="345"/>
      <c r="M85" s="345"/>
      <c r="N85" s="345"/>
      <c r="O85" s="345"/>
      <c r="P85" s="345"/>
      <c r="Q85" s="345"/>
    </row>
    <row r="86" spans="1:17">
      <c r="A86" s="345"/>
      <c r="B86" s="345"/>
      <c r="C86" s="345"/>
      <c r="D86" s="345"/>
      <c r="E86" s="345"/>
      <c r="F86" s="345"/>
      <c r="G86" s="345"/>
      <c r="H86" s="345"/>
      <c r="I86" s="345"/>
      <c r="J86" s="345"/>
      <c r="K86" s="345"/>
      <c r="L86" s="345"/>
      <c r="M86" s="345"/>
      <c r="N86" s="345"/>
      <c r="O86" s="345"/>
      <c r="P86" s="345"/>
      <c r="Q86" s="345"/>
    </row>
    <row r="87" spans="1:17">
      <c r="A87" s="345"/>
      <c r="B87" s="345"/>
      <c r="C87" s="345"/>
      <c r="D87" s="345"/>
      <c r="E87" s="345"/>
      <c r="F87" s="345"/>
      <c r="G87" s="345"/>
      <c r="H87" s="345"/>
      <c r="I87" s="345"/>
      <c r="J87" s="345"/>
      <c r="K87" s="345"/>
      <c r="L87" s="345"/>
      <c r="M87" s="345"/>
      <c r="N87" s="345"/>
      <c r="O87" s="345"/>
      <c r="P87" s="345"/>
      <c r="Q87" s="345"/>
    </row>
    <row r="88" spans="1:17">
      <c r="A88" s="345"/>
      <c r="B88" s="345"/>
      <c r="C88" s="345"/>
      <c r="D88" s="345"/>
      <c r="E88" s="345"/>
      <c r="F88" s="345"/>
      <c r="G88" s="345"/>
      <c r="H88" s="345"/>
      <c r="I88" s="345"/>
      <c r="J88" s="345"/>
      <c r="K88" s="345"/>
      <c r="L88" s="345"/>
      <c r="M88" s="345"/>
      <c r="N88" s="345"/>
      <c r="O88" s="345"/>
      <c r="P88" s="345"/>
      <c r="Q88" s="345"/>
    </row>
    <row r="89" spans="1:17">
      <c r="A89" s="345"/>
      <c r="B89" s="345"/>
      <c r="C89" s="345"/>
      <c r="D89" s="345"/>
      <c r="E89" s="345"/>
      <c r="F89" s="345"/>
      <c r="G89" s="345"/>
      <c r="H89" s="345"/>
      <c r="I89" s="345"/>
      <c r="J89" s="345"/>
      <c r="K89" s="345"/>
      <c r="L89" s="345"/>
      <c r="M89" s="345"/>
      <c r="N89" s="345"/>
      <c r="O89" s="345"/>
      <c r="P89" s="345"/>
      <c r="Q89" s="345"/>
    </row>
    <row r="90" spans="1:17">
      <c r="A90" s="345"/>
      <c r="B90" s="345"/>
      <c r="C90" s="345"/>
      <c r="D90" s="345"/>
      <c r="E90" s="345"/>
      <c r="F90" s="345"/>
      <c r="G90" s="345"/>
      <c r="H90" s="345"/>
      <c r="I90" s="345"/>
      <c r="J90" s="345"/>
      <c r="K90" s="345"/>
      <c r="L90" s="345"/>
      <c r="M90" s="345"/>
      <c r="N90" s="345"/>
      <c r="O90" s="345"/>
      <c r="P90" s="345"/>
      <c r="Q90" s="345"/>
    </row>
    <row r="91" spans="1:17">
      <c r="A91" s="345"/>
      <c r="B91" s="345"/>
      <c r="C91" s="345"/>
      <c r="D91" s="345"/>
      <c r="E91" s="345"/>
      <c r="F91" s="345"/>
      <c r="G91" s="345"/>
      <c r="H91" s="345"/>
      <c r="I91" s="345"/>
      <c r="J91" s="345"/>
      <c r="K91" s="345"/>
      <c r="L91" s="345"/>
      <c r="M91" s="345"/>
      <c r="N91" s="345"/>
      <c r="O91" s="345"/>
      <c r="P91" s="345"/>
      <c r="Q91" s="345"/>
    </row>
    <row r="92" spans="1:17">
      <c r="A92" s="345"/>
      <c r="B92" s="345"/>
      <c r="C92" s="345"/>
      <c r="D92" s="345"/>
      <c r="E92" s="345"/>
      <c r="F92" s="345"/>
      <c r="G92" s="345"/>
      <c r="H92" s="345"/>
      <c r="I92" s="345"/>
      <c r="J92" s="345"/>
      <c r="K92" s="345"/>
      <c r="L92" s="345"/>
      <c r="M92" s="345"/>
      <c r="N92" s="345"/>
      <c r="O92" s="345"/>
      <c r="P92" s="345"/>
      <c r="Q92" s="345"/>
    </row>
    <row r="93" spans="1:17">
      <c r="A93" s="345"/>
      <c r="B93" s="345"/>
      <c r="C93" s="345"/>
      <c r="D93" s="345"/>
      <c r="E93" s="345"/>
      <c r="F93" s="345"/>
      <c r="G93" s="345"/>
      <c r="H93" s="345"/>
      <c r="I93" s="345"/>
      <c r="J93" s="345"/>
      <c r="K93" s="345"/>
      <c r="L93" s="345"/>
      <c r="M93" s="345"/>
      <c r="N93" s="345"/>
      <c r="O93" s="345"/>
      <c r="P93" s="345"/>
      <c r="Q93" s="345"/>
    </row>
    <row r="94" spans="1:17">
      <c r="A94" s="345"/>
      <c r="B94" s="345"/>
      <c r="C94" s="345"/>
      <c r="D94" s="345"/>
      <c r="E94" s="345"/>
      <c r="F94" s="345"/>
      <c r="G94" s="345"/>
      <c r="H94" s="345"/>
      <c r="I94" s="345"/>
      <c r="J94" s="345"/>
      <c r="K94" s="345"/>
      <c r="L94" s="345"/>
      <c r="M94" s="345"/>
      <c r="N94" s="345"/>
      <c r="O94" s="345"/>
      <c r="P94" s="345"/>
      <c r="Q94" s="345"/>
    </row>
    <row r="95" spans="1:17">
      <c r="A95" s="345"/>
      <c r="B95" s="345"/>
      <c r="C95" s="345"/>
      <c r="D95" s="345"/>
      <c r="E95" s="345"/>
      <c r="F95" s="345"/>
      <c r="G95" s="345"/>
      <c r="H95" s="345"/>
      <c r="I95" s="345"/>
      <c r="J95" s="345"/>
      <c r="K95" s="345"/>
      <c r="L95" s="345"/>
      <c r="M95" s="345"/>
      <c r="N95" s="345"/>
      <c r="O95" s="345"/>
      <c r="P95" s="345"/>
      <c r="Q95" s="345"/>
    </row>
    <row r="96" spans="1:17">
      <c r="A96" s="345"/>
      <c r="B96" s="345"/>
      <c r="C96" s="345"/>
      <c r="D96" s="345"/>
      <c r="E96" s="345"/>
      <c r="F96" s="345"/>
      <c r="G96" s="345"/>
      <c r="H96" s="345"/>
      <c r="I96" s="345"/>
      <c r="J96" s="345"/>
      <c r="K96" s="345"/>
      <c r="L96" s="345"/>
      <c r="M96" s="345"/>
      <c r="N96" s="345"/>
      <c r="O96" s="345"/>
      <c r="P96" s="345"/>
      <c r="Q96" s="345"/>
    </row>
    <row r="97" spans="1:17">
      <c r="A97" s="345"/>
      <c r="B97" s="345"/>
      <c r="C97" s="345"/>
      <c r="D97" s="345"/>
      <c r="E97" s="345"/>
      <c r="F97" s="345"/>
      <c r="G97" s="345"/>
      <c r="H97" s="345"/>
      <c r="I97" s="345"/>
      <c r="J97" s="345"/>
      <c r="K97" s="345"/>
      <c r="L97" s="345"/>
      <c r="M97" s="345"/>
      <c r="N97" s="345"/>
      <c r="O97" s="345"/>
      <c r="P97" s="345"/>
      <c r="Q97" s="345"/>
    </row>
    <row r="98" spans="1:17">
      <c r="A98" s="345"/>
      <c r="B98" s="345"/>
      <c r="C98" s="345"/>
      <c r="D98" s="345"/>
      <c r="E98" s="345"/>
      <c r="F98" s="345"/>
      <c r="G98" s="345"/>
      <c r="H98" s="345"/>
      <c r="I98" s="345"/>
      <c r="J98" s="345"/>
      <c r="K98" s="345"/>
      <c r="L98" s="345"/>
      <c r="M98" s="345"/>
      <c r="N98" s="345"/>
      <c r="O98" s="345"/>
      <c r="P98" s="345"/>
      <c r="Q98" s="345"/>
    </row>
    <row r="99" spans="1:17">
      <c r="A99" s="345"/>
      <c r="B99" s="345"/>
      <c r="C99" s="345"/>
      <c r="D99" s="345"/>
      <c r="E99" s="345"/>
      <c r="F99" s="345"/>
      <c r="G99" s="345"/>
      <c r="H99" s="345"/>
      <c r="I99" s="345"/>
      <c r="J99" s="345"/>
      <c r="K99" s="345"/>
      <c r="L99" s="345"/>
      <c r="M99" s="345"/>
      <c r="N99" s="345"/>
      <c r="O99" s="345"/>
      <c r="P99" s="345"/>
      <c r="Q99" s="345"/>
    </row>
    <row r="100" spans="1:17">
      <c r="A100" s="345"/>
      <c r="B100" s="345"/>
      <c r="C100" s="345"/>
      <c r="D100" s="345"/>
      <c r="E100" s="345"/>
      <c r="F100" s="345"/>
      <c r="G100" s="345"/>
      <c r="H100" s="345"/>
      <c r="I100" s="345"/>
      <c r="J100" s="345"/>
      <c r="K100" s="345"/>
      <c r="L100" s="345"/>
      <c r="M100" s="345"/>
      <c r="N100" s="345"/>
      <c r="O100" s="345"/>
      <c r="P100" s="345"/>
      <c r="Q100" s="345"/>
    </row>
    <row r="101" spans="1:17">
      <c r="B101" s="345"/>
      <c r="C101" s="345"/>
      <c r="D101" s="345"/>
      <c r="E101" s="345"/>
      <c r="F101" s="345"/>
      <c r="G101" s="345"/>
      <c r="H101" s="345"/>
      <c r="I101" s="345"/>
      <c r="J101" s="345"/>
      <c r="K101" s="345"/>
      <c r="L101" s="345"/>
      <c r="M101" s="345"/>
    </row>
    <row r="102" spans="1:17">
      <c r="B102" s="345"/>
      <c r="C102" s="345"/>
      <c r="D102" s="345"/>
      <c r="E102" s="345"/>
      <c r="F102" s="345"/>
      <c r="G102" s="345"/>
      <c r="H102" s="345"/>
      <c r="I102" s="345"/>
      <c r="J102" s="345"/>
      <c r="K102" s="345"/>
      <c r="L102" s="345"/>
      <c r="M102" s="345"/>
    </row>
  </sheetData>
  <sheetProtection sheet="1" objects="1" scenarios="1" selectLockedCells="1"/>
  <mergeCells count="77">
    <mergeCell ref="L8:L10"/>
    <mergeCell ref="H13:K13"/>
    <mergeCell ref="H14:K14"/>
    <mergeCell ref="B19:D19"/>
    <mergeCell ref="H15:K15"/>
    <mergeCell ref="H16:K16"/>
    <mergeCell ref="H17:K17"/>
    <mergeCell ref="B12:D12"/>
    <mergeCell ref="E12:F12"/>
    <mergeCell ref="B13:D13"/>
    <mergeCell ref="E13:F13"/>
    <mergeCell ref="B14:D14"/>
    <mergeCell ref="E14:F14"/>
    <mergeCell ref="B15:D15"/>
    <mergeCell ref="E15:F15"/>
    <mergeCell ref="B16:D16"/>
    <mergeCell ref="B34:D34"/>
    <mergeCell ref="G34:H34"/>
    <mergeCell ref="B27:C27"/>
    <mergeCell ref="D27:E27"/>
    <mergeCell ref="B32:D32"/>
    <mergeCell ref="E32:F32"/>
    <mergeCell ref="H32:K32"/>
    <mergeCell ref="B33:D33"/>
    <mergeCell ref="E33:F33"/>
    <mergeCell ref="J27:K27"/>
    <mergeCell ref="D28:E28"/>
    <mergeCell ref="H30:H31"/>
    <mergeCell ref="F27:G27"/>
    <mergeCell ref="B30:G30"/>
    <mergeCell ref="B26:C26"/>
    <mergeCell ref="D26:E26"/>
    <mergeCell ref="H26:H27"/>
    <mergeCell ref="I26:I27"/>
    <mergeCell ref="J26:K26"/>
    <mergeCell ref="F26:G26"/>
    <mergeCell ref="B23:D23"/>
    <mergeCell ref="E23:F23"/>
    <mergeCell ref="H23:K23"/>
    <mergeCell ref="B25:C25"/>
    <mergeCell ref="D25:E25"/>
    <mergeCell ref="J25:K25"/>
    <mergeCell ref="F25:G25"/>
    <mergeCell ref="B22:D22"/>
    <mergeCell ref="E22:F22"/>
    <mergeCell ref="H22:K22"/>
    <mergeCell ref="B21:D21"/>
    <mergeCell ref="E21:F21"/>
    <mergeCell ref="H21:K21"/>
    <mergeCell ref="A1:B1"/>
    <mergeCell ref="B7:H7"/>
    <mergeCell ref="B9:D9"/>
    <mergeCell ref="E9:F9"/>
    <mergeCell ref="B10:D10"/>
    <mergeCell ref="E10:F10"/>
    <mergeCell ref="H8:K10"/>
    <mergeCell ref="G1:H1"/>
    <mergeCell ref="A3:C3"/>
    <mergeCell ref="D3:E3"/>
    <mergeCell ref="F3:G3"/>
    <mergeCell ref="A5:C5"/>
    <mergeCell ref="D5:G5"/>
    <mergeCell ref="H5:J5"/>
    <mergeCell ref="H20:K20"/>
    <mergeCell ref="E11:F11"/>
    <mergeCell ref="H12:K12"/>
    <mergeCell ref="E16:F16"/>
    <mergeCell ref="H18:K18"/>
    <mergeCell ref="H19:K19"/>
    <mergeCell ref="B11:D11"/>
    <mergeCell ref="B17:D17"/>
    <mergeCell ref="E17:F17"/>
    <mergeCell ref="B20:D20"/>
    <mergeCell ref="E19:F19"/>
    <mergeCell ref="E20:F20"/>
    <mergeCell ref="B18:D18"/>
    <mergeCell ref="E18:F18"/>
  </mergeCells>
  <conditionalFormatting sqref="E19:F20">
    <cfRule type="expression" dxfId="15" priority="13">
      <formula>$L$8&lt;&gt;3</formula>
    </cfRule>
  </conditionalFormatting>
  <conditionalFormatting sqref="J26:K27">
    <cfRule type="expression" dxfId="14" priority="11">
      <formula>$L$8&lt;&gt;2</formula>
    </cfRule>
  </conditionalFormatting>
  <conditionalFormatting sqref="H26:I27">
    <cfRule type="expression" dxfId="13" priority="10">
      <formula>$L$8&lt;&gt;1</formula>
    </cfRule>
  </conditionalFormatting>
  <conditionalFormatting sqref="B26:G27">
    <cfRule type="expression" dxfId="12" priority="7">
      <formula>$L$8&gt;3</formula>
    </cfRule>
    <cfRule type="expression" dxfId="11" priority="8">
      <formula>$L$8&lt;1</formula>
    </cfRule>
    <cfRule type="expression" dxfId="10" priority="9">
      <formula>$L$8=""</formula>
    </cfRule>
  </conditionalFormatting>
  <conditionalFormatting sqref="G20 M21:M23">
    <cfRule type="expression" dxfId="9" priority="2">
      <formula>$L$8&lt;&gt;3</formula>
    </cfRule>
  </conditionalFormatting>
  <conditionalFormatting sqref="L18:L23">
    <cfRule type="expression" dxfId="8" priority="1">
      <formula>$L$8&lt;&gt;3</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Z57"/>
  <sheetViews>
    <sheetView topLeftCell="A4" zoomScale="90" zoomScaleNormal="90" workbookViewId="0">
      <selection activeCell="R15" sqref="R15"/>
    </sheetView>
  </sheetViews>
  <sheetFormatPr baseColWidth="10" defaultRowHeight="15.75"/>
  <cols>
    <col min="1" max="1" width="13.28515625" style="127" bestFit="1" customWidth="1"/>
    <col min="2" max="2" width="1.7109375" style="127" customWidth="1"/>
    <col min="3" max="3" width="11.7109375" style="127" customWidth="1"/>
    <col min="4" max="4" width="6.5703125" style="127" bestFit="1" customWidth="1"/>
    <col min="5" max="5" width="14.28515625" style="127" bestFit="1" customWidth="1"/>
    <col min="6" max="6" width="21.28515625" style="127" bestFit="1" customWidth="1"/>
    <col min="7" max="7" width="11.5703125" style="127" bestFit="1" customWidth="1"/>
    <col min="8" max="8" width="12" style="127" customWidth="1"/>
    <col min="9" max="9" width="14" style="127" customWidth="1"/>
    <col min="10" max="10" width="19.28515625" style="127" bestFit="1" customWidth="1"/>
    <col min="11" max="11" width="1.7109375" style="127" customWidth="1"/>
    <col min="12" max="12" width="13.140625" style="127" customWidth="1"/>
    <col min="13" max="13" width="12" style="127" customWidth="1"/>
    <col min="14" max="14" width="1.7109375" style="127" customWidth="1"/>
    <col min="15" max="15" width="9" style="127" bestFit="1" customWidth="1"/>
    <col min="16" max="16" width="9.42578125" style="127" customWidth="1"/>
    <col min="17" max="17" width="7.140625" style="127" bestFit="1" customWidth="1"/>
    <col min="18" max="19" width="11.7109375" style="127" customWidth="1"/>
    <col min="20" max="20" width="1.7109375" style="127" customWidth="1"/>
    <col min="21" max="26" width="14.28515625" style="127" customWidth="1"/>
    <col min="27" max="16384" width="11.42578125" style="127"/>
  </cols>
  <sheetData>
    <row r="1" spans="1:2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
      <c r="A2" s="13" t="s">
        <v>444</v>
      </c>
      <c r="B2" s="125"/>
      <c r="C2" s="241" t="s">
        <v>557</v>
      </c>
      <c r="D2" s="242"/>
      <c r="E2" s="242"/>
      <c r="F2" s="242"/>
      <c r="G2" s="242"/>
      <c r="H2" s="242"/>
      <c r="I2" s="242"/>
      <c r="J2" s="242"/>
      <c r="K2" s="242"/>
      <c r="L2" s="242"/>
      <c r="M2" s="242"/>
      <c r="N2" s="242"/>
      <c r="O2" s="242"/>
      <c r="P2" s="242"/>
      <c r="Q2" s="242"/>
      <c r="R2" s="242"/>
      <c r="S2" s="242"/>
      <c r="T2" s="125"/>
      <c r="U2" s="337" t="s">
        <v>1095</v>
      </c>
      <c r="V2" s="125"/>
      <c r="W2" s="337" t="s">
        <v>1094</v>
      </c>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269">
        <v>1</v>
      </c>
      <c r="V3" s="125"/>
      <c r="W3" s="269">
        <v>1</v>
      </c>
      <c r="X3" s="125"/>
      <c r="Y3" s="125"/>
      <c r="Z3" s="125"/>
    </row>
    <row r="4" spans="1:26" ht="16.5" thickBot="1">
      <c r="A4" s="35" t="s">
        <v>446</v>
      </c>
      <c r="B4" s="125"/>
      <c r="C4" s="1665" t="s">
        <v>705</v>
      </c>
      <c r="D4" s="1677"/>
      <c r="E4" s="1677"/>
      <c r="F4" s="1677"/>
      <c r="G4" s="1677"/>
      <c r="H4" s="1677"/>
      <c r="I4" s="1677"/>
      <c r="J4" s="1670"/>
      <c r="K4" s="125"/>
      <c r="L4" s="1648" t="s">
        <v>431</v>
      </c>
      <c r="M4" s="1646"/>
      <c r="N4" s="125"/>
      <c r="T4" s="125"/>
      <c r="U4" s="269">
        <v>2</v>
      </c>
      <c r="V4" s="175"/>
      <c r="W4" s="269">
        <v>2</v>
      </c>
      <c r="X4" s="125"/>
      <c r="Y4" s="125"/>
      <c r="Z4" s="125"/>
    </row>
    <row r="5" spans="1:26" ht="16.5" thickBot="1">
      <c r="A5" s="135" t="s">
        <v>445</v>
      </c>
      <c r="B5" s="125"/>
      <c r="C5" s="1665" t="s">
        <v>530</v>
      </c>
      <c r="D5" s="1677"/>
      <c r="E5" s="1670"/>
      <c r="F5" s="1661" t="s">
        <v>536</v>
      </c>
      <c r="G5" s="1655"/>
      <c r="H5" s="1655"/>
      <c r="I5" s="1662"/>
      <c r="J5" s="250" t="s">
        <v>535</v>
      </c>
      <c r="K5" s="125"/>
      <c r="L5" s="1648" t="s">
        <v>520</v>
      </c>
      <c r="M5" s="1646"/>
      <c r="N5" s="125"/>
      <c r="T5" s="125"/>
      <c r="U5" s="269">
        <v>3</v>
      </c>
      <c r="V5" s="175"/>
      <c r="W5" s="269">
        <v>3</v>
      </c>
      <c r="X5" s="125"/>
      <c r="Y5" s="125"/>
      <c r="Z5" s="125"/>
    </row>
    <row r="6" spans="1:26" ht="16.5" thickBot="1">
      <c r="A6" s="125"/>
      <c r="B6" s="125"/>
      <c r="C6" s="1661" t="s">
        <v>776</v>
      </c>
      <c r="D6" s="1662"/>
      <c r="E6" s="248" t="s">
        <v>868</v>
      </c>
      <c r="F6" s="250" t="s">
        <v>776</v>
      </c>
      <c r="G6" s="125"/>
      <c r="H6" s="1661" t="s">
        <v>707</v>
      </c>
      <c r="I6" s="1662"/>
      <c r="J6" s="250" t="s">
        <v>776</v>
      </c>
      <c r="K6" s="125"/>
      <c r="L6" s="125"/>
      <c r="M6" s="247" t="s">
        <v>521</v>
      </c>
      <c r="N6" s="125"/>
      <c r="T6" s="125"/>
      <c r="U6" s="269">
        <v>4</v>
      </c>
      <c r="V6" s="175"/>
      <c r="W6" s="269">
        <v>4</v>
      </c>
      <c r="X6" s="125"/>
      <c r="Y6" s="125"/>
      <c r="Z6" s="125"/>
    </row>
    <row r="7" spans="1:26" ht="16.5" thickBot="1">
      <c r="A7" s="125"/>
      <c r="B7" s="125"/>
      <c r="C7" s="1657" t="s">
        <v>463</v>
      </c>
      <c r="D7" s="1658"/>
      <c r="E7" s="1658"/>
      <c r="F7" s="1658"/>
      <c r="G7" s="1658"/>
      <c r="H7" s="1658"/>
      <c r="I7" s="1658"/>
      <c r="J7" s="1658"/>
      <c r="K7" s="125"/>
      <c r="L7" s="125"/>
      <c r="M7" s="156" t="s">
        <v>770</v>
      </c>
      <c r="N7" s="125"/>
      <c r="T7" s="125"/>
      <c r="U7" s="269">
        <v>5</v>
      </c>
      <c r="V7" s="175" t="s">
        <v>868</v>
      </c>
      <c r="W7" s="269">
        <v>5</v>
      </c>
      <c r="X7" s="125"/>
      <c r="Y7" s="125"/>
      <c r="Z7" s="125"/>
    </row>
    <row r="8" spans="1:26" ht="16.5" thickBot="1">
      <c r="A8" s="146" t="s">
        <v>645</v>
      </c>
      <c r="B8" s="125"/>
      <c r="C8" s="146" t="s">
        <v>636</v>
      </c>
      <c r="D8" s="146" t="s">
        <v>426</v>
      </c>
      <c r="E8" s="169" t="s">
        <v>706</v>
      </c>
      <c r="F8" s="146" t="s">
        <v>426</v>
      </c>
      <c r="G8" s="158" t="s">
        <v>636</v>
      </c>
      <c r="H8" s="146" t="s">
        <v>426</v>
      </c>
      <c r="I8" s="146" t="s">
        <v>427</v>
      </c>
      <c r="J8" s="146" t="s">
        <v>426</v>
      </c>
      <c r="K8" s="125"/>
      <c r="L8" s="158" t="s">
        <v>636</v>
      </c>
      <c r="M8" s="157" t="s">
        <v>771</v>
      </c>
      <c r="N8" s="125"/>
      <c r="T8" s="125"/>
      <c r="U8" s="269">
        <v>6</v>
      </c>
      <c r="V8" s="175"/>
      <c r="W8" s="269">
        <v>6</v>
      </c>
      <c r="X8" s="125"/>
      <c r="Y8" s="125"/>
      <c r="Z8" s="125"/>
    </row>
    <row r="9" spans="1:26" s="129" customFormat="1">
      <c r="A9" s="216" t="s">
        <v>644</v>
      </c>
      <c r="B9" s="126"/>
      <c r="C9" s="126"/>
      <c r="D9" s="218">
        <v>0</v>
      </c>
      <c r="E9" s="218">
        <v>0</v>
      </c>
      <c r="F9" s="236">
        <v>0</v>
      </c>
      <c r="G9" s="126"/>
      <c r="H9" s="218">
        <v>1</v>
      </c>
      <c r="I9" s="218">
        <v>1</v>
      </c>
      <c r="J9" s="236">
        <v>0</v>
      </c>
      <c r="K9" s="126"/>
      <c r="L9" s="126"/>
      <c r="M9" s="218">
        <v>0</v>
      </c>
      <c r="N9" s="126"/>
      <c r="T9" s="126"/>
      <c r="U9" s="269">
        <v>7</v>
      </c>
      <c r="V9" s="175"/>
      <c r="W9" s="269">
        <v>7</v>
      </c>
      <c r="X9" s="126"/>
      <c r="Y9" s="126"/>
      <c r="Z9" s="126"/>
    </row>
    <row r="10" spans="1:26" s="228" customFormat="1">
      <c r="A10" s="220" t="s">
        <v>642</v>
      </c>
      <c r="B10" s="221"/>
      <c r="C10" s="221"/>
      <c r="D10" s="222">
        <f>COUNT(D13:D37)</f>
        <v>1</v>
      </c>
      <c r="E10" s="222">
        <f>COUNT(E13:E37)</f>
        <v>1</v>
      </c>
      <c r="F10" s="222">
        <f>COUNT(F13:F37)</f>
        <v>1</v>
      </c>
      <c r="G10" s="221"/>
      <c r="H10" s="222">
        <f>COUNT(H13:H37)</f>
        <v>4</v>
      </c>
      <c r="I10" s="222">
        <f>COUNT(I13:I37)</f>
        <v>4</v>
      </c>
      <c r="J10" s="222">
        <f>COUNT(J13:J37)</f>
        <v>1</v>
      </c>
      <c r="K10" s="221"/>
      <c r="L10" s="221"/>
      <c r="M10" s="222">
        <f>COUNT(M13:M37)</f>
        <v>2</v>
      </c>
      <c r="N10" s="221"/>
      <c r="T10" s="221"/>
      <c r="U10" s="269">
        <v>8</v>
      </c>
      <c r="V10" s="175"/>
      <c r="W10" s="269">
        <v>8</v>
      </c>
      <c r="X10" s="221"/>
      <c r="Y10" s="221"/>
      <c r="Z10" s="221"/>
    </row>
    <row r="11" spans="1:26" s="228" customFormat="1">
      <c r="A11" s="223" t="s">
        <v>643</v>
      </c>
      <c r="B11" s="221"/>
      <c r="C11" s="1640" t="s">
        <v>907</v>
      </c>
      <c r="D11" s="1640"/>
      <c r="E11" s="1640"/>
      <c r="F11" s="278" t="s">
        <v>378</v>
      </c>
      <c r="G11" s="1642" t="s">
        <v>908</v>
      </c>
      <c r="H11" s="1642"/>
      <c r="I11" s="1642"/>
      <c r="J11" s="281" t="s">
        <v>303</v>
      </c>
      <c r="K11" s="221"/>
      <c r="L11" s="1640" t="s">
        <v>307</v>
      </c>
      <c r="M11" s="1640"/>
      <c r="N11" s="221"/>
      <c r="T11" s="221"/>
      <c r="U11" s="269">
        <v>9</v>
      </c>
      <c r="V11" s="175"/>
      <c r="W11" s="269">
        <v>9</v>
      </c>
      <c r="X11" s="221"/>
      <c r="Y11" s="221"/>
      <c r="Z11" s="221"/>
    </row>
    <row r="12" spans="1:26">
      <c r="A12" s="130" t="s">
        <v>317</v>
      </c>
      <c r="B12" s="125"/>
      <c r="C12" s="131" t="s">
        <v>434</v>
      </c>
      <c r="D12" s="130" t="s">
        <v>635</v>
      </c>
      <c r="E12" s="130" t="s">
        <v>635</v>
      </c>
      <c r="F12" s="131" t="s">
        <v>432</v>
      </c>
      <c r="G12" s="131" t="s">
        <v>438</v>
      </c>
      <c r="H12" s="130" t="s">
        <v>4</v>
      </c>
      <c r="I12" s="130" t="s">
        <v>4</v>
      </c>
      <c r="J12" s="131" t="s">
        <v>432</v>
      </c>
      <c r="K12" s="125"/>
      <c r="L12" s="131" t="s">
        <v>434</v>
      </c>
      <c r="M12" s="131" t="s">
        <v>521</v>
      </c>
      <c r="N12" s="125"/>
      <c r="O12" s="228"/>
      <c r="P12" s="228"/>
      <c r="Q12" s="228"/>
      <c r="R12" s="228"/>
      <c r="S12" s="228"/>
      <c r="T12" s="125"/>
      <c r="U12" s="269">
        <v>10</v>
      </c>
      <c r="V12" s="175"/>
      <c r="W12" s="269">
        <v>10</v>
      </c>
      <c r="X12" s="125"/>
      <c r="Y12" s="125"/>
      <c r="Z12" s="125"/>
    </row>
    <row r="13" spans="1:26">
      <c r="A13" s="130">
        <v>1</v>
      </c>
      <c r="B13" s="125"/>
      <c r="C13" s="141">
        <v>1</v>
      </c>
      <c r="D13" s="147">
        <v>32</v>
      </c>
      <c r="E13" s="147">
        <v>12</v>
      </c>
      <c r="F13" s="147">
        <v>16</v>
      </c>
      <c r="G13" s="161">
        <v>0</v>
      </c>
      <c r="H13" s="133">
        <v>0</v>
      </c>
      <c r="I13" s="133">
        <v>0</v>
      </c>
      <c r="J13" s="147">
        <v>0</v>
      </c>
      <c r="K13" s="125"/>
      <c r="L13" s="141">
        <v>1</v>
      </c>
      <c r="M13" s="147">
        <v>1</v>
      </c>
      <c r="N13" s="125"/>
      <c r="O13" s="228"/>
      <c r="P13" s="228"/>
      <c r="Q13" s="228"/>
      <c r="R13" s="228"/>
      <c r="S13" s="228"/>
      <c r="T13" s="125"/>
      <c r="U13" s="269">
        <v>11</v>
      </c>
      <c r="V13" s="175"/>
      <c r="W13" s="269">
        <v>11</v>
      </c>
      <c r="X13" s="125"/>
      <c r="Y13" s="125"/>
      <c r="Z13" s="125"/>
    </row>
    <row r="14" spans="1:26">
      <c r="A14" s="130">
        <v>2</v>
      </c>
      <c r="B14" s="125"/>
      <c r="C14" s="141"/>
      <c r="D14" s="149"/>
      <c r="E14" s="149"/>
      <c r="F14" s="149"/>
      <c r="G14" s="161">
        <v>20</v>
      </c>
      <c r="H14" s="163">
        <v>70</v>
      </c>
      <c r="I14" s="163">
        <v>0.7</v>
      </c>
      <c r="J14" s="149"/>
      <c r="K14" s="125"/>
      <c r="L14" s="141">
        <v>60</v>
      </c>
      <c r="M14" s="153">
        <v>1</v>
      </c>
      <c r="N14" s="125"/>
      <c r="O14" s="228"/>
      <c r="P14" s="228"/>
      <c r="Q14" s="228"/>
      <c r="R14" s="228"/>
      <c r="S14" s="228"/>
      <c r="T14" s="125"/>
      <c r="U14" s="269">
        <v>12</v>
      </c>
      <c r="V14" s="175"/>
      <c r="W14" s="269">
        <v>12</v>
      </c>
      <c r="X14" s="125"/>
      <c r="Y14" s="125"/>
      <c r="Z14" s="125"/>
    </row>
    <row r="15" spans="1:26">
      <c r="A15" s="130">
        <v>3</v>
      </c>
      <c r="B15" s="125"/>
      <c r="C15" s="141"/>
      <c r="D15" s="147"/>
      <c r="E15" s="147"/>
      <c r="F15" s="147"/>
      <c r="G15" s="161">
        <v>70</v>
      </c>
      <c r="H15" s="133">
        <v>70</v>
      </c>
      <c r="I15" s="133">
        <v>0.7</v>
      </c>
      <c r="J15" s="147"/>
      <c r="K15" s="125"/>
      <c r="L15" s="141"/>
      <c r="M15" s="147"/>
      <c r="N15" s="125"/>
      <c r="O15" s="228"/>
      <c r="P15" s="228"/>
      <c r="Q15" s="228"/>
      <c r="R15" s="228"/>
      <c r="S15" s="228"/>
      <c r="T15" s="125"/>
      <c r="U15" s="279">
        <v>13</v>
      </c>
      <c r="V15" s="339"/>
      <c r="W15" s="338">
        <v>13</v>
      </c>
      <c r="X15" s="125"/>
      <c r="Y15" s="125"/>
      <c r="Z15" s="125"/>
    </row>
    <row r="16" spans="1:26">
      <c r="A16" s="130">
        <v>4</v>
      </c>
      <c r="B16" s="125"/>
      <c r="C16" s="141"/>
      <c r="D16" s="149"/>
      <c r="E16" s="149"/>
      <c r="F16" s="149"/>
      <c r="G16" s="161">
        <v>100</v>
      </c>
      <c r="H16" s="163">
        <v>90</v>
      </c>
      <c r="I16" s="163">
        <v>0.9</v>
      </c>
      <c r="J16" s="149"/>
      <c r="K16" s="125"/>
      <c r="L16" s="141"/>
      <c r="M16" s="153"/>
      <c r="N16" s="125"/>
      <c r="O16" s="228"/>
      <c r="P16" s="228"/>
      <c r="Q16" s="228"/>
      <c r="R16" s="228"/>
      <c r="S16" s="228"/>
      <c r="T16" s="125"/>
      <c r="U16" s="279">
        <v>14</v>
      </c>
      <c r="V16" s="339"/>
      <c r="W16" s="338">
        <v>14</v>
      </c>
      <c r="X16" s="125"/>
      <c r="Y16" s="125"/>
      <c r="Z16" s="125"/>
    </row>
    <row r="17" spans="1:26">
      <c r="A17" s="130">
        <v>5</v>
      </c>
      <c r="B17" s="125"/>
      <c r="C17" s="141"/>
      <c r="D17" s="147"/>
      <c r="E17" s="147"/>
      <c r="F17" s="147"/>
      <c r="G17" s="161"/>
      <c r="H17" s="133"/>
      <c r="I17" s="133"/>
      <c r="J17" s="147"/>
      <c r="K17" s="125"/>
      <c r="L17" s="141"/>
      <c r="M17" s="147"/>
      <c r="N17" s="125"/>
      <c r="O17" s="228"/>
      <c r="P17" s="228"/>
      <c r="Q17" s="228"/>
      <c r="R17" s="228"/>
      <c r="S17" s="228"/>
      <c r="T17" s="125"/>
      <c r="U17" s="279">
        <v>15</v>
      </c>
      <c r="V17" s="339" t="s">
        <v>869</v>
      </c>
      <c r="W17" s="338">
        <v>15</v>
      </c>
      <c r="X17" s="125"/>
      <c r="Y17" s="125"/>
      <c r="Z17" s="125"/>
    </row>
    <row r="18" spans="1:26">
      <c r="A18" s="130">
        <v>6</v>
      </c>
      <c r="B18" s="125"/>
      <c r="C18" s="141"/>
      <c r="D18" s="149"/>
      <c r="E18" s="149"/>
      <c r="F18" s="149"/>
      <c r="G18" s="161"/>
      <c r="H18" s="163"/>
      <c r="I18" s="163"/>
      <c r="J18" s="149"/>
      <c r="K18" s="125"/>
      <c r="L18" s="141"/>
      <c r="M18" s="153"/>
      <c r="N18" s="125"/>
      <c r="O18" s="228"/>
      <c r="P18" s="228"/>
      <c r="Q18" s="228"/>
      <c r="R18" s="228"/>
      <c r="S18" s="228"/>
      <c r="T18" s="125"/>
      <c r="U18" s="279">
        <v>16</v>
      </c>
      <c r="V18" s="340" t="s">
        <v>869</v>
      </c>
      <c r="W18" s="338">
        <v>16</v>
      </c>
      <c r="X18" s="125"/>
      <c r="Y18" s="125"/>
      <c r="Z18" s="125"/>
    </row>
    <row r="19" spans="1:26">
      <c r="A19" s="130">
        <v>7</v>
      </c>
      <c r="B19" s="125"/>
      <c r="C19" s="141"/>
      <c r="D19" s="147"/>
      <c r="E19" s="147"/>
      <c r="F19" s="147"/>
      <c r="G19" s="161"/>
      <c r="H19" s="133"/>
      <c r="I19" s="133"/>
      <c r="J19" s="147"/>
      <c r="K19" s="125"/>
      <c r="L19" s="141"/>
      <c r="M19" s="147"/>
      <c r="N19" s="125"/>
      <c r="T19" s="125"/>
      <c r="U19" s="280">
        <v>17</v>
      </c>
      <c r="V19" s="336"/>
      <c r="W19" s="338">
        <v>17</v>
      </c>
      <c r="X19" s="125"/>
      <c r="Y19" s="125"/>
      <c r="Z19" s="125"/>
    </row>
    <row r="20" spans="1:26">
      <c r="A20" s="130">
        <v>8</v>
      </c>
      <c r="B20" s="125"/>
      <c r="C20" s="141"/>
      <c r="D20" s="149"/>
      <c r="E20" s="149"/>
      <c r="F20" s="149"/>
      <c r="G20" s="161"/>
      <c r="H20" s="163"/>
      <c r="I20" s="163"/>
      <c r="J20" s="149"/>
      <c r="K20" s="125"/>
      <c r="L20" s="141"/>
      <c r="M20" s="153"/>
      <c r="N20" s="125"/>
      <c r="T20" s="125"/>
      <c r="U20" s="280">
        <v>18</v>
      </c>
      <c r="V20" s="336"/>
      <c r="W20" s="338">
        <v>18</v>
      </c>
      <c r="X20" s="125"/>
      <c r="Y20" s="125"/>
      <c r="Z20" s="125"/>
    </row>
    <row r="21" spans="1:26">
      <c r="A21" s="130">
        <v>9</v>
      </c>
      <c r="B21" s="125"/>
      <c r="C21" s="141"/>
      <c r="D21" s="147"/>
      <c r="E21" s="147"/>
      <c r="F21" s="147"/>
      <c r="G21" s="161"/>
      <c r="H21" s="133"/>
      <c r="I21" s="133"/>
      <c r="J21" s="147"/>
      <c r="K21" s="125"/>
      <c r="L21" s="141"/>
      <c r="M21" s="147"/>
      <c r="N21" s="125"/>
      <c r="T21" s="125"/>
      <c r="U21" s="280">
        <v>19</v>
      </c>
      <c r="V21" s="336"/>
      <c r="W21" s="338">
        <v>19</v>
      </c>
      <c r="X21" s="125"/>
      <c r="Y21" s="125"/>
      <c r="Z21" s="125"/>
    </row>
    <row r="22" spans="1:26">
      <c r="A22" s="130">
        <v>10</v>
      </c>
      <c r="B22" s="125"/>
      <c r="C22" s="141"/>
      <c r="D22" s="149"/>
      <c r="E22" s="149"/>
      <c r="F22" s="149"/>
      <c r="G22" s="161"/>
      <c r="H22" s="163"/>
      <c r="I22" s="163"/>
      <c r="J22" s="149"/>
      <c r="K22" s="125"/>
      <c r="L22" s="141"/>
      <c r="M22" s="153"/>
      <c r="N22" s="125"/>
      <c r="T22" s="125"/>
      <c r="U22" s="280">
        <v>20</v>
      </c>
      <c r="V22" s="336"/>
      <c r="W22" s="338">
        <v>20</v>
      </c>
      <c r="X22" s="125"/>
      <c r="Y22" s="125"/>
      <c r="Z22" s="125"/>
    </row>
    <row r="23" spans="1:26">
      <c r="A23" s="130">
        <v>11</v>
      </c>
      <c r="B23" s="125"/>
      <c r="C23" s="141"/>
      <c r="D23" s="147"/>
      <c r="E23" s="147"/>
      <c r="F23" s="147"/>
      <c r="G23" s="161"/>
      <c r="H23" s="133"/>
      <c r="I23" s="133"/>
      <c r="J23" s="147"/>
      <c r="K23" s="125"/>
      <c r="L23" s="141"/>
      <c r="M23" s="147"/>
      <c r="N23" s="125"/>
      <c r="T23" s="125"/>
      <c r="U23" s="280">
        <v>21</v>
      </c>
      <c r="V23" s="336"/>
      <c r="W23" s="338">
        <v>21</v>
      </c>
      <c r="X23" s="125"/>
      <c r="Y23" s="125"/>
      <c r="Z23" s="125"/>
    </row>
    <row r="24" spans="1:26">
      <c r="A24" s="130">
        <v>12</v>
      </c>
      <c r="B24" s="125"/>
      <c r="C24" s="141"/>
      <c r="D24" s="149"/>
      <c r="E24" s="149"/>
      <c r="F24" s="149"/>
      <c r="G24" s="161"/>
      <c r="H24" s="163"/>
      <c r="I24" s="163"/>
      <c r="J24" s="149"/>
      <c r="K24" s="125"/>
      <c r="L24" s="141"/>
      <c r="M24" s="153"/>
      <c r="N24" s="125"/>
      <c r="T24" s="125"/>
      <c r="U24" s="280">
        <v>22</v>
      </c>
      <c r="V24" s="336"/>
      <c r="W24" s="338">
        <v>22</v>
      </c>
      <c r="X24" s="125"/>
      <c r="Y24" s="125"/>
      <c r="Z24" s="125"/>
    </row>
    <row r="25" spans="1:26">
      <c r="A25" s="130">
        <v>13</v>
      </c>
      <c r="B25" s="125"/>
      <c r="C25" s="141"/>
      <c r="D25" s="147"/>
      <c r="E25" s="147"/>
      <c r="F25" s="147"/>
      <c r="G25" s="161"/>
      <c r="H25" s="133"/>
      <c r="I25" s="133"/>
      <c r="J25" s="147"/>
      <c r="K25" s="125"/>
      <c r="L25" s="141"/>
      <c r="M25" s="147"/>
      <c r="N25" s="125"/>
      <c r="T25" s="125"/>
      <c r="U25" s="280">
        <v>23</v>
      </c>
      <c r="V25" s="336"/>
      <c r="W25" s="338">
        <v>23</v>
      </c>
      <c r="X25" s="125"/>
      <c r="Y25" s="125"/>
      <c r="Z25" s="125"/>
    </row>
    <row r="26" spans="1:26">
      <c r="A26" s="130">
        <v>14</v>
      </c>
      <c r="B26" s="125"/>
      <c r="C26" s="141"/>
      <c r="D26" s="149"/>
      <c r="E26" s="149"/>
      <c r="F26" s="149"/>
      <c r="G26" s="161"/>
      <c r="H26" s="163"/>
      <c r="I26" s="163"/>
      <c r="J26" s="149"/>
      <c r="K26" s="125"/>
      <c r="L26" s="141"/>
      <c r="M26" s="153"/>
      <c r="N26" s="125"/>
      <c r="T26" s="125"/>
      <c r="U26" s="280">
        <v>24</v>
      </c>
      <c r="V26" s="336"/>
      <c r="W26" s="338">
        <v>24</v>
      </c>
      <c r="X26" s="125"/>
      <c r="Y26" s="125"/>
      <c r="Z26" s="125"/>
    </row>
    <row r="27" spans="1:26">
      <c r="A27" s="130">
        <v>15</v>
      </c>
      <c r="B27" s="125"/>
      <c r="C27" s="141"/>
      <c r="D27" s="147"/>
      <c r="E27" s="147"/>
      <c r="F27" s="147"/>
      <c r="G27" s="161"/>
      <c r="H27" s="133"/>
      <c r="I27" s="133"/>
      <c r="J27" s="147"/>
      <c r="K27" s="125"/>
      <c r="L27" s="141"/>
      <c r="M27" s="147"/>
      <c r="N27" s="125"/>
      <c r="T27" s="125"/>
      <c r="U27" s="280">
        <v>25</v>
      </c>
      <c r="V27" s="336" t="s">
        <v>870</v>
      </c>
      <c r="W27" s="338">
        <v>25</v>
      </c>
      <c r="X27" s="125"/>
      <c r="Y27" s="125"/>
      <c r="Z27" s="125"/>
    </row>
    <row r="28" spans="1:26">
      <c r="A28" s="130">
        <v>16</v>
      </c>
      <c r="B28" s="125"/>
      <c r="C28" s="141"/>
      <c r="D28" s="149"/>
      <c r="E28" s="149"/>
      <c r="F28" s="149"/>
      <c r="G28" s="161"/>
      <c r="H28" s="163"/>
      <c r="I28" s="163"/>
      <c r="J28" s="149"/>
      <c r="K28" s="125"/>
      <c r="L28" s="141"/>
      <c r="M28" s="153"/>
      <c r="N28" s="125"/>
      <c r="T28" s="125"/>
      <c r="U28" s="280">
        <v>26</v>
      </c>
      <c r="V28" s="336"/>
      <c r="W28" s="338">
        <v>26</v>
      </c>
      <c r="X28" s="125"/>
      <c r="Y28" s="125"/>
      <c r="Z28" s="125"/>
    </row>
    <row r="29" spans="1:26">
      <c r="A29" s="130">
        <v>17</v>
      </c>
      <c r="B29" s="125"/>
      <c r="C29" s="141"/>
      <c r="D29" s="147"/>
      <c r="E29" s="147"/>
      <c r="F29" s="147"/>
      <c r="G29" s="161"/>
      <c r="H29" s="133"/>
      <c r="I29" s="133"/>
      <c r="J29" s="147"/>
      <c r="K29" s="125"/>
      <c r="L29" s="141"/>
      <c r="M29" s="147"/>
      <c r="N29" s="125"/>
      <c r="T29" s="125"/>
      <c r="U29" s="280">
        <v>27</v>
      </c>
      <c r="V29" s="336"/>
      <c r="W29" s="338">
        <v>27</v>
      </c>
      <c r="X29" s="125"/>
      <c r="Y29" s="125"/>
      <c r="Z29" s="125"/>
    </row>
    <row r="30" spans="1:26">
      <c r="A30" s="130">
        <v>18</v>
      </c>
      <c r="B30" s="125"/>
      <c r="C30" s="141"/>
      <c r="D30" s="149"/>
      <c r="E30" s="149"/>
      <c r="F30" s="149"/>
      <c r="G30" s="161"/>
      <c r="H30" s="163"/>
      <c r="I30" s="163"/>
      <c r="J30" s="149"/>
      <c r="K30" s="125"/>
      <c r="L30" s="141"/>
      <c r="M30" s="153"/>
      <c r="N30" s="125"/>
      <c r="T30" s="125"/>
      <c r="U30" s="280">
        <v>28</v>
      </c>
      <c r="V30" s="336"/>
      <c r="W30" s="338">
        <v>28</v>
      </c>
      <c r="X30" s="125"/>
      <c r="Y30" s="125"/>
      <c r="Z30" s="125"/>
    </row>
    <row r="31" spans="1:26">
      <c r="A31" s="130">
        <v>19</v>
      </c>
      <c r="B31" s="125"/>
      <c r="C31" s="141"/>
      <c r="D31" s="147"/>
      <c r="E31" s="147"/>
      <c r="F31" s="147"/>
      <c r="G31" s="161"/>
      <c r="H31" s="133"/>
      <c r="I31" s="133"/>
      <c r="J31" s="147"/>
      <c r="K31" s="125"/>
      <c r="L31" s="141"/>
      <c r="M31" s="147"/>
      <c r="N31" s="125"/>
      <c r="T31" s="125"/>
      <c r="U31" s="280">
        <v>29</v>
      </c>
      <c r="V31" s="336"/>
      <c r="W31" s="338">
        <v>29</v>
      </c>
      <c r="X31" s="125"/>
      <c r="Y31" s="125"/>
      <c r="Z31" s="125"/>
    </row>
    <row r="32" spans="1:26">
      <c r="A32" s="130">
        <v>20</v>
      </c>
      <c r="B32" s="125"/>
      <c r="C32" s="141"/>
      <c r="D32" s="149"/>
      <c r="E32" s="149"/>
      <c r="F32" s="149"/>
      <c r="G32" s="161"/>
      <c r="H32" s="163"/>
      <c r="I32" s="163"/>
      <c r="J32" s="149"/>
      <c r="K32" s="125"/>
      <c r="L32" s="141"/>
      <c r="M32" s="153"/>
      <c r="N32" s="125"/>
      <c r="T32" s="125"/>
      <c r="U32" s="280">
        <v>30</v>
      </c>
      <c r="V32" s="336"/>
      <c r="W32" s="338">
        <v>30</v>
      </c>
      <c r="X32" s="125"/>
      <c r="Y32" s="125"/>
      <c r="Z32" s="125"/>
    </row>
    <row r="33" spans="1:26">
      <c r="A33" s="130">
        <v>21</v>
      </c>
      <c r="B33" s="125"/>
      <c r="C33" s="141"/>
      <c r="D33" s="147"/>
      <c r="E33" s="147"/>
      <c r="F33" s="147"/>
      <c r="G33" s="161"/>
      <c r="H33" s="133"/>
      <c r="I33" s="133"/>
      <c r="J33" s="147"/>
      <c r="K33" s="125"/>
      <c r="L33" s="141"/>
      <c r="M33" s="147"/>
      <c r="N33" s="125"/>
      <c r="T33" s="125"/>
      <c r="U33" s="280">
        <v>31</v>
      </c>
      <c r="V33" s="336"/>
      <c r="W33" s="338">
        <v>31</v>
      </c>
      <c r="X33" s="125"/>
      <c r="Y33" s="125"/>
      <c r="Z33" s="125"/>
    </row>
    <row r="34" spans="1:26">
      <c r="A34" s="130">
        <v>22</v>
      </c>
      <c r="B34" s="125"/>
      <c r="C34" s="141"/>
      <c r="D34" s="149"/>
      <c r="E34" s="149"/>
      <c r="F34" s="149"/>
      <c r="G34" s="161"/>
      <c r="H34" s="163"/>
      <c r="I34" s="163"/>
      <c r="J34" s="149"/>
      <c r="K34" s="125"/>
      <c r="L34" s="141"/>
      <c r="M34" s="153"/>
      <c r="N34" s="125"/>
      <c r="T34" s="125"/>
      <c r="U34" s="280">
        <v>32</v>
      </c>
      <c r="V34" s="336"/>
      <c r="W34" s="338">
        <v>32</v>
      </c>
      <c r="X34" s="125"/>
      <c r="Y34" s="125"/>
      <c r="Z34" s="125"/>
    </row>
    <row r="35" spans="1:26">
      <c r="A35" s="130">
        <v>23</v>
      </c>
      <c r="B35" s="125"/>
      <c r="C35" s="141"/>
      <c r="D35" s="147"/>
      <c r="E35" s="147"/>
      <c r="F35" s="147"/>
      <c r="G35" s="161"/>
      <c r="H35" s="133"/>
      <c r="I35" s="133"/>
      <c r="J35" s="147"/>
      <c r="K35" s="125"/>
      <c r="L35" s="141"/>
      <c r="M35" s="147"/>
      <c r="N35" s="125"/>
      <c r="T35" s="125"/>
      <c r="U35" s="341"/>
      <c r="V35" s="336"/>
      <c r="W35" s="338">
        <v>33</v>
      </c>
      <c r="X35" s="125"/>
      <c r="Y35" s="125"/>
      <c r="Z35" s="125"/>
    </row>
    <row r="36" spans="1:26">
      <c r="A36" s="130">
        <v>24</v>
      </c>
      <c r="B36" s="125"/>
      <c r="C36" s="141"/>
      <c r="D36" s="149"/>
      <c r="E36" s="149"/>
      <c r="F36" s="149"/>
      <c r="G36" s="161"/>
      <c r="H36" s="163"/>
      <c r="I36" s="163"/>
      <c r="J36" s="149"/>
      <c r="K36" s="125"/>
      <c r="L36" s="141"/>
      <c r="M36" s="153"/>
      <c r="N36" s="125"/>
      <c r="T36" s="125"/>
      <c r="U36" s="341"/>
      <c r="V36" s="336"/>
      <c r="W36" s="338">
        <v>34</v>
      </c>
      <c r="X36" s="125"/>
      <c r="Y36" s="125"/>
      <c r="Z36" s="125"/>
    </row>
    <row r="37" spans="1:26">
      <c r="A37" s="130">
        <v>25</v>
      </c>
      <c r="B37" s="125"/>
      <c r="C37" s="141"/>
      <c r="D37" s="147"/>
      <c r="E37" s="147"/>
      <c r="F37" s="147"/>
      <c r="G37" s="161"/>
      <c r="H37" s="133"/>
      <c r="I37" s="133"/>
      <c r="J37" s="147"/>
      <c r="K37" s="125"/>
      <c r="L37" s="141"/>
      <c r="M37" s="147"/>
      <c r="N37" s="125"/>
      <c r="T37" s="125"/>
      <c r="U37" s="341"/>
      <c r="V37" s="342" t="s">
        <v>1096</v>
      </c>
      <c r="W37" s="341"/>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341"/>
      <c r="V38" s="336"/>
      <c r="W38" s="341"/>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341"/>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341"/>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341"/>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11">
    <mergeCell ref="G11:I11"/>
    <mergeCell ref="C7:J7"/>
    <mergeCell ref="C11:E11"/>
    <mergeCell ref="L11:M11"/>
    <mergeCell ref="C6:D6"/>
    <mergeCell ref="L4:M4"/>
    <mergeCell ref="L5:M5"/>
    <mergeCell ref="C5:E5"/>
    <mergeCell ref="C4:J4"/>
    <mergeCell ref="F5:I5"/>
    <mergeCell ref="H6:I6"/>
  </mergeCells>
  <hyperlinks>
    <hyperlink ref="A1" location="IGAP!A1" display="IGAP!A1"/>
  </hyperlinks>
  <pageMargins left="0.7" right="0.7" top="0.75" bottom="0.75" header="0.3" footer="0.3"/>
  <pageSetup paperSize="9" scale="55" orientation="landscape"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M57"/>
  <sheetViews>
    <sheetView zoomScale="90" zoomScaleNormal="90" workbookViewId="0">
      <selection activeCell="C13" sqref="C13:AJ17"/>
    </sheetView>
  </sheetViews>
  <sheetFormatPr baseColWidth="10" defaultRowHeight="15.75" customHeight="1"/>
  <cols>
    <col min="1" max="1" width="13.28515625" style="127" bestFit="1" customWidth="1"/>
    <col min="2" max="2" width="1.7109375" style="159" customWidth="1"/>
    <col min="3" max="3" width="13.7109375" style="127" customWidth="1"/>
    <col min="4" max="4" width="11.7109375" style="127" customWidth="1"/>
    <col min="5" max="5" width="8" style="127" customWidth="1"/>
    <col min="6" max="6" width="1.7109375" style="127" customWidth="1"/>
    <col min="7" max="7" width="9" style="127" bestFit="1" customWidth="1"/>
    <col min="8" max="8" width="6.5703125" style="127" bestFit="1" customWidth="1"/>
    <col min="9" max="9" width="5" style="127" bestFit="1" customWidth="1"/>
    <col min="10" max="10" width="11.5703125" style="127" bestFit="1" customWidth="1"/>
    <col min="11" max="11" width="13.7109375" style="127" bestFit="1" customWidth="1"/>
    <col min="12" max="12" width="1.7109375" style="127" customWidth="1"/>
    <col min="13" max="13" width="9" style="127" bestFit="1" customWidth="1"/>
    <col min="14" max="14" width="6.5703125" style="127" bestFit="1" customWidth="1"/>
    <col min="15" max="15" width="6.85546875" style="127" bestFit="1" customWidth="1"/>
    <col min="16" max="16" width="11.5703125" style="127" bestFit="1" customWidth="1"/>
    <col min="17" max="17" width="13.7109375" style="127" bestFit="1" customWidth="1"/>
    <col min="18" max="18" width="1.7109375" style="127" customWidth="1"/>
    <col min="19" max="19" width="11.5703125" style="127" bestFit="1" customWidth="1"/>
    <col min="20" max="20" width="7.85546875" style="127" bestFit="1" customWidth="1"/>
    <col min="21" max="21" width="11.5703125" style="127" bestFit="1" customWidth="1"/>
    <col min="22" max="22" width="7.85546875" style="127" bestFit="1" customWidth="1"/>
    <col min="23" max="23" width="7.140625" style="127" bestFit="1" customWidth="1"/>
    <col min="24" max="24" width="10.42578125" style="127" bestFit="1" customWidth="1"/>
    <col min="25" max="25" width="1.7109375" style="127" customWidth="1"/>
    <col min="26" max="26" width="11.5703125" style="127" bestFit="1" customWidth="1"/>
    <col min="27" max="27" width="7.85546875" style="127" bestFit="1" customWidth="1"/>
    <col min="28" max="28" width="7.140625" style="127" bestFit="1" customWidth="1"/>
    <col min="29" max="29" width="10.7109375" style="127" customWidth="1"/>
    <col min="30" max="30" width="12.28515625" style="127" bestFit="1" customWidth="1"/>
    <col min="31" max="31" width="1.7109375" style="127" customWidth="1"/>
    <col min="32" max="32" width="11.5703125" style="127" bestFit="1" customWidth="1"/>
    <col min="33" max="34" width="7.140625" style="127" bestFit="1" customWidth="1"/>
    <col min="35" max="35" width="16.140625" style="127" customWidth="1"/>
    <col min="36" max="36" width="12.28515625" style="127" bestFit="1" customWidth="1"/>
    <col min="37" max="37" width="1.7109375" style="127" customWidth="1"/>
    <col min="38" max="38" width="27" style="159" bestFit="1" customWidth="1"/>
    <col min="39" max="16384" width="11.42578125" style="159"/>
  </cols>
  <sheetData>
    <row r="1" spans="1:39" ht="15.75" customHeigh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66"/>
      <c r="AM1" s="125"/>
    </row>
    <row r="2" spans="1:39" ht="21">
      <c r="A2" s="13" t="s">
        <v>444</v>
      </c>
      <c r="B2" s="125"/>
      <c r="C2" s="241" t="s">
        <v>555</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125"/>
      <c r="AL2" s="166"/>
      <c r="AM2" s="125"/>
    </row>
    <row r="3" spans="1:39" ht="15.75" customHeight="1"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66"/>
      <c r="AM3" s="125"/>
    </row>
    <row r="4" spans="1:39" ht="15.75" customHeight="1" thickBot="1">
      <c r="A4" s="35" t="s">
        <v>446</v>
      </c>
      <c r="B4" s="125"/>
      <c r="C4" s="1645" t="s">
        <v>538</v>
      </c>
      <c r="D4" s="1646"/>
      <c r="E4" s="1646"/>
      <c r="F4" s="125"/>
      <c r="G4" s="1645" t="s">
        <v>538</v>
      </c>
      <c r="H4" s="1646"/>
      <c r="I4" s="1646"/>
      <c r="J4" s="1646"/>
      <c r="K4" s="1647"/>
      <c r="L4" s="125"/>
      <c r="M4" s="1645" t="s">
        <v>538</v>
      </c>
      <c r="N4" s="1646"/>
      <c r="O4" s="1646"/>
      <c r="P4" s="1646"/>
      <c r="Q4" s="1647"/>
      <c r="R4" s="125"/>
      <c r="S4" s="1661" t="s">
        <v>538</v>
      </c>
      <c r="T4" s="1655"/>
      <c r="U4" s="1655"/>
      <c r="V4" s="1655"/>
      <c r="W4" s="1655"/>
      <c r="X4" s="1662"/>
      <c r="Y4" s="125"/>
      <c r="Z4" s="1648" t="s">
        <v>538</v>
      </c>
      <c r="AA4" s="1649"/>
      <c r="AB4" s="1649"/>
      <c r="AC4" s="1649"/>
      <c r="AD4" s="1650"/>
      <c r="AE4" s="125"/>
      <c r="AF4" s="1645" t="s">
        <v>538</v>
      </c>
      <c r="AG4" s="1646"/>
      <c r="AH4" s="1646"/>
      <c r="AI4" s="1646"/>
      <c r="AJ4" s="1647"/>
      <c r="AK4" s="125"/>
      <c r="AL4" s="166"/>
      <c r="AM4" s="166"/>
    </row>
    <row r="5" spans="1:39" ht="15.75" customHeight="1" thickBot="1">
      <c r="A5" s="135" t="s">
        <v>445</v>
      </c>
      <c r="B5" s="125"/>
      <c r="C5" s="1645" t="s">
        <v>513</v>
      </c>
      <c r="D5" s="1646"/>
      <c r="E5" s="1646"/>
      <c r="F5" s="125"/>
      <c r="G5" s="1645" t="s">
        <v>512</v>
      </c>
      <c r="H5" s="1646"/>
      <c r="I5" s="1646"/>
      <c r="J5" s="1646"/>
      <c r="K5" s="1647"/>
      <c r="L5" s="125"/>
      <c r="M5" s="1645" t="s">
        <v>511</v>
      </c>
      <c r="N5" s="1646"/>
      <c r="O5" s="1646"/>
      <c r="P5" s="1646"/>
      <c r="Q5" s="1647"/>
      <c r="R5" s="125"/>
      <c r="S5" s="1661" t="s">
        <v>542</v>
      </c>
      <c r="T5" s="1655"/>
      <c r="U5" s="1655"/>
      <c r="V5" s="1655"/>
      <c r="W5" s="1655"/>
      <c r="X5" s="1662"/>
      <c r="Y5" s="125"/>
      <c r="Z5" s="1648" t="s">
        <v>620</v>
      </c>
      <c r="AA5" s="1649"/>
      <c r="AB5" s="1649"/>
      <c r="AC5" s="1649"/>
      <c r="AD5" s="1650"/>
      <c r="AE5" s="125"/>
      <c r="AF5" s="1645" t="s">
        <v>510</v>
      </c>
      <c r="AG5" s="1646"/>
      <c r="AH5" s="1646"/>
      <c r="AI5" s="1646"/>
      <c r="AJ5" s="1647"/>
      <c r="AK5" s="125"/>
      <c r="AL5" s="166"/>
      <c r="AM5" s="166"/>
    </row>
    <row r="6" spans="1:39" ht="15.75" customHeight="1" thickBot="1">
      <c r="A6" s="125"/>
      <c r="B6" s="125"/>
      <c r="C6" s="125"/>
      <c r="D6" s="1661" t="s">
        <v>436</v>
      </c>
      <c r="E6" s="1662"/>
      <c r="F6" s="125"/>
      <c r="G6" s="125"/>
      <c r="H6" s="1645" t="s">
        <v>441</v>
      </c>
      <c r="I6" s="1647"/>
      <c r="J6" s="125"/>
      <c r="K6" s="247" t="s">
        <v>649</v>
      </c>
      <c r="L6" s="125"/>
      <c r="M6" s="125"/>
      <c r="N6" s="1645" t="s">
        <v>441</v>
      </c>
      <c r="O6" s="1647"/>
      <c r="P6" s="125"/>
      <c r="Q6" s="247" t="s">
        <v>649</v>
      </c>
      <c r="R6" s="125"/>
      <c r="S6" s="125"/>
      <c r="T6" s="248" t="s">
        <v>435</v>
      </c>
      <c r="U6" s="125"/>
      <c r="V6" s="1648" t="s">
        <v>436</v>
      </c>
      <c r="W6" s="1650"/>
      <c r="X6" s="248" t="s">
        <v>774</v>
      </c>
      <c r="Y6" s="125"/>
      <c r="Z6" s="125"/>
      <c r="AA6" s="1661" t="s">
        <v>436</v>
      </c>
      <c r="AB6" s="1662"/>
      <c r="AC6" s="125"/>
      <c r="AD6" s="250" t="s">
        <v>774</v>
      </c>
      <c r="AE6" s="125"/>
      <c r="AF6" s="125"/>
      <c r="AG6" s="1678" t="s">
        <v>436</v>
      </c>
      <c r="AH6" s="1679"/>
      <c r="AI6" s="125"/>
      <c r="AJ6" s="253" t="s">
        <v>774</v>
      </c>
      <c r="AK6" s="125"/>
      <c r="AL6" s="166"/>
      <c r="AM6" s="166"/>
    </row>
    <row r="7" spans="1:39" ht="15.75" customHeight="1" thickBot="1">
      <c r="A7" s="125"/>
      <c r="B7" s="125"/>
      <c r="C7" s="1656" t="s">
        <v>846</v>
      </c>
      <c r="D7" s="1656"/>
      <c r="E7" s="1656"/>
      <c r="F7" s="125"/>
      <c r="G7" s="1657" t="s">
        <v>222</v>
      </c>
      <c r="H7" s="1658"/>
      <c r="I7" s="1658"/>
      <c r="J7" s="1658"/>
      <c r="K7" s="1658"/>
      <c r="L7" s="125"/>
      <c r="M7" s="1657" t="s">
        <v>220</v>
      </c>
      <c r="N7" s="1658"/>
      <c r="O7" s="1658"/>
      <c r="P7" s="1658"/>
      <c r="Q7" s="1658"/>
      <c r="R7" s="125"/>
      <c r="S7" s="1657" t="s">
        <v>842</v>
      </c>
      <c r="T7" s="1658"/>
      <c r="U7" s="1658"/>
      <c r="V7" s="1658"/>
      <c r="W7" s="1658"/>
      <c r="X7" s="1658"/>
      <c r="Y7" s="125"/>
      <c r="Z7" s="1657" t="s">
        <v>844</v>
      </c>
      <c r="AA7" s="1658"/>
      <c r="AB7" s="1658"/>
      <c r="AC7" s="1658"/>
      <c r="AD7" s="1658"/>
      <c r="AE7" s="125"/>
      <c r="AF7" s="1657" t="s">
        <v>845</v>
      </c>
      <c r="AG7" s="1658"/>
      <c r="AH7" s="1658"/>
      <c r="AI7" s="1658"/>
      <c r="AJ7" s="1658"/>
      <c r="AK7" s="125"/>
      <c r="AL7" s="166"/>
      <c r="AM7" s="167"/>
    </row>
    <row r="8" spans="1:39" ht="15.75" customHeight="1" thickBot="1">
      <c r="A8" s="146" t="s">
        <v>645</v>
      </c>
      <c r="B8" s="125"/>
      <c r="C8" s="146" t="s">
        <v>636</v>
      </c>
      <c r="D8" s="146" t="s">
        <v>426</v>
      </c>
      <c r="E8" s="146" t="s">
        <v>427</v>
      </c>
      <c r="F8" s="125"/>
      <c r="G8" s="146" t="s">
        <v>636</v>
      </c>
      <c r="H8" s="146" t="s">
        <v>426</v>
      </c>
      <c r="I8" s="146" t="s">
        <v>427</v>
      </c>
      <c r="J8" s="146" t="s">
        <v>636</v>
      </c>
      <c r="K8" s="146" t="s">
        <v>430</v>
      </c>
      <c r="L8" s="125"/>
      <c r="M8" s="146" t="s">
        <v>636</v>
      </c>
      <c r="N8" s="146" t="s">
        <v>426</v>
      </c>
      <c r="O8" s="146" t="s">
        <v>427</v>
      </c>
      <c r="P8" s="146" t="s">
        <v>636</v>
      </c>
      <c r="Q8" s="146" t="s">
        <v>430</v>
      </c>
      <c r="R8" s="125"/>
      <c r="S8" s="146" t="s">
        <v>636</v>
      </c>
      <c r="T8" s="146" t="s">
        <v>426</v>
      </c>
      <c r="U8" s="146" t="s">
        <v>636</v>
      </c>
      <c r="V8" s="146" t="s">
        <v>426</v>
      </c>
      <c r="W8" s="154" t="s">
        <v>427</v>
      </c>
      <c r="X8" s="146" t="s">
        <v>437</v>
      </c>
      <c r="Y8" s="125"/>
      <c r="Z8" s="146" t="s">
        <v>636</v>
      </c>
      <c r="AA8" s="146" t="s">
        <v>426</v>
      </c>
      <c r="AB8" s="146" t="s">
        <v>427</v>
      </c>
      <c r="AC8" s="154" t="s">
        <v>638</v>
      </c>
      <c r="AD8" s="154" t="s">
        <v>637</v>
      </c>
      <c r="AE8" s="125"/>
      <c r="AF8" s="146" t="s">
        <v>636</v>
      </c>
      <c r="AG8" s="146" t="s">
        <v>426</v>
      </c>
      <c r="AH8" s="146" t="s">
        <v>427</v>
      </c>
      <c r="AI8" s="154" t="s">
        <v>638</v>
      </c>
      <c r="AJ8" s="154" t="s">
        <v>637</v>
      </c>
      <c r="AK8" s="155"/>
      <c r="AL8" s="166"/>
      <c r="AM8" s="167"/>
    </row>
    <row r="9" spans="1:39" s="160" customFormat="1" ht="15.75" customHeight="1">
      <c r="A9" s="216" t="s">
        <v>644</v>
      </c>
      <c r="B9" s="126"/>
      <c r="C9" s="126"/>
      <c r="D9" s="236">
        <v>1</v>
      </c>
      <c r="E9" s="236">
        <v>1</v>
      </c>
      <c r="F9" s="126"/>
      <c r="G9" s="126"/>
      <c r="H9" s="236">
        <v>1</v>
      </c>
      <c r="I9" s="236">
        <v>1</v>
      </c>
      <c r="J9" s="126"/>
      <c r="K9" s="236">
        <v>1</v>
      </c>
      <c r="L9" s="126"/>
      <c r="M9" s="126"/>
      <c r="N9" s="236">
        <v>1</v>
      </c>
      <c r="O9" s="236">
        <v>1</v>
      </c>
      <c r="P9" s="126"/>
      <c r="Q9" s="236">
        <v>1</v>
      </c>
      <c r="R9" s="126"/>
      <c r="S9" s="126"/>
      <c r="T9" s="236">
        <v>1</v>
      </c>
      <c r="U9" s="126"/>
      <c r="V9" s="236">
        <v>1</v>
      </c>
      <c r="W9" s="236">
        <v>1</v>
      </c>
      <c r="X9" s="236">
        <v>0</v>
      </c>
      <c r="Y9" s="126"/>
      <c r="Z9" s="126"/>
      <c r="AA9" s="236">
        <v>1</v>
      </c>
      <c r="AB9" s="236">
        <v>1</v>
      </c>
      <c r="AC9" s="237"/>
      <c r="AD9" s="236">
        <v>1</v>
      </c>
      <c r="AE9" s="126"/>
      <c r="AF9" s="126"/>
      <c r="AG9" s="236">
        <v>1</v>
      </c>
      <c r="AH9" s="236">
        <v>1</v>
      </c>
      <c r="AI9" s="237"/>
      <c r="AJ9" s="236">
        <v>1</v>
      </c>
      <c r="AK9" s="126"/>
      <c r="AL9" s="168"/>
      <c r="AM9" s="168"/>
    </row>
    <row r="10" spans="1:39" s="226" customFormat="1" ht="15.75" customHeight="1">
      <c r="A10" s="220" t="s">
        <v>642</v>
      </c>
      <c r="B10" s="221"/>
      <c r="C10" s="221"/>
      <c r="D10" s="222">
        <f>COUNT(D13:D37)</f>
        <v>3</v>
      </c>
      <c r="E10" s="222">
        <f>COUNT(E13:E37)</f>
        <v>3</v>
      </c>
      <c r="F10" s="221"/>
      <c r="G10" s="221"/>
      <c r="H10" s="222">
        <f>COUNT(H13:H37)</f>
        <v>3</v>
      </c>
      <c r="I10" s="222">
        <f>COUNT(I13:I37)</f>
        <v>3</v>
      </c>
      <c r="J10" s="221"/>
      <c r="K10" s="222">
        <f>COUNT(K13:K37)</f>
        <v>4</v>
      </c>
      <c r="L10" s="221"/>
      <c r="M10" s="221"/>
      <c r="N10" s="222">
        <f>COUNT(N13:N37)</f>
        <v>2</v>
      </c>
      <c r="O10" s="222">
        <f>COUNT(O13:O37)</f>
        <v>2</v>
      </c>
      <c r="P10" s="221"/>
      <c r="Q10" s="222">
        <f>COUNT(Q13:Q37)</f>
        <v>4</v>
      </c>
      <c r="R10" s="221"/>
      <c r="S10" s="221"/>
      <c r="T10" s="222">
        <f>COUNT(T13:T37)</f>
        <v>5</v>
      </c>
      <c r="U10" s="221"/>
      <c r="V10" s="222">
        <f>COUNT(V13:V37)</f>
        <v>5</v>
      </c>
      <c r="W10" s="222">
        <f>COUNT(W13:W37)</f>
        <v>5</v>
      </c>
      <c r="X10" s="222">
        <f>COUNT(X13:X37)</f>
        <v>1</v>
      </c>
      <c r="Y10" s="221"/>
      <c r="Z10" s="221"/>
      <c r="AA10" s="222">
        <f>COUNT(AA13:AA37)</f>
        <v>3</v>
      </c>
      <c r="AB10" s="222">
        <f>COUNT(AB13:AB37)</f>
        <v>3</v>
      </c>
      <c r="AC10" s="222"/>
      <c r="AD10" s="222">
        <f>COUNT(AD13:AD37)</f>
        <v>2</v>
      </c>
      <c r="AE10" s="221"/>
      <c r="AF10" s="221"/>
      <c r="AG10" s="222">
        <f>COUNT(AG13:AG37)</f>
        <v>3</v>
      </c>
      <c r="AH10" s="222">
        <f>COUNT(AH13:AH37)</f>
        <v>3</v>
      </c>
      <c r="AI10" s="222"/>
      <c r="AJ10" s="222">
        <f>COUNT(AJ13:AJ37)</f>
        <v>2</v>
      </c>
      <c r="AK10" s="221"/>
      <c r="AL10" s="225"/>
      <c r="AM10" s="225"/>
    </row>
    <row r="11" spans="1:39" s="226" customFormat="1" ht="15.75" customHeight="1">
      <c r="A11" s="223" t="s">
        <v>643</v>
      </c>
      <c r="B11" s="221"/>
      <c r="C11" s="1640" t="s">
        <v>909</v>
      </c>
      <c r="D11" s="1640"/>
      <c r="E11" s="1640"/>
      <c r="F11" s="1640"/>
      <c r="G11" s="1640" t="s">
        <v>910</v>
      </c>
      <c r="H11" s="1640"/>
      <c r="I11" s="1640"/>
      <c r="J11" s="1640"/>
      <c r="K11" s="1640"/>
      <c r="L11" s="221"/>
      <c r="M11" s="1640" t="s">
        <v>911</v>
      </c>
      <c r="N11" s="1640"/>
      <c r="O11" s="1640"/>
      <c r="P11" s="1640"/>
      <c r="Q11" s="1640"/>
      <c r="R11" s="221"/>
      <c r="S11" s="1640" t="s">
        <v>912</v>
      </c>
      <c r="T11" s="1640"/>
      <c r="U11" s="1640"/>
      <c r="V11" s="1640"/>
      <c r="W11" s="1640"/>
      <c r="X11" s="1640"/>
      <c r="Y11" s="221"/>
      <c r="Z11" s="1640" t="s">
        <v>913</v>
      </c>
      <c r="AA11" s="1640"/>
      <c r="AB11" s="1640"/>
      <c r="AC11" s="1640" t="s">
        <v>678</v>
      </c>
      <c r="AD11" s="1640"/>
      <c r="AE11" s="221"/>
      <c r="AF11" s="1640" t="s">
        <v>914</v>
      </c>
      <c r="AG11" s="1640"/>
      <c r="AH11" s="1640"/>
      <c r="AI11" s="1640" t="s">
        <v>679</v>
      </c>
      <c r="AJ11" s="1640"/>
      <c r="AK11" s="221"/>
      <c r="AL11" s="225"/>
      <c r="AM11" s="225"/>
    </row>
    <row r="12" spans="1:39" ht="15.75" customHeight="1">
      <c r="A12" s="130" t="s">
        <v>317</v>
      </c>
      <c r="B12" s="125"/>
      <c r="C12" s="131" t="s">
        <v>434</v>
      </c>
      <c r="D12" s="130" t="s">
        <v>0</v>
      </c>
      <c r="E12" s="130" t="s">
        <v>0</v>
      </c>
      <c r="F12" s="125"/>
      <c r="G12" s="131" t="s">
        <v>434</v>
      </c>
      <c r="H12" s="130" t="s">
        <v>0</v>
      </c>
      <c r="I12" s="130" t="s">
        <v>0</v>
      </c>
      <c r="J12" s="131" t="s">
        <v>433</v>
      </c>
      <c r="K12" s="131" t="s">
        <v>5</v>
      </c>
      <c r="L12" s="125"/>
      <c r="M12" s="131" t="s">
        <v>434</v>
      </c>
      <c r="N12" s="130" t="s">
        <v>0</v>
      </c>
      <c r="O12" s="130" t="s">
        <v>0</v>
      </c>
      <c r="P12" s="131" t="s">
        <v>433</v>
      </c>
      <c r="Q12" s="131" t="s">
        <v>5</v>
      </c>
      <c r="R12" s="125"/>
      <c r="S12" s="131" t="s">
        <v>433</v>
      </c>
      <c r="T12" s="131" t="s">
        <v>3</v>
      </c>
      <c r="U12" s="131" t="s">
        <v>433</v>
      </c>
      <c r="V12" s="131" t="s">
        <v>3</v>
      </c>
      <c r="W12" s="131" t="s">
        <v>3</v>
      </c>
      <c r="X12" s="130" t="s">
        <v>635</v>
      </c>
      <c r="Y12" s="125"/>
      <c r="Z12" s="131" t="s">
        <v>433</v>
      </c>
      <c r="AA12" s="131" t="s">
        <v>3</v>
      </c>
      <c r="AB12" s="131" t="s">
        <v>3</v>
      </c>
      <c r="AC12" s="130" t="s">
        <v>635</v>
      </c>
      <c r="AD12" s="130" t="s">
        <v>454</v>
      </c>
      <c r="AE12" s="125"/>
      <c r="AF12" s="131" t="s">
        <v>433</v>
      </c>
      <c r="AG12" s="131" t="s">
        <v>3</v>
      </c>
      <c r="AH12" s="131" t="s">
        <v>3</v>
      </c>
      <c r="AI12" s="130" t="s">
        <v>635</v>
      </c>
      <c r="AJ12" s="130" t="s">
        <v>454</v>
      </c>
      <c r="AK12" s="125"/>
      <c r="AL12" s="166"/>
      <c r="AM12" s="166"/>
    </row>
    <row r="13" spans="1:39" ht="15.75" customHeight="1">
      <c r="A13" s="130">
        <v>1</v>
      </c>
      <c r="B13" s="125"/>
      <c r="C13" s="141">
        <v>1</v>
      </c>
      <c r="D13" s="133">
        <v>100</v>
      </c>
      <c r="E13" s="133">
        <v>10</v>
      </c>
      <c r="F13" s="125"/>
      <c r="G13" s="1072">
        <v>1</v>
      </c>
      <c r="H13" s="105">
        <v>3</v>
      </c>
      <c r="I13" s="105">
        <v>0.3</v>
      </c>
      <c r="J13" s="265">
        <v>0</v>
      </c>
      <c r="K13" s="105">
        <v>1</v>
      </c>
      <c r="L13" s="125"/>
      <c r="M13" s="1072">
        <v>1</v>
      </c>
      <c r="N13" s="105">
        <v>1</v>
      </c>
      <c r="O13" s="105">
        <v>0.1</v>
      </c>
      <c r="P13" s="265">
        <v>0</v>
      </c>
      <c r="Q13" s="105">
        <v>1</v>
      </c>
      <c r="R13" s="125"/>
      <c r="S13" s="265">
        <v>0</v>
      </c>
      <c r="T13" s="105">
        <v>0</v>
      </c>
      <c r="U13" s="265">
        <v>0</v>
      </c>
      <c r="V13" s="105">
        <v>0</v>
      </c>
      <c r="W13" s="105">
        <v>0</v>
      </c>
      <c r="X13" s="270">
        <v>32</v>
      </c>
      <c r="Y13" s="125"/>
      <c r="Z13" s="265">
        <v>0</v>
      </c>
      <c r="AA13" s="105">
        <v>0</v>
      </c>
      <c r="AB13" s="105">
        <v>0</v>
      </c>
      <c r="AC13" s="212">
        <v>1</v>
      </c>
      <c r="AD13" s="133">
        <v>0.1</v>
      </c>
      <c r="AE13" s="125"/>
      <c r="AF13" s="265">
        <v>0</v>
      </c>
      <c r="AG13" s="105">
        <v>0</v>
      </c>
      <c r="AH13" s="105">
        <v>0</v>
      </c>
      <c r="AI13" s="212">
        <v>1</v>
      </c>
      <c r="AJ13" s="133">
        <v>0.1</v>
      </c>
      <c r="AK13" s="125"/>
      <c r="AL13" s="166"/>
      <c r="AM13" s="166"/>
    </row>
    <row r="14" spans="1:39" ht="15.75" customHeight="1">
      <c r="A14" s="130">
        <v>2</v>
      </c>
      <c r="B14" s="125"/>
      <c r="C14" s="141">
        <v>100</v>
      </c>
      <c r="D14" s="142">
        <v>200</v>
      </c>
      <c r="E14" s="142">
        <v>20</v>
      </c>
      <c r="F14" s="125"/>
      <c r="G14" s="1072">
        <v>100</v>
      </c>
      <c r="H14" s="1073">
        <v>4</v>
      </c>
      <c r="I14" s="1073">
        <v>0.4</v>
      </c>
      <c r="J14" s="265">
        <v>70</v>
      </c>
      <c r="K14" s="266">
        <v>0.95</v>
      </c>
      <c r="L14" s="125"/>
      <c r="M14" s="1072">
        <v>200</v>
      </c>
      <c r="N14" s="1073">
        <v>2</v>
      </c>
      <c r="O14" s="1073">
        <v>0.2</v>
      </c>
      <c r="P14" s="265">
        <v>70</v>
      </c>
      <c r="Q14" s="266">
        <v>0.95</v>
      </c>
      <c r="R14" s="125"/>
      <c r="S14" s="265">
        <v>25</v>
      </c>
      <c r="T14" s="266">
        <v>2</v>
      </c>
      <c r="U14" s="265">
        <v>20</v>
      </c>
      <c r="V14" s="266">
        <v>20</v>
      </c>
      <c r="W14" s="266">
        <v>0.2</v>
      </c>
      <c r="X14" s="271"/>
      <c r="Y14" s="125"/>
      <c r="Z14" s="265">
        <v>10</v>
      </c>
      <c r="AA14" s="266">
        <v>10</v>
      </c>
      <c r="AB14" s="266">
        <v>1</v>
      </c>
      <c r="AC14" s="212">
        <v>32</v>
      </c>
      <c r="AD14" s="143">
        <v>1</v>
      </c>
      <c r="AE14" s="125"/>
      <c r="AF14" s="265">
        <v>10</v>
      </c>
      <c r="AG14" s="266">
        <v>20</v>
      </c>
      <c r="AH14" s="266">
        <v>2</v>
      </c>
      <c r="AI14" s="212">
        <v>32</v>
      </c>
      <c r="AJ14" s="143">
        <v>1</v>
      </c>
      <c r="AK14" s="125"/>
      <c r="AL14" s="166"/>
      <c r="AM14" s="166"/>
    </row>
    <row r="15" spans="1:39" ht="15.75" customHeight="1">
      <c r="A15" s="130">
        <v>3</v>
      </c>
      <c r="B15" s="125"/>
      <c r="C15" s="141">
        <v>200</v>
      </c>
      <c r="D15" s="133">
        <v>250</v>
      </c>
      <c r="E15" s="133">
        <v>25</v>
      </c>
      <c r="F15" s="125"/>
      <c r="G15" s="1072">
        <v>200</v>
      </c>
      <c r="H15" s="105">
        <v>5</v>
      </c>
      <c r="I15" s="105">
        <v>0.5</v>
      </c>
      <c r="J15" s="265">
        <v>75</v>
      </c>
      <c r="K15" s="105">
        <v>0.9</v>
      </c>
      <c r="L15" s="125"/>
      <c r="M15" s="1072"/>
      <c r="N15" s="105"/>
      <c r="O15" s="105"/>
      <c r="P15" s="265">
        <v>75</v>
      </c>
      <c r="Q15" s="105">
        <v>0.9</v>
      </c>
      <c r="R15" s="125"/>
      <c r="S15" s="265">
        <v>50</v>
      </c>
      <c r="T15" s="105">
        <v>4</v>
      </c>
      <c r="U15" s="265">
        <v>45</v>
      </c>
      <c r="V15" s="105">
        <v>100</v>
      </c>
      <c r="W15" s="105">
        <v>1</v>
      </c>
      <c r="X15" s="271"/>
      <c r="Y15" s="125"/>
      <c r="Z15" s="265">
        <v>100</v>
      </c>
      <c r="AA15" s="105">
        <v>90</v>
      </c>
      <c r="AB15" s="105">
        <v>9</v>
      </c>
      <c r="AC15" s="212"/>
      <c r="AD15" s="133"/>
      <c r="AE15" s="125"/>
      <c r="AF15" s="265">
        <v>100</v>
      </c>
      <c r="AG15" s="105">
        <v>40</v>
      </c>
      <c r="AH15" s="105">
        <v>4</v>
      </c>
      <c r="AI15" s="212"/>
      <c r="AJ15" s="133"/>
      <c r="AK15" s="125"/>
      <c r="AL15" s="166"/>
      <c r="AM15" s="166"/>
    </row>
    <row r="16" spans="1:39" ht="15.75" customHeight="1">
      <c r="A16" s="130">
        <v>4</v>
      </c>
      <c r="B16" s="125"/>
      <c r="C16" s="141"/>
      <c r="D16" s="142"/>
      <c r="E16" s="142"/>
      <c r="F16" s="125"/>
      <c r="G16" s="1072"/>
      <c r="H16" s="1073"/>
      <c r="I16" s="1073"/>
      <c r="J16" s="265">
        <v>100</v>
      </c>
      <c r="K16" s="266">
        <v>0.1</v>
      </c>
      <c r="L16" s="125"/>
      <c r="M16" s="1072"/>
      <c r="N16" s="1073"/>
      <c r="O16" s="1073"/>
      <c r="P16" s="265">
        <v>100</v>
      </c>
      <c r="Q16" s="266">
        <v>0.1</v>
      </c>
      <c r="R16" s="125"/>
      <c r="S16" s="265">
        <v>75</v>
      </c>
      <c r="T16" s="266">
        <v>6</v>
      </c>
      <c r="U16" s="265">
        <v>70</v>
      </c>
      <c r="V16" s="266">
        <v>140</v>
      </c>
      <c r="W16" s="266">
        <v>1.4</v>
      </c>
      <c r="X16" s="271"/>
      <c r="Y16" s="125"/>
      <c r="Z16" s="148"/>
      <c r="AA16" s="150"/>
      <c r="AB16" s="150"/>
      <c r="AC16" s="212"/>
      <c r="AD16" s="143"/>
      <c r="AE16" s="125"/>
      <c r="AF16" s="148"/>
      <c r="AG16" s="150"/>
      <c r="AH16" s="150"/>
      <c r="AI16" s="212"/>
      <c r="AJ16" s="143"/>
      <c r="AK16" s="125"/>
      <c r="AL16" s="166"/>
      <c r="AM16" s="166"/>
    </row>
    <row r="17" spans="1:39" ht="15.75" customHeight="1">
      <c r="A17" s="130">
        <v>5</v>
      </c>
      <c r="B17" s="125"/>
      <c r="C17" s="141"/>
      <c r="D17" s="133"/>
      <c r="E17" s="133"/>
      <c r="F17" s="125"/>
      <c r="G17" s="141"/>
      <c r="H17" s="133"/>
      <c r="I17" s="133"/>
      <c r="J17" s="148"/>
      <c r="K17" s="133"/>
      <c r="L17" s="125"/>
      <c r="M17" s="141"/>
      <c r="N17" s="133"/>
      <c r="O17" s="133"/>
      <c r="P17" s="148"/>
      <c r="Q17" s="133"/>
      <c r="R17" s="125"/>
      <c r="S17" s="265">
        <v>100</v>
      </c>
      <c r="T17" s="105">
        <v>8</v>
      </c>
      <c r="U17" s="265">
        <v>100</v>
      </c>
      <c r="V17" s="105">
        <v>170</v>
      </c>
      <c r="W17" s="105">
        <v>1.7</v>
      </c>
      <c r="X17" s="271"/>
      <c r="Y17" s="125"/>
      <c r="Z17" s="148"/>
      <c r="AA17" s="133"/>
      <c r="AB17" s="133"/>
      <c r="AC17" s="212"/>
      <c r="AD17" s="133"/>
      <c r="AE17" s="125"/>
      <c r="AF17" s="148"/>
      <c r="AG17" s="133"/>
      <c r="AH17" s="133"/>
      <c r="AI17" s="212"/>
      <c r="AJ17" s="133"/>
      <c r="AK17" s="125"/>
      <c r="AL17" s="166"/>
      <c r="AM17" s="166"/>
    </row>
    <row r="18" spans="1:39" ht="15.75" customHeight="1">
      <c r="A18" s="130">
        <v>6</v>
      </c>
      <c r="B18" s="125"/>
      <c r="C18" s="141"/>
      <c r="D18" s="142"/>
      <c r="E18" s="142"/>
      <c r="F18" s="125"/>
      <c r="G18" s="141"/>
      <c r="H18" s="142"/>
      <c r="I18" s="142"/>
      <c r="J18" s="148"/>
      <c r="K18" s="150"/>
      <c r="L18" s="125"/>
      <c r="M18" s="141"/>
      <c r="N18" s="142"/>
      <c r="O18" s="142"/>
      <c r="P18" s="148"/>
      <c r="Q18" s="150"/>
      <c r="R18" s="125"/>
      <c r="S18" s="148"/>
      <c r="T18" s="150"/>
      <c r="U18" s="148"/>
      <c r="V18" s="150"/>
      <c r="W18" s="150"/>
      <c r="X18" s="125"/>
      <c r="Y18" s="125"/>
      <c r="Z18" s="148"/>
      <c r="AA18" s="150"/>
      <c r="AB18" s="150"/>
      <c r="AC18" s="177"/>
      <c r="AD18" s="143"/>
      <c r="AE18" s="125"/>
      <c r="AF18" s="148"/>
      <c r="AG18" s="150"/>
      <c r="AH18" s="150"/>
      <c r="AI18" s="177"/>
      <c r="AJ18" s="143"/>
      <c r="AK18" s="125"/>
      <c r="AL18" s="166"/>
      <c r="AM18" s="166"/>
    </row>
    <row r="19" spans="1:39" ht="15.75" customHeight="1">
      <c r="A19" s="130">
        <v>7</v>
      </c>
      <c r="B19" s="125"/>
      <c r="C19" s="141"/>
      <c r="D19" s="133"/>
      <c r="E19" s="133"/>
      <c r="F19" s="125"/>
      <c r="G19" s="141"/>
      <c r="H19" s="133"/>
      <c r="I19" s="133"/>
      <c r="J19" s="148"/>
      <c r="K19" s="133"/>
      <c r="L19" s="125"/>
      <c r="M19" s="141"/>
      <c r="N19" s="133"/>
      <c r="O19" s="133"/>
      <c r="P19" s="148"/>
      <c r="Q19" s="133"/>
      <c r="R19" s="125"/>
      <c r="S19" s="148"/>
      <c r="T19" s="133"/>
      <c r="U19" s="148"/>
      <c r="V19" s="133"/>
      <c r="W19" s="133"/>
      <c r="X19" s="125"/>
      <c r="Y19" s="125"/>
      <c r="Z19" s="148"/>
      <c r="AA19" s="133"/>
      <c r="AB19" s="133"/>
      <c r="AC19" s="177"/>
      <c r="AD19" s="133"/>
      <c r="AE19" s="125"/>
      <c r="AF19" s="148"/>
      <c r="AG19" s="133"/>
      <c r="AH19" s="133"/>
      <c r="AI19" s="177"/>
      <c r="AJ19" s="133"/>
      <c r="AK19" s="125"/>
      <c r="AL19" s="166"/>
      <c r="AM19" s="166"/>
    </row>
    <row r="20" spans="1:39" ht="15.75" customHeight="1">
      <c r="A20" s="130">
        <v>8</v>
      </c>
      <c r="B20" s="125"/>
      <c r="C20" s="141"/>
      <c r="D20" s="142"/>
      <c r="E20" s="142"/>
      <c r="F20" s="125"/>
      <c r="G20" s="141"/>
      <c r="H20" s="142"/>
      <c r="I20" s="142"/>
      <c r="J20" s="148"/>
      <c r="K20" s="150"/>
      <c r="L20" s="125"/>
      <c r="M20" s="141"/>
      <c r="N20" s="142"/>
      <c r="O20" s="142"/>
      <c r="P20" s="148"/>
      <c r="Q20" s="150"/>
      <c r="R20" s="125"/>
      <c r="S20" s="148"/>
      <c r="T20" s="150"/>
      <c r="U20" s="148"/>
      <c r="V20" s="150"/>
      <c r="W20" s="150"/>
      <c r="X20" s="125"/>
      <c r="Y20" s="125"/>
      <c r="Z20" s="148"/>
      <c r="AA20" s="150"/>
      <c r="AB20" s="150"/>
      <c r="AC20" s="177"/>
      <c r="AD20" s="143"/>
      <c r="AE20" s="125"/>
      <c r="AF20" s="148"/>
      <c r="AG20" s="150"/>
      <c r="AH20" s="150"/>
      <c r="AI20" s="177"/>
      <c r="AJ20" s="143"/>
      <c r="AK20" s="125"/>
      <c r="AL20" s="166"/>
      <c r="AM20" s="166"/>
    </row>
    <row r="21" spans="1:39" ht="15.75" customHeight="1">
      <c r="A21" s="130">
        <v>9</v>
      </c>
      <c r="B21" s="125"/>
      <c r="C21" s="141"/>
      <c r="D21" s="133"/>
      <c r="E21" s="133"/>
      <c r="F21" s="125"/>
      <c r="G21" s="141"/>
      <c r="H21" s="133"/>
      <c r="I21" s="133"/>
      <c r="J21" s="148"/>
      <c r="K21" s="133"/>
      <c r="L21" s="125"/>
      <c r="M21" s="141"/>
      <c r="N21" s="133"/>
      <c r="O21" s="133"/>
      <c r="P21" s="148"/>
      <c r="Q21" s="133"/>
      <c r="R21" s="125"/>
      <c r="S21" s="148"/>
      <c r="T21" s="133"/>
      <c r="U21" s="148"/>
      <c r="V21" s="133"/>
      <c r="W21" s="133"/>
      <c r="X21" s="125"/>
      <c r="Y21" s="125"/>
      <c r="Z21" s="148"/>
      <c r="AA21" s="133"/>
      <c r="AB21" s="133"/>
      <c r="AC21" s="177"/>
      <c r="AD21" s="133"/>
      <c r="AE21" s="125"/>
      <c r="AF21" s="148"/>
      <c r="AG21" s="133"/>
      <c r="AH21" s="133"/>
      <c r="AI21" s="177"/>
      <c r="AJ21" s="133"/>
      <c r="AK21" s="125"/>
      <c r="AL21" s="166"/>
      <c r="AM21" s="166"/>
    </row>
    <row r="22" spans="1:39" ht="15.75" customHeight="1">
      <c r="A22" s="130">
        <v>10</v>
      </c>
      <c r="B22" s="125"/>
      <c r="C22" s="141"/>
      <c r="D22" s="142"/>
      <c r="E22" s="142"/>
      <c r="F22" s="125"/>
      <c r="G22" s="141"/>
      <c r="H22" s="142"/>
      <c r="I22" s="142"/>
      <c r="J22" s="148"/>
      <c r="K22" s="150"/>
      <c r="L22" s="125"/>
      <c r="M22" s="141"/>
      <c r="N22" s="142"/>
      <c r="O22" s="142"/>
      <c r="P22" s="148"/>
      <c r="Q22" s="150"/>
      <c r="R22" s="125"/>
      <c r="S22" s="148"/>
      <c r="T22" s="150"/>
      <c r="U22" s="148"/>
      <c r="V22" s="150"/>
      <c r="W22" s="150"/>
      <c r="X22" s="125"/>
      <c r="Y22" s="125"/>
      <c r="Z22" s="148"/>
      <c r="AA22" s="150"/>
      <c r="AB22" s="150"/>
      <c r="AC22" s="177"/>
      <c r="AD22" s="143"/>
      <c r="AE22" s="125"/>
      <c r="AF22" s="148"/>
      <c r="AG22" s="150"/>
      <c r="AH22" s="150"/>
      <c r="AI22" s="177"/>
      <c r="AJ22" s="143"/>
      <c r="AK22" s="125"/>
      <c r="AL22" s="166"/>
      <c r="AM22" s="166"/>
    </row>
    <row r="23" spans="1:39" ht="15.75" customHeight="1">
      <c r="A23" s="130">
        <v>11</v>
      </c>
      <c r="B23" s="125"/>
      <c r="C23" s="141"/>
      <c r="D23" s="133"/>
      <c r="E23" s="133"/>
      <c r="F23" s="125"/>
      <c r="G23" s="141"/>
      <c r="H23" s="133"/>
      <c r="I23" s="133"/>
      <c r="J23" s="148"/>
      <c r="K23" s="133"/>
      <c r="L23" s="125"/>
      <c r="M23" s="141"/>
      <c r="N23" s="133"/>
      <c r="O23" s="133"/>
      <c r="P23" s="148"/>
      <c r="Q23" s="133"/>
      <c r="R23" s="125"/>
      <c r="S23" s="148"/>
      <c r="T23" s="133"/>
      <c r="U23" s="148"/>
      <c r="V23" s="133"/>
      <c r="W23" s="133"/>
      <c r="X23" s="125"/>
      <c r="Y23" s="125"/>
      <c r="Z23" s="148"/>
      <c r="AA23" s="133"/>
      <c r="AB23" s="133"/>
      <c r="AC23" s="177"/>
      <c r="AD23" s="133"/>
      <c r="AE23" s="125"/>
      <c r="AF23" s="148"/>
      <c r="AG23" s="133"/>
      <c r="AH23" s="133"/>
      <c r="AI23" s="177"/>
      <c r="AJ23" s="133"/>
      <c r="AK23" s="125"/>
      <c r="AL23" s="166"/>
      <c r="AM23" s="166"/>
    </row>
    <row r="24" spans="1:39" ht="15.75" customHeight="1">
      <c r="A24" s="130">
        <v>12</v>
      </c>
      <c r="B24" s="125"/>
      <c r="C24" s="141"/>
      <c r="D24" s="142"/>
      <c r="E24" s="142"/>
      <c r="F24" s="125"/>
      <c r="G24" s="141"/>
      <c r="H24" s="142"/>
      <c r="I24" s="142"/>
      <c r="J24" s="148"/>
      <c r="K24" s="150"/>
      <c r="L24" s="125"/>
      <c r="M24" s="141"/>
      <c r="N24" s="142"/>
      <c r="O24" s="142"/>
      <c r="P24" s="148"/>
      <c r="Q24" s="150"/>
      <c r="R24" s="125"/>
      <c r="S24" s="148"/>
      <c r="T24" s="150"/>
      <c r="U24" s="148"/>
      <c r="V24" s="150"/>
      <c r="W24" s="150"/>
      <c r="X24" s="125"/>
      <c r="Y24" s="125"/>
      <c r="Z24" s="148"/>
      <c r="AA24" s="150"/>
      <c r="AB24" s="150"/>
      <c r="AC24" s="177"/>
      <c r="AD24" s="143"/>
      <c r="AE24" s="125"/>
      <c r="AF24" s="148"/>
      <c r="AG24" s="150"/>
      <c r="AH24" s="150"/>
      <c r="AI24" s="177"/>
      <c r="AJ24" s="143"/>
      <c r="AK24" s="125"/>
      <c r="AL24" s="166"/>
      <c r="AM24" s="166"/>
    </row>
    <row r="25" spans="1:39" ht="15.75" customHeight="1">
      <c r="A25" s="130">
        <v>13</v>
      </c>
      <c r="B25" s="125"/>
      <c r="C25" s="141"/>
      <c r="D25" s="133"/>
      <c r="E25" s="133"/>
      <c r="F25" s="125"/>
      <c r="G25" s="141"/>
      <c r="H25" s="133"/>
      <c r="I25" s="133"/>
      <c r="J25" s="148"/>
      <c r="K25" s="133"/>
      <c r="L25" s="125"/>
      <c r="M25" s="141"/>
      <c r="N25" s="133"/>
      <c r="O25" s="133"/>
      <c r="P25" s="148"/>
      <c r="Q25" s="133"/>
      <c r="R25" s="125"/>
      <c r="S25" s="148"/>
      <c r="T25" s="133"/>
      <c r="U25" s="148"/>
      <c r="V25" s="133"/>
      <c r="W25" s="133"/>
      <c r="X25" s="125"/>
      <c r="Y25" s="125"/>
      <c r="Z25" s="148"/>
      <c r="AA25" s="133"/>
      <c r="AB25" s="133"/>
      <c r="AC25" s="177"/>
      <c r="AD25" s="133"/>
      <c r="AE25" s="125"/>
      <c r="AF25" s="148"/>
      <c r="AG25" s="133"/>
      <c r="AH25" s="133"/>
      <c r="AI25" s="177"/>
      <c r="AJ25" s="133"/>
      <c r="AK25" s="125"/>
      <c r="AL25" s="166"/>
      <c r="AM25" s="166"/>
    </row>
    <row r="26" spans="1:39" ht="15.75" customHeight="1">
      <c r="A26" s="130">
        <v>14</v>
      </c>
      <c r="B26" s="125"/>
      <c r="C26" s="141"/>
      <c r="D26" s="142"/>
      <c r="E26" s="142"/>
      <c r="F26" s="125"/>
      <c r="G26" s="141"/>
      <c r="H26" s="142"/>
      <c r="I26" s="142"/>
      <c r="J26" s="148"/>
      <c r="K26" s="150"/>
      <c r="L26" s="125"/>
      <c r="M26" s="141"/>
      <c r="N26" s="142"/>
      <c r="O26" s="142"/>
      <c r="P26" s="148"/>
      <c r="Q26" s="150"/>
      <c r="R26" s="125"/>
      <c r="S26" s="148"/>
      <c r="T26" s="150"/>
      <c r="U26" s="148"/>
      <c r="V26" s="150"/>
      <c r="W26" s="150"/>
      <c r="X26" s="125"/>
      <c r="Y26" s="125"/>
      <c r="Z26" s="148"/>
      <c r="AA26" s="150"/>
      <c r="AB26" s="150"/>
      <c r="AC26" s="177"/>
      <c r="AD26" s="143"/>
      <c r="AE26" s="125"/>
      <c r="AF26" s="148"/>
      <c r="AG26" s="150"/>
      <c r="AH26" s="150"/>
      <c r="AI26" s="177"/>
      <c r="AJ26" s="143"/>
      <c r="AK26" s="125"/>
      <c r="AL26" s="166"/>
      <c r="AM26" s="166"/>
    </row>
    <row r="27" spans="1:39" ht="15.75" customHeight="1">
      <c r="A27" s="130">
        <v>15</v>
      </c>
      <c r="B27" s="125"/>
      <c r="C27" s="141"/>
      <c r="D27" s="133"/>
      <c r="E27" s="133"/>
      <c r="F27" s="125"/>
      <c r="G27" s="141"/>
      <c r="H27" s="133"/>
      <c r="I27" s="133"/>
      <c r="J27" s="148"/>
      <c r="K27" s="133"/>
      <c r="L27" s="125"/>
      <c r="M27" s="141"/>
      <c r="N27" s="133"/>
      <c r="O27" s="133"/>
      <c r="P27" s="148"/>
      <c r="Q27" s="133"/>
      <c r="R27" s="125"/>
      <c r="S27" s="148"/>
      <c r="T27" s="133"/>
      <c r="U27" s="148"/>
      <c r="V27" s="133"/>
      <c r="W27" s="133"/>
      <c r="X27" s="125"/>
      <c r="Y27" s="125"/>
      <c r="Z27" s="148"/>
      <c r="AA27" s="133"/>
      <c r="AB27" s="133"/>
      <c r="AC27" s="177"/>
      <c r="AD27" s="133"/>
      <c r="AE27" s="125"/>
      <c r="AF27" s="148"/>
      <c r="AG27" s="133"/>
      <c r="AH27" s="133"/>
      <c r="AI27" s="177"/>
      <c r="AJ27" s="133"/>
      <c r="AK27" s="125"/>
      <c r="AL27" s="166"/>
      <c r="AM27" s="166"/>
    </row>
    <row r="28" spans="1:39" ht="15.75" customHeight="1">
      <c r="A28" s="130">
        <v>16</v>
      </c>
      <c r="B28" s="125"/>
      <c r="C28" s="141"/>
      <c r="D28" s="142"/>
      <c r="E28" s="142"/>
      <c r="F28" s="125"/>
      <c r="G28" s="141"/>
      <c r="H28" s="142"/>
      <c r="I28" s="142"/>
      <c r="J28" s="148"/>
      <c r="K28" s="150"/>
      <c r="L28" s="125"/>
      <c r="M28" s="141"/>
      <c r="N28" s="142"/>
      <c r="O28" s="142"/>
      <c r="P28" s="148"/>
      <c r="Q28" s="150"/>
      <c r="R28" s="125"/>
      <c r="S28" s="148"/>
      <c r="T28" s="150"/>
      <c r="U28" s="148"/>
      <c r="V28" s="150"/>
      <c r="W28" s="150"/>
      <c r="X28" s="125"/>
      <c r="Y28" s="125"/>
      <c r="Z28" s="148"/>
      <c r="AA28" s="150"/>
      <c r="AB28" s="150"/>
      <c r="AC28" s="177"/>
      <c r="AD28" s="143"/>
      <c r="AE28" s="125"/>
      <c r="AF28" s="148"/>
      <c r="AG28" s="150"/>
      <c r="AH28" s="150"/>
      <c r="AI28" s="177"/>
      <c r="AJ28" s="143"/>
      <c r="AK28" s="125"/>
      <c r="AL28" s="166"/>
      <c r="AM28" s="166"/>
    </row>
    <row r="29" spans="1:39" ht="15.75" customHeight="1">
      <c r="A29" s="130">
        <v>17</v>
      </c>
      <c r="B29" s="125"/>
      <c r="C29" s="141"/>
      <c r="D29" s="133"/>
      <c r="E29" s="133"/>
      <c r="F29" s="125"/>
      <c r="G29" s="141"/>
      <c r="H29" s="133"/>
      <c r="I29" s="133"/>
      <c r="J29" s="148"/>
      <c r="K29" s="133"/>
      <c r="L29" s="125"/>
      <c r="M29" s="141"/>
      <c r="N29" s="133"/>
      <c r="O29" s="133"/>
      <c r="P29" s="148"/>
      <c r="Q29" s="133"/>
      <c r="R29" s="125"/>
      <c r="S29" s="148"/>
      <c r="T29" s="133"/>
      <c r="U29" s="148"/>
      <c r="V29" s="133"/>
      <c r="W29" s="133"/>
      <c r="X29" s="125"/>
      <c r="Y29" s="125"/>
      <c r="Z29" s="148"/>
      <c r="AA29" s="133"/>
      <c r="AB29" s="133"/>
      <c r="AC29" s="177"/>
      <c r="AD29" s="133"/>
      <c r="AE29" s="125"/>
      <c r="AF29" s="148"/>
      <c r="AG29" s="133"/>
      <c r="AH29" s="133"/>
      <c r="AI29" s="177"/>
      <c r="AJ29" s="133"/>
      <c r="AK29" s="125"/>
      <c r="AL29" s="166"/>
      <c r="AM29" s="166"/>
    </row>
    <row r="30" spans="1:39" ht="15.75" customHeight="1">
      <c r="A30" s="130">
        <v>18</v>
      </c>
      <c r="B30" s="125"/>
      <c r="C30" s="141"/>
      <c r="D30" s="142"/>
      <c r="E30" s="142"/>
      <c r="F30" s="125"/>
      <c r="G30" s="141"/>
      <c r="H30" s="142"/>
      <c r="I30" s="142"/>
      <c r="J30" s="148"/>
      <c r="K30" s="150"/>
      <c r="L30" s="125"/>
      <c r="M30" s="141"/>
      <c r="N30" s="142"/>
      <c r="O30" s="142"/>
      <c r="P30" s="148"/>
      <c r="Q30" s="150"/>
      <c r="R30" s="125"/>
      <c r="S30" s="148"/>
      <c r="T30" s="150"/>
      <c r="U30" s="148"/>
      <c r="V30" s="150"/>
      <c r="W30" s="150"/>
      <c r="X30" s="125"/>
      <c r="Y30" s="125"/>
      <c r="Z30" s="148"/>
      <c r="AA30" s="150"/>
      <c r="AB30" s="150"/>
      <c r="AC30" s="177"/>
      <c r="AD30" s="143"/>
      <c r="AE30" s="125"/>
      <c r="AF30" s="148"/>
      <c r="AG30" s="150"/>
      <c r="AH30" s="150"/>
      <c r="AI30" s="177"/>
      <c r="AJ30" s="143"/>
      <c r="AK30" s="125"/>
      <c r="AL30" s="166"/>
      <c r="AM30" s="166"/>
    </row>
    <row r="31" spans="1:39" ht="15.75" customHeight="1">
      <c r="A31" s="130">
        <v>19</v>
      </c>
      <c r="B31" s="125"/>
      <c r="C31" s="141"/>
      <c r="D31" s="133"/>
      <c r="E31" s="133"/>
      <c r="F31" s="125"/>
      <c r="G31" s="141"/>
      <c r="H31" s="133"/>
      <c r="I31" s="133"/>
      <c r="J31" s="148"/>
      <c r="K31" s="133"/>
      <c r="L31" s="125"/>
      <c r="M31" s="141"/>
      <c r="N31" s="133"/>
      <c r="O31" s="133"/>
      <c r="P31" s="148"/>
      <c r="Q31" s="133"/>
      <c r="R31" s="125"/>
      <c r="S31" s="148"/>
      <c r="T31" s="133"/>
      <c r="U31" s="148"/>
      <c r="V31" s="133"/>
      <c r="W31" s="133"/>
      <c r="X31" s="125"/>
      <c r="Y31" s="125"/>
      <c r="Z31" s="148"/>
      <c r="AA31" s="133"/>
      <c r="AB31" s="133"/>
      <c r="AC31" s="177"/>
      <c r="AD31" s="133"/>
      <c r="AE31" s="125"/>
      <c r="AF31" s="148"/>
      <c r="AG31" s="133"/>
      <c r="AH31" s="133"/>
      <c r="AI31" s="177"/>
      <c r="AJ31" s="133"/>
      <c r="AK31" s="125"/>
      <c r="AL31" s="166"/>
      <c r="AM31" s="166"/>
    </row>
    <row r="32" spans="1:39" ht="15.75" customHeight="1">
      <c r="A32" s="130">
        <v>20</v>
      </c>
      <c r="B32" s="125"/>
      <c r="C32" s="141"/>
      <c r="D32" s="142"/>
      <c r="E32" s="142"/>
      <c r="F32" s="125"/>
      <c r="G32" s="141"/>
      <c r="H32" s="142"/>
      <c r="I32" s="142"/>
      <c r="J32" s="148"/>
      <c r="K32" s="150"/>
      <c r="L32" s="125"/>
      <c r="M32" s="141"/>
      <c r="N32" s="142"/>
      <c r="O32" s="142"/>
      <c r="P32" s="148"/>
      <c r="Q32" s="150"/>
      <c r="R32" s="125"/>
      <c r="S32" s="148"/>
      <c r="T32" s="150"/>
      <c r="U32" s="148"/>
      <c r="V32" s="150"/>
      <c r="W32" s="150"/>
      <c r="X32" s="125"/>
      <c r="Y32" s="125"/>
      <c r="Z32" s="148"/>
      <c r="AA32" s="150"/>
      <c r="AB32" s="150"/>
      <c r="AC32" s="177"/>
      <c r="AD32" s="143"/>
      <c r="AE32" s="125"/>
      <c r="AF32" s="148"/>
      <c r="AG32" s="150"/>
      <c r="AH32" s="150"/>
      <c r="AI32" s="177"/>
      <c r="AJ32" s="143"/>
      <c r="AK32" s="125"/>
      <c r="AL32" s="166"/>
      <c r="AM32" s="166"/>
    </row>
    <row r="33" spans="1:39" ht="15.75" customHeight="1">
      <c r="A33" s="130">
        <v>21</v>
      </c>
      <c r="B33" s="125"/>
      <c r="C33" s="141"/>
      <c r="D33" s="133"/>
      <c r="E33" s="133"/>
      <c r="F33" s="125"/>
      <c r="G33" s="141"/>
      <c r="H33" s="133"/>
      <c r="I33" s="133"/>
      <c r="J33" s="148"/>
      <c r="K33" s="133"/>
      <c r="L33" s="125"/>
      <c r="M33" s="141"/>
      <c r="N33" s="133"/>
      <c r="O33" s="133"/>
      <c r="P33" s="148"/>
      <c r="Q33" s="133"/>
      <c r="R33" s="125"/>
      <c r="S33" s="148"/>
      <c r="T33" s="133"/>
      <c r="U33" s="148"/>
      <c r="V33" s="133"/>
      <c r="W33" s="133"/>
      <c r="X33" s="125"/>
      <c r="Y33" s="125"/>
      <c r="Z33" s="148"/>
      <c r="AA33" s="133"/>
      <c r="AB33" s="133"/>
      <c r="AC33" s="177"/>
      <c r="AD33" s="133"/>
      <c r="AE33" s="125"/>
      <c r="AF33" s="148"/>
      <c r="AG33" s="133"/>
      <c r="AH33" s="133"/>
      <c r="AI33" s="177"/>
      <c r="AJ33" s="133"/>
      <c r="AK33" s="125"/>
      <c r="AL33" s="166"/>
      <c r="AM33" s="166"/>
    </row>
    <row r="34" spans="1:39" ht="15.75" customHeight="1">
      <c r="A34" s="130">
        <v>22</v>
      </c>
      <c r="B34" s="125"/>
      <c r="C34" s="141"/>
      <c r="D34" s="142"/>
      <c r="E34" s="142"/>
      <c r="F34" s="125"/>
      <c r="G34" s="141"/>
      <c r="H34" s="142"/>
      <c r="I34" s="142"/>
      <c r="J34" s="148"/>
      <c r="K34" s="150"/>
      <c r="L34" s="125"/>
      <c r="M34" s="141"/>
      <c r="N34" s="142"/>
      <c r="O34" s="142"/>
      <c r="P34" s="148"/>
      <c r="Q34" s="150"/>
      <c r="R34" s="125"/>
      <c r="S34" s="148"/>
      <c r="T34" s="150"/>
      <c r="U34" s="148"/>
      <c r="V34" s="150"/>
      <c r="W34" s="150"/>
      <c r="X34" s="125"/>
      <c r="Y34" s="125"/>
      <c r="Z34" s="148"/>
      <c r="AA34" s="150"/>
      <c r="AB34" s="150"/>
      <c r="AC34" s="177"/>
      <c r="AD34" s="143"/>
      <c r="AE34" s="125"/>
      <c r="AF34" s="148"/>
      <c r="AG34" s="150"/>
      <c r="AH34" s="150"/>
      <c r="AI34" s="177"/>
      <c r="AJ34" s="143"/>
      <c r="AK34" s="125"/>
      <c r="AL34" s="166"/>
      <c r="AM34" s="166"/>
    </row>
    <row r="35" spans="1:39" ht="15.75" customHeight="1">
      <c r="A35" s="130">
        <v>23</v>
      </c>
      <c r="B35" s="125"/>
      <c r="C35" s="141"/>
      <c r="D35" s="133"/>
      <c r="E35" s="133"/>
      <c r="F35" s="125"/>
      <c r="G35" s="141"/>
      <c r="H35" s="133"/>
      <c r="I35" s="133"/>
      <c r="J35" s="148"/>
      <c r="K35" s="133"/>
      <c r="L35" s="125"/>
      <c r="M35" s="141"/>
      <c r="N35" s="133"/>
      <c r="O35" s="133"/>
      <c r="P35" s="148"/>
      <c r="Q35" s="133"/>
      <c r="R35" s="125"/>
      <c r="S35" s="148"/>
      <c r="T35" s="133"/>
      <c r="U35" s="148"/>
      <c r="V35" s="133"/>
      <c r="W35" s="133"/>
      <c r="X35" s="125"/>
      <c r="Y35" s="125"/>
      <c r="Z35" s="148"/>
      <c r="AA35" s="133"/>
      <c r="AB35" s="133"/>
      <c r="AC35" s="177"/>
      <c r="AD35" s="133"/>
      <c r="AE35" s="125"/>
      <c r="AF35" s="148"/>
      <c r="AG35" s="133"/>
      <c r="AH35" s="133"/>
      <c r="AI35" s="177"/>
      <c r="AJ35" s="133"/>
      <c r="AK35" s="125"/>
      <c r="AL35" s="166"/>
      <c r="AM35" s="166"/>
    </row>
    <row r="36" spans="1:39" ht="15.75" customHeight="1">
      <c r="A36" s="130">
        <v>24</v>
      </c>
      <c r="B36" s="125"/>
      <c r="C36" s="141"/>
      <c r="D36" s="142"/>
      <c r="E36" s="142"/>
      <c r="F36" s="125"/>
      <c r="G36" s="141"/>
      <c r="H36" s="142"/>
      <c r="I36" s="142"/>
      <c r="J36" s="148"/>
      <c r="K36" s="150"/>
      <c r="L36" s="125"/>
      <c r="M36" s="141"/>
      <c r="N36" s="142"/>
      <c r="O36" s="142"/>
      <c r="P36" s="148"/>
      <c r="Q36" s="150"/>
      <c r="R36" s="125"/>
      <c r="S36" s="148"/>
      <c r="T36" s="150"/>
      <c r="U36" s="148"/>
      <c r="V36" s="150"/>
      <c r="W36" s="150"/>
      <c r="X36" s="125"/>
      <c r="Y36" s="125"/>
      <c r="Z36" s="148"/>
      <c r="AA36" s="150"/>
      <c r="AB36" s="150"/>
      <c r="AC36" s="177"/>
      <c r="AD36" s="143"/>
      <c r="AE36" s="125"/>
      <c r="AF36" s="148"/>
      <c r="AG36" s="150"/>
      <c r="AH36" s="150"/>
      <c r="AI36" s="177"/>
      <c r="AJ36" s="143"/>
      <c r="AK36" s="125"/>
      <c r="AL36" s="166"/>
      <c r="AM36" s="166"/>
    </row>
    <row r="37" spans="1:39" ht="15.75" customHeight="1">
      <c r="A37" s="130">
        <v>25</v>
      </c>
      <c r="B37" s="125"/>
      <c r="C37" s="141"/>
      <c r="D37" s="133"/>
      <c r="E37" s="133"/>
      <c r="F37" s="125"/>
      <c r="G37" s="141"/>
      <c r="H37" s="133"/>
      <c r="I37" s="133"/>
      <c r="J37" s="148"/>
      <c r="K37" s="133"/>
      <c r="L37" s="125"/>
      <c r="M37" s="141"/>
      <c r="N37" s="133"/>
      <c r="O37" s="133"/>
      <c r="P37" s="148"/>
      <c r="Q37" s="133"/>
      <c r="R37" s="125"/>
      <c r="S37" s="148"/>
      <c r="T37" s="133"/>
      <c r="U37" s="148"/>
      <c r="V37" s="133"/>
      <c r="W37" s="133"/>
      <c r="X37" s="125"/>
      <c r="Y37" s="125"/>
      <c r="Z37" s="148"/>
      <c r="AA37" s="133"/>
      <c r="AB37" s="133"/>
      <c r="AC37" s="177"/>
      <c r="AD37" s="133"/>
      <c r="AE37" s="125"/>
      <c r="AF37" s="148"/>
      <c r="AG37" s="133"/>
      <c r="AH37" s="133"/>
      <c r="AI37" s="177"/>
      <c r="AJ37" s="133"/>
      <c r="AK37" s="125"/>
      <c r="AL37" s="166"/>
      <c r="AM37" s="166"/>
    </row>
    <row r="38" spans="1:39" ht="15.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66"/>
      <c r="AM38" s="166"/>
    </row>
    <row r="39" spans="1:39" ht="15.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66"/>
      <c r="AM39" s="166"/>
    </row>
    <row r="40" spans="1:39"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66"/>
      <c r="AM40" s="166"/>
    </row>
    <row r="41" spans="1:39"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66"/>
      <c r="AM41" s="166"/>
    </row>
    <row r="42" spans="1:39"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66"/>
      <c r="AM42" s="166"/>
    </row>
    <row r="43" spans="1:39"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66"/>
      <c r="AM43" s="166"/>
    </row>
    <row r="44" spans="1:39"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66"/>
      <c r="AM44" s="166"/>
    </row>
    <row r="45" spans="1:39"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66"/>
      <c r="AM45" s="166"/>
    </row>
    <row r="46" spans="1:39"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66"/>
      <c r="AM46" s="166"/>
    </row>
    <row r="47" spans="1:39"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66"/>
      <c r="AM47" s="166"/>
    </row>
    <row r="48" spans="1:39"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66"/>
      <c r="AM48" s="166"/>
    </row>
    <row r="49" spans="1:39"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66"/>
      <c r="AM49" s="166"/>
    </row>
    <row r="50" spans="1:39"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66"/>
      <c r="AM50" s="166"/>
    </row>
    <row r="51" spans="1:39"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66"/>
      <c r="AM51" s="166"/>
    </row>
    <row r="52" spans="1:39"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66"/>
      <c r="AM52" s="166"/>
    </row>
    <row r="53" spans="1:39"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66"/>
      <c r="AM53" s="166"/>
    </row>
    <row r="54" spans="1:39"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66"/>
      <c r="AM54" s="166"/>
    </row>
    <row r="55" spans="1:39"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66"/>
      <c r="AM55" s="166"/>
    </row>
    <row r="56" spans="1:39"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66"/>
      <c r="AM56" s="166"/>
    </row>
    <row r="57" spans="1:39"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66"/>
      <c r="AM57" s="166"/>
    </row>
  </sheetData>
  <mergeCells count="32">
    <mergeCell ref="AI11:AJ11"/>
    <mergeCell ref="AF11:AH11"/>
    <mergeCell ref="AF4:AJ4"/>
    <mergeCell ref="AF5:AJ5"/>
    <mergeCell ref="G5:K5"/>
    <mergeCell ref="AA6:AB6"/>
    <mergeCell ref="AG6:AH6"/>
    <mergeCell ref="H6:I6"/>
    <mergeCell ref="N6:O6"/>
    <mergeCell ref="M5:Q5"/>
    <mergeCell ref="G4:K4"/>
    <mergeCell ref="M4:Q4"/>
    <mergeCell ref="S7:X7"/>
    <mergeCell ref="Z7:AD7"/>
    <mergeCell ref="AF7:AJ7"/>
    <mergeCell ref="Z11:AB11"/>
    <mergeCell ref="AC11:AD11"/>
    <mergeCell ref="C5:E5"/>
    <mergeCell ref="Z4:AD4"/>
    <mergeCell ref="Z5:AD5"/>
    <mergeCell ref="G11:K11"/>
    <mergeCell ref="M11:Q11"/>
    <mergeCell ref="S11:X11"/>
    <mergeCell ref="S4:X4"/>
    <mergeCell ref="S5:X5"/>
    <mergeCell ref="C11:F11"/>
    <mergeCell ref="D6:E6"/>
    <mergeCell ref="C4:E4"/>
    <mergeCell ref="V6:W6"/>
    <mergeCell ref="G7:K7"/>
    <mergeCell ref="M7:Q7"/>
    <mergeCell ref="C7:E7"/>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V57"/>
  <sheetViews>
    <sheetView topLeftCell="A10" zoomScale="90" zoomScaleNormal="90" workbookViewId="0">
      <selection activeCell="C13" sqref="C13:W15"/>
    </sheetView>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7" width="4.5703125" style="127" bestFit="1" customWidth="1"/>
    <col min="8" max="13" width="11.7109375" style="127" customWidth="1"/>
    <col min="14" max="14" width="1.7109375" style="127" customWidth="1"/>
    <col min="15" max="17" width="11.7109375" style="127" customWidth="1"/>
    <col min="18" max="18" width="1.7109375" style="127" customWidth="1"/>
    <col min="19" max="19" width="12.85546875" style="127" customWidth="1"/>
    <col min="20" max="20" width="12.5703125" style="127" customWidth="1"/>
    <col min="21" max="21" width="11.28515625" style="127" customWidth="1"/>
    <col min="22" max="23" width="11.7109375" style="127" customWidth="1"/>
    <col min="24" max="24" width="1.7109375" style="127" customWidth="1"/>
    <col min="25" max="28" width="14.28515625" style="127" customWidth="1"/>
    <col min="29" max="48" width="11.42578125" style="151"/>
    <col min="49" max="16384" width="11.42578125" style="127"/>
  </cols>
  <sheetData>
    <row r="1" spans="1:48">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48" ht="21">
      <c r="A2" s="13" t="s">
        <v>444</v>
      </c>
      <c r="B2" s="125"/>
      <c r="C2" s="241" t="s">
        <v>556</v>
      </c>
      <c r="D2" s="242"/>
      <c r="E2" s="242"/>
      <c r="F2" s="242"/>
      <c r="G2" s="242"/>
      <c r="H2" s="242"/>
      <c r="I2" s="242"/>
      <c r="J2" s="242"/>
      <c r="K2" s="242"/>
      <c r="L2" s="242"/>
      <c r="M2" s="242"/>
      <c r="N2" s="242"/>
      <c r="O2" s="242"/>
      <c r="P2" s="242"/>
      <c r="Q2" s="242"/>
      <c r="R2" s="242"/>
      <c r="S2" s="242"/>
      <c r="T2" s="242"/>
      <c r="U2" s="242"/>
      <c r="V2" s="242"/>
      <c r="W2" s="242"/>
      <c r="X2" s="125"/>
      <c r="Y2" s="125"/>
      <c r="Z2" s="125"/>
      <c r="AA2" s="125"/>
      <c r="AB2" s="125"/>
    </row>
    <row r="3" spans="1:48"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row>
    <row r="4" spans="1:48" ht="16.5" thickBot="1">
      <c r="A4" s="35" t="s">
        <v>446</v>
      </c>
      <c r="B4" s="125"/>
      <c r="C4" s="1648" t="s">
        <v>254</v>
      </c>
      <c r="D4" s="1646"/>
      <c r="E4" s="1647"/>
      <c r="F4" s="125"/>
      <c r="G4" s="1648" t="s">
        <v>867</v>
      </c>
      <c r="H4" s="1649"/>
      <c r="I4" s="1649"/>
      <c r="J4" s="1649"/>
      <c r="K4" s="1649"/>
      <c r="L4" s="1649"/>
      <c r="M4" s="1650"/>
      <c r="N4" s="125"/>
      <c r="O4" s="1648" t="s">
        <v>254</v>
      </c>
      <c r="P4" s="1646"/>
      <c r="Q4" s="1647"/>
      <c r="R4" s="125"/>
      <c r="S4" s="1648" t="s">
        <v>254</v>
      </c>
      <c r="T4" s="1649"/>
      <c r="U4" s="1649"/>
      <c r="V4" s="1649"/>
      <c r="W4" s="1649"/>
      <c r="X4" s="125"/>
      <c r="Y4" s="125"/>
      <c r="Z4" s="125"/>
      <c r="AA4" s="125"/>
      <c r="AB4" s="125"/>
    </row>
    <row r="5" spans="1:48" ht="16.5" thickBot="1">
      <c r="A5" s="135" t="s">
        <v>445</v>
      </c>
      <c r="B5" s="125"/>
      <c r="C5" s="1645" t="s">
        <v>520</v>
      </c>
      <c r="D5" s="1646"/>
      <c r="E5" s="1647"/>
      <c r="F5" s="125"/>
      <c r="G5" s="125"/>
      <c r="H5" s="277" t="s">
        <v>550</v>
      </c>
      <c r="I5" s="125"/>
      <c r="J5" s="1645" t="s">
        <v>558</v>
      </c>
      <c r="K5" s="1646"/>
      <c r="L5" s="1646"/>
      <c r="M5" s="1647"/>
      <c r="N5" s="125"/>
      <c r="O5" s="1648" t="s">
        <v>516</v>
      </c>
      <c r="P5" s="1646"/>
      <c r="Q5" s="1647"/>
      <c r="R5" s="125"/>
      <c r="S5" s="1648" t="s">
        <v>515</v>
      </c>
      <c r="T5" s="1649"/>
      <c r="U5" s="1649"/>
      <c r="V5" s="1649"/>
      <c r="W5" s="1649"/>
      <c r="X5" s="125"/>
      <c r="Y5" s="125"/>
      <c r="Z5" s="125"/>
      <c r="AA5" s="125"/>
      <c r="AB5" s="125"/>
    </row>
    <row r="6" spans="1:48" ht="16.5" thickBot="1">
      <c r="A6" s="125"/>
      <c r="B6" s="125"/>
      <c r="C6" s="1645" t="s">
        <v>521</v>
      </c>
      <c r="D6" s="1646"/>
      <c r="E6" s="1647"/>
      <c r="F6" s="125"/>
      <c r="G6" s="125"/>
      <c r="H6" s="125"/>
      <c r="I6" s="125"/>
      <c r="J6" s="125"/>
      <c r="K6" s="125"/>
      <c r="L6" s="125"/>
      <c r="M6" s="245" t="s">
        <v>775</v>
      </c>
      <c r="N6" s="125"/>
      <c r="O6" s="1648" t="s">
        <v>780</v>
      </c>
      <c r="P6" s="1649"/>
      <c r="Q6" s="1650"/>
      <c r="R6" s="125"/>
      <c r="S6" s="125"/>
      <c r="T6" s="1680" t="s">
        <v>436</v>
      </c>
      <c r="U6" s="1680"/>
      <c r="V6" s="125"/>
      <c r="W6" s="254" t="s">
        <v>774</v>
      </c>
      <c r="X6" s="125"/>
      <c r="Y6" s="125"/>
      <c r="Z6" s="125"/>
      <c r="AA6" s="125"/>
      <c r="AB6" s="125"/>
    </row>
    <row r="7" spans="1:48" ht="16.5" thickBot="1">
      <c r="A7" s="125"/>
      <c r="B7" s="125"/>
      <c r="C7" s="125"/>
      <c r="D7" s="156" t="s">
        <v>770</v>
      </c>
      <c r="E7" s="164" t="s">
        <v>427</v>
      </c>
      <c r="F7" s="125"/>
      <c r="G7" s="125"/>
      <c r="H7" s="1666" t="s">
        <v>872</v>
      </c>
      <c r="I7" s="1666"/>
      <c r="J7" s="1666"/>
      <c r="K7" s="1666"/>
      <c r="L7" s="1666"/>
      <c r="M7" s="1666"/>
      <c r="N7" s="125"/>
      <c r="O7" s="1638" t="s">
        <v>843</v>
      </c>
      <c r="P7" s="1639"/>
      <c r="Q7" s="1639"/>
      <c r="R7" s="125"/>
      <c r="S7" s="1657" t="s">
        <v>841</v>
      </c>
      <c r="T7" s="1658"/>
      <c r="U7" s="1658"/>
      <c r="V7" s="1658"/>
      <c r="W7" s="1658"/>
      <c r="X7" s="125"/>
      <c r="Y7" s="125"/>
      <c r="Z7" s="125"/>
      <c r="AA7" s="125"/>
      <c r="AB7" s="125"/>
    </row>
    <row r="8" spans="1:48" ht="16.5" thickBot="1">
      <c r="A8" s="146" t="s">
        <v>645</v>
      </c>
      <c r="B8" s="125"/>
      <c r="C8" s="158" t="s">
        <v>636</v>
      </c>
      <c r="D8" s="157" t="s">
        <v>771</v>
      </c>
      <c r="E8" s="165" t="s">
        <v>498</v>
      </c>
      <c r="F8" s="125"/>
      <c r="G8" s="125"/>
      <c r="H8" s="158" t="s">
        <v>566</v>
      </c>
      <c r="I8" s="158" t="s">
        <v>636</v>
      </c>
      <c r="J8" s="146" t="s">
        <v>426</v>
      </c>
      <c r="K8" s="146" t="s">
        <v>427</v>
      </c>
      <c r="L8" s="1681" t="s">
        <v>865</v>
      </c>
      <c r="M8" s="1682"/>
      <c r="N8" s="125"/>
      <c r="O8" s="158" t="s">
        <v>636</v>
      </c>
      <c r="P8" s="146" t="s">
        <v>426</v>
      </c>
      <c r="Q8" s="146" t="s">
        <v>427</v>
      </c>
      <c r="R8" s="125"/>
      <c r="S8" s="158" t="s">
        <v>636</v>
      </c>
      <c r="T8" s="146" t="s">
        <v>426</v>
      </c>
      <c r="U8" s="146" t="s">
        <v>427</v>
      </c>
      <c r="V8" s="154" t="s">
        <v>638</v>
      </c>
      <c r="W8" s="154" t="s">
        <v>637</v>
      </c>
      <c r="X8" s="125"/>
      <c r="Y8" s="125"/>
      <c r="Z8" s="125"/>
      <c r="AA8" s="125"/>
      <c r="AB8" s="125"/>
    </row>
    <row r="9" spans="1:48" s="129" customFormat="1">
      <c r="A9" s="216" t="s">
        <v>644</v>
      </c>
      <c r="B9" s="126"/>
      <c r="C9" s="126"/>
      <c r="D9" s="218">
        <v>0</v>
      </c>
      <c r="E9" s="236">
        <v>0</v>
      </c>
      <c r="F9" s="126"/>
      <c r="G9" s="128"/>
      <c r="H9" s="236">
        <v>0</v>
      </c>
      <c r="I9" s="126"/>
      <c r="J9" s="236">
        <v>1</v>
      </c>
      <c r="K9" s="236">
        <v>1</v>
      </c>
      <c r="L9" s="237"/>
      <c r="M9" s="237"/>
      <c r="N9" s="126"/>
      <c r="O9" s="126"/>
      <c r="P9" s="236">
        <v>1</v>
      </c>
      <c r="Q9" s="236">
        <v>1</v>
      </c>
      <c r="R9" s="126"/>
      <c r="S9" s="126"/>
      <c r="T9" s="236">
        <v>1</v>
      </c>
      <c r="U9" s="236">
        <v>1</v>
      </c>
      <c r="V9" s="126"/>
      <c r="W9" s="236">
        <v>1</v>
      </c>
      <c r="X9" s="126"/>
      <c r="Y9" s="126"/>
      <c r="Z9" s="126"/>
      <c r="AA9" s="126"/>
      <c r="AB9" s="126"/>
      <c r="AC9" s="152"/>
      <c r="AD9" s="152"/>
      <c r="AE9" s="152"/>
      <c r="AF9" s="152"/>
      <c r="AG9" s="152"/>
      <c r="AH9" s="152"/>
      <c r="AI9" s="152"/>
      <c r="AJ9" s="152"/>
      <c r="AK9" s="152"/>
      <c r="AL9" s="152"/>
      <c r="AM9" s="152"/>
      <c r="AN9" s="152"/>
      <c r="AO9" s="152"/>
      <c r="AP9" s="152"/>
      <c r="AQ9" s="152"/>
      <c r="AR9" s="152"/>
      <c r="AS9" s="152"/>
      <c r="AT9" s="152"/>
      <c r="AU9" s="152"/>
      <c r="AV9" s="152"/>
    </row>
    <row r="10" spans="1:48" s="228" customFormat="1">
      <c r="A10" s="220" t="s">
        <v>642</v>
      </c>
      <c r="B10" s="221"/>
      <c r="C10" s="221"/>
      <c r="D10" s="222">
        <f>COUNT(D13:D37)</f>
        <v>3</v>
      </c>
      <c r="E10" s="222">
        <f>COUNT(E13:E37)</f>
        <v>3</v>
      </c>
      <c r="F10" s="221"/>
      <c r="G10" s="224"/>
      <c r="H10" s="222">
        <f>COUNT(H13:H37)</f>
        <v>1</v>
      </c>
      <c r="I10" s="221"/>
      <c r="J10" s="222">
        <f>COUNT(J13:J37)</f>
        <v>1</v>
      </c>
      <c r="K10" s="222">
        <f>COUNT(K13:K37)</f>
        <v>1</v>
      </c>
      <c r="L10" s="222"/>
      <c r="M10" s="222"/>
      <c r="N10" s="221"/>
      <c r="O10" s="221"/>
      <c r="P10" s="222">
        <f>COUNT(P13:P37)</f>
        <v>1</v>
      </c>
      <c r="Q10" s="222">
        <f>COUNT(Q13:Q37)</f>
        <v>1</v>
      </c>
      <c r="R10" s="221"/>
      <c r="S10" s="221"/>
      <c r="T10" s="222">
        <f>COUNT(T13:T37)</f>
        <v>1</v>
      </c>
      <c r="U10" s="222">
        <f>COUNT(U13:U37)</f>
        <v>1</v>
      </c>
      <c r="V10" s="221"/>
      <c r="W10" s="222">
        <f>COUNT(W13:W37)</f>
        <v>2</v>
      </c>
      <c r="X10" s="221"/>
      <c r="Y10" s="221"/>
      <c r="Z10" s="221"/>
      <c r="AA10" s="221"/>
      <c r="AB10" s="221"/>
      <c r="AC10" s="227"/>
      <c r="AD10" s="227"/>
      <c r="AE10" s="227"/>
      <c r="AF10" s="227"/>
      <c r="AG10" s="227"/>
      <c r="AH10" s="227"/>
      <c r="AI10" s="227"/>
      <c r="AJ10" s="227"/>
      <c r="AK10" s="227"/>
      <c r="AL10" s="227"/>
      <c r="AM10" s="227"/>
      <c r="AN10" s="227"/>
      <c r="AO10" s="227"/>
      <c r="AP10" s="227"/>
      <c r="AQ10" s="227"/>
      <c r="AR10" s="227"/>
      <c r="AS10" s="227"/>
      <c r="AT10" s="227"/>
      <c r="AU10" s="227"/>
      <c r="AV10" s="227"/>
    </row>
    <row r="11" spans="1:48" s="234" customFormat="1">
      <c r="A11" s="223" t="s">
        <v>643</v>
      </c>
      <c r="B11" s="232"/>
      <c r="C11" s="1642" t="s">
        <v>915</v>
      </c>
      <c r="D11" s="1642"/>
      <c r="E11" s="1642"/>
      <c r="F11" s="232"/>
      <c r="G11" s="232"/>
      <c r="H11" s="1642" t="s">
        <v>256</v>
      </c>
      <c r="I11" s="1642"/>
      <c r="J11" s="1642" t="s">
        <v>916</v>
      </c>
      <c r="K11" s="1642"/>
      <c r="L11" s="276"/>
      <c r="M11" s="276"/>
      <c r="N11" s="232"/>
      <c r="O11" s="1642" t="s">
        <v>917</v>
      </c>
      <c r="P11" s="1642"/>
      <c r="Q11" s="1642"/>
      <c r="R11" s="232"/>
      <c r="S11" s="1642" t="s">
        <v>918</v>
      </c>
      <c r="T11" s="1642"/>
      <c r="U11" s="1642"/>
      <c r="V11" s="281" t="s">
        <v>680</v>
      </c>
      <c r="W11" s="231"/>
      <c r="X11" s="231"/>
      <c r="Y11" s="125"/>
      <c r="Z11" s="125"/>
      <c r="AA11" s="125"/>
      <c r="AB11" s="125"/>
      <c r="AC11" s="233"/>
      <c r="AD11" s="233"/>
      <c r="AE11" s="233"/>
      <c r="AF11" s="233"/>
      <c r="AG11" s="233"/>
      <c r="AH11" s="233"/>
      <c r="AI11" s="233"/>
      <c r="AJ11" s="233"/>
      <c r="AK11" s="233"/>
      <c r="AL11" s="233"/>
      <c r="AM11" s="233"/>
      <c r="AN11" s="233"/>
      <c r="AO11" s="233"/>
      <c r="AP11" s="233"/>
      <c r="AQ11" s="233"/>
      <c r="AR11" s="233"/>
      <c r="AS11" s="233"/>
      <c r="AT11" s="233"/>
      <c r="AU11" s="233"/>
      <c r="AV11" s="233"/>
    </row>
    <row r="12" spans="1:48">
      <c r="A12" s="130" t="s">
        <v>317</v>
      </c>
      <c r="B12" s="125"/>
      <c r="C12" s="131" t="s">
        <v>438</v>
      </c>
      <c r="D12" s="130" t="s">
        <v>521</v>
      </c>
      <c r="E12" s="130" t="s">
        <v>4</v>
      </c>
      <c r="F12" s="125"/>
      <c r="G12" s="125"/>
      <c r="H12" s="130" t="s">
        <v>265</v>
      </c>
      <c r="I12" s="131" t="s">
        <v>438</v>
      </c>
      <c r="J12" s="130" t="s">
        <v>0</v>
      </c>
      <c r="K12" s="130" t="s">
        <v>0</v>
      </c>
      <c r="L12" s="130"/>
      <c r="M12" s="130"/>
      <c r="N12" s="125"/>
      <c r="O12" s="131" t="s">
        <v>438</v>
      </c>
      <c r="P12" s="130" t="s">
        <v>3</v>
      </c>
      <c r="Q12" s="130" t="s">
        <v>3</v>
      </c>
      <c r="R12" s="125"/>
      <c r="S12" s="131" t="s">
        <v>438</v>
      </c>
      <c r="T12" s="130" t="s">
        <v>3</v>
      </c>
      <c r="U12" s="130" t="s">
        <v>3</v>
      </c>
      <c r="V12" s="130" t="s">
        <v>635</v>
      </c>
      <c r="W12" s="130" t="s">
        <v>454</v>
      </c>
      <c r="X12" s="125"/>
      <c r="Y12" s="125"/>
      <c r="Z12" s="125"/>
      <c r="AA12" s="125"/>
      <c r="AB12" s="125"/>
    </row>
    <row r="13" spans="1:48">
      <c r="A13" s="130">
        <v>1</v>
      </c>
      <c r="B13" s="125"/>
      <c r="C13" s="161">
        <v>0</v>
      </c>
      <c r="D13" s="147">
        <v>0</v>
      </c>
      <c r="E13" s="133">
        <v>0</v>
      </c>
      <c r="F13" s="125"/>
      <c r="G13" s="132">
        <v>1</v>
      </c>
      <c r="H13" s="147">
        <v>1</v>
      </c>
      <c r="I13" s="161">
        <v>0</v>
      </c>
      <c r="J13" s="133">
        <v>1</v>
      </c>
      <c r="K13" s="133">
        <v>0</v>
      </c>
      <c r="L13" s="222"/>
      <c r="M13" s="222"/>
      <c r="N13" s="125"/>
      <c r="O13" s="161">
        <v>0</v>
      </c>
      <c r="P13" s="133">
        <v>90</v>
      </c>
      <c r="Q13" s="133">
        <v>0</v>
      </c>
      <c r="R13" s="125"/>
      <c r="S13" s="161">
        <v>0</v>
      </c>
      <c r="T13" s="133">
        <v>12</v>
      </c>
      <c r="U13" s="133">
        <v>1.2</v>
      </c>
      <c r="V13" s="212">
        <v>1</v>
      </c>
      <c r="W13" s="133">
        <v>0.1</v>
      </c>
      <c r="X13" s="125"/>
      <c r="Y13" s="125"/>
      <c r="Z13" s="125"/>
      <c r="AA13" s="125"/>
      <c r="AB13" s="125"/>
    </row>
    <row r="14" spans="1:48">
      <c r="A14" s="130">
        <v>2</v>
      </c>
      <c r="B14" s="125"/>
      <c r="C14" s="161">
        <v>2</v>
      </c>
      <c r="D14" s="162">
        <v>1</v>
      </c>
      <c r="E14" s="163">
        <v>0</v>
      </c>
      <c r="F14" s="125"/>
      <c r="G14" s="125"/>
      <c r="H14" s="125"/>
      <c r="I14" s="161"/>
      <c r="J14" s="163"/>
      <c r="K14" s="163"/>
      <c r="L14" s="222"/>
      <c r="M14" s="222"/>
      <c r="N14" s="125"/>
      <c r="O14" s="161"/>
      <c r="P14" s="163"/>
      <c r="Q14" s="163"/>
      <c r="R14" s="125"/>
      <c r="S14" s="161"/>
      <c r="T14" s="163"/>
      <c r="U14" s="163"/>
      <c r="V14" s="212">
        <v>32</v>
      </c>
      <c r="W14" s="143">
        <v>1</v>
      </c>
      <c r="X14" s="125"/>
      <c r="Y14" s="125"/>
      <c r="Z14" s="125"/>
      <c r="AA14" s="125"/>
      <c r="AB14" s="125"/>
    </row>
    <row r="15" spans="1:48">
      <c r="A15" s="130">
        <v>3</v>
      </c>
      <c r="B15" s="125"/>
      <c r="C15" s="161">
        <v>2.1</v>
      </c>
      <c r="D15" s="147">
        <v>0</v>
      </c>
      <c r="E15" s="133">
        <v>0</v>
      </c>
      <c r="F15" s="125"/>
      <c r="G15" s="125"/>
      <c r="H15" s="125"/>
      <c r="I15" s="161"/>
      <c r="J15" s="133"/>
      <c r="K15" s="133"/>
      <c r="L15" s="222"/>
      <c r="M15" s="222"/>
      <c r="N15" s="125"/>
      <c r="O15" s="161"/>
      <c r="P15" s="133"/>
      <c r="Q15" s="133"/>
      <c r="R15" s="125"/>
      <c r="S15" s="161"/>
      <c r="T15" s="133"/>
      <c r="U15" s="133"/>
      <c r="V15" s="212"/>
      <c r="W15" s="133"/>
      <c r="X15" s="125"/>
      <c r="Y15" s="125"/>
      <c r="Z15" s="125"/>
      <c r="AA15" s="125"/>
      <c r="AB15" s="125"/>
    </row>
    <row r="16" spans="1:48">
      <c r="A16" s="130">
        <v>4</v>
      </c>
      <c r="B16" s="125"/>
      <c r="C16" s="161"/>
      <c r="D16" s="162"/>
      <c r="E16" s="163"/>
      <c r="F16" s="125"/>
      <c r="G16" s="125"/>
      <c r="H16" s="125"/>
      <c r="I16" s="161"/>
      <c r="J16" s="163"/>
      <c r="K16" s="163"/>
      <c r="L16" s="222"/>
      <c r="M16" s="222"/>
      <c r="N16" s="125"/>
      <c r="O16" s="161"/>
      <c r="P16" s="163"/>
      <c r="Q16" s="163"/>
      <c r="R16" s="125"/>
      <c r="S16" s="161"/>
      <c r="T16" s="163"/>
      <c r="U16" s="163"/>
      <c r="V16" s="177"/>
      <c r="W16" s="143"/>
      <c r="X16" s="125"/>
      <c r="Y16" s="125"/>
      <c r="Z16" s="125"/>
      <c r="AA16" s="125"/>
      <c r="AB16" s="125"/>
    </row>
    <row r="17" spans="1:28">
      <c r="A17" s="130">
        <v>5</v>
      </c>
      <c r="B17" s="125"/>
      <c r="C17" s="161"/>
      <c r="D17" s="147"/>
      <c r="E17" s="133"/>
      <c r="F17" s="125"/>
      <c r="G17" s="125"/>
      <c r="H17" s="125"/>
      <c r="I17" s="161"/>
      <c r="J17" s="133"/>
      <c r="K17" s="133"/>
      <c r="L17" s="222"/>
      <c r="M17" s="222"/>
      <c r="N17" s="125"/>
      <c r="O17" s="161"/>
      <c r="P17" s="133"/>
      <c r="Q17" s="133"/>
      <c r="R17" s="125"/>
      <c r="S17" s="161"/>
      <c r="T17" s="133"/>
      <c r="U17" s="133"/>
      <c r="V17" s="177"/>
      <c r="W17" s="133"/>
      <c r="X17" s="125"/>
      <c r="Y17" s="125"/>
      <c r="Z17" s="125"/>
      <c r="AA17" s="125"/>
      <c r="AB17" s="125"/>
    </row>
    <row r="18" spans="1:28">
      <c r="A18" s="130">
        <v>6</v>
      </c>
      <c r="B18" s="125"/>
      <c r="C18" s="161"/>
      <c r="D18" s="162"/>
      <c r="E18" s="163"/>
      <c r="F18" s="125"/>
      <c r="G18" s="125"/>
      <c r="H18" s="125"/>
      <c r="I18" s="161"/>
      <c r="J18" s="163"/>
      <c r="K18" s="163"/>
      <c r="L18" s="222"/>
      <c r="M18" s="222"/>
      <c r="N18" s="125"/>
      <c r="O18" s="161"/>
      <c r="P18" s="163"/>
      <c r="Q18" s="163"/>
      <c r="R18" s="125"/>
      <c r="S18" s="161"/>
      <c r="T18" s="163"/>
      <c r="U18" s="163"/>
      <c r="V18" s="177"/>
      <c r="W18" s="143"/>
      <c r="X18" s="125"/>
      <c r="Y18" s="125"/>
      <c r="Z18" s="125"/>
      <c r="AA18" s="125"/>
      <c r="AB18" s="125"/>
    </row>
    <row r="19" spans="1:28">
      <c r="A19" s="130">
        <v>7</v>
      </c>
      <c r="B19" s="125"/>
      <c r="C19" s="161"/>
      <c r="D19" s="147"/>
      <c r="E19" s="133"/>
      <c r="F19" s="125"/>
      <c r="G19" s="125"/>
      <c r="H19" s="125"/>
      <c r="I19" s="161"/>
      <c r="J19" s="133"/>
      <c r="K19" s="133"/>
      <c r="L19" s="222"/>
      <c r="M19" s="222"/>
      <c r="N19" s="125"/>
      <c r="O19" s="161"/>
      <c r="P19" s="133"/>
      <c r="Q19" s="133"/>
      <c r="R19" s="125"/>
      <c r="S19" s="161"/>
      <c r="T19" s="133"/>
      <c r="U19" s="133"/>
      <c r="V19" s="177"/>
      <c r="W19" s="133"/>
      <c r="X19" s="125"/>
      <c r="Y19" s="125"/>
      <c r="Z19" s="125"/>
      <c r="AA19" s="125"/>
      <c r="AB19" s="125"/>
    </row>
    <row r="20" spans="1:28">
      <c r="A20" s="130">
        <v>8</v>
      </c>
      <c r="B20" s="125"/>
      <c r="C20" s="161"/>
      <c r="D20" s="162"/>
      <c r="E20" s="163"/>
      <c r="F20" s="125"/>
      <c r="G20" s="125"/>
      <c r="H20" s="125"/>
      <c r="I20" s="161"/>
      <c r="J20" s="163"/>
      <c r="K20" s="163"/>
      <c r="L20" s="222"/>
      <c r="M20" s="222"/>
      <c r="N20" s="125"/>
      <c r="O20" s="161"/>
      <c r="P20" s="163"/>
      <c r="Q20" s="163"/>
      <c r="R20" s="125"/>
      <c r="S20" s="161"/>
      <c r="T20" s="163"/>
      <c r="U20" s="163"/>
      <c r="V20" s="177"/>
      <c r="W20" s="143"/>
      <c r="X20" s="125"/>
      <c r="Y20" s="125"/>
      <c r="Z20" s="125"/>
      <c r="AA20" s="125"/>
      <c r="AB20" s="125"/>
    </row>
    <row r="21" spans="1:28">
      <c r="A21" s="130">
        <v>9</v>
      </c>
      <c r="B21" s="125"/>
      <c r="C21" s="161"/>
      <c r="D21" s="147"/>
      <c r="E21" s="133"/>
      <c r="F21" s="125"/>
      <c r="G21" s="125"/>
      <c r="H21" s="125"/>
      <c r="I21" s="161"/>
      <c r="J21" s="133"/>
      <c r="K21" s="133"/>
      <c r="L21" s="222"/>
      <c r="M21" s="222"/>
      <c r="N21" s="125"/>
      <c r="O21" s="161"/>
      <c r="P21" s="133"/>
      <c r="Q21" s="133"/>
      <c r="R21" s="125"/>
      <c r="S21" s="161"/>
      <c r="T21" s="133"/>
      <c r="U21" s="133"/>
      <c r="V21" s="177"/>
      <c r="W21" s="133"/>
      <c r="X21" s="125"/>
      <c r="Y21" s="125"/>
      <c r="Z21" s="125"/>
      <c r="AA21" s="125"/>
      <c r="AB21" s="125"/>
    </row>
    <row r="22" spans="1:28">
      <c r="A22" s="130">
        <v>10</v>
      </c>
      <c r="B22" s="125"/>
      <c r="C22" s="161"/>
      <c r="D22" s="162"/>
      <c r="E22" s="163"/>
      <c r="F22" s="125"/>
      <c r="G22" s="125"/>
      <c r="H22" s="125"/>
      <c r="I22" s="161"/>
      <c r="J22" s="163"/>
      <c r="K22" s="163"/>
      <c r="L22" s="222"/>
      <c r="M22" s="222"/>
      <c r="N22" s="125"/>
      <c r="O22" s="161"/>
      <c r="P22" s="163"/>
      <c r="Q22" s="163"/>
      <c r="R22" s="125"/>
      <c r="S22" s="161"/>
      <c r="T22" s="163"/>
      <c r="U22" s="163"/>
      <c r="V22" s="177"/>
      <c r="W22" s="143"/>
      <c r="X22" s="125"/>
      <c r="Y22" s="125"/>
      <c r="Z22" s="125"/>
      <c r="AA22" s="125"/>
      <c r="AB22" s="125"/>
    </row>
    <row r="23" spans="1:28">
      <c r="A23" s="130">
        <v>11</v>
      </c>
      <c r="B23" s="125"/>
      <c r="C23" s="161"/>
      <c r="D23" s="147"/>
      <c r="E23" s="133"/>
      <c r="F23" s="125"/>
      <c r="G23" s="125"/>
      <c r="H23" s="125"/>
      <c r="I23" s="161"/>
      <c r="J23" s="133"/>
      <c r="K23" s="133"/>
      <c r="L23" s="222"/>
      <c r="M23" s="222"/>
      <c r="N23" s="125"/>
      <c r="O23" s="161"/>
      <c r="P23" s="133"/>
      <c r="Q23" s="133"/>
      <c r="R23" s="125"/>
      <c r="S23" s="161"/>
      <c r="T23" s="133"/>
      <c r="U23" s="133"/>
      <c r="V23" s="177"/>
      <c r="W23" s="133"/>
      <c r="X23" s="125"/>
      <c r="Y23" s="125"/>
      <c r="Z23" s="125"/>
      <c r="AA23" s="125"/>
      <c r="AB23" s="125"/>
    </row>
    <row r="24" spans="1:28">
      <c r="A24" s="130">
        <v>12</v>
      </c>
      <c r="B24" s="125"/>
      <c r="C24" s="161"/>
      <c r="D24" s="162"/>
      <c r="E24" s="163"/>
      <c r="F24" s="125"/>
      <c r="G24" s="125"/>
      <c r="H24" s="125"/>
      <c r="I24" s="161"/>
      <c r="J24" s="163"/>
      <c r="K24" s="163"/>
      <c r="L24" s="222"/>
      <c r="M24" s="222"/>
      <c r="N24" s="125"/>
      <c r="O24" s="161"/>
      <c r="P24" s="163"/>
      <c r="Q24" s="163"/>
      <c r="R24" s="125"/>
      <c r="S24" s="161"/>
      <c r="T24" s="163"/>
      <c r="U24" s="163"/>
      <c r="V24" s="177"/>
      <c r="W24" s="143"/>
      <c r="X24" s="125"/>
      <c r="Y24" s="125"/>
      <c r="Z24" s="125"/>
      <c r="AA24" s="125"/>
      <c r="AB24" s="125"/>
    </row>
    <row r="25" spans="1:28">
      <c r="A25" s="130">
        <v>13</v>
      </c>
      <c r="B25" s="125"/>
      <c r="C25" s="161"/>
      <c r="D25" s="147"/>
      <c r="E25" s="133"/>
      <c r="F25" s="125"/>
      <c r="G25" s="125"/>
      <c r="H25" s="125"/>
      <c r="I25" s="161"/>
      <c r="J25" s="133"/>
      <c r="K25" s="133"/>
      <c r="L25" s="222"/>
      <c r="M25" s="222"/>
      <c r="N25" s="125"/>
      <c r="O25" s="161"/>
      <c r="P25" s="133"/>
      <c r="Q25" s="133"/>
      <c r="R25" s="125"/>
      <c r="S25" s="161"/>
      <c r="T25" s="133"/>
      <c r="U25" s="133"/>
      <c r="V25" s="177"/>
      <c r="W25" s="133"/>
      <c r="X25" s="125"/>
      <c r="Y25" s="125"/>
      <c r="Z25" s="125"/>
      <c r="AA25" s="125"/>
      <c r="AB25" s="125"/>
    </row>
    <row r="26" spans="1:28">
      <c r="A26" s="130">
        <v>14</v>
      </c>
      <c r="B26" s="125"/>
      <c r="C26" s="161"/>
      <c r="D26" s="162"/>
      <c r="E26" s="163"/>
      <c r="F26" s="125"/>
      <c r="G26" s="125"/>
      <c r="H26" s="125"/>
      <c r="I26" s="161"/>
      <c r="J26" s="163"/>
      <c r="K26" s="163"/>
      <c r="L26" s="222"/>
      <c r="M26" s="222"/>
      <c r="N26" s="125"/>
      <c r="O26" s="161"/>
      <c r="P26" s="163"/>
      <c r="Q26" s="163"/>
      <c r="R26" s="125"/>
      <c r="S26" s="161"/>
      <c r="T26" s="163"/>
      <c r="U26" s="163"/>
      <c r="V26" s="177"/>
      <c r="W26" s="143"/>
      <c r="X26" s="125"/>
      <c r="Y26" s="125"/>
      <c r="Z26" s="125"/>
      <c r="AA26" s="125"/>
      <c r="AB26" s="125"/>
    </row>
    <row r="27" spans="1:28">
      <c r="A27" s="130">
        <v>15</v>
      </c>
      <c r="B27" s="125"/>
      <c r="C27" s="161"/>
      <c r="D27" s="147"/>
      <c r="E27" s="133"/>
      <c r="F27" s="125"/>
      <c r="G27" s="125"/>
      <c r="H27" s="125"/>
      <c r="I27" s="161"/>
      <c r="J27" s="133"/>
      <c r="K27" s="133"/>
      <c r="L27" s="222"/>
      <c r="M27" s="222"/>
      <c r="N27" s="125"/>
      <c r="O27" s="161"/>
      <c r="P27" s="133"/>
      <c r="Q27" s="133"/>
      <c r="R27" s="125"/>
      <c r="S27" s="161"/>
      <c r="T27" s="133"/>
      <c r="U27" s="133"/>
      <c r="V27" s="177"/>
      <c r="W27" s="133"/>
      <c r="X27" s="125"/>
      <c r="Y27" s="125"/>
      <c r="Z27" s="125"/>
      <c r="AA27" s="125"/>
      <c r="AB27" s="125"/>
    </row>
    <row r="28" spans="1:28">
      <c r="A28" s="130">
        <v>16</v>
      </c>
      <c r="B28" s="125"/>
      <c r="C28" s="161"/>
      <c r="D28" s="162"/>
      <c r="E28" s="163"/>
      <c r="F28" s="125"/>
      <c r="G28" s="125"/>
      <c r="H28" s="125"/>
      <c r="I28" s="161"/>
      <c r="J28" s="163"/>
      <c r="K28" s="163"/>
      <c r="L28" s="222"/>
      <c r="M28" s="222"/>
      <c r="N28" s="125"/>
      <c r="O28" s="161"/>
      <c r="P28" s="163"/>
      <c r="Q28" s="163"/>
      <c r="R28" s="125"/>
      <c r="S28" s="161"/>
      <c r="T28" s="163"/>
      <c r="U28" s="163"/>
      <c r="V28" s="177"/>
      <c r="W28" s="143"/>
      <c r="X28" s="125"/>
      <c r="Y28" s="125"/>
      <c r="Z28" s="125"/>
      <c r="AA28" s="125"/>
      <c r="AB28" s="125"/>
    </row>
    <row r="29" spans="1:28">
      <c r="A29" s="130">
        <v>17</v>
      </c>
      <c r="B29" s="125"/>
      <c r="C29" s="161"/>
      <c r="D29" s="147"/>
      <c r="E29" s="133"/>
      <c r="F29" s="125"/>
      <c r="G29" s="125"/>
      <c r="H29" s="125"/>
      <c r="I29" s="161"/>
      <c r="J29" s="133"/>
      <c r="K29" s="133"/>
      <c r="L29" s="222"/>
      <c r="M29" s="222"/>
      <c r="N29" s="125"/>
      <c r="O29" s="161"/>
      <c r="P29" s="133"/>
      <c r="Q29" s="133"/>
      <c r="R29" s="125"/>
      <c r="S29" s="161"/>
      <c r="T29" s="133"/>
      <c r="U29" s="133"/>
      <c r="V29" s="177"/>
      <c r="W29" s="133"/>
      <c r="X29" s="125"/>
      <c r="Y29" s="125"/>
      <c r="Z29" s="125"/>
      <c r="AA29" s="125"/>
      <c r="AB29" s="125"/>
    </row>
    <row r="30" spans="1:28">
      <c r="A30" s="130">
        <v>18</v>
      </c>
      <c r="B30" s="125"/>
      <c r="C30" s="161"/>
      <c r="D30" s="162"/>
      <c r="E30" s="163"/>
      <c r="F30" s="125"/>
      <c r="G30" s="125"/>
      <c r="H30" s="125"/>
      <c r="I30" s="161"/>
      <c r="J30" s="163"/>
      <c r="K30" s="163"/>
      <c r="L30" s="222"/>
      <c r="M30" s="222"/>
      <c r="N30" s="125"/>
      <c r="O30" s="161"/>
      <c r="P30" s="163"/>
      <c r="Q30" s="163"/>
      <c r="R30" s="125"/>
      <c r="S30" s="161"/>
      <c r="T30" s="163"/>
      <c r="U30" s="163"/>
      <c r="V30" s="177"/>
      <c r="W30" s="143"/>
      <c r="X30" s="125"/>
      <c r="Y30" s="125"/>
      <c r="Z30" s="125"/>
      <c r="AA30" s="125"/>
      <c r="AB30" s="125"/>
    </row>
    <row r="31" spans="1:28">
      <c r="A31" s="130">
        <v>19</v>
      </c>
      <c r="B31" s="125"/>
      <c r="C31" s="161"/>
      <c r="D31" s="147"/>
      <c r="E31" s="133"/>
      <c r="F31" s="125"/>
      <c r="G31" s="125"/>
      <c r="H31" s="125"/>
      <c r="I31" s="161"/>
      <c r="J31" s="133"/>
      <c r="K31" s="133"/>
      <c r="L31" s="222"/>
      <c r="M31" s="222"/>
      <c r="N31" s="125"/>
      <c r="O31" s="161"/>
      <c r="P31" s="133"/>
      <c r="Q31" s="133"/>
      <c r="R31" s="125"/>
      <c r="S31" s="161"/>
      <c r="T31" s="133"/>
      <c r="U31" s="133"/>
      <c r="V31" s="177"/>
      <c r="W31" s="133"/>
      <c r="X31" s="125"/>
      <c r="Y31" s="125"/>
      <c r="Z31" s="125"/>
      <c r="AA31" s="125"/>
      <c r="AB31" s="125"/>
    </row>
    <row r="32" spans="1:28">
      <c r="A32" s="130">
        <v>20</v>
      </c>
      <c r="B32" s="125"/>
      <c r="C32" s="161"/>
      <c r="D32" s="162"/>
      <c r="E32" s="163"/>
      <c r="F32" s="125"/>
      <c r="G32" s="125"/>
      <c r="H32" s="125"/>
      <c r="I32" s="161"/>
      <c r="J32" s="163"/>
      <c r="K32" s="163"/>
      <c r="L32" s="222"/>
      <c r="M32" s="222"/>
      <c r="N32" s="125"/>
      <c r="O32" s="161"/>
      <c r="P32" s="163"/>
      <c r="Q32" s="163"/>
      <c r="R32" s="125"/>
      <c r="S32" s="161"/>
      <c r="T32" s="163"/>
      <c r="U32" s="163"/>
      <c r="V32" s="177"/>
      <c r="W32" s="143"/>
      <c r="X32" s="125"/>
      <c r="Y32" s="125"/>
      <c r="Z32" s="125"/>
      <c r="AA32" s="125"/>
      <c r="AB32" s="125"/>
    </row>
    <row r="33" spans="1:28">
      <c r="A33" s="130">
        <v>21</v>
      </c>
      <c r="B33" s="125"/>
      <c r="C33" s="161"/>
      <c r="D33" s="147"/>
      <c r="E33" s="133"/>
      <c r="F33" s="125"/>
      <c r="G33" s="125"/>
      <c r="H33" s="125"/>
      <c r="I33" s="161"/>
      <c r="J33" s="133"/>
      <c r="K33" s="133"/>
      <c r="L33" s="222"/>
      <c r="M33" s="222"/>
      <c r="N33" s="125"/>
      <c r="O33" s="161"/>
      <c r="P33" s="133"/>
      <c r="Q33" s="133"/>
      <c r="R33" s="125"/>
      <c r="S33" s="161"/>
      <c r="T33" s="133"/>
      <c r="U33" s="133"/>
      <c r="V33" s="177"/>
      <c r="W33" s="133"/>
      <c r="X33" s="125"/>
      <c r="Y33" s="125"/>
      <c r="Z33" s="125"/>
      <c r="AA33" s="125"/>
      <c r="AB33" s="125"/>
    </row>
    <row r="34" spans="1:28">
      <c r="A34" s="130">
        <v>22</v>
      </c>
      <c r="B34" s="125"/>
      <c r="C34" s="161"/>
      <c r="D34" s="162"/>
      <c r="E34" s="163"/>
      <c r="F34" s="125"/>
      <c r="G34" s="125"/>
      <c r="H34" s="125"/>
      <c r="I34" s="161"/>
      <c r="J34" s="163"/>
      <c r="K34" s="163"/>
      <c r="L34" s="222"/>
      <c r="M34" s="222"/>
      <c r="N34" s="125"/>
      <c r="O34" s="161"/>
      <c r="P34" s="163"/>
      <c r="Q34" s="163"/>
      <c r="R34" s="125"/>
      <c r="S34" s="161"/>
      <c r="T34" s="163"/>
      <c r="U34" s="163"/>
      <c r="V34" s="177"/>
      <c r="W34" s="143"/>
      <c r="X34" s="125"/>
      <c r="Y34" s="125"/>
      <c r="Z34" s="125"/>
      <c r="AA34" s="125"/>
      <c r="AB34" s="125"/>
    </row>
    <row r="35" spans="1:28">
      <c r="A35" s="130">
        <v>23</v>
      </c>
      <c r="B35" s="125"/>
      <c r="C35" s="161"/>
      <c r="D35" s="147"/>
      <c r="E35" s="133"/>
      <c r="F35" s="125"/>
      <c r="G35" s="125"/>
      <c r="H35" s="125"/>
      <c r="I35" s="161"/>
      <c r="J35" s="133"/>
      <c r="K35" s="133"/>
      <c r="L35" s="222"/>
      <c r="M35" s="222"/>
      <c r="N35" s="125"/>
      <c r="O35" s="161"/>
      <c r="P35" s="133"/>
      <c r="Q35" s="133"/>
      <c r="R35" s="125"/>
      <c r="S35" s="161"/>
      <c r="T35" s="133"/>
      <c r="U35" s="133"/>
      <c r="V35" s="177"/>
      <c r="W35" s="133"/>
      <c r="X35" s="125"/>
      <c r="Y35" s="125"/>
      <c r="Z35" s="125"/>
      <c r="AA35" s="125"/>
      <c r="AB35" s="125"/>
    </row>
    <row r="36" spans="1:28">
      <c r="A36" s="130">
        <v>24</v>
      </c>
      <c r="B36" s="125"/>
      <c r="C36" s="161"/>
      <c r="D36" s="162"/>
      <c r="E36" s="163"/>
      <c r="F36" s="125"/>
      <c r="G36" s="125"/>
      <c r="H36" s="125"/>
      <c r="I36" s="161"/>
      <c r="J36" s="163"/>
      <c r="K36" s="163"/>
      <c r="L36" s="222"/>
      <c r="M36" s="222"/>
      <c r="N36" s="125"/>
      <c r="O36" s="161"/>
      <c r="P36" s="163"/>
      <c r="Q36" s="163"/>
      <c r="R36" s="125"/>
      <c r="S36" s="161"/>
      <c r="T36" s="163"/>
      <c r="U36" s="163"/>
      <c r="V36" s="177"/>
      <c r="W36" s="143"/>
      <c r="X36" s="125"/>
      <c r="Y36" s="125"/>
      <c r="Z36" s="125"/>
      <c r="AA36" s="125"/>
      <c r="AB36" s="125"/>
    </row>
    <row r="37" spans="1:28">
      <c r="A37" s="130">
        <v>25</v>
      </c>
      <c r="B37" s="125"/>
      <c r="C37" s="161"/>
      <c r="D37" s="147"/>
      <c r="E37" s="133"/>
      <c r="F37" s="125"/>
      <c r="G37" s="125"/>
      <c r="H37" s="125"/>
      <c r="I37" s="161"/>
      <c r="J37" s="133"/>
      <c r="K37" s="133"/>
      <c r="L37" s="222"/>
      <c r="M37" s="222"/>
      <c r="N37" s="125"/>
      <c r="O37" s="161"/>
      <c r="P37" s="133"/>
      <c r="Q37" s="133"/>
      <c r="R37" s="125"/>
      <c r="S37" s="161"/>
      <c r="T37" s="133"/>
      <c r="U37" s="133"/>
      <c r="V37" s="177"/>
      <c r="W37" s="133"/>
      <c r="X37" s="125"/>
      <c r="Y37" s="125"/>
      <c r="Z37" s="125"/>
      <c r="AA37" s="125"/>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sheetProtection selectLockedCells="1"/>
  <mergeCells count="20">
    <mergeCell ref="C4:E4"/>
    <mergeCell ref="C11:E11"/>
    <mergeCell ref="O4:Q4"/>
    <mergeCell ref="C6:E6"/>
    <mergeCell ref="C5:E5"/>
    <mergeCell ref="H7:M7"/>
    <mergeCell ref="H11:I11"/>
    <mergeCell ref="J11:K11"/>
    <mergeCell ref="G4:M4"/>
    <mergeCell ref="J5:M5"/>
    <mergeCell ref="L8:M8"/>
    <mergeCell ref="S4:W4"/>
    <mergeCell ref="S5:W5"/>
    <mergeCell ref="T6:U6"/>
    <mergeCell ref="O11:Q11"/>
    <mergeCell ref="O6:Q6"/>
    <mergeCell ref="O5:Q5"/>
    <mergeCell ref="O7:Q7"/>
    <mergeCell ref="S7:W7"/>
    <mergeCell ref="S11:U11"/>
  </mergeCells>
  <hyperlinks>
    <hyperlink ref="A1" location="IGAP!A1" display="IGAP!A1"/>
  </hyperlinks>
  <pageMargins left="0.7" right="0.7" top="0.75" bottom="0.75" header="0.3" footer="0.3"/>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M57"/>
  <sheetViews>
    <sheetView topLeftCell="A10" zoomScale="90" zoomScaleNormal="90" workbookViewId="0">
      <selection activeCell="C13" sqref="C13:AL18"/>
    </sheetView>
  </sheetViews>
  <sheetFormatPr baseColWidth="10" defaultRowHeight="15.75"/>
  <cols>
    <col min="1" max="1" width="13.28515625" style="127" bestFit="1" customWidth="1"/>
    <col min="2" max="2" width="1.7109375" style="127" customWidth="1"/>
    <col min="3" max="3" width="9.28515625" style="159" customWidth="1"/>
    <col min="4" max="4" width="7.28515625" style="159" bestFit="1" customWidth="1"/>
    <col min="5" max="5" width="6.140625" style="159" bestFit="1" customWidth="1"/>
    <col min="6" max="6" width="6.42578125" style="159" bestFit="1" customWidth="1"/>
    <col min="7" max="7" width="12.85546875" style="159" bestFit="1" customWidth="1"/>
    <col min="8" max="8" width="1.7109375" style="127" customWidth="1"/>
    <col min="9" max="9" width="9" style="159" bestFit="1" customWidth="1"/>
    <col min="10" max="10" width="6.5703125" style="159" bestFit="1" customWidth="1"/>
    <col min="11" max="11" width="5" style="159" bestFit="1" customWidth="1"/>
    <col min="12" max="12" width="11.5703125" style="159" bestFit="1" customWidth="1"/>
    <col min="13" max="13" width="13.7109375" style="159" bestFit="1" customWidth="1"/>
    <col min="14" max="14" width="1.7109375" style="127" customWidth="1"/>
    <col min="15" max="15" width="9" style="159" bestFit="1" customWidth="1"/>
    <col min="16" max="16" width="6.5703125" style="159" bestFit="1" customWidth="1"/>
    <col min="17" max="17" width="5" style="159" bestFit="1" customWidth="1"/>
    <col min="18" max="18" width="11.5703125" style="159" bestFit="1" customWidth="1"/>
    <col min="19" max="19" width="12.7109375" style="159" bestFit="1" customWidth="1"/>
    <col min="20" max="20" width="1.7109375" style="127" customWidth="1"/>
    <col min="21" max="21" width="11.5703125" style="127" bestFit="1" customWidth="1"/>
    <col min="22" max="22" width="7.85546875" style="127" bestFit="1" customWidth="1"/>
    <col min="23" max="23" width="11.5703125" style="127" bestFit="1" customWidth="1"/>
    <col min="24" max="24" width="7.85546875" style="127" bestFit="1" customWidth="1"/>
    <col min="25" max="25" width="7.140625" style="127" bestFit="1" customWidth="1"/>
    <col min="26" max="26" width="9.7109375" style="127" bestFit="1" customWidth="1"/>
    <col min="27" max="27" width="1.7109375" style="127" customWidth="1"/>
    <col min="28" max="28" width="11.5703125" style="159" bestFit="1" customWidth="1"/>
    <col min="29" max="29" width="7.85546875" style="159" bestFit="1" customWidth="1"/>
    <col min="30" max="30" width="7.140625" style="159" bestFit="1" customWidth="1"/>
    <col min="31" max="31" width="9.42578125" style="159" customWidth="1"/>
    <col min="32" max="32" width="12.28515625" style="159" bestFit="1" customWidth="1"/>
    <col min="33" max="33" width="1.7109375" style="127" customWidth="1"/>
    <col min="34" max="34" width="11.5703125" style="159" bestFit="1" customWidth="1"/>
    <col min="35" max="35" width="7.85546875" style="159" bestFit="1" customWidth="1"/>
    <col min="36" max="36" width="7.140625" style="159" bestFit="1" customWidth="1"/>
    <col min="37" max="37" width="13.140625" style="159" customWidth="1"/>
    <col min="38" max="38" width="12.28515625" style="159" bestFit="1" customWidth="1"/>
    <col min="39" max="39" width="1.7109375" style="127" customWidth="1"/>
    <col min="40" max="16384" width="11.42578125" style="159"/>
  </cols>
  <sheetData>
    <row r="1" spans="1:39">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row>
    <row r="2" spans="1:39" ht="21">
      <c r="A2" s="13" t="s">
        <v>444</v>
      </c>
      <c r="B2" s="125"/>
      <c r="C2" s="241" t="s">
        <v>559</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125"/>
    </row>
    <row r="3" spans="1:39"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row>
    <row r="4" spans="1:39" ht="16.5" thickBot="1">
      <c r="A4" s="35" t="s">
        <v>446</v>
      </c>
      <c r="B4" s="125"/>
      <c r="C4" s="1645" t="s">
        <v>254</v>
      </c>
      <c r="D4" s="1646"/>
      <c r="E4" s="1646"/>
      <c r="F4" s="1646"/>
      <c r="G4" s="1647"/>
      <c r="H4" s="125"/>
      <c r="I4" s="1645" t="s">
        <v>254</v>
      </c>
      <c r="J4" s="1646"/>
      <c r="K4" s="1646"/>
      <c r="L4" s="1646"/>
      <c r="M4" s="1647"/>
      <c r="N4" s="125"/>
      <c r="O4" s="1645" t="s">
        <v>254</v>
      </c>
      <c r="P4" s="1646"/>
      <c r="Q4" s="1646"/>
      <c r="R4" s="1646"/>
      <c r="S4" s="1647"/>
      <c r="T4" s="125"/>
      <c r="U4" s="1661" t="s">
        <v>254</v>
      </c>
      <c r="V4" s="1655"/>
      <c r="W4" s="1655"/>
      <c r="X4" s="1655"/>
      <c r="Y4" s="1655"/>
      <c r="Z4" s="1662"/>
      <c r="AA4" s="125"/>
      <c r="AB4" s="1648" t="s">
        <v>254</v>
      </c>
      <c r="AC4" s="1649"/>
      <c r="AD4" s="1649"/>
      <c r="AE4" s="1649"/>
      <c r="AF4" s="1650"/>
      <c r="AG4" s="125"/>
      <c r="AH4" s="1645" t="s">
        <v>254</v>
      </c>
      <c r="AI4" s="1646"/>
      <c r="AJ4" s="1646"/>
      <c r="AK4" s="1646"/>
      <c r="AL4" s="1647"/>
      <c r="AM4" s="125"/>
    </row>
    <row r="5" spans="1:39" ht="16.5" thickBot="1">
      <c r="A5" s="135" t="s">
        <v>445</v>
      </c>
      <c r="B5" s="125"/>
      <c r="C5" s="1645" t="s">
        <v>513</v>
      </c>
      <c r="D5" s="1646"/>
      <c r="E5" s="1646"/>
      <c r="F5" s="1646"/>
      <c r="G5" s="1647"/>
      <c r="H5" s="125"/>
      <c r="I5" s="1645" t="s">
        <v>512</v>
      </c>
      <c r="J5" s="1646"/>
      <c r="K5" s="1646"/>
      <c r="L5" s="1646"/>
      <c r="M5" s="1647"/>
      <c r="N5" s="125"/>
      <c r="O5" s="1645" t="s">
        <v>511</v>
      </c>
      <c r="P5" s="1646"/>
      <c r="Q5" s="1646"/>
      <c r="R5" s="1646"/>
      <c r="S5" s="1647"/>
      <c r="T5" s="125"/>
      <c r="U5" s="1665" t="s">
        <v>781</v>
      </c>
      <c r="V5" s="1655"/>
      <c r="W5" s="1655"/>
      <c r="X5" s="1655"/>
      <c r="Y5" s="1655"/>
      <c r="Z5" s="1662"/>
      <c r="AA5" s="125"/>
      <c r="AB5" s="1648" t="s">
        <v>620</v>
      </c>
      <c r="AC5" s="1649"/>
      <c r="AD5" s="1649"/>
      <c r="AE5" s="1649"/>
      <c r="AF5" s="1650"/>
      <c r="AG5" s="125"/>
      <c r="AH5" s="1645" t="s">
        <v>510</v>
      </c>
      <c r="AI5" s="1646"/>
      <c r="AJ5" s="1646"/>
      <c r="AK5" s="1646"/>
      <c r="AL5" s="1647"/>
      <c r="AM5" s="125"/>
    </row>
    <row r="6" spans="1:39" ht="16.5" thickBot="1">
      <c r="A6" s="125"/>
      <c r="B6" s="125"/>
      <c r="C6" s="125"/>
      <c r="D6" s="1661" t="s">
        <v>634</v>
      </c>
      <c r="E6" s="1662"/>
      <c r="F6" s="125"/>
      <c r="G6" s="245" t="s">
        <v>640</v>
      </c>
      <c r="H6" s="125"/>
      <c r="I6" s="125"/>
      <c r="J6" s="1645" t="s">
        <v>441</v>
      </c>
      <c r="K6" s="1647"/>
      <c r="L6" s="125"/>
      <c r="M6" s="247" t="s">
        <v>649</v>
      </c>
      <c r="N6" s="125"/>
      <c r="O6" s="125"/>
      <c r="P6" s="1645" t="s">
        <v>441</v>
      </c>
      <c r="Q6" s="1647"/>
      <c r="R6" s="125"/>
      <c r="S6" s="247" t="s">
        <v>649</v>
      </c>
      <c r="T6" s="125"/>
      <c r="U6" s="125"/>
      <c r="V6" s="215" t="s">
        <v>435</v>
      </c>
      <c r="W6" s="125"/>
      <c r="X6" s="1664" t="s">
        <v>782</v>
      </c>
      <c r="Y6" s="1683"/>
      <c r="Z6" s="125"/>
      <c r="AA6" s="125"/>
      <c r="AB6" s="125"/>
      <c r="AC6" s="1661" t="s">
        <v>436</v>
      </c>
      <c r="AD6" s="1662"/>
      <c r="AE6" s="125"/>
      <c r="AF6" s="250" t="s">
        <v>774</v>
      </c>
      <c r="AG6" s="125"/>
      <c r="AH6" s="125"/>
      <c r="AI6" s="1661" t="s">
        <v>436</v>
      </c>
      <c r="AJ6" s="1662"/>
      <c r="AK6" s="125"/>
      <c r="AL6" s="250" t="s">
        <v>774</v>
      </c>
      <c r="AM6" s="125"/>
    </row>
    <row r="7" spans="1:39" ht="16.5" thickBot="1">
      <c r="A7" s="125"/>
      <c r="B7" s="125"/>
      <c r="C7" s="1657" t="s">
        <v>846</v>
      </c>
      <c r="D7" s="1658"/>
      <c r="E7" s="1658"/>
      <c r="F7" s="1658"/>
      <c r="G7" s="1658"/>
      <c r="H7" s="125"/>
      <c r="I7" s="1657" t="s">
        <v>222</v>
      </c>
      <c r="J7" s="1658"/>
      <c r="K7" s="1658"/>
      <c r="L7" s="1658"/>
      <c r="M7" s="1658"/>
      <c r="N7" s="125"/>
      <c r="O7" s="1657" t="s">
        <v>220</v>
      </c>
      <c r="P7" s="1658"/>
      <c r="Q7" s="1658"/>
      <c r="R7" s="1658"/>
      <c r="S7" s="1658"/>
      <c r="T7" s="125"/>
      <c r="U7" s="1657" t="s">
        <v>842</v>
      </c>
      <c r="V7" s="1658"/>
      <c r="W7" s="1658"/>
      <c r="X7" s="1658"/>
      <c r="Y7" s="1658"/>
      <c r="Z7" s="1658"/>
      <c r="AA7" s="125"/>
      <c r="AB7" s="1657" t="s">
        <v>844</v>
      </c>
      <c r="AC7" s="1658"/>
      <c r="AD7" s="1658"/>
      <c r="AE7" s="1658"/>
      <c r="AF7" s="1658"/>
      <c r="AG7" s="125"/>
      <c r="AH7" s="1657" t="s">
        <v>845</v>
      </c>
      <c r="AI7" s="1658"/>
      <c r="AJ7" s="1658"/>
      <c r="AK7" s="1658"/>
      <c r="AL7" s="1658"/>
      <c r="AM7" s="125"/>
    </row>
    <row r="8" spans="1:39" ht="16.5" thickBot="1">
      <c r="A8" s="146" t="s">
        <v>645</v>
      </c>
      <c r="B8" s="125"/>
      <c r="C8" s="146" t="s">
        <v>636</v>
      </c>
      <c r="D8" s="146" t="s">
        <v>426</v>
      </c>
      <c r="E8" s="146" t="s">
        <v>427</v>
      </c>
      <c r="F8" s="154" t="s">
        <v>638</v>
      </c>
      <c r="G8" s="154" t="s">
        <v>637</v>
      </c>
      <c r="H8" s="125"/>
      <c r="I8" s="146" t="s">
        <v>636</v>
      </c>
      <c r="J8" s="146" t="s">
        <v>426</v>
      </c>
      <c r="K8" s="146" t="s">
        <v>427</v>
      </c>
      <c r="L8" s="146" t="s">
        <v>636</v>
      </c>
      <c r="M8" s="146" t="s">
        <v>430</v>
      </c>
      <c r="N8" s="125"/>
      <c r="O8" s="146" t="s">
        <v>636</v>
      </c>
      <c r="P8" s="146" t="s">
        <v>426</v>
      </c>
      <c r="Q8" s="146" t="s">
        <v>427</v>
      </c>
      <c r="R8" s="146" t="s">
        <v>636</v>
      </c>
      <c r="S8" s="146" t="s">
        <v>430</v>
      </c>
      <c r="T8" s="125"/>
      <c r="U8" s="146" t="s">
        <v>636</v>
      </c>
      <c r="V8" s="146" t="s">
        <v>426</v>
      </c>
      <c r="W8" s="146" t="s">
        <v>636</v>
      </c>
      <c r="X8" s="146" t="s">
        <v>426</v>
      </c>
      <c r="Y8" s="154" t="s">
        <v>427</v>
      </c>
      <c r="Z8" s="146" t="s">
        <v>437</v>
      </c>
      <c r="AA8" s="125"/>
      <c r="AB8" s="146" t="s">
        <v>636</v>
      </c>
      <c r="AC8" s="146" t="s">
        <v>426</v>
      </c>
      <c r="AD8" s="146" t="s">
        <v>427</v>
      </c>
      <c r="AE8" s="154" t="s">
        <v>638</v>
      </c>
      <c r="AF8" s="154" t="s">
        <v>637</v>
      </c>
      <c r="AG8" s="125"/>
      <c r="AH8" s="146" t="s">
        <v>636</v>
      </c>
      <c r="AI8" s="146" t="s">
        <v>426</v>
      </c>
      <c r="AJ8" s="146" t="s">
        <v>427</v>
      </c>
      <c r="AK8" s="154" t="s">
        <v>638</v>
      </c>
      <c r="AL8" s="154" t="s">
        <v>637</v>
      </c>
      <c r="AM8" s="125"/>
    </row>
    <row r="9" spans="1:39" s="160" customFormat="1">
      <c r="A9" s="216" t="s">
        <v>644</v>
      </c>
      <c r="B9" s="126"/>
      <c r="C9" s="126"/>
      <c r="D9" s="236">
        <v>1</v>
      </c>
      <c r="E9" s="236">
        <v>1</v>
      </c>
      <c r="F9" s="237"/>
      <c r="G9" s="236">
        <v>1</v>
      </c>
      <c r="H9" s="126"/>
      <c r="I9" s="126"/>
      <c r="J9" s="236">
        <v>1</v>
      </c>
      <c r="K9" s="236">
        <v>1</v>
      </c>
      <c r="L9" s="126"/>
      <c r="M9" s="236">
        <v>1</v>
      </c>
      <c r="N9" s="126"/>
      <c r="O9" s="126"/>
      <c r="P9" s="236">
        <v>1</v>
      </c>
      <c r="Q9" s="236">
        <v>1</v>
      </c>
      <c r="R9" s="126"/>
      <c r="S9" s="236">
        <v>1</v>
      </c>
      <c r="T9" s="126"/>
      <c r="U9" s="126"/>
      <c r="V9" s="236">
        <v>1</v>
      </c>
      <c r="W9" s="126"/>
      <c r="X9" s="236">
        <v>1</v>
      </c>
      <c r="Y9" s="236">
        <v>1</v>
      </c>
      <c r="Z9" s="236">
        <v>0</v>
      </c>
      <c r="AA9" s="126"/>
      <c r="AB9" s="126"/>
      <c r="AC9" s="236">
        <v>1</v>
      </c>
      <c r="AD9" s="236">
        <v>1</v>
      </c>
      <c r="AE9" s="237"/>
      <c r="AF9" s="236">
        <v>1</v>
      </c>
      <c r="AG9" s="126"/>
      <c r="AH9" s="126"/>
      <c r="AI9" s="236">
        <v>1</v>
      </c>
      <c r="AJ9" s="236">
        <v>1</v>
      </c>
      <c r="AK9" s="237"/>
      <c r="AL9" s="236">
        <v>1</v>
      </c>
      <c r="AM9" s="126"/>
    </row>
    <row r="10" spans="1:39" s="226" customFormat="1">
      <c r="A10" s="220" t="s">
        <v>642</v>
      </c>
      <c r="B10" s="221"/>
      <c r="C10" s="221"/>
      <c r="D10" s="222">
        <f>COUNT(D13:D37)</f>
        <v>3</v>
      </c>
      <c r="E10" s="222">
        <f>COUNT(E13:E37)</f>
        <v>3</v>
      </c>
      <c r="F10" s="222"/>
      <c r="G10" s="222">
        <f>COUNT(G13:G37)</f>
        <v>2</v>
      </c>
      <c r="H10" s="221"/>
      <c r="I10" s="221"/>
      <c r="J10" s="222">
        <f>COUNT(J13:J37)</f>
        <v>3</v>
      </c>
      <c r="K10" s="222">
        <f>COUNT(K13:K37)</f>
        <v>3</v>
      </c>
      <c r="L10" s="221"/>
      <c r="M10" s="222">
        <f>COUNT(M13:M37)</f>
        <v>6</v>
      </c>
      <c r="N10" s="221"/>
      <c r="O10" s="221"/>
      <c r="P10" s="222">
        <f>COUNT(P13:P37)</f>
        <v>3</v>
      </c>
      <c r="Q10" s="222">
        <f>COUNT(Q13:Q37)</f>
        <v>3</v>
      </c>
      <c r="R10" s="221"/>
      <c r="S10" s="222">
        <f>COUNT(S13:S37)</f>
        <v>6</v>
      </c>
      <c r="T10" s="221"/>
      <c r="U10" s="221"/>
      <c r="V10" s="222">
        <f>COUNT(V13:V37)</f>
        <v>5</v>
      </c>
      <c r="W10" s="221"/>
      <c r="X10" s="222">
        <f>COUNT(X13:X37)</f>
        <v>5</v>
      </c>
      <c r="Y10" s="222">
        <f>COUNT(Y13:Y37)</f>
        <v>5</v>
      </c>
      <c r="Z10" s="222">
        <f>COUNT(Z13:Z37)</f>
        <v>1</v>
      </c>
      <c r="AA10" s="221"/>
      <c r="AB10" s="221"/>
      <c r="AC10" s="222">
        <f>COUNT(AC13:AC37)</f>
        <v>3</v>
      </c>
      <c r="AD10" s="222">
        <f>COUNT(AD13:AD37)</f>
        <v>3</v>
      </c>
      <c r="AE10" s="222"/>
      <c r="AF10" s="222">
        <f>COUNT(AF13:AF37)</f>
        <v>2</v>
      </c>
      <c r="AG10" s="221"/>
      <c r="AH10" s="221"/>
      <c r="AI10" s="222">
        <f>COUNT(AI13:AI37)</f>
        <v>3</v>
      </c>
      <c r="AJ10" s="222">
        <f>COUNT(AJ13:AJ37)</f>
        <v>3</v>
      </c>
      <c r="AK10" s="222"/>
      <c r="AL10" s="222">
        <f>COUNT(AL13:AL37)</f>
        <v>2</v>
      </c>
      <c r="AM10" s="221"/>
    </row>
    <row r="11" spans="1:39" s="226" customFormat="1">
      <c r="A11" s="223" t="s">
        <v>643</v>
      </c>
      <c r="B11" s="235"/>
      <c r="C11" s="1642" t="s">
        <v>919</v>
      </c>
      <c r="D11" s="1642"/>
      <c r="E11" s="1642"/>
      <c r="F11" s="1642" t="s">
        <v>681</v>
      </c>
      <c r="G11" s="1642"/>
      <c r="H11" s="231"/>
      <c r="I11" s="1642" t="s">
        <v>920</v>
      </c>
      <c r="J11" s="1642"/>
      <c r="K11" s="1642"/>
      <c r="L11" s="1642"/>
      <c r="M11" s="1642"/>
      <c r="N11" s="235"/>
      <c r="O11" s="1642" t="s">
        <v>921</v>
      </c>
      <c r="P11" s="1642"/>
      <c r="Q11" s="1642"/>
      <c r="R11" s="1642"/>
      <c r="S11" s="1642"/>
      <c r="T11" s="235"/>
      <c r="U11" s="1642" t="s">
        <v>922</v>
      </c>
      <c r="V11" s="1642"/>
      <c r="W11" s="1642"/>
      <c r="X11" s="1642"/>
      <c r="Y11" s="1642"/>
      <c r="Z11" s="1642"/>
      <c r="AA11" s="235"/>
      <c r="AB11" s="1642" t="s">
        <v>923</v>
      </c>
      <c r="AC11" s="1642"/>
      <c r="AD11" s="1642"/>
      <c r="AE11" s="1642" t="s">
        <v>682</v>
      </c>
      <c r="AF11" s="1642"/>
      <c r="AG11" s="231"/>
      <c r="AH11" s="1642" t="s">
        <v>924</v>
      </c>
      <c r="AI11" s="1642"/>
      <c r="AJ11" s="1642"/>
      <c r="AK11" s="1642" t="s">
        <v>796</v>
      </c>
      <c r="AL11" s="1642"/>
      <c r="AM11" s="231"/>
    </row>
    <row r="12" spans="1:39">
      <c r="A12" s="130" t="s">
        <v>317</v>
      </c>
      <c r="B12" s="125"/>
      <c r="C12" s="131" t="s">
        <v>434</v>
      </c>
      <c r="D12" s="130" t="s">
        <v>0</v>
      </c>
      <c r="E12" s="130" t="s">
        <v>0</v>
      </c>
      <c r="F12" s="130" t="s">
        <v>635</v>
      </c>
      <c r="G12" s="130" t="s">
        <v>454</v>
      </c>
      <c r="H12" s="125"/>
      <c r="I12" s="131" t="s">
        <v>434</v>
      </c>
      <c r="J12" s="130" t="s">
        <v>0</v>
      </c>
      <c r="K12" s="130" t="s">
        <v>0</v>
      </c>
      <c r="L12" s="131" t="s">
        <v>433</v>
      </c>
      <c r="M12" s="131" t="s">
        <v>5</v>
      </c>
      <c r="N12" s="125"/>
      <c r="O12" s="131" t="s">
        <v>434</v>
      </c>
      <c r="P12" s="130" t="s">
        <v>0</v>
      </c>
      <c r="Q12" s="130" t="s">
        <v>0</v>
      </c>
      <c r="R12" s="131" t="s">
        <v>433</v>
      </c>
      <c r="S12" s="131" t="s">
        <v>5</v>
      </c>
      <c r="T12" s="125"/>
      <c r="U12" s="131" t="s">
        <v>433</v>
      </c>
      <c r="V12" s="131" t="s">
        <v>3</v>
      </c>
      <c r="W12" s="131" t="s">
        <v>433</v>
      </c>
      <c r="X12" s="131" t="s">
        <v>3</v>
      </c>
      <c r="Y12" s="131" t="s">
        <v>3</v>
      </c>
      <c r="Z12" s="130" t="s">
        <v>635</v>
      </c>
      <c r="AA12" s="125"/>
      <c r="AB12" s="131" t="s">
        <v>433</v>
      </c>
      <c r="AC12" s="131" t="s">
        <v>3</v>
      </c>
      <c r="AD12" s="131" t="s">
        <v>3</v>
      </c>
      <c r="AE12" s="130" t="s">
        <v>635</v>
      </c>
      <c r="AF12" s="130" t="s">
        <v>454</v>
      </c>
      <c r="AG12" s="125"/>
      <c r="AH12" s="131" t="s">
        <v>433</v>
      </c>
      <c r="AI12" s="131" t="s">
        <v>3</v>
      </c>
      <c r="AJ12" s="131" t="s">
        <v>3</v>
      </c>
      <c r="AK12" s="130" t="s">
        <v>635</v>
      </c>
      <c r="AL12" s="130" t="s">
        <v>454</v>
      </c>
      <c r="AM12" s="125"/>
    </row>
    <row r="13" spans="1:39">
      <c r="A13" s="130">
        <v>1</v>
      </c>
      <c r="B13" s="125"/>
      <c r="C13" s="141">
        <v>1</v>
      </c>
      <c r="D13" s="133">
        <v>100</v>
      </c>
      <c r="E13" s="133">
        <v>10</v>
      </c>
      <c r="F13" s="212">
        <v>1</v>
      </c>
      <c r="G13" s="133">
        <v>0.1</v>
      </c>
      <c r="H13" s="125"/>
      <c r="I13" s="1072">
        <v>1</v>
      </c>
      <c r="J13" s="105">
        <v>3</v>
      </c>
      <c r="K13" s="105">
        <v>0.3</v>
      </c>
      <c r="L13" s="265">
        <v>0</v>
      </c>
      <c r="M13" s="105">
        <v>0.6</v>
      </c>
      <c r="N13" s="125"/>
      <c r="O13" s="1072">
        <v>1</v>
      </c>
      <c r="P13" s="105">
        <v>1</v>
      </c>
      <c r="Q13" s="105">
        <v>0.1</v>
      </c>
      <c r="R13" s="265">
        <v>0</v>
      </c>
      <c r="S13" s="105">
        <v>0.8</v>
      </c>
      <c r="T13" s="125"/>
      <c r="U13" s="265">
        <v>0</v>
      </c>
      <c r="V13" s="105">
        <v>0</v>
      </c>
      <c r="W13" s="265">
        <v>0</v>
      </c>
      <c r="X13" s="105">
        <v>0</v>
      </c>
      <c r="Y13" s="105">
        <v>0</v>
      </c>
      <c r="Z13" s="270">
        <v>32</v>
      </c>
      <c r="AA13" s="125"/>
      <c r="AB13" s="265">
        <v>0</v>
      </c>
      <c r="AC13" s="105">
        <v>0</v>
      </c>
      <c r="AD13" s="105">
        <v>0</v>
      </c>
      <c r="AE13" s="212">
        <v>1</v>
      </c>
      <c r="AF13" s="133">
        <v>0.1</v>
      </c>
      <c r="AG13" s="125"/>
      <c r="AH13" s="265">
        <v>0</v>
      </c>
      <c r="AI13" s="105">
        <v>0</v>
      </c>
      <c r="AJ13" s="105">
        <v>0</v>
      </c>
      <c r="AK13" s="212">
        <v>1</v>
      </c>
      <c r="AL13" s="133">
        <v>0.1</v>
      </c>
      <c r="AM13" s="125"/>
    </row>
    <row r="14" spans="1:39">
      <c r="A14" s="130">
        <v>2</v>
      </c>
      <c r="B14" s="125"/>
      <c r="C14" s="141">
        <v>100</v>
      </c>
      <c r="D14" s="142">
        <v>150</v>
      </c>
      <c r="E14" s="142">
        <v>15</v>
      </c>
      <c r="F14" s="212">
        <v>10</v>
      </c>
      <c r="G14" s="143">
        <v>1</v>
      </c>
      <c r="H14" s="125"/>
      <c r="I14" s="1072">
        <v>100</v>
      </c>
      <c r="J14" s="1073">
        <v>5</v>
      </c>
      <c r="K14" s="1073">
        <v>0.5</v>
      </c>
      <c r="L14" s="265">
        <v>20</v>
      </c>
      <c r="M14" s="266">
        <v>0.8</v>
      </c>
      <c r="N14" s="125"/>
      <c r="O14" s="1072">
        <v>100</v>
      </c>
      <c r="P14" s="1073">
        <v>1.5</v>
      </c>
      <c r="Q14" s="1073">
        <v>0.15</v>
      </c>
      <c r="R14" s="265">
        <v>20</v>
      </c>
      <c r="S14" s="266">
        <v>0.9</v>
      </c>
      <c r="T14" s="125"/>
      <c r="U14" s="265">
        <v>25</v>
      </c>
      <c r="V14" s="266">
        <v>2</v>
      </c>
      <c r="W14" s="265">
        <v>20</v>
      </c>
      <c r="X14" s="266">
        <v>20</v>
      </c>
      <c r="Y14" s="266">
        <v>0.2</v>
      </c>
      <c r="Z14" s="271"/>
      <c r="AA14" s="125"/>
      <c r="AB14" s="265">
        <v>10</v>
      </c>
      <c r="AC14" s="266">
        <v>10</v>
      </c>
      <c r="AD14" s="266">
        <v>1</v>
      </c>
      <c r="AE14" s="212">
        <v>32</v>
      </c>
      <c r="AF14" s="143">
        <v>1</v>
      </c>
      <c r="AG14" s="125"/>
      <c r="AH14" s="265">
        <v>10</v>
      </c>
      <c r="AI14" s="266">
        <v>20</v>
      </c>
      <c r="AJ14" s="266">
        <v>2</v>
      </c>
      <c r="AK14" s="212">
        <v>32</v>
      </c>
      <c r="AL14" s="143">
        <v>1</v>
      </c>
      <c r="AM14" s="125"/>
    </row>
    <row r="15" spans="1:39">
      <c r="A15" s="130">
        <v>3</v>
      </c>
      <c r="B15" s="125"/>
      <c r="C15" s="141">
        <v>200</v>
      </c>
      <c r="D15" s="133">
        <v>200</v>
      </c>
      <c r="E15" s="133">
        <v>20</v>
      </c>
      <c r="F15" s="212"/>
      <c r="G15" s="133"/>
      <c r="H15" s="125"/>
      <c r="I15" s="1072">
        <v>200</v>
      </c>
      <c r="J15" s="105">
        <v>7</v>
      </c>
      <c r="K15" s="105">
        <v>0.7</v>
      </c>
      <c r="L15" s="265">
        <v>40</v>
      </c>
      <c r="M15" s="105">
        <v>1</v>
      </c>
      <c r="N15" s="125"/>
      <c r="O15" s="1072">
        <v>200</v>
      </c>
      <c r="P15" s="105">
        <v>2</v>
      </c>
      <c r="Q15" s="105">
        <v>0.2</v>
      </c>
      <c r="R15" s="265">
        <v>40</v>
      </c>
      <c r="S15" s="105">
        <v>1</v>
      </c>
      <c r="T15" s="125"/>
      <c r="U15" s="265">
        <v>50</v>
      </c>
      <c r="V15" s="105">
        <v>4</v>
      </c>
      <c r="W15" s="265">
        <v>50</v>
      </c>
      <c r="X15" s="105">
        <v>40</v>
      </c>
      <c r="Y15" s="105">
        <v>0.4</v>
      </c>
      <c r="Z15" s="271"/>
      <c r="AA15" s="125"/>
      <c r="AB15" s="265">
        <v>100</v>
      </c>
      <c r="AC15" s="105">
        <v>45</v>
      </c>
      <c r="AD15" s="105">
        <v>0.45</v>
      </c>
      <c r="AE15" s="212"/>
      <c r="AF15" s="133"/>
      <c r="AG15" s="125"/>
      <c r="AH15" s="265">
        <v>100</v>
      </c>
      <c r="AI15" s="105">
        <v>40</v>
      </c>
      <c r="AJ15" s="105">
        <v>4</v>
      </c>
      <c r="AK15" s="212"/>
      <c r="AL15" s="133"/>
      <c r="AM15" s="125"/>
    </row>
    <row r="16" spans="1:39">
      <c r="A16" s="130">
        <v>4</v>
      </c>
      <c r="B16" s="125"/>
      <c r="C16" s="141"/>
      <c r="D16" s="142"/>
      <c r="E16" s="142"/>
      <c r="F16" s="212"/>
      <c r="G16" s="143"/>
      <c r="H16" s="125"/>
      <c r="I16" s="1072"/>
      <c r="J16" s="1073"/>
      <c r="K16" s="1073"/>
      <c r="L16" s="265">
        <v>60</v>
      </c>
      <c r="M16" s="266">
        <v>0.8</v>
      </c>
      <c r="N16" s="125"/>
      <c r="O16" s="1072"/>
      <c r="P16" s="1073"/>
      <c r="Q16" s="1073"/>
      <c r="R16" s="265">
        <v>60</v>
      </c>
      <c r="S16" s="266">
        <v>0.8</v>
      </c>
      <c r="T16" s="125"/>
      <c r="U16" s="265">
        <v>75</v>
      </c>
      <c r="V16" s="266">
        <v>6</v>
      </c>
      <c r="W16" s="265">
        <v>70</v>
      </c>
      <c r="X16" s="266">
        <v>70</v>
      </c>
      <c r="Y16" s="266">
        <v>0.7</v>
      </c>
      <c r="Z16" s="271"/>
      <c r="AA16" s="125"/>
      <c r="AB16" s="148"/>
      <c r="AC16" s="150"/>
      <c r="AD16" s="150"/>
      <c r="AE16" s="212"/>
      <c r="AF16" s="143"/>
      <c r="AG16" s="125"/>
      <c r="AH16" s="148"/>
      <c r="AI16" s="150"/>
      <c r="AJ16" s="150"/>
      <c r="AK16" s="212"/>
      <c r="AL16" s="143"/>
      <c r="AM16" s="125"/>
    </row>
    <row r="17" spans="1:39">
      <c r="A17" s="130">
        <v>5</v>
      </c>
      <c r="B17" s="125"/>
      <c r="C17" s="141"/>
      <c r="D17" s="133"/>
      <c r="E17" s="133"/>
      <c r="F17" s="212"/>
      <c r="G17" s="133"/>
      <c r="H17" s="125"/>
      <c r="I17" s="1072"/>
      <c r="J17" s="105"/>
      <c r="K17" s="105"/>
      <c r="L17" s="265">
        <v>80</v>
      </c>
      <c r="M17" s="105">
        <v>0.5</v>
      </c>
      <c r="N17" s="125"/>
      <c r="O17" s="1072"/>
      <c r="P17" s="105"/>
      <c r="Q17" s="105"/>
      <c r="R17" s="265">
        <v>80</v>
      </c>
      <c r="S17" s="105">
        <v>0.6</v>
      </c>
      <c r="T17" s="125"/>
      <c r="U17" s="265">
        <v>100</v>
      </c>
      <c r="V17" s="105">
        <v>8</v>
      </c>
      <c r="W17" s="265">
        <v>100</v>
      </c>
      <c r="X17" s="105">
        <v>90</v>
      </c>
      <c r="Y17" s="105">
        <v>0.9</v>
      </c>
      <c r="Z17" s="271"/>
      <c r="AA17" s="125"/>
      <c r="AB17" s="148"/>
      <c r="AC17" s="133"/>
      <c r="AD17" s="133"/>
      <c r="AE17" s="212"/>
      <c r="AF17" s="133"/>
      <c r="AG17" s="125"/>
      <c r="AH17" s="148"/>
      <c r="AI17" s="133"/>
      <c r="AJ17" s="133"/>
      <c r="AK17" s="212"/>
      <c r="AL17" s="133"/>
      <c r="AM17" s="125"/>
    </row>
    <row r="18" spans="1:39">
      <c r="A18" s="130">
        <v>6</v>
      </c>
      <c r="B18" s="125"/>
      <c r="C18" s="141"/>
      <c r="D18" s="142"/>
      <c r="E18" s="142"/>
      <c r="F18" s="212"/>
      <c r="G18" s="143"/>
      <c r="H18" s="125"/>
      <c r="I18" s="1072"/>
      <c r="J18" s="1073"/>
      <c r="K18" s="1073"/>
      <c r="L18" s="265">
        <v>100</v>
      </c>
      <c r="M18" s="266">
        <v>0.1</v>
      </c>
      <c r="N18" s="125"/>
      <c r="O18" s="1072"/>
      <c r="P18" s="1073"/>
      <c r="Q18" s="1073"/>
      <c r="R18" s="265">
        <v>100</v>
      </c>
      <c r="S18" s="266">
        <v>0.1</v>
      </c>
      <c r="T18" s="125"/>
      <c r="U18" s="148"/>
      <c r="V18" s="150"/>
      <c r="W18" s="148"/>
      <c r="X18" s="150"/>
      <c r="Y18" s="150"/>
      <c r="Z18" s="125"/>
      <c r="AA18" s="125"/>
      <c r="AB18" s="148"/>
      <c r="AC18" s="150"/>
      <c r="AD18" s="150"/>
      <c r="AE18" s="212"/>
      <c r="AF18" s="143"/>
      <c r="AG18" s="125"/>
      <c r="AH18" s="148"/>
      <c r="AI18" s="150"/>
      <c r="AJ18" s="150"/>
      <c r="AK18" s="212"/>
      <c r="AL18" s="143"/>
      <c r="AM18" s="125"/>
    </row>
    <row r="19" spans="1:39">
      <c r="A19" s="130">
        <v>7</v>
      </c>
      <c r="B19" s="125"/>
      <c r="C19" s="141"/>
      <c r="D19" s="133"/>
      <c r="E19" s="133"/>
      <c r="F19" s="124"/>
      <c r="G19" s="133"/>
      <c r="H19" s="125"/>
      <c r="I19" s="141"/>
      <c r="J19" s="133"/>
      <c r="K19" s="133"/>
      <c r="L19" s="148"/>
      <c r="M19" s="133"/>
      <c r="N19" s="125"/>
      <c r="O19" s="141"/>
      <c r="P19" s="133"/>
      <c r="Q19" s="133"/>
      <c r="R19" s="148"/>
      <c r="S19" s="133"/>
      <c r="T19" s="125"/>
      <c r="U19" s="148"/>
      <c r="V19" s="133"/>
      <c r="W19" s="148"/>
      <c r="X19" s="133"/>
      <c r="Y19" s="133"/>
      <c r="Z19" s="125"/>
      <c r="AA19" s="125"/>
      <c r="AB19" s="148"/>
      <c r="AC19" s="133"/>
      <c r="AD19" s="133"/>
      <c r="AE19" s="124"/>
      <c r="AF19" s="133"/>
      <c r="AG19" s="125"/>
      <c r="AH19" s="148"/>
      <c r="AI19" s="133"/>
      <c r="AJ19" s="133"/>
      <c r="AK19" s="124"/>
      <c r="AL19" s="133"/>
      <c r="AM19" s="125"/>
    </row>
    <row r="20" spans="1:39">
      <c r="A20" s="130">
        <v>8</v>
      </c>
      <c r="B20" s="125"/>
      <c r="C20" s="141"/>
      <c r="D20" s="142"/>
      <c r="E20" s="142"/>
      <c r="F20" s="124"/>
      <c r="G20" s="143"/>
      <c r="H20" s="125"/>
      <c r="I20" s="141"/>
      <c r="J20" s="142"/>
      <c r="K20" s="142"/>
      <c r="L20" s="148"/>
      <c r="M20" s="150"/>
      <c r="N20" s="125"/>
      <c r="O20" s="141"/>
      <c r="P20" s="142"/>
      <c r="Q20" s="142"/>
      <c r="R20" s="148"/>
      <c r="S20" s="150"/>
      <c r="T20" s="125"/>
      <c r="U20" s="148"/>
      <c r="V20" s="150"/>
      <c r="W20" s="148"/>
      <c r="X20" s="150"/>
      <c r="Y20" s="150"/>
      <c r="Z20" s="125"/>
      <c r="AA20" s="125"/>
      <c r="AB20" s="148"/>
      <c r="AC20" s="150"/>
      <c r="AD20" s="150"/>
      <c r="AE20" s="124"/>
      <c r="AF20" s="143"/>
      <c r="AG20" s="125"/>
      <c r="AH20" s="148"/>
      <c r="AI20" s="150"/>
      <c r="AJ20" s="150"/>
      <c r="AK20" s="124"/>
      <c r="AL20" s="143"/>
      <c r="AM20" s="125"/>
    </row>
    <row r="21" spans="1:39">
      <c r="A21" s="130">
        <v>9</v>
      </c>
      <c r="B21" s="125"/>
      <c r="C21" s="141"/>
      <c r="D21" s="133"/>
      <c r="E21" s="133"/>
      <c r="F21" s="124"/>
      <c r="G21" s="133"/>
      <c r="H21" s="125"/>
      <c r="I21" s="141"/>
      <c r="J21" s="133"/>
      <c r="K21" s="133"/>
      <c r="L21" s="148"/>
      <c r="M21" s="133"/>
      <c r="N21" s="125"/>
      <c r="O21" s="141"/>
      <c r="P21" s="133"/>
      <c r="Q21" s="133"/>
      <c r="R21" s="148"/>
      <c r="S21" s="133"/>
      <c r="T21" s="125"/>
      <c r="U21" s="148"/>
      <c r="V21" s="133"/>
      <c r="W21" s="148"/>
      <c r="X21" s="133"/>
      <c r="Y21" s="133"/>
      <c r="Z21" s="125"/>
      <c r="AA21" s="125"/>
      <c r="AB21" s="148"/>
      <c r="AC21" s="133"/>
      <c r="AD21" s="133"/>
      <c r="AE21" s="124"/>
      <c r="AF21" s="133"/>
      <c r="AG21" s="125"/>
      <c r="AH21" s="148"/>
      <c r="AI21" s="133"/>
      <c r="AJ21" s="133"/>
      <c r="AK21" s="124"/>
      <c r="AL21" s="133"/>
      <c r="AM21" s="125"/>
    </row>
    <row r="22" spans="1:39">
      <c r="A22" s="130">
        <v>10</v>
      </c>
      <c r="B22" s="125"/>
      <c r="C22" s="141"/>
      <c r="D22" s="142"/>
      <c r="E22" s="142"/>
      <c r="F22" s="124"/>
      <c r="G22" s="143"/>
      <c r="H22" s="125"/>
      <c r="I22" s="141"/>
      <c r="J22" s="142"/>
      <c r="K22" s="142"/>
      <c r="L22" s="148"/>
      <c r="M22" s="150"/>
      <c r="N22" s="125"/>
      <c r="O22" s="141"/>
      <c r="P22" s="142"/>
      <c r="Q22" s="142"/>
      <c r="R22" s="148"/>
      <c r="S22" s="150"/>
      <c r="T22" s="125"/>
      <c r="U22" s="148"/>
      <c r="V22" s="150"/>
      <c r="W22" s="148"/>
      <c r="X22" s="150"/>
      <c r="Y22" s="150"/>
      <c r="Z22" s="125"/>
      <c r="AA22" s="125"/>
      <c r="AB22" s="148"/>
      <c r="AC22" s="150"/>
      <c r="AD22" s="150"/>
      <c r="AE22" s="124"/>
      <c r="AF22" s="143"/>
      <c r="AG22" s="125"/>
      <c r="AH22" s="148"/>
      <c r="AI22" s="150"/>
      <c r="AJ22" s="150"/>
      <c r="AK22" s="124"/>
      <c r="AL22" s="143"/>
      <c r="AM22" s="125"/>
    </row>
    <row r="23" spans="1:39">
      <c r="A23" s="130">
        <v>11</v>
      </c>
      <c r="B23" s="125"/>
      <c r="C23" s="141"/>
      <c r="D23" s="133"/>
      <c r="E23" s="133"/>
      <c r="F23" s="124"/>
      <c r="G23" s="133"/>
      <c r="H23" s="125"/>
      <c r="I23" s="141"/>
      <c r="J23" s="133"/>
      <c r="K23" s="133"/>
      <c r="L23" s="148"/>
      <c r="M23" s="133"/>
      <c r="N23" s="125"/>
      <c r="O23" s="141"/>
      <c r="P23" s="133"/>
      <c r="Q23" s="133"/>
      <c r="R23" s="148"/>
      <c r="S23" s="133"/>
      <c r="T23" s="125"/>
      <c r="U23" s="148"/>
      <c r="V23" s="133"/>
      <c r="W23" s="148"/>
      <c r="X23" s="133"/>
      <c r="Y23" s="133"/>
      <c r="Z23" s="125"/>
      <c r="AA23" s="125"/>
      <c r="AB23" s="148"/>
      <c r="AC23" s="133"/>
      <c r="AD23" s="133"/>
      <c r="AE23" s="124"/>
      <c r="AF23" s="133"/>
      <c r="AG23" s="125"/>
      <c r="AH23" s="148"/>
      <c r="AI23" s="133"/>
      <c r="AJ23" s="133"/>
      <c r="AK23" s="124"/>
      <c r="AL23" s="133"/>
      <c r="AM23" s="125"/>
    </row>
    <row r="24" spans="1:39">
      <c r="A24" s="130">
        <v>12</v>
      </c>
      <c r="B24" s="125"/>
      <c r="C24" s="141"/>
      <c r="D24" s="142"/>
      <c r="E24" s="142"/>
      <c r="F24" s="124"/>
      <c r="G24" s="143"/>
      <c r="H24" s="125"/>
      <c r="I24" s="141"/>
      <c r="J24" s="142"/>
      <c r="K24" s="142"/>
      <c r="L24" s="148"/>
      <c r="M24" s="150"/>
      <c r="N24" s="125"/>
      <c r="O24" s="141"/>
      <c r="P24" s="142"/>
      <c r="Q24" s="142"/>
      <c r="R24" s="148"/>
      <c r="S24" s="150"/>
      <c r="T24" s="125"/>
      <c r="U24" s="148"/>
      <c r="V24" s="150"/>
      <c r="W24" s="148"/>
      <c r="X24" s="150"/>
      <c r="Y24" s="150"/>
      <c r="Z24" s="125"/>
      <c r="AA24" s="125"/>
      <c r="AB24" s="148"/>
      <c r="AC24" s="150"/>
      <c r="AD24" s="150"/>
      <c r="AE24" s="124"/>
      <c r="AF24" s="143"/>
      <c r="AG24" s="125"/>
      <c r="AH24" s="148"/>
      <c r="AI24" s="150"/>
      <c r="AJ24" s="150"/>
      <c r="AK24" s="124"/>
      <c r="AL24" s="143"/>
      <c r="AM24" s="125"/>
    </row>
    <row r="25" spans="1:39">
      <c r="A25" s="130">
        <v>13</v>
      </c>
      <c r="B25" s="125"/>
      <c r="C25" s="141"/>
      <c r="D25" s="133"/>
      <c r="E25" s="133"/>
      <c r="F25" s="124"/>
      <c r="G25" s="133"/>
      <c r="H25" s="125"/>
      <c r="I25" s="141"/>
      <c r="J25" s="133"/>
      <c r="K25" s="133"/>
      <c r="L25" s="148"/>
      <c r="M25" s="133"/>
      <c r="N25" s="125"/>
      <c r="O25" s="141"/>
      <c r="P25" s="133"/>
      <c r="Q25" s="133"/>
      <c r="R25" s="148"/>
      <c r="S25" s="133"/>
      <c r="T25" s="125"/>
      <c r="U25" s="148"/>
      <c r="V25" s="133"/>
      <c r="W25" s="148"/>
      <c r="X25" s="133"/>
      <c r="Y25" s="133"/>
      <c r="Z25" s="125"/>
      <c r="AA25" s="125"/>
      <c r="AB25" s="148"/>
      <c r="AC25" s="133"/>
      <c r="AD25" s="133"/>
      <c r="AE25" s="124"/>
      <c r="AF25" s="133"/>
      <c r="AG25" s="125"/>
      <c r="AH25" s="148"/>
      <c r="AI25" s="133"/>
      <c r="AJ25" s="133"/>
      <c r="AK25" s="124"/>
      <c r="AL25" s="133"/>
      <c r="AM25" s="125"/>
    </row>
    <row r="26" spans="1:39">
      <c r="A26" s="130">
        <v>14</v>
      </c>
      <c r="B26" s="125"/>
      <c r="C26" s="141"/>
      <c r="D26" s="142"/>
      <c r="E26" s="142"/>
      <c r="F26" s="124"/>
      <c r="G26" s="143"/>
      <c r="H26" s="125"/>
      <c r="I26" s="141"/>
      <c r="J26" s="142"/>
      <c r="K26" s="142"/>
      <c r="L26" s="148"/>
      <c r="M26" s="150"/>
      <c r="N26" s="125"/>
      <c r="O26" s="141"/>
      <c r="P26" s="142"/>
      <c r="Q26" s="142"/>
      <c r="R26" s="148"/>
      <c r="S26" s="150"/>
      <c r="T26" s="125"/>
      <c r="U26" s="148"/>
      <c r="V26" s="150"/>
      <c r="W26" s="148"/>
      <c r="X26" s="150"/>
      <c r="Y26" s="150"/>
      <c r="Z26" s="125"/>
      <c r="AA26" s="125"/>
      <c r="AB26" s="148"/>
      <c r="AC26" s="150"/>
      <c r="AD26" s="150"/>
      <c r="AE26" s="124"/>
      <c r="AF26" s="143"/>
      <c r="AG26" s="125"/>
      <c r="AH26" s="148"/>
      <c r="AI26" s="150"/>
      <c r="AJ26" s="150"/>
      <c r="AK26" s="124"/>
      <c r="AL26" s="143"/>
      <c r="AM26" s="125"/>
    </row>
    <row r="27" spans="1:39">
      <c r="A27" s="130">
        <v>15</v>
      </c>
      <c r="B27" s="125"/>
      <c r="C27" s="141"/>
      <c r="D27" s="133"/>
      <c r="E27" s="133"/>
      <c r="F27" s="124"/>
      <c r="G27" s="133"/>
      <c r="H27" s="125"/>
      <c r="I27" s="141"/>
      <c r="J27" s="133"/>
      <c r="K27" s="133"/>
      <c r="L27" s="148"/>
      <c r="M27" s="133"/>
      <c r="N27" s="125"/>
      <c r="O27" s="141"/>
      <c r="P27" s="133"/>
      <c r="Q27" s="133"/>
      <c r="R27" s="148"/>
      <c r="S27" s="133"/>
      <c r="T27" s="125"/>
      <c r="U27" s="148"/>
      <c r="V27" s="133"/>
      <c r="W27" s="148"/>
      <c r="X27" s="133"/>
      <c r="Y27" s="133"/>
      <c r="Z27" s="125"/>
      <c r="AA27" s="125"/>
      <c r="AB27" s="148"/>
      <c r="AC27" s="133"/>
      <c r="AD27" s="133"/>
      <c r="AE27" s="124"/>
      <c r="AF27" s="133"/>
      <c r="AG27" s="125"/>
      <c r="AH27" s="148"/>
      <c r="AI27" s="133"/>
      <c r="AJ27" s="133"/>
      <c r="AK27" s="124"/>
      <c r="AL27" s="133"/>
      <c r="AM27" s="125"/>
    </row>
    <row r="28" spans="1:39">
      <c r="A28" s="130">
        <v>16</v>
      </c>
      <c r="B28" s="125"/>
      <c r="C28" s="141"/>
      <c r="D28" s="142"/>
      <c r="E28" s="142"/>
      <c r="F28" s="124"/>
      <c r="G28" s="143"/>
      <c r="H28" s="125"/>
      <c r="I28" s="141"/>
      <c r="J28" s="142"/>
      <c r="K28" s="142"/>
      <c r="L28" s="148"/>
      <c r="M28" s="150"/>
      <c r="N28" s="125"/>
      <c r="O28" s="141"/>
      <c r="P28" s="142"/>
      <c r="Q28" s="142"/>
      <c r="R28" s="148"/>
      <c r="S28" s="150"/>
      <c r="T28" s="125"/>
      <c r="U28" s="148"/>
      <c r="V28" s="150"/>
      <c r="W28" s="148"/>
      <c r="X28" s="150"/>
      <c r="Y28" s="150"/>
      <c r="Z28" s="125"/>
      <c r="AA28" s="125"/>
      <c r="AB28" s="148"/>
      <c r="AC28" s="150"/>
      <c r="AD28" s="150"/>
      <c r="AE28" s="124"/>
      <c r="AF28" s="143"/>
      <c r="AG28" s="125"/>
      <c r="AH28" s="148"/>
      <c r="AI28" s="150"/>
      <c r="AJ28" s="150"/>
      <c r="AK28" s="124"/>
      <c r="AL28" s="143"/>
      <c r="AM28" s="125"/>
    </row>
    <row r="29" spans="1:39">
      <c r="A29" s="130">
        <v>17</v>
      </c>
      <c r="B29" s="125"/>
      <c r="C29" s="141"/>
      <c r="D29" s="133"/>
      <c r="E29" s="133"/>
      <c r="F29" s="124"/>
      <c r="G29" s="133"/>
      <c r="H29" s="125"/>
      <c r="I29" s="141"/>
      <c r="J29" s="133"/>
      <c r="K29" s="133"/>
      <c r="L29" s="148"/>
      <c r="M29" s="133"/>
      <c r="N29" s="125"/>
      <c r="O29" s="141"/>
      <c r="P29" s="133"/>
      <c r="Q29" s="133"/>
      <c r="R29" s="148"/>
      <c r="S29" s="133"/>
      <c r="T29" s="125"/>
      <c r="U29" s="148"/>
      <c r="V29" s="133"/>
      <c r="W29" s="148"/>
      <c r="X29" s="133"/>
      <c r="Y29" s="133"/>
      <c r="Z29" s="125"/>
      <c r="AA29" s="125"/>
      <c r="AB29" s="148"/>
      <c r="AC29" s="133"/>
      <c r="AD29" s="133"/>
      <c r="AE29" s="124"/>
      <c r="AF29" s="133"/>
      <c r="AG29" s="125"/>
      <c r="AH29" s="148"/>
      <c r="AI29" s="133"/>
      <c r="AJ29" s="133"/>
      <c r="AK29" s="124"/>
      <c r="AL29" s="133"/>
      <c r="AM29" s="125"/>
    </row>
    <row r="30" spans="1:39">
      <c r="A30" s="130">
        <v>18</v>
      </c>
      <c r="B30" s="125"/>
      <c r="C30" s="141"/>
      <c r="D30" s="142"/>
      <c r="E30" s="142"/>
      <c r="F30" s="124"/>
      <c r="G30" s="143"/>
      <c r="H30" s="125"/>
      <c r="I30" s="141"/>
      <c r="J30" s="142"/>
      <c r="K30" s="142"/>
      <c r="L30" s="148"/>
      <c r="M30" s="150"/>
      <c r="N30" s="125"/>
      <c r="O30" s="141"/>
      <c r="P30" s="142"/>
      <c r="Q30" s="142"/>
      <c r="R30" s="148"/>
      <c r="S30" s="150"/>
      <c r="T30" s="125"/>
      <c r="U30" s="148"/>
      <c r="V30" s="150"/>
      <c r="W30" s="148"/>
      <c r="X30" s="150"/>
      <c r="Y30" s="150"/>
      <c r="Z30" s="125"/>
      <c r="AA30" s="125"/>
      <c r="AB30" s="148"/>
      <c r="AC30" s="150"/>
      <c r="AD30" s="150"/>
      <c r="AE30" s="124"/>
      <c r="AF30" s="143"/>
      <c r="AG30" s="125"/>
      <c r="AH30" s="148"/>
      <c r="AI30" s="150"/>
      <c r="AJ30" s="150"/>
      <c r="AK30" s="124"/>
      <c r="AL30" s="143"/>
      <c r="AM30" s="125"/>
    </row>
    <row r="31" spans="1:39">
      <c r="A31" s="130">
        <v>19</v>
      </c>
      <c r="B31" s="125"/>
      <c r="C31" s="141"/>
      <c r="D31" s="133"/>
      <c r="E31" s="133"/>
      <c r="F31" s="124"/>
      <c r="G31" s="133"/>
      <c r="H31" s="125"/>
      <c r="I31" s="141"/>
      <c r="J31" s="133"/>
      <c r="K31" s="133"/>
      <c r="L31" s="148"/>
      <c r="M31" s="133"/>
      <c r="N31" s="125"/>
      <c r="O31" s="141"/>
      <c r="P31" s="133"/>
      <c r="Q31" s="133"/>
      <c r="R31" s="148"/>
      <c r="S31" s="133"/>
      <c r="T31" s="125"/>
      <c r="U31" s="148"/>
      <c r="V31" s="133"/>
      <c r="W31" s="148"/>
      <c r="X31" s="133"/>
      <c r="Y31" s="133"/>
      <c r="Z31" s="125"/>
      <c r="AA31" s="125"/>
      <c r="AB31" s="148"/>
      <c r="AC31" s="133"/>
      <c r="AD31" s="133"/>
      <c r="AE31" s="124"/>
      <c r="AF31" s="133"/>
      <c r="AG31" s="125"/>
      <c r="AH31" s="148"/>
      <c r="AI31" s="133"/>
      <c r="AJ31" s="133"/>
      <c r="AK31" s="124"/>
      <c r="AL31" s="133"/>
      <c r="AM31" s="125"/>
    </row>
    <row r="32" spans="1:39">
      <c r="A32" s="130">
        <v>20</v>
      </c>
      <c r="B32" s="125"/>
      <c r="C32" s="141"/>
      <c r="D32" s="142"/>
      <c r="E32" s="142"/>
      <c r="F32" s="124"/>
      <c r="G32" s="143"/>
      <c r="H32" s="125"/>
      <c r="I32" s="141"/>
      <c r="J32" s="142"/>
      <c r="K32" s="142"/>
      <c r="L32" s="148"/>
      <c r="M32" s="150"/>
      <c r="N32" s="125"/>
      <c r="O32" s="141"/>
      <c r="P32" s="142"/>
      <c r="Q32" s="142"/>
      <c r="R32" s="148"/>
      <c r="S32" s="150"/>
      <c r="T32" s="125"/>
      <c r="U32" s="148"/>
      <c r="V32" s="150"/>
      <c r="W32" s="148"/>
      <c r="X32" s="150"/>
      <c r="Y32" s="150"/>
      <c r="Z32" s="125"/>
      <c r="AA32" s="125"/>
      <c r="AB32" s="148"/>
      <c r="AC32" s="150"/>
      <c r="AD32" s="150"/>
      <c r="AE32" s="124"/>
      <c r="AF32" s="143"/>
      <c r="AG32" s="125"/>
      <c r="AH32" s="148"/>
      <c r="AI32" s="150"/>
      <c r="AJ32" s="150"/>
      <c r="AK32" s="124"/>
      <c r="AL32" s="143"/>
      <c r="AM32" s="125"/>
    </row>
    <row r="33" spans="1:39">
      <c r="A33" s="130">
        <v>21</v>
      </c>
      <c r="B33" s="125"/>
      <c r="C33" s="141"/>
      <c r="D33" s="133"/>
      <c r="E33" s="133"/>
      <c r="F33" s="124"/>
      <c r="G33" s="133"/>
      <c r="H33" s="125"/>
      <c r="I33" s="141"/>
      <c r="J33" s="133"/>
      <c r="K33" s="133"/>
      <c r="L33" s="148"/>
      <c r="M33" s="133"/>
      <c r="N33" s="125"/>
      <c r="O33" s="141"/>
      <c r="P33" s="133"/>
      <c r="Q33" s="133"/>
      <c r="R33" s="148"/>
      <c r="S33" s="133"/>
      <c r="T33" s="125"/>
      <c r="U33" s="148"/>
      <c r="V33" s="133"/>
      <c r="W33" s="148"/>
      <c r="X33" s="133"/>
      <c r="Y33" s="133"/>
      <c r="Z33" s="125"/>
      <c r="AA33" s="125"/>
      <c r="AB33" s="148"/>
      <c r="AC33" s="133"/>
      <c r="AD33" s="133"/>
      <c r="AE33" s="124"/>
      <c r="AF33" s="133"/>
      <c r="AG33" s="125"/>
      <c r="AH33" s="148"/>
      <c r="AI33" s="133"/>
      <c r="AJ33" s="133"/>
      <c r="AK33" s="124"/>
      <c r="AL33" s="133"/>
      <c r="AM33" s="125"/>
    </row>
    <row r="34" spans="1:39">
      <c r="A34" s="130">
        <v>22</v>
      </c>
      <c r="B34" s="125"/>
      <c r="C34" s="141"/>
      <c r="D34" s="142"/>
      <c r="E34" s="142"/>
      <c r="F34" s="124"/>
      <c r="G34" s="143"/>
      <c r="H34" s="125"/>
      <c r="I34" s="141"/>
      <c r="J34" s="142"/>
      <c r="K34" s="142"/>
      <c r="L34" s="148"/>
      <c r="M34" s="150"/>
      <c r="N34" s="125"/>
      <c r="O34" s="141"/>
      <c r="P34" s="142"/>
      <c r="Q34" s="142"/>
      <c r="R34" s="148"/>
      <c r="S34" s="150"/>
      <c r="T34" s="125"/>
      <c r="U34" s="148"/>
      <c r="V34" s="150"/>
      <c r="W34" s="148"/>
      <c r="X34" s="150"/>
      <c r="Y34" s="150"/>
      <c r="Z34" s="125"/>
      <c r="AA34" s="125"/>
      <c r="AB34" s="148"/>
      <c r="AC34" s="150"/>
      <c r="AD34" s="150"/>
      <c r="AE34" s="124"/>
      <c r="AF34" s="143"/>
      <c r="AG34" s="125"/>
      <c r="AH34" s="148"/>
      <c r="AI34" s="150"/>
      <c r="AJ34" s="150"/>
      <c r="AK34" s="124"/>
      <c r="AL34" s="143"/>
      <c r="AM34" s="125"/>
    </row>
    <row r="35" spans="1:39">
      <c r="A35" s="130">
        <v>23</v>
      </c>
      <c r="B35" s="125"/>
      <c r="C35" s="141"/>
      <c r="D35" s="133"/>
      <c r="E35" s="133"/>
      <c r="F35" s="124"/>
      <c r="G35" s="133"/>
      <c r="H35" s="125"/>
      <c r="I35" s="141"/>
      <c r="J35" s="133"/>
      <c r="K35" s="133"/>
      <c r="L35" s="148"/>
      <c r="M35" s="133"/>
      <c r="N35" s="125"/>
      <c r="O35" s="141"/>
      <c r="P35" s="133"/>
      <c r="Q35" s="133"/>
      <c r="R35" s="148"/>
      <c r="S35" s="133"/>
      <c r="T35" s="125"/>
      <c r="U35" s="148"/>
      <c r="V35" s="133"/>
      <c r="W35" s="148"/>
      <c r="X35" s="133"/>
      <c r="Y35" s="133"/>
      <c r="Z35" s="125"/>
      <c r="AA35" s="125"/>
      <c r="AB35" s="148"/>
      <c r="AC35" s="133"/>
      <c r="AD35" s="133"/>
      <c r="AE35" s="124"/>
      <c r="AF35" s="133"/>
      <c r="AG35" s="125"/>
      <c r="AH35" s="148"/>
      <c r="AI35" s="133"/>
      <c r="AJ35" s="133"/>
      <c r="AK35" s="124"/>
      <c r="AL35" s="133"/>
      <c r="AM35" s="125"/>
    </row>
    <row r="36" spans="1:39">
      <c r="A36" s="130">
        <v>24</v>
      </c>
      <c r="B36" s="125"/>
      <c r="C36" s="141"/>
      <c r="D36" s="142"/>
      <c r="E36" s="142"/>
      <c r="F36" s="124"/>
      <c r="G36" s="143"/>
      <c r="H36" s="125"/>
      <c r="I36" s="141"/>
      <c r="J36" s="142"/>
      <c r="K36" s="142"/>
      <c r="L36" s="148"/>
      <c r="M36" s="150"/>
      <c r="N36" s="125"/>
      <c r="O36" s="141"/>
      <c r="P36" s="142"/>
      <c r="Q36" s="142"/>
      <c r="R36" s="148"/>
      <c r="S36" s="150"/>
      <c r="T36" s="125"/>
      <c r="U36" s="148"/>
      <c r="V36" s="150"/>
      <c r="W36" s="148"/>
      <c r="X36" s="150"/>
      <c r="Y36" s="150"/>
      <c r="Z36" s="125"/>
      <c r="AA36" s="125"/>
      <c r="AB36" s="148"/>
      <c r="AC36" s="150"/>
      <c r="AD36" s="150"/>
      <c r="AE36" s="124"/>
      <c r="AF36" s="143"/>
      <c r="AG36" s="125"/>
      <c r="AH36" s="148"/>
      <c r="AI36" s="150"/>
      <c r="AJ36" s="150"/>
      <c r="AK36" s="124"/>
      <c r="AL36" s="143"/>
      <c r="AM36" s="125"/>
    </row>
    <row r="37" spans="1:39">
      <c r="A37" s="130">
        <v>25</v>
      </c>
      <c r="B37" s="125"/>
      <c r="C37" s="141"/>
      <c r="D37" s="133"/>
      <c r="E37" s="133"/>
      <c r="F37" s="124"/>
      <c r="G37" s="133"/>
      <c r="H37" s="125"/>
      <c r="I37" s="141"/>
      <c r="J37" s="133"/>
      <c r="K37" s="133"/>
      <c r="L37" s="148"/>
      <c r="M37" s="133"/>
      <c r="N37" s="125"/>
      <c r="O37" s="141"/>
      <c r="P37" s="133"/>
      <c r="Q37" s="133"/>
      <c r="R37" s="148"/>
      <c r="S37" s="133"/>
      <c r="T37" s="125"/>
      <c r="U37" s="148"/>
      <c r="V37" s="133"/>
      <c r="W37" s="148"/>
      <c r="X37" s="133"/>
      <c r="Y37" s="133"/>
      <c r="Z37" s="125"/>
      <c r="AA37" s="125"/>
      <c r="AB37" s="148"/>
      <c r="AC37" s="133"/>
      <c r="AD37" s="133"/>
      <c r="AE37" s="124"/>
      <c r="AF37" s="133"/>
      <c r="AG37" s="125"/>
      <c r="AH37" s="148"/>
      <c r="AI37" s="133"/>
      <c r="AJ37" s="133"/>
      <c r="AK37" s="124"/>
      <c r="AL37" s="133"/>
      <c r="AM37" s="125"/>
    </row>
    <row r="38" spans="1:39">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row>
    <row r="39" spans="1:39">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row>
    <row r="40" spans="1:39">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row>
    <row r="41" spans="1:39">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row>
    <row r="42" spans="1:39">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row>
    <row r="43" spans="1:39">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row>
    <row r="44" spans="1:39">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row>
    <row r="45" spans="1:39">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row>
    <row r="46" spans="1:39">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row>
    <row r="47" spans="1:39">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row>
    <row r="48" spans="1:39">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row>
    <row r="49" spans="1:39">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row>
    <row r="50" spans="1:39">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row>
    <row r="51" spans="1:39">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row>
    <row r="52" spans="1:39">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row>
    <row r="53" spans="1:39">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row>
    <row r="54" spans="1:39">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row>
    <row r="55" spans="1:39">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row>
    <row r="56" spans="1:39">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row>
    <row r="57" spans="1:39">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row>
  </sheetData>
  <mergeCells count="33">
    <mergeCell ref="AK11:AL11"/>
    <mergeCell ref="AH11:AJ11"/>
    <mergeCell ref="J6:K6"/>
    <mergeCell ref="P6:Q6"/>
    <mergeCell ref="I11:M11"/>
    <mergeCell ref="O11:S11"/>
    <mergeCell ref="U11:Z11"/>
    <mergeCell ref="AI6:AJ6"/>
    <mergeCell ref="X6:Y6"/>
    <mergeCell ref="F11:G11"/>
    <mergeCell ref="C11:E11"/>
    <mergeCell ref="AB4:AF4"/>
    <mergeCell ref="AB5:AF5"/>
    <mergeCell ref="AC6:AD6"/>
    <mergeCell ref="AB11:AD11"/>
    <mergeCell ref="AE11:AF11"/>
    <mergeCell ref="C4:G4"/>
    <mergeCell ref="O4:S4"/>
    <mergeCell ref="U4:Z4"/>
    <mergeCell ref="I4:M4"/>
    <mergeCell ref="I5:M5"/>
    <mergeCell ref="O5:S5"/>
    <mergeCell ref="C5:G5"/>
    <mergeCell ref="D6:E6"/>
    <mergeCell ref="U5:Z5"/>
    <mergeCell ref="AH4:AL4"/>
    <mergeCell ref="AH5:AL5"/>
    <mergeCell ref="AH7:AL7"/>
    <mergeCell ref="C7:G7"/>
    <mergeCell ref="I7:M7"/>
    <mergeCell ref="O7:S7"/>
    <mergeCell ref="U7:Z7"/>
    <mergeCell ref="AB7:AF7"/>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CG57"/>
  <sheetViews>
    <sheetView topLeftCell="A10" zoomScale="90" zoomScaleNormal="90" workbookViewId="0">
      <selection activeCell="C13" sqref="C13:AR16"/>
    </sheetView>
  </sheetViews>
  <sheetFormatPr baseColWidth="10" defaultRowHeight="15.75"/>
  <cols>
    <col min="1" max="1" width="13.28515625" style="127" bestFit="1" customWidth="1"/>
    <col min="2" max="2" width="1.7109375" style="127" customWidth="1"/>
    <col min="3" max="3" width="11.5703125" style="127" customWidth="1"/>
    <col min="4" max="5" width="12.42578125" style="127" bestFit="1" customWidth="1"/>
    <col min="6" max="6" width="9.7109375" style="127" customWidth="1"/>
    <col min="7" max="7" width="10.42578125" style="127" bestFit="1" customWidth="1"/>
    <col min="8" max="8" width="1.42578125" style="127" customWidth="1"/>
    <col min="9" max="9" width="11" style="159" bestFit="1" customWidth="1"/>
    <col min="10" max="10" width="12.140625" style="159" bestFit="1" customWidth="1"/>
    <col min="11" max="12" width="12.140625" style="159" customWidth="1"/>
    <col min="13" max="13" width="1.7109375" style="127" customWidth="1"/>
    <col min="14" max="14" width="7.28515625" style="127" bestFit="1" customWidth="1"/>
    <col min="15" max="15" width="1.7109375" style="127" customWidth="1"/>
    <col min="16" max="16" width="12" style="127" bestFit="1" customWidth="1"/>
    <col min="17" max="17" width="11.85546875" style="127" customWidth="1"/>
    <col min="18" max="20" width="10.85546875" style="127" customWidth="1"/>
    <col min="21" max="21" width="12.7109375" style="127" customWidth="1"/>
    <col min="22" max="22" width="14" style="127" bestFit="1" customWidth="1"/>
    <col min="23" max="23" width="1.7109375" style="127" customWidth="1"/>
    <col min="24" max="24" width="12" style="127" bestFit="1" customWidth="1"/>
    <col min="25" max="25" width="15.28515625" style="127" bestFit="1" customWidth="1"/>
    <col min="26" max="26" width="5" style="127" bestFit="1" customWidth="1"/>
    <col min="27" max="27" width="1.7109375" style="127" customWidth="1"/>
    <col min="28" max="28" width="12" style="127" bestFit="1" customWidth="1"/>
    <col min="29" max="29" width="17" style="127" bestFit="1" customWidth="1"/>
    <col min="30" max="30" width="7.140625" style="127" bestFit="1" customWidth="1"/>
    <col min="31" max="31" width="1.7109375" style="127" customWidth="1"/>
    <col min="32" max="32" width="12" style="127" bestFit="1" customWidth="1"/>
    <col min="33" max="33" width="9" style="127" bestFit="1" customWidth="1"/>
    <col min="34" max="34" width="7.140625" style="127" bestFit="1" customWidth="1"/>
    <col min="35" max="35" width="6.42578125" style="127" bestFit="1" customWidth="1"/>
    <col min="36" max="36" width="12.28515625" style="127" bestFit="1" customWidth="1"/>
    <col min="37" max="37" width="1.7109375" style="127" customWidth="1"/>
    <col min="38" max="38" width="12" style="127" bestFit="1" customWidth="1"/>
    <col min="39" max="39" width="7.85546875" style="127" bestFit="1" customWidth="1"/>
    <col min="40" max="40" width="7.140625" style="127" bestFit="1" customWidth="1"/>
    <col min="41" max="41" width="7.85546875" style="127" bestFit="1" customWidth="1"/>
    <col min="42" max="42" width="7.140625" style="127" bestFit="1" customWidth="1"/>
    <col min="43" max="43" width="12.7109375" style="127" customWidth="1"/>
    <col min="44" max="44" width="12.28515625" style="127" bestFit="1" customWidth="1"/>
    <col min="45" max="45" width="1.7109375" style="127" customWidth="1"/>
    <col min="46" max="56" width="11.42578125" style="159"/>
    <col min="57" max="63" width="11.7109375" style="127" customWidth="1"/>
    <col min="64" max="64" width="1.7109375" style="127" customWidth="1"/>
    <col min="65" max="69" width="11.7109375" style="127" customWidth="1"/>
    <col min="70" max="70" width="1.7109375" style="127" customWidth="1"/>
    <col min="71" max="73" width="11.7109375" style="127" customWidth="1"/>
    <col min="74" max="74" width="1.7109375" style="127" customWidth="1"/>
    <col min="75" max="85" width="11.42578125" style="151"/>
    <col min="86" max="16384" width="11.42578125" style="127"/>
  </cols>
  <sheetData>
    <row r="1" spans="1:85">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BE1" s="159"/>
      <c r="BF1" s="159"/>
      <c r="BG1" s="159"/>
      <c r="BH1" s="159"/>
      <c r="BI1" s="159"/>
      <c r="BJ1" s="159"/>
      <c r="BK1" s="159"/>
      <c r="BL1" s="159"/>
      <c r="BM1" s="159"/>
      <c r="BN1" s="159"/>
      <c r="BO1" s="159"/>
      <c r="BP1" s="159"/>
      <c r="BQ1" s="159"/>
      <c r="BR1" s="159"/>
      <c r="BS1" s="159"/>
      <c r="BT1" s="159"/>
      <c r="BU1" s="159"/>
      <c r="BV1" s="159"/>
      <c r="BW1" s="159"/>
    </row>
    <row r="2" spans="1:85" ht="21">
      <c r="A2" s="13" t="s">
        <v>444</v>
      </c>
      <c r="B2" s="125"/>
      <c r="C2" s="241" t="s">
        <v>562</v>
      </c>
      <c r="D2" s="241"/>
      <c r="E2" s="241"/>
      <c r="F2" s="241"/>
      <c r="G2" s="241"/>
      <c r="H2" s="241"/>
      <c r="I2" s="255"/>
      <c r="J2" s="255"/>
      <c r="K2" s="255"/>
      <c r="L2" s="255"/>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125"/>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row>
    <row r="3" spans="1:85"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BE3" s="159"/>
      <c r="BF3" s="159"/>
      <c r="BG3" s="159"/>
      <c r="BH3" s="159"/>
      <c r="BI3" s="159"/>
      <c r="BJ3" s="159"/>
      <c r="BK3" s="159"/>
      <c r="BL3" s="159"/>
      <c r="BM3" s="159"/>
      <c r="BN3" s="159"/>
      <c r="BO3" s="159"/>
      <c r="BP3" s="159"/>
      <c r="BQ3" s="159"/>
      <c r="BR3" s="159"/>
      <c r="BS3" s="159"/>
      <c r="BT3" s="159"/>
      <c r="BU3" s="159"/>
      <c r="BV3" s="159"/>
      <c r="BW3" s="159"/>
    </row>
    <row r="4" spans="1:85" ht="16.5" thickBot="1">
      <c r="A4" s="35" t="s">
        <v>446</v>
      </c>
      <c r="B4" s="125"/>
      <c r="C4" s="1648" t="s">
        <v>862</v>
      </c>
      <c r="D4" s="1649"/>
      <c r="E4" s="1649"/>
      <c r="F4" s="1649"/>
      <c r="G4" s="1649"/>
      <c r="H4" s="1649"/>
      <c r="I4" s="1649"/>
      <c r="J4" s="1649"/>
      <c r="K4" s="1649"/>
      <c r="L4" s="1650"/>
      <c r="M4" s="125"/>
      <c r="N4" s="125"/>
      <c r="O4" s="125"/>
      <c r="P4" s="1648" t="s">
        <v>825</v>
      </c>
      <c r="Q4" s="1649"/>
      <c r="R4" s="1649"/>
      <c r="S4" s="1649"/>
      <c r="T4" s="1649"/>
      <c r="U4" s="1649"/>
      <c r="V4" s="1650"/>
      <c r="W4" s="125"/>
      <c r="X4" s="1648" t="s">
        <v>564</v>
      </c>
      <c r="Y4" s="1646"/>
      <c r="Z4" s="1647"/>
      <c r="AA4" s="125"/>
      <c r="AB4" s="1648" t="s">
        <v>564</v>
      </c>
      <c r="AC4" s="1646"/>
      <c r="AD4" s="1647"/>
      <c r="AE4" s="125"/>
      <c r="AF4" s="1648" t="s">
        <v>564</v>
      </c>
      <c r="AG4" s="1649"/>
      <c r="AH4" s="1649"/>
      <c r="AI4" s="1649"/>
      <c r="AJ4" s="1650"/>
      <c r="AK4" s="125"/>
      <c r="AL4" s="1648" t="s">
        <v>564</v>
      </c>
      <c r="AM4" s="1649"/>
      <c r="AN4" s="1649"/>
      <c r="AO4" s="1649"/>
      <c r="AP4" s="1649"/>
      <c r="AQ4" s="1649"/>
      <c r="AR4" s="1650"/>
      <c r="AS4" s="125"/>
    </row>
    <row r="5" spans="1:85" ht="16.5" thickBot="1">
      <c r="A5" s="135" t="s">
        <v>445</v>
      </c>
      <c r="B5" s="125"/>
      <c r="C5" s="1648" t="s">
        <v>864</v>
      </c>
      <c r="D5" s="1646"/>
      <c r="E5" s="1646"/>
      <c r="F5" s="1646"/>
      <c r="G5" s="1646"/>
      <c r="H5" s="1646"/>
      <c r="I5" s="1646"/>
      <c r="J5" s="1646"/>
      <c r="K5" s="1646"/>
      <c r="L5" s="1647"/>
      <c r="M5" s="125"/>
      <c r="N5" s="125"/>
      <c r="O5" s="125"/>
      <c r="P5" s="1648" t="s">
        <v>826</v>
      </c>
      <c r="Q5" s="1649"/>
      <c r="R5" s="1649"/>
      <c r="S5" s="1649"/>
      <c r="T5" s="1649"/>
      <c r="U5" s="1649"/>
      <c r="V5" s="1650"/>
      <c r="W5" s="125"/>
      <c r="X5" s="1648" t="s">
        <v>529</v>
      </c>
      <c r="Y5" s="1646"/>
      <c r="Z5" s="1647"/>
      <c r="AA5" s="125"/>
      <c r="AB5" s="1648" t="s">
        <v>516</v>
      </c>
      <c r="AC5" s="1646"/>
      <c r="AD5" s="1647"/>
      <c r="AE5" s="125"/>
      <c r="AF5" s="1645" t="s">
        <v>515</v>
      </c>
      <c r="AG5" s="1646"/>
      <c r="AH5" s="1646"/>
      <c r="AI5" s="1646"/>
      <c r="AJ5" s="1647"/>
      <c r="AK5" s="125"/>
      <c r="AL5" s="1648" t="s">
        <v>563</v>
      </c>
      <c r="AM5" s="1649"/>
      <c r="AN5" s="1649"/>
      <c r="AO5" s="1649"/>
      <c r="AP5" s="1649"/>
      <c r="AQ5" s="1649"/>
      <c r="AR5" s="1650"/>
      <c r="AS5" s="125"/>
    </row>
    <row r="6" spans="1:85" ht="16.5" thickBot="1">
      <c r="A6" s="125"/>
      <c r="B6" s="125"/>
      <c r="C6" s="125"/>
      <c r="D6" s="1667" t="s">
        <v>827</v>
      </c>
      <c r="E6" s="1667"/>
      <c r="F6" s="1667"/>
      <c r="G6" s="1668"/>
      <c r="H6" s="125"/>
      <c r="I6" s="1645" t="s">
        <v>828</v>
      </c>
      <c r="J6" s="1646"/>
      <c r="K6" s="1646"/>
      <c r="L6" s="1647"/>
      <c r="M6" s="125"/>
      <c r="N6" s="125"/>
      <c r="O6" s="125"/>
      <c r="P6" s="125"/>
      <c r="Q6" s="1648" t="s">
        <v>561</v>
      </c>
      <c r="R6" s="1650"/>
      <c r="S6" s="1648" t="s">
        <v>560</v>
      </c>
      <c r="T6" s="1650"/>
      <c r="U6" s="125"/>
      <c r="V6" s="245" t="s">
        <v>775</v>
      </c>
      <c r="W6" s="125"/>
      <c r="X6" s="125"/>
      <c r="Y6" s="125"/>
      <c r="Z6" s="125"/>
      <c r="AA6" s="125"/>
      <c r="AB6" s="1648" t="s">
        <v>780</v>
      </c>
      <c r="AC6" s="1646"/>
      <c r="AD6" s="1647"/>
      <c r="AE6" s="125"/>
      <c r="AF6" s="125"/>
      <c r="AG6" s="1661" t="s">
        <v>436</v>
      </c>
      <c r="AH6" s="1662"/>
      <c r="AI6" s="125"/>
      <c r="AJ6" s="244" t="s">
        <v>774</v>
      </c>
      <c r="AK6" s="125"/>
      <c r="AL6" s="125"/>
      <c r="AM6" s="1665" t="s">
        <v>783</v>
      </c>
      <c r="AN6" s="1662"/>
      <c r="AO6" s="1665" t="s">
        <v>784</v>
      </c>
      <c r="AP6" s="1662"/>
      <c r="AQ6" s="125"/>
      <c r="AR6" s="251" t="s">
        <v>774</v>
      </c>
      <c r="AS6" s="125"/>
    </row>
    <row r="7" spans="1:85" ht="16.5" thickBot="1">
      <c r="A7" s="125"/>
      <c r="B7" s="125"/>
      <c r="C7" s="125"/>
      <c r="D7" s="146" t="s">
        <v>426</v>
      </c>
      <c r="E7" s="146" t="s">
        <v>427</v>
      </c>
      <c r="F7" s="125"/>
      <c r="G7" s="245" t="s">
        <v>774</v>
      </c>
      <c r="H7" s="125"/>
      <c r="I7" s="146" t="s">
        <v>426</v>
      </c>
      <c r="J7" s="146" t="s">
        <v>427</v>
      </c>
      <c r="K7" s="237"/>
      <c r="L7" s="245" t="s">
        <v>774</v>
      </c>
      <c r="M7" s="125"/>
      <c r="N7" s="125"/>
      <c r="O7" s="125"/>
      <c r="P7" s="1671" t="s">
        <v>848</v>
      </c>
      <c r="Q7" s="1672"/>
      <c r="R7" s="1672"/>
      <c r="S7" s="1672"/>
      <c r="T7" s="1672"/>
      <c r="U7" s="1672"/>
      <c r="V7" s="1672"/>
      <c r="W7" s="125"/>
      <c r="X7" s="1638" t="s">
        <v>847</v>
      </c>
      <c r="Y7" s="1639"/>
      <c r="Z7" s="1639"/>
      <c r="AA7" s="125"/>
      <c r="AB7" s="1638" t="s">
        <v>843</v>
      </c>
      <c r="AC7" s="1639"/>
      <c r="AD7" s="1639"/>
      <c r="AE7" s="125"/>
      <c r="AF7" s="1657" t="s">
        <v>841</v>
      </c>
      <c r="AG7" s="1658"/>
      <c r="AH7" s="1658"/>
      <c r="AI7" s="1658"/>
      <c r="AJ7" s="1658"/>
      <c r="AK7" s="125"/>
      <c r="AL7" s="1638" t="s">
        <v>843</v>
      </c>
      <c r="AM7" s="1639"/>
      <c r="AN7" s="1639"/>
      <c r="AO7" s="1657" t="s">
        <v>841</v>
      </c>
      <c r="AP7" s="1658"/>
      <c r="AQ7" s="1658"/>
      <c r="AR7" s="1658"/>
      <c r="AS7" s="125"/>
    </row>
    <row r="8" spans="1:85" ht="16.5" thickBot="1">
      <c r="A8" s="146" t="s">
        <v>645</v>
      </c>
      <c r="B8" s="125"/>
      <c r="C8" s="146" t="s">
        <v>636</v>
      </c>
      <c r="D8" s="182" t="s">
        <v>859</v>
      </c>
      <c r="E8" s="182" t="s">
        <v>859</v>
      </c>
      <c r="F8" s="154" t="s">
        <v>638</v>
      </c>
      <c r="G8" s="154" t="s">
        <v>637</v>
      </c>
      <c r="H8" s="125"/>
      <c r="I8" s="182" t="s">
        <v>859</v>
      </c>
      <c r="J8" s="182" t="s">
        <v>859</v>
      </c>
      <c r="K8" s="154" t="s">
        <v>638</v>
      </c>
      <c r="L8" s="154" t="s">
        <v>637</v>
      </c>
      <c r="M8" s="125"/>
      <c r="N8" s="178" t="s">
        <v>503</v>
      </c>
      <c r="O8" s="125"/>
      <c r="P8" s="158" t="s">
        <v>636</v>
      </c>
      <c r="Q8" s="146" t="s">
        <v>426</v>
      </c>
      <c r="R8" s="146" t="s">
        <v>427</v>
      </c>
      <c r="S8" s="146" t="s">
        <v>426</v>
      </c>
      <c r="T8" s="146" t="s">
        <v>427</v>
      </c>
      <c r="U8" s="125"/>
      <c r="V8" s="125"/>
      <c r="W8" s="125"/>
      <c r="X8" s="158" t="s">
        <v>636</v>
      </c>
      <c r="Y8" s="146" t="s">
        <v>426</v>
      </c>
      <c r="Z8" s="146" t="s">
        <v>427</v>
      </c>
      <c r="AA8" s="125"/>
      <c r="AB8" s="158" t="s">
        <v>636</v>
      </c>
      <c r="AC8" s="146" t="s">
        <v>426</v>
      </c>
      <c r="AD8" s="146" t="s">
        <v>427</v>
      </c>
      <c r="AE8" s="125"/>
      <c r="AF8" s="158" t="s">
        <v>636</v>
      </c>
      <c r="AG8" s="146" t="s">
        <v>426</v>
      </c>
      <c r="AH8" s="146" t="s">
        <v>427</v>
      </c>
      <c r="AI8" s="154" t="s">
        <v>638</v>
      </c>
      <c r="AJ8" s="154" t="s">
        <v>637</v>
      </c>
      <c r="AK8" s="125"/>
      <c r="AL8" s="158" t="s">
        <v>636</v>
      </c>
      <c r="AM8" s="146" t="s">
        <v>426</v>
      </c>
      <c r="AN8" s="146" t="s">
        <v>427</v>
      </c>
      <c r="AO8" s="146" t="s">
        <v>426</v>
      </c>
      <c r="AP8" s="146" t="s">
        <v>427</v>
      </c>
      <c r="AQ8" s="154" t="s">
        <v>638</v>
      </c>
      <c r="AR8" s="154" t="s">
        <v>637</v>
      </c>
      <c r="AS8" s="125"/>
    </row>
    <row r="9" spans="1:85" s="129" customFormat="1" ht="16.5" thickBot="1">
      <c r="A9" s="216" t="s">
        <v>644</v>
      </c>
      <c r="B9" s="126"/>
      <c r="C9" s="126"/>
      <c r="D9" s="218">
        <v>0</v>
      </c>
      <c r="E9" s="218">
        <v>0</v>
      </c>
      <c r="F9" s="126"/>
      <c r="G9" s="218">
        <v>1</v>
      </c>
      <c r="H9" s="125"/>
      <c r="I9" s="218">
        <v>0</v>
      </c>
      <c r="J9" s="218">
        <v>0</v>
      </c>
      <c r="K9" s="237"/>
      <c r="L9" s="218">
        <v>1</v>
      </c>
      <c r="M9" s="126"/>
      <c r="N9" s="178" t="s">
        <v>440</v>
      </c>
      <c r="O9" s="126"/>
      <c r="P9" s="126"/>
      <c r="Q9" s="236">
        <v>1</v>
      </c>
      <c r="R9" s="236">
        <v>1</v>
      </c>
      <c r="S9" s="236">
        <v>1</v>
      </c>
      <c r="T9" s="236">
        <v>1</v>
      </c>
      <c r="U9" s="1681" t="s">
        <v>865</v>
      </c>
      <c r="V9" s="1682"/>
      <c r="W9" s="126"/>
      <c r="X9" s="126"/>
      <c r="Y9" s="236">
        <v>1</v>
      </c>
      <c r="Z9" s="236">
        <v>1</v>
      </c>
      <c r="AA9" s="126"/>
      <c r="AB9" s="126"/>
      <c r="AC9" s="236">
        <v>1</v>
      </c>
      <c r="AD9" s="236">
        <v>1</v>
      </c>
      <c r="AE9" s="126"/>
      <c r="AF9" s="126"/>
      <c r="AG9" s="236">
        <v>1</v>
      </c>
      <c r="AH9" s="236">
        <v>1</v>
      </c>
      <c r="AI9" s="237"/>
      <c r="AJ9" s="236">
        <v>1</v>
      </c>
      <c r="AK9" s="126"/>
      <c r="AL9" s="126"/>
      <c r="AM9" s="236">
        <v>1</v>
      </c>
      <c r="AN9" s="236">
        <v>1</v>
      </c>
      <c r="AO9" s="236">
        <v>1</v>
      </c>
      <c r="AP9" s="236">
        <v>1</v>
      </c>
      <c r="AQ9" s="237"/>
      <c r="AR9" s="236">
        <v>1</v>
      </c>
      <c r="AS9" s="126"/>
      <c r="AT9" s="160"/>
      <c r="AU9" s="160"/>
      <c r="AV9" s="160"/>
      <c r="AW9" s="160"/>
      <c r="AX9" s="160"/>
      <c r="AY9" s="160"/>
      <c r="AZ9" s="160"/>
      <c r="BA9" s="160"/>
      <c r="BB9" s="160"/>
      <c r="BC9" s="160"/>
      <c r="BD9" s="160"/>
      <c r="BW9" s="152"/>
      <c r="BX9" s="152"/>
      <c r="BY9" s="152"/>
      <c r="BZ9" s="152"/>
      <c r="CA9" s="152"/>
      <c r="CB9" s="152"/>
      <c r="CC9" s="152"/>
      <c r="CD9" s="152"/>
      <c r="CE9" s="152"/>
      <c r="CF9" s="152"/>
      <c r="CG9" s="152"/>
    </row>
    <row r="10" spans="1:85" s="228" customFormat="1">
      <c r="A10" s="220" t="s">
        <v>642</v>
      </c>
      <c r="B10" s="221"/>
      <c r="C10" s="221"/>
      <c r="D10" s="222">
        <f>COUNT(D13:D37)</f>
        <v>3</v>
      </c>
      <c r="E10" s="222">
        <f>COUNT(E13:E37)</f>
        <v>3</v>
      </c>
      <c r="F10" s="221"/>
      <c r="G10" s="222">
        <f>COUNT(PINNAE_Prod!G13:G37)</f>
        <v>3</v>
      </c>
      <c r="H10" s="222"/>
      <c r="I10" s="222">
        <f>COUNT(I13:I37)</f>
        <v>3</v>
      </c>
      <c r="J10" s="222">
        <f>COUNT(J13:J37)</f>
        <v>3</v>
      </c>
      <c r="K10" s="222"/>
      <c r="L10" s="222">
        <f>COUNT(L13:L37)</f>
        <v>4</v>
      </c>
      <c r="M10" s="221"/>
      <c r="N10" s="221"/>
      <c r="O10" s="221"/>
      <c r="P10" s="221"/>
      <c r="Q10" s="222">
        <f>COUNT(Q13:Q37)</f>
        <v>3</v>
      </c>
      <c r="R10" s="222">
        <f>COUNT(R13:R37)</f>
        <v>3</v>
      </c>
      <c r="S10" s="222">
        <f>COUNT(S13:S37)</f>
        <v>3</v>
      </c>
      <c r="T10" s="222">
        <f>COUNT(T13:T37)</f>
        <v>3</v>
      </c>
      <c r="U10" s="221"/>
      <c r="V10" s="221"/>
      <c r="W10" s="221"/>
      <c r="X10" s="221"/>
      <c r="Y10" s="222">
        <f>COUNT(Y13:Y37)</f>
        <v>3</v>
      </c>
      <c r="Z10" s="222">
        <f>COUNT(Z13:Z37)</f>
        <v>3</v>
      </c>
      <c r="AA10" s="221"/>
      <c r="AB10" s="221"/>
      <c r="AC10" s="222">
        <f>COUNT(AC13:AC37)</f>
        <v>4</v>
      </c>
      <c r="AD10" s="222">
        <f>COUNT(AD13:AD37)</f>
        <v>4</v>
      </c>
      <c r="AE10" s="221"/>
      <c r="AF10" s="221"/>
      <c r="AG10" s="222">
        <f>COUNT(AG13:AG37)</f>
        <v>3</v>
      </c>
      <c r="AH10" s="222">
        <f>COUNT(AH13:AH37)</f>
        <v>3</v>
      </c>
      <c r="AI10" s="222"/>
      <c r="AJ10" s="222">
        <f>COUNT(AJ13:AJ37)</f>
        <v>3</v>
      </c>
      <c r="AK10" s="221"/>
      <c r="AL10" s="221"/>
      <c r="AM10" s="222">
        <f>COUNT(AM13:AM37)</f>
        <v>3</v>
      </c>
      <c r="AN10" s="222">
        <f>COUNT(AN13:AN37)</f>
        <v>3</v>
      </c>
      <c r="AO10" s="222">
        <f>COUNT(AO13:AO37)</f>
        <v>3</v>
      </c>
      <c r="AP10" s="222">
        <f>COUNT(AP13:AP37)</f>
        <v>3</v>
      </c>
      <c r="AQ10" s="222"/>
      <c r="AR10" s="222">
        <f>COUNT(AR13:AR37)</f>
        <v>3</v>
      </c>
      <c r="AS10" s="221"/>
      <c r="AT10" s="226"/>
      <c r="AU10" s="226"/>
      <c r="AV10" s="226"/>
      <c r="AW10" s="226"/>
      <c r="AX10" s="226"/>
      <c r="AY10" s="226"/>
      <c r="BC10" s="226"/>
      <c r="BD10" s="226"/>
      <c r="BW10" s="227"/>
      <c r="BX10" s="227"/>
      <c r="BY10" s="227"/>
      <c r="BZ10" s="227"/>
      <c r="CA10" s="227"/>
      <c r="CB10" s="227"/>
      <c r="CC10" s="227"/>
      <c r="CD10" s="227"/>
      <c r="CE10" s="227"/>
      <c r="CF10" s="227"/>
      <c r="CG10" s="227"/>
    </row>
    <row r="11" spans="1:85" s="234" customFormat="1" ht="15.75" customHeight="1">
      <c r="A11" s="223" t="s">
        <v>643</v>
      </c>
      <c r="B11" s="235"/>
      <c r="C11" s="231"/>
      <c r="D11" s="1642" t="s">
        <v>925</v>
      </c>
      <c r="E11" s="1642"/>
      <c r="F11" s="1642"/>
      <c r="G11" s="1642"/>
      <c r="H11" s="231"/>
      <c r="I11" s="1642" t="s">
        <v>926</v>
      </c>
      <c r="J11" s="1642"/>
      <c r="K11" s="1642"/>
      <c r="L11" s="1642"/>
      <c r="M11" s="235"/>
      <c r="N11" s="235"/>
      <c r="O11" s="235"/>
      <c r="P11" s="1642" t="s">
        <v>927</v>
      </c>
      <c r="Q11" s="1642"/>
      <c r="R11" s="1642"/>
      <c r="S11" s="1642"/>
      <c r="T11" s="1642"/>
      <c r="U11" s="1697"/>
      <c r="V11" s="1697"/>
      <c r="W11" s="235"/>
      <c r="X11" s="1642" t="s">
        <v>928</v>
      </c>
      <c r="Y11" s="1642"/>
      <c r="Z11" s="1642"/>
      <c r="AA11" s="235"/>
      <c r="AB11" s="1642" t="s">
        <v>929</v>
      </c>
      <c r="AC11" s="1642"/>
      <c r="AD11" s="1642"/>
      <c r="AE11" s="235"/>
      <c r="AF11" s="1642" t="s">
        <v>641</v>
      </c>
      <c r="AG11" s="1642"/>
      <c r="AH11" s="1642"/>
      <c r="AI11" s="1642"/>
      <c r="AJ11" s="1642"/>
      <c r="AK11" s="1642"/>
      <c r="AL11" s="1642" t="s">
        <v>930</v>
      </c>
      <c r="AM11" s="1642"/>
      <c r="AN11" s="1642"/>
      <c r="AO11" s="1642"/>
      <c r="AP11" s="1642"/>
      <c r="AQ11" s="1642" t="s">
        <v>684</v>
      </c>
      <c r="AR11" s="1642"/>
      <c r="AS11" s="231"/>
      <c r="AT11" s="226"/>
      <c r="AU11" s="226"/>
      <c r="AV11" s="226"/>
      <c r="AW11" s="226"/>
      <c r="AX11" s="226"/>
      <c r="AY11" s="226"/>
      <c r="AZ11" s="226"/>
      <c r="BA11" s="226"/>
      <c r="BB11" s="226"/>
      <c r="BC11" s="226"/>
      <c r="BD11" s="226"/>
      <c r="BW11" s="233"/>
      <c r="BX11" s="233"/>
      <c r="BY11" s="233"/>
      <c r="BZ11" s="233"/>
      <c r="CA11" s="233"/>
      <c r="CB11" s="233"/>
      <c r="CC11" s="233"/>
      <c r="CD11" s="233"/>
      <c r="CE11" s="233"/>
      <c r="CF11" s="233"/>
      <c r="CG11" s="233"/>
    </row>
    <row r="12" spans="1:85">
      <c r="A12" s="130" t="s">
        <v>317</v>
      </c>
      <c r="B12" s="125"/>
      <c r="C12" s="131" t="s">
        <v>438</v>
      </c>
      <c r="D12" s="131" t="s">
        <v>861</v>
      </c>
      <c r="E12" s="130" t="s">
        <v>4</v>
      </c>
      <c r="F12" s="130" t="s">
        <v>635</v>
      </c>
      <c r="G12" s="130" t="s">
        <v>713</v>
      </c>
      <c r="H12" s="130"/>
      <c r="I12" s="131" t="s">
        <v>861</v>
      </c>
      <c r="J12" s="130" t="s">
        <v>4</v>
      </c>
      <c r="K12" s="130" t="s">
        <v>635</v>
      </c>
      <c r="L12" s="130" t="s">
        <v>713</v>
      </c>
      <c r="M12" s="125"/>
      <c r="N12" s="125"/>
      <c r="O12" s="125"/>
      <c r="P12" s="131" t="s">
        <v>438</v>
      </c>
      <c r="Q12" s="130" t="s">
        <v>0</v>
      </c>
      <c r="R12" s="130" t="s">
        <v>0</v>
      </c>
      <c r="S12" s="130" t="s">
        <v>0</v>
      </c>
      <c r="T12" s="130" t="s">
        <v>0</v>
      </c>
      <c r="U12" s="1697"/>
      <c r="V12" s="1697"/>
      <c r="W12" s="125"/>
      <c r="X12" s="131" t="s">
        <v>438</v>
      </c>
      <c r="Y12" s="130" t="s">
        <v>265</v>
      </c>
      <c r="Z12" s="130" t="s">
        <v>265</v>
      </c>
      <c r="AA12" s="125"/>
      <c r="AB12" s="131" t="s">
        <v>438</v>
      </c>
      <c r="AC12" s="130" t="s">
        <v>3</v>
      </c>
      <c r="AD12" s="130" t="s">
        <v>3</v>
      </c>
      <c r="AE12" s="125"/>
      <c r="AF12" s="131" t="s">
        <v>438</v>
      </c>
      <c r="AG12" s="130" t="s">
        <v>3</v>
      </c>
      <c r="AH12" s="130" t="s">
        <v>3</v>
      </c>
      <c r="AI12" s="130" t="s">
        <v>635</v>
      </c>
      <c r="AJ12" s="130" t="s">
        <v>454</v>
      </c>
      <c r="AK12" s="125"/>
      <c r="AL12" s="131" t="s">
        <v>438</v>
      </c>
      <c r="AM12" s="130" t="s">
        <v>3</v>
      </c>
      <c r="AN12" s="130" t="s">
        <v>3</v>
      </c>
      <c r="AO12" s="130" t="s">
        <v>3</v>
      </c>
      <c r="AP12" s="130" t="s">
        <v>3</v>
      </c>
      <c r="AQ12" s="130" t="s">
        <v>635</v>
      </c>
      <c r="AR12" s="130" t="s">
        <v>454</v>
      </c>
      <c r="AS12" s="125"/>
    </row>
    <row r="13" spans="1:85">
      <c r="A13" s="130">
        <v>1</v>
      </c>
      <c r="B13" s="125"/>
      <c r="C13" s="141">
        <v>1</v>
      </c>
      <c r="D13" s="133">
        <v>60</v>
      </c>
      <c r="E13" s="133">
        <v>6</v>
      </c>
      <c r="F13" s="212">
        <v>1</v>
      </c>
      <c r="G13" s="133">
        <v>0.6</v>
      </c>
      <c r="H13" s="125"/>
      <c r="I13" s="147">
        <v>40</v>
      </c>
      <c r="J13" s="133">
        <v>4</v>
      </c>
      <c r="K13" s="212">
        <v>1</v>
      </c>
      <c r="L13" s="133">
        <v>0.6</v>
      </c>
      <c r="M13" s="125"/>
      <c r="N13" s="275">
        <f>D13+I13</f>
        <v>100</v>
      </c>
      <c r="O13" s="125"/>
      <c r="P13" s="106">
        <v>0</v>
      </c>
      <c r="Q13" s="105">
        <v>0</v>
      </c>
      <c r="R13" s="105">
        <v>0</v>
      </c>
      <c r="S13" s="105">
        <v>0</v>
      </c>
      <c r="T13" s="105">
        <v>0</v>
      </c>
      <c r="U13" s="125"/>
      <c r="V13" s="125"/>
      <c r="W13" s="125"/>
      <c r="X13" s="106">
        <v>0</v>
      </c>
      <c r="Y13" s="105">
        <v>0</v>
      </c>
      <c r="Z13" s="105">
        <v>0</v>
      </c>
      <c r="AA13" s="125"/>
      <c r="AB13" s="106">
        <v>0</v>
      </c>
      <c r="AC13" s="105">
        <v>0</v>
      </c>
      <c r="AD13" s="105">
        <v>0</v>
      </c>
      <c r="AE13" s="125"/>
      <c r="AF13" s="106">
        <v>0</v>
      </c>
      <c r="AG13" s="105">
        <v>0</v>
      </c>
      <c r="AH13" s="105">
        <v>0</v>
      </c>
      <c r="AI13" s="212">
        <v>1</v>
      </c>
      <c r="AJ13" s="133">
        <v>0.5</v>
      </c>
      <c r="AK13" s="125"/>
      <c r="AL13" s="106">
        <v>0</v>
      </c>
      <c r="AM13" s="105">
        <v>0</v>
      </c>
      <c r="AN13" s="105">
        <v>0</v>
      </c>
      <c r="AO13" s="105">
        <v>0</v>
      </c>
      <c r="AP13" s="105">
        <v>0</v>
      </c>
      <c r="AQ13" s="212">
        <v>1</v>
      </c>
      <c r="AR13" s="133">
        <v>0.1</v>
      </c>
      <c r="AS13" s="125"/>
    </row>
    <row r="14" spans="1:85">
      <c r="A14" s="130">
        <v>2</v>
      </c>
      <c r="B14" s="125"/>
      <c r="C14" s="141">
        <v>100</v>
      </c>
      <c r="D14" s="163">
        <v>70</v>
      </c>
      <c r="E14" s="163">
        <v>7</v>
      </c>
      <c r="F14" s="212">
        <v>13</v>
      </c>
      <c r="G14" s="143">
        <v>0.8</v>
      </c>
      <c r="H14" s="125"/>
      <c r="I14" s="162">
        <v>30</v>
      </c>
      <c r="J14" s="163">
        <v>3</v>
      </c>
      <c r="K14" s="212">
        <v>13</v>
      </c>
      <c r="L14" s="143">
        <v>0.8</v>
      </c>
      <c r="M14" s="125"/>
      <c r="N14" s="275">
        <f t="shared" ref="N14:N16" si="0">D14+I14</f>
        <v>100</v>
      </c>
      <c r="O14" s="125"/>
      <c r="P14" s="106">
        <v>70</v>
      </c>
      <c r="Q14" s="107">
        <v>3</v>
      </c>
      <c r="R14" s="107">
        <v>0.3</v>
      </c>
      <c r="S14" s="107">
        <v>1</v>
      </c>
      <c r="T14" s="107">
        <v>0.1</v>
      </c>
      <c r="U14" s="125"/>
      <c r="V14" s="125"/>
      <c r="W14" s="125"/>
      <c r="X14" s="106">
        <v>70</v>
      </c>
      <c r="Y14" s="107">
        <v>5</v>
      </c>
      <c r="Z14" s="107">
        <v>0.5</v>
      </c>
      <c r="AA14" s="125"/>
      <c r="AB14" s="106">
        <v>70</v>
      </c>
      <c r="AC14" s="107">
        <v>80</v>
      </c>
      <c r="AD14" s="107">
        <v>8</v>
      </c>
      <c r="AE14" s="125"/>
      <c r="AF14" s="106">
        <v>70</v>
      </c>
      <c r="AG14" s="107">
        <v>20</v>
      </c>
      <c r="AH14" s="107">
        <v>2</v>
      </c>
      <c r="AI14" s="212">
        <v>13</v>
      </c>
      <c r="AJ14" s="143">
        <v>0.5</v>
      </c>
      <c r="AK14" s="125"/>
      <c r="AL14" s="106">
        <v>70</v>
      </c>
      <c r="AM14" s="107">
        <v>30</v>
      </c>
      <c r="AN14" s="107">
        <v>3</v>
      </c>
      <c r="AO14" s="107">
        <v>40</v>
      </c>
      <c r="AP14" s="107">
        <v>4</v>
      </c>
      <c r="AQ14" s="212">
        <v>13</v>
      </c>
      <c r="AR14" s="143">
        <v>0.3</v>
      </c>
      <c r="AS14" s="125"/>
    </row>
    <row r="15" spans="1:85">
      <c r="A15" s="130">
        <v>3</v>
      </c>
      <c r="B15" s="125"/>
      <c r="C15" s="141">
        <v>200</v>
      </c>
      <c r="D15" s="133">
        <v>80</v>
      </c>
      <c r="E15" s="133">
        <v>8</v>
      </c>
      <c r="F15" s="212">
        <v>17</v>
      </c>
      <c r="G15" s="133">
        <v>0.9</v>
      </c>
      <c r="H15" s="125"/>
      <c r="I15" s="147">
        <v>20</v>
      </c>
      <c r="J15" s="133">
        <v>2</v>
      </c>
      <c r="K15" s="212">
        <v>17</v>
      </c>
      <c r="L15" s="133">
        <v>0.9</v>
      </c>
      <c r="M15" s="125"/>
      <c r="N15" s="275">
        <f t="shared" si="0"/>
        <v>100</v>
      </c>
      <c r="O15" s="125"/>
      <c r="P15" s="106">
        <v>100</v>
      </c>
      <c r="Q15" s="105">
        <v>3</v>
      </c>
      <c r="R15" s="105">
        <v>0.3</v>
      </c>
      <c r="S15" s="105">
        <v>1</v>
      </c>
      <c r="T15" s="105">
        <v>0.1</v>
      </c>
      <c r="U15" s="125"/>
      <c r="V15" s="125"/>
      <c r="W15" s="125"/>
      <c r="X15" s="106">
        <v>100</v>
      </c>
      <c r="Y15" s="105">
        <v>2</v>
      </c>
      <c r="Z15" s="105">
        <v>0.2</v>
      </c>
      <c r="AA15" s="125"/>
      <c r="AB15" s="106">
        <v>80</v>
      </c>
      <c r="AC15" s="105">
        <v>100</v>
      </c>
      <c r="AD15" s="105">
        <v>10</v>
      </c>
      <c r="AE15" s="125"/>
      <c r="AF15" s="106">
        <v>100</v>
      </c>
      <c r="AG15" s="105">
        <v>10</v>
      </c>
      <c r="AH15" s="105">
        <v>1</v>
      </c>
      <c r="AI15" s="212">
        <v>17</v>
      </c>
      <c r="AJ15" s="133">
        <v>1</v>
      </c>
      <c r="AK15" s="125"/>
      <c r="AL15" s="106">
        <v>100</v>
      </c>
      <c r="AM15" s="105">
        <v>10</v>
      </c>
      <c r="AN15" s="105">
        <v>1</v>
      </c>
      <c r="AO15" s="105">
        <v>20</v>
      </c>
      <c r="AP15" s="105">
        <v>2</v>
      </c>
      <c r="AQ15" s="212">
        <v>17</v>
      </c>
      <c r="AR15" s="133">
        <v>1</v>
      </c>
      <c r="AS15" s="125"/>
    </row>
    <row r="16" spans="1:85">
      <c r="A16" s="130">
        <v>4</v>
      </c>
      <c r="B16" s="125"/>
      <c r="C16" s="141"/>
      <c r="D16" s="163"/>
      <c r="E16" s="163"/>
      <c r="F16" s="212">
        <v>32</v>
      </c>
      <c r="G16" s="143">
        <v>1</v>
      </c>
      <c r="H16" s="125"/>
      <c r="I16" s="162"/>
      <c r="J16" s="163"/>
      <c r="K16" s="212">
        <v>32</v>
      </c>
      <c r="L16" s="143">
        <v>1</v>
      </c>
      <c r="M16" s="125"/>
      <c r="N16" s="275">
        <f t="shared" si="0"/>
        <v>0</v>
      </c>
      <c r="O16" s="125"/>
      <c r="P16" s="161"/>
      <c r="Q16" s="163"/>
      <c r="R16" s="163"/>
      <c r="S16" s="163"/>
      <c r="T16" s="163"/>
      <c r="U16" s="125"/>
      <c r="V16" s="125"/>
      <c r="W16" s="125"/>
      <c r="X16" s="161"/>
      <c r="Y16" s="163"/>
      <c r="Z16" s="163"/>
      <c r="AA16" s="125"/>
      <c r="AB16" s="106">
        <v>90</v>
      </c>
      <c r="AC16" s="107">
        <v>120</v>
      </c>
      <c r="AD16" s="107">
        <v>12</v>
      </c>
      <c r="AE16" s="125"/>
      <c r="AF16" s="205"/>
      <c r="AG16" s="202"/>
      <c r="AH16" s="202"/>
      <c r="AI16" s="212"/>
      <c r="AJ16" s="143"/>
      <c r="AK16" s="125"/>
      <c r="AL16" s="161"/>
      <c r="AM16" s="163"/>
      <c r="AN16" s="163"/>
      <c r="AO16" s="163"/>
      <c r="AP16" s="163"/>
      <c r="AQ16" s="212"/>
      <c r="AR16" s="143"/>
      <c r="AS16" s="125"/>
    </row>
    <row r="17" spans="1:45">
      <c r="A17" s="130">
        <v>5</v>
      </c>
      <c r="B17" s="125"/>
      <c r="C17" s="141"/>
      <c r="D17" s="133"/>
      <c r="E17" s="133"/>
      <c r="F17" s="212"/>
      <c r="G17" s="133"/>
      <c r="H17" s="125"/>
      <c r="I17" s="147"/>
      <c r="J17" s="133"/>
      <c r="K17" s="212"/>
      <c r="L17" s="133"/>
      <c r="M17" s="125"/>
      <c r="N17" s="275">
        <f t="shared" ref="N14:N37" si="1">D17+I17</f>
        <v>0</v>
      </c>
      <c r="O17" s="125"/>
      <c r="P17" s="161"/>
      <c r="Q17" s="133"/>
      <c r="R17" s="133"/>
      <c r="S17" s="133"/>
      <c r="T17" s="133"/>
      <c r="U17" s="1697"/>
      <c r="V17" s="1697"/>
      <c r="W17" s="125"/>
      <c r="X17" s="161"/>
      <c r="Y17" s="133"/>
      <c r="Z17" s="133"/>
      <c r="AA17" s="125"/>
      <c r="AB17" s="161"/>
      <c r="AC17" s="133"/>
      <c r="AD17" s="133"/>
      <c r="AE17" s="125"/>
      <c r="AF17" s="205"/>
      <c r="AG17" s="200"/>
      <c r="AH17" s="200"/>
      <c r="AI17" s="124"/>
      <c r="AJ17" s="133"/>
      <c r="AK17" s="125"/>
      <c r="AL17" s="161"/>
      <c r="AM17" s="133"/>
      <c r="AN17" s="133"/>
      <c r="AO17" s="133"/>
      <c r="AP17" s="133"/>
      <c r="AQ17" s="124"/>
      <c r="AR17" s="133"/>
      <c r="AS17" s="125"/>
    </row>
    <row r="18" spans="1:45">
      <c r="A18" s="130">
        <v>6</v>
      </c>
      <c r="B18" s="125"/>
      <c r="C18" s="141"/>
      <c r="D18" s="163"/>
      <c r="E18" s="163"/>
      <c r="F18" s="212"/>
      <c r="G18" s="143"/>
      <c r="H18" s="125"/>
      <c r="I18" s="162"/>
      <c r="J18" s="163"/>
      <c r="K18" s="212"/>
      <c r="L18" s="143"/>
      <c r="M18" s="125"/>
      <c r="N18" s="275">
        <f t="shared" si="1"/>
        <v>0</v>
      </c>
      <c r="O18" s="125"/>
      <c r="P18" s="161"/>
      <c r="Q18" s="163"/>
      <c r="R18" s="163"/>
      <c r="S18" s="163"/>
      <c r="T18" s="163"/>
      <c r="U18" s="1697"/>
      <c r="V18" s="1697"/>
      <c r="W18" s="125"/>
      <c r="X18" s="161"/>
      <c r="Y18" s="163"/>
      <c r="Z18" s="163"/>
      <c r="AA18" s="125"/>
      <c r="AB18" s="161"/>
      <c r="AC18" s="163"/>
      <c r="AD18" s="163"/>
      <c r="AE18" s="125"/>
      <c r="AF18" s="205"/>
      <c r="AG18" s="202"/>
      <c r="AH18" s="202"/>
      <c r="AI18" s="124"/>
      <c r="AJ18" s="143"/>
      <c r="AK18" s="125"/>
      <c r="AL18" s="161"/>
      <c r="AM18" s="163"/>
      <c r="AN18" s="163"/>
      <c r="AO18" s="163"/>
      <c r="AP18" s="163"/>
      <c r="AQ18" s="124"/>
      <c r="AR18" s="143"/>
      <c r="AS18" s="125"/>
    </row>
    <row r="19" spans="1:45">
      <c r="A19" s="130">
        <v>7</v>
      </c>
      <c r="B19" s="125"/>
      <c r="C19" s="141"/>
      <c r="D19" s="133"/>
      <c r="E19" s="133"/>
      <c r="F19" s="212"/>
      <c r="G19" s="133"/>
      <c r="H19" s="125"/>
      <c r="I19" s="147"/>
      <c r="J19" s="133"/>
      <c r="K19" s="212"/>
      <c r="L19" s="133"/>
      <c r="M19" s="125"/>
      <c r="N19" s="275">
        <f t="shared" si="1"/>
        <v>0</v>
      </c>
      <c r="O19" s="125"/>
      <c r="P19" s="161"/>
      <c r="Q19" s="133"/>
      <c r="R19" s="133"/>
      <c r="S19" s="133"/>
      <c r="T19" s="133"/>
      <c r="U19" s="1697"/>
      <c r="V19" s="1697"/>
      <c r="W19" s="125"/>
      <c r="X19" s="161"/>
      <c r="Y19" s="133"/>
      <c r="Z19" s="133"/>
      <c r="AA19" s="125"/>
      <c r="AB19" s="161"/>
      <c r="AC19" s="133"/>
      <c r="AD19" s="133"/>
      <c r="AE19" s="125"/>
      <c r="AF19" s="205"/>
      <c r="AG19" s="200"/>
      <c r="AH19" s="200"/>
      <c r="AI19" s="124"/>
      <c r="AJ19" s="133"/>
      <c r="AK19" s="125"/>
      <c r="AL19" s="161"/>
      <c r="AM19" s="133"/>
      <c r="AN19" s="133"/>
      <c r="AO19" s="133"/>
      <c r="AP19" s="133"/>
      <c r="AQ19" s="124"/>
      <c r="AR19" s="133"/>
      <c r="AS19" s="125"/>
    </row>
    <row r="20" spans="1:45">
      <c r="A20" s="130">
        <v>8</v>
      </c>
      <c r="B20" s="125"/>
      <c r="C20" s="141"/>
      <c r="D20" s="163"/>
      <c r="E20" s="163"/>
      <c r="F20" s="212"/>
      <c r="G20" s="143"/>
      <c r="H20" s="125"/>
      <c r="I20" s="162"/>
      <c r="J20" s="163"/>
      <c r="K20" s="212"/>
      <c r="L20" s="143"/>
      <c r="M20" s="125"/>
      <c r="N20" s="275">
        <f t="shared" si="1"/>
        <v>0</v>
      </c>
      <c r="O20" s="125"/>
      <c r="P20" s="161"/>
      <c r="Q20" s="163"/>
      <c r="R20" s="163"/>
      <c r="S20" s="163"/>
      <c r="T20" s="163"/>
      <c r="U20" s="125"/>
      <c r="V20" s="125"/>
      <c r="W20" s="125"/>
      <c r="X20" s="161"/>
      <c r="Y20" s="163"/>
      <c r="Z20" s="163"/>
      <c r="AA20" s="125"/>
      <c r="AB20" s="161"/>
      <c r="AC20" s="163"/>
      <c r="AD20" s="163"/>
      <c r="AE20" s="125"/>
      <c r="AF20" s="205"/>
      <c r="AG20" s="202"/>
      <c r="AH20" s="202"/>
      <c r="AI20" s="124"/>
      <c r="AJ20" s="143"/>
      <c r="AK20" s="125"/>
      <c r="AL20" s="161"/>
      <c r="AM20" s="163"/>
      <c r="AN20" s="163"/>
      <c r="AO20" s="163"/>
      <c r="AP20" s="163"/>
      <c r="AQ20" s="124"/>
      <c r="AR20" s="143"/>
      <c r="AS20" s="125"/>
    </row>
    <row r="21" spans="1:45">
      <c r="A21" s="130">
        <v>9</v>
      </c>
      <c r="B21" s="125"/>
      <c r="C21" s="141"/>
      <c r="D21" s="133"/>
      <c r="E21" s="133"/>
      <c r="F21" s="212"/>
      <c r="G21" s="133"/>
      <c r="H21" s="125"/>
      <c r="I21" s="147"/>
      <c r="J21" s="133"/>
      <c r="K21" s="212"/>
      <c r="L21" s="133"/>
      <c r="M21" s="125"/>
      <c r="N21" s="275">
        <f t="shared" si="1"/>
        <v>0</v>
      </c>
      <c r="O21" s="125"/>
      <c r="P21" s="161"/>
      <c r="Q21" s="133"/>
      <c r="R21" s="133"/>
      <c r="S21" s="133"/>
      <c r="T21" s="133"/>
      <c r="U21" s="125"/>
      <c r="V21" s="125"/>
      <c r="W21" s="125"/>
      <c r="X21" s="161"/>
      <c r="Y21" s="133"/>
      <c r="Z21" s="133"/>
      <c r="AA21" s="125"/>
      <c r="AB21" s="161"/>
      <c r="AC21" s="133"/>
      <c r="AD21" s="133"/>
      <c r="AE21" s="125"/>
      <c r="AF21" s="205"/>
      <c r="AG21" s="200"/>
      <c r="AH21" s="200"/>
      <c r="AI21" s="124"/>
      <c r="AJ21" s="133"/>
      <c r="AK21" s="125"/>
      <c r="AL21" s="161"/>
      <c r="AM21" s="133"/>
      <c r="AN21" s="133"/>
      <c r="AO21" s="133"/>
      <c r="AP21" s="133"/>
      <c r="AQ21" s="124"/>
      <c r="AR21" s="133"/>
      <c r="AS21" s="125"/>
    </row>
    <row r="22" spans="1:45">
      <c r="A22" s="130">
        <v>10</v>
      </c>
      <c r="B22" s="125"/>
      <c r="C22" s="141"/>
      <c r="D22" s="163"/>
      <c r="E22" s="163"/>
      <c r="F22" s="212"/>
      <c r="G22" s="143"/>
      <c r="H22" s="125"/>
      <c r="I22" s="162"/>
      <c r="J22" s="163"/>
      <c r="K22" s="212"/>
      <c r="L22" s="143"/>
      <c r="M22" s="125"/>
      <c r="N22" s="275">
        <f t="shared" si="1"/>
        <v>0</v>
      </c>
      <c r="O22" s="125"/>
      <c r="P22" s="161"/>
      <c r="Q22" s="163"/>
      <c r="R22" s="163"/>
      <c r="S22" s="163"/>
      <c r="T22" s="163"/>
      <c r="U22" s="125"/>
      <c r="V22" s="125"/>
      <c r="W22" s="125"/>
      <c r="X22" s="161"/>
      <c r="Y22" s="163"/>
      <c r="Z22" s="163"/>
      <c r="AA22" s="125"/>
      <c r="AB22" s="161"/>
      <c r="AC22" s="163"/>
      <c r="AD22" s="163"/>
      <c r="AE22" s="125"/>
      <c r="AF22" s="205"/>
      <c r="AG22" s="202"/>
      <c r="AH22" s="202"/>
      <c r="AI22" s="124"/>
      <c r="AJ22" s="143"/>
      <c r="AK22" s="125"/>
      <c r="AL22" s="161"/>
      <c r="AM22" s="163"/>
      <c r="AN22" s="163"/>
      <c r="AO22" s="163"/>
      <c r="AP22" s="163"/>
      <c r="AQ22" s="124"/>
      <c r="AR22" s="143"/>
      <c r="AS22" s="125"/>
    </row>
    <row r="23" spans="1:45">
      <c r="A23" s="130">
        <v>11</v>
      </c>
      <c r="B23" s="125"/>
      <c r="C23" s="141"/>
      <c r="D23" s="133"/>
      <c r="E23" s="133"/>
      <c r="F23" s="212"/>
      <c r="G23" s="133"/>
      <c r="H23" s="125"/>
      <c r="I23" s="147"/>
      <c r="J23" s="133"/>
      <c r="K23" s="212"/>
      <c r="L23" s="133"/>
      <c r="M23" s="125"/>
      <c r="N23" s="275">
        <f t="shared" si="1"/>
        <v>0</v>
      </c>
      <c r="O23" s="125"/>
      <c r="P23" s="161"/>
      <c r="Q23" s="133"/>
      <c r="R23" s="133"/>
      <c r="S23" s="133"/>
      <c r="T23" s="133"/>
      <c r="U23" s="125"/>
      <c r="V23" s="125"/>
      <c r="W23" s="125"/>
      <c r="X23" s="161"/>
      <c r="Y23" s="133"/>
      <c r="Z23" s="133"/>
      <c r="AA23" s="125"/>
      <c r="AB23" s="161"/>
      <c r="AC23" s="133"/>
      <c r="AD23" s="133"/>
      <c r="AE23" s="125"/>
      <c r="AF23" s="205"/>
      <c r="AG23" s="200"/>
      <c r="AH23" s="200"/>
      <c r="AI23" s="124"/>
      <c r="AJ23" s="133"/>
      <c r="AK23" s="125"/>
      <c r="AL23" s="161"/>
      <c r="AM23" s="133"/>
      <c r="AN23" s="133"/>
      <c r="AO23" s="133"/>
      <c r="AP23" s="133"/>
      <c r="AQ23" s="124"/>
      <c r="AR23" s="133"/>
      <c r="AS23" s="125"/>
    </row>
    <row r="24" spans="1:45">
      <c r="A24" s="130">
        <v>12</v>
      </c>
      <c r="B24" s="125"/>
      <c r="C24" s="141"/>
      <c r="D24" s="163"/>
      <c r="E24" s="163"/>
      <c r="F24" s="212"/>
      <c r="G24" s="143"/>
      <c r="H24" s="125"/>
      <c r="I24" s="162"/>
      <c r="J24" s="163"/>
      <c r="K24" s="212"/>
      <c r="L24" s="143"/>
      <c r="M24" s="125"/>
      <c r="N24" s="275">
        <f t="shared" si="1"/>
        <v>0</v>
      </c>
      <c r="O24" s="125"/>
      <c r="P24" s="161"/>
      <c r="Q24" s="163"/>
      <c r="R24" s="163"/>
      <c r="S24" s="163"/>
      <c r="T24" s="163"/>
      <c r="U24" s="125"/>
      <c r="V24" s="125"/>
      <c r="W24" s="125"/>
      <c r="X24" s="161"/>
      <c r="Y24" s="163"/>
      <c r="Z24" s="163"/>
      <c r="AA24" s="125"/>
      <c r="AB24" s="161"/>
      <c r="AC24" s="163"/>
      <c r="AD24" s="163"/>
      <c r="AE24" s="125"/>
      <c r="AF24" s="161"/>
      <c r="AG24" s="163"/>
      <c r="AH24" s="163"/>
      <c r="AI24" s="124"/>
      <c r="AJ24" s="143"/>
      <c r="AK24" s="125"/>
      <c r="AL24" s="161"/>
      <c r="AM24" s="163"/>
      <c r="AN24" s="163"/>
      <c r="AO24" s="163"/>
      <c r="AP24" s="163"/>
      <c r="AQ24" s="124"/>
      <c r="AR24" s="143"/>
      <c r="AS24" s="125"/>
    </row>
    <row r="25" spans="1:45">
      <c r="A25" s="130">
        <v>13</v>
      </c>
      <c r="B25" s="125"/>
      <c r="C25" s="141"/>
      <c r="D25" s="133"/>
      <c r="E25" s="133"/>
      <c r="F25" s="212"/>
      <c r="G25" s="133"/>
      <c r="H25" s="125"/>
      <c r="I25" s="147"/>
      <c r="J25" s="133"/>
      <c r="K25" s="212"/>
      <c r="L25" s="133"/>
      <c r="M25" s="125"/>
      <c r="N25" s="275">
        <f t="shared" si="1"/>
        <v>0</v>
      </c>
      <c r="O25" s="125"/>
      <c r="P25" s="161"/>
      <c r="Q25" s="133"/>
      <c r="R25" s="133"/>
      <c r="S25" s="133"/>
      <c r="T25" s="133"/>
      <c r="U25" s="125"/>
      <c r="V25" s="125"/>
      <c r="W25" s="125"/>
      <c r="X25" s="161"/>
      <c r="Y25" s="133"/>
      <c r="Z25" s="133"/>
      <c r="AA25" s="125"/>
      <c r="AB25" s="161"/>
      <c r="AC25" s="133"/>
      <c r="AD25" s="133"/>
      <c r="AE25" s="125"/>
      <c r="AF25" s="161"/>
      <c r="AG25" s="133"/>
      <c r="AH25" s="133"/>
      <c r="AI25" s="124"/>
      <c r="AJ25" s="133"/>
      <c r="AK25" s="125"/>
      <c r="AL25" s="161"/>
      <c r="AM25" s="133"/>
      <c r="AN25" s="133"/>
      <c r="AO25" s="133"/>
      <c r="AP25" s="133"/>
      <c r="AQ25" s="124"/>
      <c r="AR25" s="133"/>
      <c r="AS25" s="125"/>
    </row>
    <row r="26" spans="1:45">
      <c r="A26" s="130">
        <v>14</v>
      </c>
      <c r="B26" s="125"/>
      <c r="C26" s="141"/>
      <c r="D26" s="163"/>
      <c r="E26" s="163"/>
      <c r="F26" s="212"/>
      <c r="G26" s="143"/>
      <c r="H26" s="125"/>
      <c r="I26" s="162"/>
      <c r="J26" s="163"/>
      <c r="K26" s="212"/>
      <c r="L26" s="143"/>
      <c r="M26" s="125"/>
      <c r="N26" s="275">
        <f t="shared" si="1"/>
        <v>0</v>
      </c>
      <c r="O26" s="125"/>
      <c r="P26" s="161"/>
      <c r="Q26" s="163"/>
      <c r="R26" s="163"/>
      <c r="S26" s="163"/>
      <c r="T26" s="163"/>
      <c r="U26" s="125"/>
      <c r="V26" s="125"/>
      <c r="W26" s="125"/>
      <c r="X26" s="161"/>
      <c r="Y26" s="163"/>
      <c r="Z26" s="163"/>
      <c r="AA26" s="125"/>
      <c r="AB26" s="161"/>
      <c r="AC26" s="163"/>
      <c r="AD26" s="163"/>
      <c r="AE26" s="125"/>
      <c r="AF26" s="161"/>
      <c r="AG26" s="163"/>
      <c r="AH26" s="163"/>
      <c r="AI26" s="124"/>
      <c r="AJ26" s="143"/>
      <c r="AK26" s="125"/>
      <c r="AL26" s="161"/>
      <c r="AM26" s="163"/>
      <c r="AN26" s="163"/>
      <c r="AO26" s="163"/>
      <c r="AP26" s="163"/>
      <c r="AQ26" s="124"/>
      <c r="AR26" s="143"/>
      <c r="AS26" s="125"/>
    </row>
    <row r="27" spans="1:45">
      <c r="A27" s="130">
        <v>15</v>
      </c>
      <c r="B27" s="125"/>
      <c r="C27" s="141"/>
      <c r="D27" s="133"/>
      <c r="E27" s="133"/>
      <c r="F27" s="212"/>
      <c r="G27" s="133"/>
      <c r="H27" s="125"/>
      <c r="I27" s="147"/>
      <c r="J27" s="133"/>
      <c r="K27" s="212"/>
      <c r="L27" s="133"/>
      <c r="M27" s="125"/>
      <c r="N27" s="275">
        <f t="shared" si="1"/>
        <v>0</v>
      </c>
      <c r="O27" s="125"/>
      <c r="P27" s="161"/>
      <c r="Q27" s="133"/>
      <c r="R27" s="133"/>
      <c r="S27" s="133"/>
      <c r="T27" s="133"/>
      <c r="U27" s="125"/>
      <c r="V27" s="125"/>
      <c r="W27" s="125"/>
      <c r="X27" s="161"/>
      <c r="Y27" s="133"/>
      <c r="Z27" s="133"/>
      <c r="AA27" s="125"/>
      <c r="AB27" s="161"/>
      <c r="AC27" s="133"/>
      <c r="AD27" s="133"/>
      <c r="AE27" s="125"/>
      <c r="AF27" s="161"/>
      <c r="AG27" s="133"/>
      <c r="AH27" s="133"/>
      <c r="AI27" s="124"/>
      <c r="AJ27" s="133"/>
      <c r="AK27" s="125"/>
      <c r="AL27" s="161"/>
      <c r="AM27" s="133"/>
      <c r="AN27" s="133"/>
      <c r="AO27" s="133"/>
      <c r="AP27" s="133"/>
      <c r="AQ27" s="124"/>
      <c r="AR27" s="133"/>
      <c r="AS27" s="125"/>
    </row>
    <row r="28" spans="1:45">
      <c r="A28" s="130">
        <v>16</v>
      </c>
      <c r="B28" s="125"/>
      <c r="C28" s="141"/>
      <c r="D28" s="163"/>
      <c r="E28" s="163"/>
      <c r="F28" s="212"/>
      <c r="G28" s="143"/>
      <c r="H28" s="125"/>
      <c r="I28" s="162"/>
      <c r="J28" s="163"/>
      <c r="K28" s="212"/>
      <c r="L28" s="143"/>
      <c r="M28" s="125"/>
      <c r="N28" s="275">
        <f t="shared" si="1"/>
        <v>0</v>
      </c>
      <c r="O28" s="125"/>
      <c r="P28" s="161"/>
      <c r="Q28" s="163"/>
      <c r="R28" s="163"/>
      <c r="S28" s="163"/>
      <c r="T28" s="163"/>
      <c r="U28" s="125"/>
      <c r="V28" s="125"/>
      <c r="W28" s="125"/>
      <c r="X28" s="161"/>
      <c r="Y28" s="163"/>
      <c r="Z28" s="163"/>
      <c r="AA28" s="125"/>
      <c r="AB28" s="161"/>
      <c r="AC28" s="163"/>
      <c r="AD28" s="163"/>
      <c r="AE28" s="125"/>
      <c r="AF28" s="161"/>
      <c r="AG28" s="163"/>
      <c r="AH28" s="163"/>
      <c r="AI28" s="124"/>
      <c r="AJ28" s="143"/>
      <c r="AK28" s="125"/>
      <c r="AL28" s="161"/>
      <c r="AM28" s="163"/>
      <c r="AN28" s="163"/>
      <c r="AO28" s="163"/>
      <c r="AP28" s="163"/>
      <c r="AQ28" s="124"/>
      <c r="AR28" s="143"/>
      <c r="AS28" s="125"/>
    </row>
    <row r="29" spans="1:45">
      <c r="A29" s="130">
        <v>17</v>
      </c>
      <c r="B29" s="125"/>
      <c r="C29" s="141"/>
      <c r="D29" s="133"/>
      <c r="E29" s="133"/>
      <c r="F29" s="212"/>
      <c r="G29" s="133"/>
      <c r="H29" s="125"/>
      <c r="I29" s="147"/>
      <c r="J29" s="133"/>
      <c r="K29" s="212"/>
      <c r="L29" s="133"/>
      <c r="M29" s="125"/>
      <c r="N29" s="275">
        <f t="shared" si="1"/>
        <v>0</v>
      </c>
      <c r="O29" s="125"/>
      <c r="P29" s="161"/>
      <c r="Q29" s="133"/>
      <c r="R29" s="133"/>
      <c r="S29" s="133"/>
      <c r="T29" s="133"/>
      <c r="U29" s="125"/>
      <c r="V29" s="125"/>
      <c r="W29" s="125"/>
      <c r="X29" s="161"/>
      <c r="Y29" s="133"/>
      <c r="Z29" s="133"/>
      <c r="AA29" s="125"/>
      <c r="AB29" s="161"/>
      <c r="AC29" s="133"/>
      <c r="AD29" s="133"/>
      <c r="AE29" s="125"/>
      <c r="AF29" s="161"/>
      <c r="AG29" s="133"/>
      <c r="AH29" s="133"/>
      <c r="AI29" s="124"/>
      <c r="AJ29" s="133"/>
      <c r="AK29" s="125"/>
      <c r="AL29" s="161"/>
      <c r="AM29" s="133"/>
      <c r="AN29" s="133"/>
      <c r="AO29" s="133"/>
      <c r="AP29" s="133"/>
      <c r="AQ29" s="124"/>
      <c r="AR29" s="133"/>
      <c r="AS29" s="125"/>
    </row>
    <row r="30" spans="1:45">
      <c r="A30" s="130">
        <v>18</v>
      </c>
      <c r="B30" s="125"/>
      <c r="C30" s="141"/>
      <c r="D30" s="163"/>
      <c r="E30" s="163"/>
      <c r="F30" s="212"/>
      <c r="G30" s="143"/>
      <c r="H30" s="125"/>
      <c r="I30" s="162"/>
      <c r="J30" s="163"/>
      <c r="K30" s="212"/>
      <c r="L30" s="143"/>
      <c r="M30" s="125"/>
      <c r="N30" s="275">
        <f t="shared" si="1"/>
        <v>0</v>
      </c>
      <c r="O30" s="125"/>
      <c r="P30" s="161"/>
      <c r="Q30" s="163"/>
      <c r="R30" s="163"/>
      <c r="S30" s="163"/>
      <c r="T30" s="163"/>
      <c r="U30" s="125"/>
      <c r="V30" s="125"/>
      <c r="W30" s="125"/>
      <c r="X30" s="161"/>
      <c r="Y30" s="163"/>
      <c r="Z30" s="163"/>
      <c r="AA30" s="125"/>
      <c r="AB30" s="161"/>
      <c r="AC30" s="163"/>
      <c r="AD30" s="163"/>
      <c r="AE30" s="125"/>
      <c r="AF30" s="161"/>
      <c r="AG30" s="163"/>
      <c r="AH30" s="163"/>
      <c r="AI30" s="124"/>
      <c r="AJ30" s="143"/>
      <c r="AK30" s="125"/>
      <c r="AL30" s="161"/>
      <c r="AM30" s="163"/>
      <c r="AN30" s="163"/>
      <c r="AO30" s="163"/>
      <c r="AP30" s="163"/>
      <c r="AQ30" s="124"/>
      <c r="AR30" s="143"/>
      <c r="AS30" s="125"/>
    </row>
    <row r="31" spans="1:45">
      <c r="A31" s="130">
        <v>19</v>
      </c>
      <c r="B31" s="125"/>
      <c r="C31" s="141"/>
      <c r="D31" s="133"/>
      <c r="E31" s="133"/>
      <c r="F31" s="212"/>
      <c r="G31" s="133"/>
      <c r="H31" s="125"/>
      <c r="I31" s="147"/>
      <c r="J31" s="133"/>
      <c r="K31" s="212"/>
      <c r="L31" s="133"/>
      <c r="M31" s="125"/>
      <c r="N31" s="275">
        <f t="shared" si="1"/>
        <v>0</v>
      </c>
      <c r="O31" s="125"/>
      <c r="P31" s="161"/>
      <c r="Q31" s="133"/>
      <c r="R31" s="133"/>
      <c r="S31" s="133"/>
      <c r="T31" s="133"/>
      <c r="U31" s="125"/>
      <c r="V31" s="125"/>
      <c r="W31" s="125"/>
      <c r="X31" s="161"/>
      <c r="Y31" s="133"/>
      <c r="Z31" s="133"/>
      <c r="AA31" s="125"/>
      <c r="AB31" s="161"/>
      <c r="AC31" s="133"/>
      <c r="AD31" s="133"/>
      <c r="AE31" s="125"/>
      <c r="AF31" s="161"/>
      <c r="AG31" s="133"/>
      <c r="AH31" s="133"/>
      <c r="AI31" s="124"/>
      <c r="AJ31" s="133"/>
      <c r="AK31" s="125"/>
      <c r="AL31" s="161"/>
      <c r="AM31" s="133"/>
      <c r="AN31" s="133"/>
      <c r="AO31" s="133"/>
      <c r="AP31" s="133"/>
      <c r="AQ31" s="124"/>
      <c r="AR31" s="133"/>
      <c r="AS31" s="125"/>
    </row>
    <row r="32" spans="1:45">
      <c r="A32" s="130">
        <v>20</v>
      </c>
      <c r="B32" s="125"/>
      <c r="C32" s="141"/>
      <c r="D32" s="163"/>
      <c r="E32" s="163"/>
      <c r="F32" s="212"/>
      <c r="G32" s="143"/>
      <c r="H32" s="125"/>
      <c r="I32" s="162"/>
      <c r="J32" s="163"/>
      <c r="K32" s="212"/>
      <c r="L32" s="143"/>
      <c r="M32" s="125"/>
      <c r="N32" s="275">
        <f t="shared" si="1"/>
        <v>0</v>
      </c>
      <c r="O32" s="125"/>
      <c r="P32" s="161"/>
      <c r="Q32" s="163"/>
      <c r="R32" s="163"/>
      <c r="S32" s="163"/>
      <c r="T32" s="163"/>
      <c r="U32" s="125"/>
      <c r="V32" s="125"/>
      <c r="W32" s="125"/>
      <c r="X32" s="161"/>
      <c r="Y32" s="163"/>
      <c r="Z32" s="163"/>
      <c r="AA32" s="125"/>
      <c r="AB32" s="161"/>
      <c r="AC32" s="163"/>
      <c r="AD32" s="163"/>
      <c r="AE32" s="125"/>
      <c r="AF32" s="161"/>
      <c r="AG32" s="163"/>
      <c r="AH32" s="163"/>
      <c r="AI32" s="124"/>
      <c r="AJ32" s="143"/>
      <c r="AK32" s="125"/>
      <c r="AL32" s="161"/>
      <c r="AM32" s="163"/>
      <c r="AN32" s="163"/>
      <c r="AO32" s="163"/>
      <c r="AP32" s="163"/>
      <c r="AQ32" s="124"/>
      <c r="AR32" s="143"/>
      <c r="AS32" s="125"/>
    </row>
    <row r="33" spans="1:45">
      <c r="A33" s="130">
        <v>21</v>
      </c>
      <c r="B33" s="125"/>
      <c r="C33" s="141"/>
      <c r="D33" s="133"/>
      <c r="E33" s="133"/>
      <c r="F33" s="212"/>
      <c r="G33" s="133"/>
      <c r="H33" s="125"/>
      <c r="I33" s="147"/>
      <c r="J33" s="133"/>
      <c r="K33" s="212"/>
      <c r="L33" s="133"/>
      <c r="M33" s="125"/>
      <c r="N33" s="275">
        <f t="shared" si="1"/>
        <v>0</v>
      </c>
      <c r="O33" s="125"/>
      <c r="P33" s="161"/>
      <c r="Q33" s="133"/>
      <c r="R33" s="133"/>
      <c r="S33" s="133"/>
      <c r="T33" s="133"/>
      <c r="U33" s="125"/>
      <c r="V33" s="125"/>
      <c r="W33" s="125"/>
      <c r="X33" s="161"/>
      <c r="Y33" s="133"/>
      <c r="Z33" s="133"/>
      <c r="AA33" s="125"/>
      <c r="AB33" s="161"/>
      <c r="AC33" s="133"/>
      <c r="AD33" s="133"/>
      <c r="AE33" s="125"/>
      <c r="AF33" s="161"/>
      <c r="AG33" s="133"/>
      <c r="AH33" s="133"/>
      <c r="AI33" s="124"/>
      <c r="AJ33" s="133"/>
      <c r="AK33" s="125"/>
      <c r="AL33" s="161"/>
      <c r="AM33" s="133"/>
      <c r="AN33" s="133"/>
      <c r="AO33" s="133"/>
      <c r="AP33" s="133"/>
      <c r="AQ33" s="124"/>
      <c r="AR33" s="133"/>
      <c r="AS33" s="125"/>
    </row>
    <row r="34" spans="1:45">
      <c r="A34" s="130">
        <v>22</v>
      </c>
      <c r="B34" s="125"/>
      <c r="C34" s="141"/>
      <c r="D34" s="163"/>
      <c r="E34" s="163"/>
      <c r="F34" s="212"/>
      <c r="G34" s="143"/>
      <c r="H34" s="125"/>
      <c r="I34" s="162"/>
      <c r="J34" s="163"/>
      <c r="K34" s="212"/>
      <c r="L34" s="143"/>
      <c r="M34" s="125"/>
      <c r="N34" s="275">
        <f t="shared" si="1"/>
        <v>0</v>
      </c>
      <c r="O34" s="125"/>
      <c r="P34" s="161"/>
      <c r="Q34" s="163"/>
      <c r="R34" s="163"/>
      <c r="S34" s="163"/>
      <c r="T34" s="163"/>
      <c r="U34" s="125"/>
      <c r="V34" s="125"/>
      <c r="W34" s="125"/>
      <c r="X34" s="161"/>
      <c r="Y34" s="163"/>
      <c r="Z34" s="163"/>
      <c r="AA34" s="125"/>
      <c r="AB34" s="161"/>
      <c r="AC34" s="163"/>
      <c r="AD34" s="163"/>
      <c r="AE34" s="125"/>
      <c r="AF34" s="161"/>
      <c r="AG34" s="163"/>
      <c r="AH34" s="163"/>
      <c r="AI34" s="124"/>
      <c r="AJ34" s="143"/>
      <c r="AK34" s="125"/>
      <c r="AL34" s="161"/>
      <c r="AM34" s="163"/>
      <c r="AN34" s="163"/>
      <c r="AO34" s="163"/>
      <c r="AP34" s="163"/>
      <c r="AQ34" s="124"/>
      <c r="AR34" s="143"/>
      <c r="AS34" s="125"/>
    </row>
    <row r="35" spans="1:45">
      <c r="A35" s="130">
        <v>23</v>
      </c>
      <c r="B35" s="125"/>
      <c r="C35" s="141"/>
      <c r="D35" s="133"/>
      <c r="E35" s="133"/>
      <c r="F35" s="212"/>
      <c r="G35" s="133"/>
      <c r="H35" s="125"/>
      <c r="I35" s="147"/>
      <c r="J35" s="133"/>
      <c r="K35" s="212"/>
      <c r="L35" s="133"/>
      <c r="M35" s="125"/>
      <c r="N35" s="275">
        <f t="shared" si="1"/>
        <v>0</v>
      </c>
      <c r="O35" s="125"/>
      <c r="P35" s="161"/>
      <c r="Q35" s="133"/>
      <c r="R35" s="133"/>
      <c r="S35" s="133"/>
      <c r="T35" s="133"/>
      <c r="U35" s="125"/>
      <c r="V35" s="125"/>
      <c r="W35" s="125"/>
      <c r="X35" s="161"/>
      <c r="Y35" s="133"/>
      <c r="Z35" s="133"/>
      <c r="AA35" s="125"/>
      <c r="AB35" s="161"/>
      <c r="AC35" s="133"/>
      <c r="AD35" s="133"/>
      <c r="AE35" s="125"/>
      <c r="AF35" s="161"/>
      <c r="AG35" s="133"/>
      <c r="AH35" s="133"/>
      <c r="AI35" s="124"/>
      <c r="AJ35" s="133"/>
      <c r="AK35" s="125"/>
      <c r="AL35" s="161"/>
      <c r="AM35" s="133"/>
      <c r="AN35" s="133"/>
      <c r="AO35" s="133"/>
      <c r="AP35" s="133"/>
      <c r="AQ35" s="124"/>
      <c r="AR35" s="133"/>
      <c r="AS35" s="125"/>
    </row>
    <row r="36" spans="1:45">
      <c r="A36" s="130">
        <v>24</v>
      </c>
      <c r="B36" s="125"/>
      <c r="C36" s="141"/>
      <c r="D36" s="163"/>
      <c r="E36" s="163"/>
      <c r="F36" s="212"/>
      <c r="G36" s="143"/>
      <c r="H36" s="125"/>
      <c r="I36" s="162"/>
      <c r="J36" s="163"/>
      <c r="K36" s="212"/>
      <c r="L36" s="143"/>
      <c r="M36" s="125"/>
      <c r="N36" s="275">
        <f t="shared" si="1"/>
        <v>0</v>
      </c>
      <c r="O36" s="125"/>
      <c r="P36" s="161"/>
      <c r="Q36" s="163"/>
      <c r="R36" s="163"/>
      <c r="S36" s="163"/>
      <c r="T36" s="163"/>
      <c r="U36" s="125"/>
      <c r="V36" s="125"/>
      <c r="W36" s="125"/>
      <c r="X36" s="161"/>
      <c r="Y36" s="163"/>
      <c r="Z36" s="163"/>
      <c r="AA36" s="125"/>
      <c r="AB36" s="161"/>
      <c r="AC36" s="163"/>
      <c r="AD36" s="163"/>
      <c r="AE36" s="125"/>
      <c r="AF36" s="161"/>
      <c r="AG36" s="163"/>
      <c r="AH36" s="163"/>
      <c r="AI36" s="124"/>
      <c r="AJ36" s="143"/>
      <c r="AK36" s="125"/>
      <c r="AL36" s="161"/>
      <c r="AM36" s="163"/>
      <c r="AN36" s="163"/>
      <c r="AO36" s="163"/>
      <c r="AP36" s="163"/>
      <c r="AQ36" s="124"/>
      <c r="AR36" s="143"/>
      <c r="AS36" s="125"/>
    </row>
    <row r="37" spans="1:45">
      <c r="A37" s="130">
        <v>25</v>
      </c>
      <c r="B37" s="125"/>
      <c r="C37" s="141"/>
      <c r="D37" s="133"/>
      <c r="E37" s="133"/>
      <c r="F37" s="212"/>
      <c r="G37" s="133"/>
      <c r="H37" s="125"/>
      <c r="I37" s="147"/>
      <c r="J37" s="133"/>
      <c r="K37" s="212"/>
      <c r="L37" s="133"/>
      <c r="M37" s="125"/>
      <c r="N37" s="275">
        <f t="shared" si="1"/>
        <v>0</v>
      </c>
      <c r="O37" s="125"/>
      <c r="P37" s="161"/>
      <c r="Q37" s="133"/>
      <c r="R37" s="133"/>
      <c r="S37" s="133"/>
      <c r="T37" s="133"/>
      <c r="U37" s="125"/>
      <c r="V37" s="125"/>
      <c r="W37" s="125"/>
      <c r="X37" s="161"/>
      <c r="Y37" s="133"/>
      <c r="Z37" s="133"/>
      <c r="AA37" s="125"/>
      <c r="AB37" s="161"/>
      <c r="AC37" s="133"/>
      <c r="AD37" s="133"/>
      <c r="AE37" s="125"/>
      <c r="AF37" s="161"/>
      <c r="AG37" s="133"/>
      <c r="AH37" s="133"/>
      <c r="AI37" s="124"/>
      <c r="AJ37" s="133"/>
      <c r="AK37" s="125"/>
      <c r="AL37" s="161"/>
      <c r="AM37" s="133"/>
      <c r="AN37" s="133"/>
      <c r="AO37" s="133"/>
      <c r="AP37" s="133"/>
      <c r="AQ37" s="124"/>
      <c r="AR37" s="133"/>
      <c r="AS37" s="125"/>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row>
    <row r="39" spans="1:45">
      <c r="A39" s="125"/>
      <c r="B39" s="125"/>
      <c r="C39" s="104" t="s">
        <v>832</v>
      </c>
      <c r="D39" s="104"/>
      <c r="E39" s="104"/>
      <c r="F39" s="126" t="s">
        <v>817</v>
      </c>
      <c r="G39" s="104" t="s">
        <v>833</v>
      </c>
      <c r="H39" s="104"/>
      <c r="I39" s="104"/>
      <c r="J39" s="104"/>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row>
    <row r="41" spans="1:45">
      <c r="A41" s="125"/>
      <c r="B41" s="125"/>
      <c r="C41" s="104" t="s">
        <v>831</v>
      </c>
      <c r="D41" s="104"/>
      <c r="E41" s="104"/>
      <c r="F41" s="126" t="s">
        <v>817</v>
      </c>
      <c r="G41" s="104" t="s">
        <v>829</v>
      </c>
      <c r="H41" s="104"/>
      <c r="I41" s="104"/>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row>
    <row r="42" spans="1:45">
      <c r="A42" s="125"/>
      <c r="B42" s="125"/>
      <c r="C42" s="104" t="s">
        <v>830</v>
      </c>
      <c r="D42" s="104"/>
      <c r="E42" s="104"/>
      <c r="F42" s="126" t="s">
        <v>817</v>
      </c>
      <c r="G42" s="104" t="s">
        <v>830</v>
      </c>
      <c r="H42" s="104"/>
      <c r="I42" s="104"/>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row>
    <row r="48" spans="1:45">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row>
    <row r="49" spans="1:45">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row>
  </sheetData>
  <sheetProtection selectLockedCells="1"/>
  <mergeCells count="35">
    <mergeCell ref="D6:G6"/>
    <mergeCell ref="C4:L4"/>
    <mergeCell ref="C5:L5"/>
    <mergeCell ref="I6:L6"/>
    <mergeCell ref="D11:G11"/>
    <mergeCell ref="I11:L11"/>
    <mergeCell ref="P4:V4"/>
    <mergeCell ref="AF11:AK11"/>
    <mergeCell ref="U9:V9"/>
    <mergeCell ref="P5:V5"/>
    <mergeCell ref="AL4:AR4"/>
    <mergeCell ref="AL5:AR5"/>
    <mergeCell ref="AF4:AJ4"/>
    <mergeCell ref="AF5:AJ5"/>
    <mergeCell ref="AG6:AH6"/>
    <mergeCell ref="AO6:AP6"/>
    <mergeCell ref="AM6:AN6"/>
    <mergeCell ref="P11:T11"/>
    <mergeCell ref="X11:Z11"/>
    <mergeCell ref="AB11:AD11"/>
    <mergeCell ref="AQ11:AR11"/>
    <mergeCell ref="AL11:AP11"/>
    <mergeCell ref="AB4:AD4"/>
    <mergeCell ref="AB7:AD7"/>
    <mergeCell ref="AF7:AJ7"/>
    <mergeCell ref="AL7:AN7"/>
    <mergeCell ref="AO7:AR7"/>
    <mergeCell ref="AB5:AD5"/>
    <mergeCell ref="AB6:AD6"/>
    <mergeCell ref="X4:Z4"/>
    <mergeCell ref="Q6:R6"/>
    <mergeCell ref="S6:T6"/>
    <mergeCell ref="P7:V7"/>
    <mergeCell ref="X7:Z7"/>
    <mergeCell ref="X5:Z5"/>
  </mergeCells>
  <hyperlinks>
    <hyperlink ref="A1" location="IGAP!A1" display="IGAP!A1"/>
  </hyperlinks>
  <pageMargins left="0.7" right="0.7" top="0.75" bottom="0.75" header="0.3" footer="0.3"/>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B57"/>
  <sheetViews>
    <sheetView topLeftCell="A10" zoomScale="90" zoomScaleNormal="90" workbookViewId="0">
      <selection activeCell="C13" sqref="C13:AA16"/>
    </sheetView>
  </sheetViews>
  <sheetFormatPr baseColWidth="10" defaultRowHeight="15.75"/>
  <cols>
    <col min="1" max="1" width="13.28515625" style="127" bestFit="1" customWidth="1"/>
    <col min="2" max="2" width="1.7109375" style="127" customWidth="1"/>
    <col min="3" max="3" width="9.5703125" style="127" customWidth="1"/>
    <col min="4" max="4" width="6.140625" style="127" bestFit="1" customWidth="1"/>
    <col min="5" max="5" width="12" style="127" bestFit="1" customWidth="1"/>
    <col min="6" max="6" width="9.5703125" style="127" customWidth="1"/>
    <col min="7" max="8" width="8.42578125" style="127" customWidth="1"/>
    <col min="9" max="9" width="14" style="127" bestFit="1" customWidth="1"/>
    <col min="10" max="10" width="1.7109375" style="127" customWidth="1"/>
    <col min="11" max="11" width="9" style="159" bestFit="1" customWidth="1"/>
    <col min="12" max="12" width="8" style="159" customWidth="1"/>
    <col min="13" max="13" width="12" style="159" bestFit="1" customWidth="1"/>
    <col min="14" max="14" width="9" style="159" customWidth="1"/>
    <col min="15" max="15" width="7.85546875" style="159" customWidth="1"/>
    <col min="16" max="16" width="11.5703125" style="159" bestFit="1" customWidth="1"/>
    <col min="17" max="17" width="12.7109375" style="159" bestFit="1" customWidth="1"/>
    <col min="18" max="18" width="1.7109375" style="127" customWidth="1"/>
    <col min="19" max="19" width="13.85546875" style="159" customWidth="1"/>
    <col min="20" max="20" width="12.140625" style="159" customWidth="1"/>
    <col min="21" max="21" width="11" style="159" customWidth="1"/>
    <col min="22" max="22" width="14.140625" style="159" customWidth="1"/>
    <col min="23" max="23" width="16" style="159" customWidth="1"/>
    <col min="24" max="24" width="1.7109375" style="127" customWidth="1"/>
    <col min="25" max="25" width="12" style="159" bestFit="1" customWidth="1"/>
    <col min="26" max="27" width="7.140625" style="159" bestFit="1" customWidth="1"/>
    <col min="28" max="28" width="1.7109375" style="127" customWidth="1"/>
    <col min="29" max="16384" width="11.42578125" style="159"/>
  </cols>
  <sheetData>
    <row r="1" spans="1:28">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28" ht="21">
      <c r="A2" s="13" t="s">
        <v>444</v>
      </c>
      <c r="B2" s="125"/>
      <c r="C2" s="241" t="s">
        <v>565</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row>
    <row r="3" spans="1:28"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row>
    <row r="4" spans="1:28" ht="16.5" thickBot="1">
      <c r="A4" s="35" t="s">
        <v>446</v>
      </c>
      <c r="B4" s="125"/>
      <c r="C4" s="1648" t="s">
        <v>255</v>
      </c>
      <c r="D4" s="1649"/>
      <c r="E4" s="1649"/>
      <c r="F4" s="1649"/>
      <c r="G4" s="1649"/>
      <c r="H4" s="1649"/>
      <c r="I4" s="1650"/>
      <c r="J4" s="125"/>
      <c r="K4" s="1648" t="s">
        <v>255</v>
      </c>
      <c r="L4" s="1646"/>
      <c r="M4" s="1646"/>
      <c r="N4" s="1646"/>
      <c r="O4" s="1646"/>
      <c r="P4" s="1646"/>
      <c r="Q4" s="1647"/>
      <c r="R4" s="125"/>
      <c r="S4" s="1661" t="s">
        <v>255</v>
      </c>
      <c r="T4" s="1655"/>
      <c r="U4" s="1655"/>
      <c r="V4" s="1655"/>
      <c r="W4" s="1662"/>
      <c r="X4" s="125"/>
      <c r="Y4" s="1648" t="s">
        <v>255</v>
      </c>
      <c r="Z4" s="1646"/>
      <c r="AA4" s="1647"/>
      <c r="AB4" s="125"/>
    </row>
    <row r="5" spans="1:28" ht="16.5" thickBot="1">
      <c r="A5" s="135" t="s">
        <v>445</v>
      </c>
      <c r="B5" s="125"/>
      <c r="C5" s="1645" t="s">
        <v>513</v>
      </c>
      <c r="D5" s="1646"/>
      <c r="E5" s="1646"/>
      <c r="F5" s="1646"/>
      <c r="G5" s="1646"/>
      <c r="H5" s="1646"/>
      <c r="I5" s="1647"/>
      <c r="J5" s="125"/>
      <c r="K5" s="1645" t="s">
        <v>517</v>
      </c>
      <c r="L5" s="1646"/>
      <c r="M5" s="1646"/>
      <c r="N5" s="1646"/>
      <c r="O5" s="1646"/>
      <c r="P5" s="1646"/>
      <c r="Q5" s="1647"/>
      <c r="R5" s="125"/>
      <c r="S5" s="1665" t="s">
        <v>622</v>
      </c>
      <c r="T5" s="1655"/>
      <c r="U5" s="1655"/>
      <c r="V5" s="1655"/>
      <c r="W5" s="1662"/>
      <c r="X5" s="125"/>
      <c r="Y5" s="1648" t="s">
        <v>518</v>
      </c>
      <c r="Z5" s="1646"/>
      <c r="AA5" s="1647"/>
      <c r="AB5" s="125"/>
    </row>
    <row r="6" spans="1:28" ht="16.5" thickBot="1">
      <c r="A6" s="125"/>
      <c r="B6" s="125"/>
      <c r="C6" s="125"/>
      <c r="D6" s="256" t="s">
        <v>441</v>
      </c>
      <c r="E6" s="125"/>
      <c r="F6" s="1684" t="s">
        <v>455</v>
      </c>
      <c r="G6" s="1685"/>
      <c r="H6" s="123"/>
      <c r="I6" s="257" t="s">
        <v>639</v>
      </c>
      <c r="J6" s="125"/>
      <c r="K6" s="125"/>
      <c r="L6" s="248" t="s">
        <v>441</v>
      </c>
      <c r="M6" s="125"/>
      <c r="N6" s="1645" t="s">
        <v>455</v>
      </c>
      <c r="O6" s="1647"/>
      <c r="P6" s="125"/>
      <c r="Q6" s="247" t="s">
        <v>648</v>
      </c>
      <c r="R6" s="125"/>
      <c r="S6" s="125"/>
      <c r="T6" s="1661" t="s">
        <v>436</v>
      </c>
      <c r="U6" s="1662"/>
      <c r="V6" s="125"/>
      <c r="W6" s="250" t="s">
        <v>774</v>
      </c>
      <c r="X6" s="125"/>
      <c r="Y6" s="125"/>
      <c r="Z6" s="125"/>
      <c r="AA6" s="125"/>
      <c r="AB6" s="125"/>
    </row>
    <row r="7" spans="1:28" ht="16.5" thickBot="1">
      <c r="A7" s="125"/>
      <c r="B7" s="125"/>
      <c r="C7" s="1665" t="s">
        <v>704</v>
      </c>
      <c r="D7" s="1677"/>
      <c r="E7" s="1677"/>
      <c r="F7" s="1677"/>
      <c r="G7" s="1677"/>
      <c r="H7" s="1677"/>
      <c r="I7" s="1670"/>
      <c r="J7" s="125"/>
      <c r="K7" s="1657" t="s">
        <v>222</v>
      </c>
      <c r="L7" s="1658"/>
      <c r="M7" s="1658"/>
      <c r="N7" s="1658"/>
      <c r="O7" s="1658"/>
      <c r="P7" s="1658"/>
      <c r="Q7" s="1658"/>
      <c r="R7" s="125"/>
      <c r="S7" s="1657" t="s">
        <v>855</v>
      </c>
      <c r="T7" s="1658"/>
      <c r="U7" s="1658"/>
      <c r="V7" s="1658"/>
      <c r="W7" s="1658"/>
      <c r="X7" s="125"/>
      <c r="Y7" s="1638" t="s">
        <v>856</v>
      </c>
      <c r="Z7" s="1639"/>
      <c r="AA7" s="1639"/>
      <c r="AB7" s="125"/>
    </row>
    <row r="8" spans="1:28" ht="16.5" thickBot="1">
      <c r="A8" s="146" t="s">
        <v>645</v>
      </c>
      <c r="B8" s="125"/>
      <c r="C8" s="158" t="s">
        <v>636</v>
      </c>
      <c r="D8" s="146" t="s">
        <v>441</v>
      </c>
      <c r="E8" s="146" t="s">
        <v>636</v>
      </c>
      <c r="F8" s="146" t="s">
        <v>442</v>
      </c>
      <c r="G8" s="146" t="s">
        <v>427</v>
      </c>
      <c r="H8" s="154" t="s">
        <v>638</v>
      </c>
      <c r="I8" s="154" t="s">
        <v>637</v>
      </c>
      <c r="J8" s="125"/>
      <c r="K8" s="146" t="s">
        <v>636</v>
      </c>
      <c r="L8" s="146" t="s">
        <v>441</v>
      </c>
      <c r="M8" s="146" t="s">
        <v>636</v>
      </c>
      <c r="N8" s="154" t="s">
        <v>454</v>
      </c>
      <c r="O8" s="146" t="s">
        <v>427</v>
      </c>
      <c r="P8" s="146" t="s">
        <v>636</v>
      </c>
      <c r="Q8" s="154" t="s">
        <v>9</v>
      </c>
      <c r="R8" s="125"/>
      <c r="S8" s="146" t="s">
        <v>636</v>
      </c>
      <c r="T8" s="146" t="s">
        <v>426</v>
      </c>
      <c r="U8" s="154" t="s">
        <v>427</v>
      </c>
      <c r="V8" s="154" t="s">
        <v>638</v>
      </c>
      <c r="W8" s="154" t="s">
        <v>637</v>
      </c>
      <c r="X8" s="125"/>
      <c r="Y8" s="146" t="s">
        <v>636</v>
      </c>
      <c r="Z8" s="146" t="s">
        <v>426</v>
      </c>
      <c r="AA8" s="146" t="s">
        <v>427</v>
      </c>
      <c r="AB8" s="125"/>
    </row>
    <row r="9" spans="1:28" s="160" customFormat="1">
      <c r="A9" s="216" t="s">
        <v>644</v>
      </c>
      <c r="B9" s="126"/>
      <c r="C9" s="126"/>
      <c r="D9" s="236">
        <v>1</v>
      </c>
      <c r="E9" s="126"/>
      <c r="F9" s="236">
        <v>1</v>
      </c>
      <c r="G9" s="236">
        <v>1</v>
      </c>
      <c r="H9" s="237"/>
      <c r="I9" s="236">
        <v>1</v>
      </c>
      <c r="J9" s="126"/>
      <c r="K9" s="126"/>
      <c r="L9" s="236">
        <v>1</v>
      </c>
      <c r="M9" s="126"/>
      <c r="N9" s="236">
        <v>1</v>
      </c>
      <c r="O9" s="236">
        <v>1</v>
      </c>
      <c r="P9" s="126"/>
      <c r="Q9" s="236">
        <v>1</v>
      </c>
      <c r="R9" s="126"/>
      <c r="S9" s="126"/>
      <c r="T9" s="218">
        <v>1</v>
      </c>
      <c r="U9" s="218">
        <v>1</v>
      </c>
      <c r="V9" s="218">
        <v>1</v>
      </c>
      <c r="W9" s="218">
        <v>0</v>
      </c>
      <c r="X9" s="126"/>
      <c r="Y9" s="126"/>
      <c r="Z9" s="236">
        <v>1</v>
      </c>
      <c r="AA9" s="236">
        <v>1</v>
      </c>
      <c r="AB9" s="126"/>
    </row>
    <row r="10" spans="1:28" s="226" customFormat="1">
      <c r="A10" s="220" t="s">
        <v>642</v>
      </c>
      <c r="B10" s="221"/>
      <c r="C10" s="221"/>
      <c r="D10" s="222">
        <f>COUNT(D13:D37)</f>
        <v>3</v>
      </c>
      <c r="E10" s="221"/>
      <c r="F10" s="222">
        <f>COUNT(F13:F37)</f>
        <v>3</v>
      </c>
      <c r="G10" s="222">
        <f>COUNT(G13:G37)</f>
        <v>3</v>
      </c>
      <c r="H10" s="222"/>
      <c r="I10" s="222">
        <f>COUNT(I13:I37)</f>
        <v>4</v>
      </c>
      <c r="J10" s="221"/>
      <c r="K10" s="221"/>
      <c r="L10" s="222">
        <f>COUNT(L13:L37)</f>
        <v>2</v>
      </c>
      <c r="M10" s="221"/>
      <c r="N10" s="222">
        <f>COUNT(N13:N37)</f>
        <v>3</v>
      </c>
      <c r="O10" s="222">
        <f>COUNT(O13:O37)</f>
        <v>3</v>
      </c>
      <c r="P10" s="221"/>
      <c r="Q10" s="222">
        <f>COUNT(Q13:Q37)</f>
        <v>2</v>
      </c>
      <c r="R10" s="221"/>
      <c r="S10" s="221"/>
      <c r="T10" s="222">
        <f>COUNT(T13:T37)</f>
        <v>3</v>
      </c>
      <c r="U10" s="222">
        <f>COUNT(U13:U37)</f>
        <v>3</v>
      </c>
      <c r="V10" s="222">
        <f>COUNT(V13:V37)</f>
        <v>3</v>
      </c>
      <c r="W10" s="222">
        <f>COUNT(W13:W37)</f>
        <v>3</v>
      </c>
      <c r="X10" s="221"/>
      <c r="Y10" s="221"/>
      <c r="Z10" s="222">
        <f>COUNT(Z13:Z37)</f>
        <v>2</v>
      </c>
      <c r="AA10" s="222">
        <f>COUNT(AA13:AA37)</f>
        <v>2</v>
      </c>
      <c r="AB10" s="221"/>
    </row>
    <row r="11" spans="1:28" s="226" customFormat="1">
      <c r="A11" s="223" t="s">
        <v>643</v>
      </c>
      <c r="B11" s="235"/>
      <c r="C11" s="281" t="s">
        <v>931</v>
      </c>
      <c r="D11" s="231"/>
      <c r="E11" s="231"/>
      <c r="F11" s="231"/>
      <c r="G11" s="231"/>
      <c r="H11" s="1642" t="s">
        <v>685</v>
      </c>
      <c r="I11" s="1642"/>
      <c r="J11" s="235"/>
      <c r="K11" s="1642" t="s">
        <v>932</v>
      </c>
      <c r="L11" s="1642"/>
      <c r="M11" s="1642"/>
      <c r="N11" s="1642"/>
      <c r="O11" s="1642"/>
      <c r="P11" s="1642"/>
      <c r="Q11" s="1642"/>
      <c r="R11" s="235"/>
      <c r="S11" s="1642" t="s">
        <v>933</v>
      </c>
      <c r="T11" s="1642"/>
      <c r="U11" s="1642"/>
      <c r="V11" s="1642"/>
      <c r="W11" s="1642"/>
      <c r="X11" s="235"/>
      <c r="Y11" s="1642" t="s">
        <v>934</v>
      </c>
      <c r="Z11" s="1642"/>
      <c r="AA11" s="1642"/>
      <c r="AB11" s="235"/>
    </row>
    <row r="12" spans="1:28">
      <c r="A12" s="130" t="s">
        <v>317</v>
      </c>
      <c r="B12" s="125"/>
      <c r="C12" s="131" t="s">
        <v>434</v>
      </c>
      <c r="D12" s="131" t="s">
        <v>0</v>
      </c>
      <c r="E12" s="131" t="s">
        <v>438</v>
      </c>
      <c r="F12" s="130" t="s">
        <v>9</v>
      </c>
      <c r="G12" s="130" t="s">
        <v>0</v>
      </c>
      <c r="H12" s="130" t="s">
        <v>635</v>
      </c>
      <c r="I12" s="130" t="s">
        <v>454</v>
      </c>
      <c r="J12" s="125"/>
      <c r="K12" s="131" t="s">
        <v>434</v>
      </c>
      <c r="L12" s="131" t="s">
        <v>0</v>
      </c>
      <c r="M12" s="131" t="s">
        <v>438</v>
      </c>
      <c r="N12" s="130" t="s">
        <v>9</v>
      </c>
      <c r="O12" s="130" t="s">
        <v>0</v>
      </c>
      <c r="P12" s="131" t="s">
        <v>433</v>
      </c>
      <c r="Q12" s="131" t="s">
        <v>9</v>
      </c>
      <c r="R12" s="125"/>
      <c r="S12" s="131" t="s">
        <v>438</v>
      </c>
      <c r="T12" s="130" t="s">
        <v>443</v>
      </c>
      <c r="U12" s="130" t="s">
        <v>443</v>
      </c>
      <c r="V12" s="130" t="s">
        <v>635</v>
      </c>
      <c r="W12" s="130" t="s">
        <v>713</v>
      </c>
      <c r="X12" s="125"/>
      <c r="Y12" s="131" t="s">
        <v>438</v>
      </c>
      <c r="Z12" s="130" t="s">
        <v>3</v>
      </c>
      <c r="AA12" s="130" t="s">
        <v>3</v>
      </c>
      <c r="AB12" s="125"/>
    </row>
    <row r="13" spans="1:28">
      <c r="A13" s="130">
        <v>1</v>
      </c>
      <c r="B13" s="125"/>
      <c r="C13" s="1072">
        <v>1</v>
      </c>
      <c r="D13" s="105">
        <v>30</v>
      </c>
      <c r="E13" s="106">
        <v>0</v>
      </c>
      <c r="F13" s="105">
        <v>0</v>
      </c>
      <c r="G13" s="105">
        <v>0</v>
      </c>
      <c r="H13" s="212">
        <v>1</v>
      </c>
      <c r="I13" s="133">
        <v>0.5</v>
      </c>
      <c r="J13" s="125"/>
      <c r="K13" s="1072">
        <v>1</v>
      </c>
      <c r="L13" s="105">
        <v>0.2</v>
      </c>
      <c r="M13" s="106">
        <v>0</v>
      </c>
      <c r="N13" s="105">
        <v>1</v>
      </c>
      <c r="O13" s="105">
        <v>0</v>
      </c>
      <c r="P13" s="265">
        <v>0</v>
      </c>
      <c r="Q13" s="105">
        <v>1</v>
      </c>
      <c r="R13" s="125"/>
      <c r="S13" s="106">
        <v>0</v>
      </c>
      <c r="T13" s="105">
        <v>100</v>
      </c>
      <c r="U13" s="105">
        <v>100</v>
      </c>
      <c r="V13" s="212">
        <v>1</v>
      </c>
      <c r="W13" s="133">
        <v>2</v>
      </c>
      <c r="X13" s="125"/>
      <c r="Y13" s="265">
        <v>0</v>
      </c>
      <c r="Z13" s="133">
        <v>3</v>
      </c>
      <c r="AA13" s="133">
        <v>0</v>
      </c>
      <c r="AB13" s="125"/>
    </row>
    <row r="14" spans="1:28">
      <c r="A14" s="130">
        <v>2</v>
      </c>
      <c r="B14" s="125"/>
      <c r="C14" s="1072">
        <v>100</v>
      </c>
      <c r="D14" s="1073">
        <v>40</v>
      </c>
      <c r="E14" s="106">
        <v>70</v>
      </c>
      <c r="F14" s="107">
        <v>1</v>
      </c>
      <c r="G14" s="107">
        <v>0.1</v>
      </c>
      <c r="H14" s="212">
        <v>13</v>
      </c>
      <c r="I14" s="143">
        <v>0.8</v>
      </c>
      <c r="J14" s="125"/>
      <c r="K14" s="1072">
        <v>200</v>
      </c>
      <c r="L14" s="1073">
        <v>1</v>
      </c>
      <c r="M14" s="106">
        <v>70</v>
      </c>
      <c r="N14" s="107">
        <v>1</v>
      </c>
      <c r="O14" s="107">
        <v>0.1</v>
      </c>
      <c r="P14" s="265">
        <v>100</v>
      </c>
      <c r="Q14" s="266">
        <v>0.2</v>
      </c>
      <c r="R14" s="125"/>
      <c r="S14" s="106">
        <v>70</v>
      </c>
      <c r="T14" s="107">
        <v>3000</v>
      </c>
      <c r="U14" s="107">
        <v>0</v>
      </c>
      <c r="V14" s="212">
        <v>13</v>
      </c>
      <c r="W14" s="143">
        <v>2</v>
      </c>
      <c r="X14" s="125"/>
      <c r="Y14" s="265">
        <v>40</v>
      </c>
      <c r="Z14" s="163">
        <v>10</v>
      </c>
      <c r="AA14" s="163">
        <v>0.5</v>
      </c>
      <c r="AB14" s="125"/>
    </row>
    <row r="15" spans="1:28">
      <c r="A15" s="130">
        <v>3</v>
      </c>
      <c r="B15" s="125"/>
      <c r="C15" s="1072">
        <v>200</v>
      </c>
      <c r="D15" s="105">
        <v>80</v>
      </c>
      <c r="E15" s="106">
        <v>100</v>
      </c>
      <c r="F15" s="105">
        <v>0.2</v>
      </c>
      <c r="G15" s="105">
        <v>0.02</v>
      </c>
      <c r="H15" s="212">
        <v>17</v>
      </c>
      <c r="I15" s="133">
        <v>0.9</v>
      </c>
      <c r="J15" s="125"/>
      <c r="K15" s="1072"/>
      <c r="L15" s="105"/>
      <c r="M15" s="106">
        <v>100</v>
      </c>
      <c r="N15" s="105">
        <v>0.5</v>
      </c>
      <c r="O15" s="105">
        <v>0.05</v>
      </c>
      <c r="P15" s="265"/>
      <c r="Q15" s="105"/>
      <c r="R15" s="125"/>
      <c r="S15" s="106">
        <v>100</v>
      </c>
      <c r="T15" s="105">
        <v>3000</v>
      </c>
      <c r="U15" s="105">
        <v>0</v>
      </c>
      <c r="V15" s="212">
        <v>20</v>
      </c>
      <c r="W15" s="133">
        <v>1</v>
      </c>
      <c r="X15" s="125"/>
      <c r="Y15" s="203"/>
      <c r="Z15" s="133"/>
      <c r="AA15" s="133"/>
      <c r="AB15" s="125"/>
    </row>
    <row r="16" spans="1:28">
      <c r="A16" s="130">
        <v>4</v>
      </c>
      <c r="B16" s="125"/>
      <c r="C16" s="141"/>
      <c r="D16" s="142"/>
      <c r="E16" s="205"/>
      <c r="F16" s="202"/>
      <c r="G16" s="202"/>
      <c r="H16" s="212">
        <v>32</v>
      </c>
      <c r="I16" s="143">
        <v>1</v>
      </c>
      <c r="J16" s="125"/>
      <c r="K16" s="141"/>
      <c r="L16" s="142"/>
      <c r="M16" s="205"/>
      <c r="N16" s="202"/>
      <c r="O16" s="202"/>
      <c r="P16" s="203"/>
      <c r="Q16" s="204"/>
      <c r="R16" s="125"/>
      <c r="S16" s="161"/>
      <c r="T16" s="163"/>
      <c r="U16" s="163"/>
      <c r="V16" s="212"/>
      <c r="W16" s="143"/>
      <c r="X16" s="125"/>
      <c r="Y16" s="203"/>
      <c r="Z16" s="163"/>
      <c r="AA16" s="163"/>
      <c r="AB16" s="125"/>
    </row>
    <row r="17" spans="1:28">
      <c r="A17" s="130">
        <v>5</v>
      </c>
      <c r="B17" s="125"/>
      <c r="C17" s="141"/>
      <c r="D17" s="133"/>
      <c r="E17" s="205"/>
      <c r="F17" s="200"/>
      <c r="G17" s="200"/>
      <c r="H17" s="188"/>
      <c r="I17" s="133"/>
      <c r="J17" s="125"/>
      <c r="K17" s="141"/>
      <c r="L17" s="133"/>
      <c r="M17" s="205"/>
      <c r="N17" s="200"/>
      <c r="O17" s="200"/>
      <c r="P17" s="203"/>
      <c r="Q17" s="200"/>
      <c r="R17" s="125"/>
      <c r="S17" s="161"/>
      <c r="T17" s="133"/>
      <c r="U17" s="133"/>
      <c r="V17" s="212"/>
      <c r="W17" s="133"/>
      <c r="X17" s="125"/>
      <c r="Y17" s="161"/>
      <c r="Z17" s="133"/>
      <c r="AA17" s="133"/>
      <c r="AB17" s="125"/>
    </row>
    <row r="18" spans="1:28">
      <c r="A18" s="130">
        <v>6</v>
      </c>
      <c r="B18" s="125"/>
      <c r="C18" s="141"/>
      <c r="D18" s="142"/>
      <c r="E18" s="205"/>
      <c r="F18" s="202"/>
      <c r="G18" s="202"/>
      <c r="H18" s="188"/>
      <c r="I18" s="143"/>
      <c r="J18" s="125"/>
      <c r="K18" s="141"/>
      <c r="L18" s="142"/>
      <c r="M18" s="205"/>
      <c r="N18" s="202"/>
      <c r="O18" s="202"/>
      <c r="P18" s="203"/>
      <c r="Q18" s="204"/>
      <c r="R18" s="125"/>
      <c r="S18" s="161"/>
      <c r="T18" s="163"/>
      <c r="U18" s="163"/>
      <c r="V18" s="212"/>
      <c r="W18" s="143"/>
      <c r="X18" s="125"/>
      <c r="Y18" s="161"/>
      <c r="Z18" s="163"/>
      <c r="AA18" s="163"/>
      <c r="AB18" s="125"/>
    </row>
    <row r="19" spans="1:28">
      <c r="A19" s="130">
        <v>7</v>
      </c>
      <c r="B19" s="125"/>
      <c r="C19" s="141"/>
      <c r="D19" s="133"/>
      <c r="E19" s="205"/>
      <c r="F19" s="200"/>
      <c r="G19" s="200"/>
      <c r="H19" s="188"/>
      <c r="I19" s="133"/>
      <c r="J19" s="125"/>
      <c r="K19" s="141"/>
      <c r="L19" s="133"/>
      <c r="M19" s="205"/>
      <c r="N19" s="200"/>
      <c r="O19" s="200"/>
      <c r="P19" s="203"/>
      <c r="Q19" s="200"/>
      <c r="R19" s="125"/>
      <c r="S19" s="161"/>
      <c r="T19" s="133"/>
      <c r="U19" s="133"/>
      <c r="V19" s="212"/>
      <c r="W19" s="133"/>
      <c r="X19" s="125"/>
      <c r="Y19" s="161"/>
      <c r="Z19" s="133"/>
      <c r="AA19" s="133"/>
      <c r="AB19" s="125"/>
    </row>
    <row r="20" spans="1:28">
      <c r="A20" s="130">
        <v>8</v>
      </c>
      <c r="B20" s="125"/>
      <c r="C20" s="141"/>
      <c r="D20" s="142"/>
      <c r="E20" s="205"/>
      <c r="F20" s="202"/>
      <c r="G20" s="202"/>
      <c r="H20" s="188"/>
      <c r="I20" s="143"/>
      <c r="J20" s="125"/>
      <c r="K20" s="141"/>
      <c r="L20" s="142"/>
      <c r="M20" s="205"/>
      <c r="N20" s="202"/>
      <c r="O20" s="202"/>
      <c r="P20" s="203"/>
      <c r="Q20" s="204"/>
      <c r="R20" s="125"/>
      <c r="S20" s="161"/>
      <c r="T20" s="163"/>
      <c r="U20" s="163"/>
      <c r="V20" s="212"/>
      <c r="W20" s="143"/>
      <c r="X20" s="125"/>
      <c r="Y20" s="161"/>
      <c r="Z20" s="163"/>
      <c r="AA20" s="163"/>
      <c r="AB20" s="125"/>
    </row>
    <row r="21" spans="1:28">
      <c r="A21" s="130">
        <v>9</v>
      </c>
      <c r="B21" s="125"/>
      <c r="C21" s="141"/>
      <c r="D21" s="133"/>
      <c r="E21" s="161"/>
      <c r="F21" s="133"/>
      <c r="G21" s="133"/>
      <c r="H21" s="188"/>
      <c r="I21" s="133"/>
      <c r="J21" s="125"/>
      <c r="K21" s="141"/>
      <c r="L21" s="133"/>
      <c r="M21" s="161"/>
      <c r="N21" s="133"/>
      <c r="O21" s="133"/>
      <c r="P21" s="148"/>
      <c r="Q21" s="133"/>
      <c r="R21" s="125"/>
      <c r="S21" s="161"/>
      <c r="T21" s="133"/>
      <c r="U21" s="133"/>
      <c r="V21" s="212"/>
      <c r="W21" s="133"/>
      <c r="X21" s="125"/>
      <c r="Y21" s="161"/>
      <c r="Z21" s="133"/>
      <c r="AA21" s="133"/>
      <c r="AB21" s="125"/>
    </row>
    <row r="22" spans="1:28">
      <c r="A22" s="130">
        <v>10</v>
      </c>
      <c r="B22" s="125"/>
      <c r="C22" s="141"/>
      <c r="D22" s="142"/>
      <c r="E22" s="161"/>
      <c r="F22" s="163"/>
      <c r="G22" s="163"/>
      <c r="H22" s="188"/>
      <c r="I22" s="143"/>
      <c r="J22" s="125"/>
      <c r="K22" s="141"/>
      <c r="L22" s="142"/>
      <c r="M22" s="161"/>
      <c r="N22" s="163"/>
      <c r="O22" s="163"/>
      <c r="P22" s="148"/>
      <c r="Q22" s="150"/>
      <c r="R22" s="125"/>
      <c r="S22" s="161"/>
      <c r="T22" s="163"/>
      <c r="U22" s="163"/>
      <c r="V22" s="212"/>
      <c r="W22" s="143"/>
      <c r="X22" s="125"/>
      <c r="Y22" s="161"/>
      <c r="Z22" s="163"/>
      <c r="AA22" s="163"/>
      <c r="AB22" s="125"/>
    </row>
    <row r="23" spans="1:28">
      <c r="A23" s="130">
        <v>11</v>
      </c>
      <c r="B23" s="125"/>
      <c r="C23" s="141"/>
      <c r="D23" s="133"/>
      <c r="E23" s="161"/>
      <c r="F23" s="133"/>
      <c r="G23" s="133"/>
      <c r="H23" s="188"/>
      <c r="I23" s="133"/>
      <c r="J23" s="125"/>
      <c r="K23" s="141"/>
      <c r="L23" s="133"/>
      <c r="M23" s="161"/>
      <c r="N23" s="133"/>
      <c r="O23" s="133"/>
      <c r="P23" s="148"/>
      <c r="Q23" s="133"/>
      <c r="R23" s="125"/>
      <c r="S23" s="161"/>
      <c r="T23" s="133"/>
      <c r="U23" s="133"/>
      <c r="V23" s="212"/>
      <c r="W23" s="133"/>
      <c r="X23" s="125"/>
      <c r="Y23" s="161"/>
      <c r="Z23" s="133"/>
      <c r="AA23" s="133"/>
      <c r="AB23" s="125"/>
    </row>
    <row r="24" spans="1:28">
      <c r="A24" s="130">
        <v>12</v>
      </c>
      <c r="B24" s="125"/>
      <c r="C24" s="141"/>
      <c r="D24" s="142"/>
      <c r="E24" s="161"/>
      <c r="F24" s="163"/>
      <c r="G24" s="163"/>
      <c r="H24" s="188"/>
      <c r="I24" s="143"/>
      <c r="J24" s="125"/>
      <c r="K24" s="141"/>
      <c r="L24" s="142"/>
      <c r="M24" s="161"/>
      <c r="N24" s="163"/>
      <c r="O24" s="163"/>
      <c r="P24" s="148"/>
      <c r="Q24" s="150"/>
      <c r="R24" s="125"/>
      <c r="S24" s="161"/>
      <c r="T24" s="163"/>
      <c r="U24" s="163"/>
      <c r="V24" s="212"/>
      <c r="W24" s="143"/>
      <c r="X24" s="125"/>
      <c r="Y24" s="161"/>
      <c r="Z24" s="163"/>
      <c r="AA24" s="163"/>
      <c r="AB24" s="125"/>
    </row>
    <row r="25" spans="1:28">
      <c r="A25" s="130">
        <v>13</v>
      </c>
      <c r="B25" s="125"/>
      <c r="C25" s="141"/>
      <c r="D25" s="133"/>
      <c r="E25" s="161"/>
      <c r="F25" s="133"/>
      <c r="G25" s="133"/>
      <c r="H25" s="188"/>
      <c r="I25" s="133"/>
      <c r="J25" s="125"/>
      <c r="K25" s="141"/>
      <c r="L25" s="133"/>
      <c r="M25" s="161"/>
      <c r="N25" s="133"/>
      <c r="O25" s="133"/>
      <c r="P25" s="148"/>
      <c r="Q25" s="133"/>
      <c r="R25" s="125"/>
      <c r="S25" s="161"/>
      <c r="T25" s="133"/>
      <c r="U25" s="133"/>
      <c r="V25" s="212"/>
      <c r="W25" s="133"/>
      <c r="X25" s="125"/>
      <c r="Y25" s="161"/>
      <c r="Z25" s="133"/>
      <c r="AA25" s="133"/>
      <c r="AB25" s="125"/>
    </row>
    <row r="26" spans="1:28">
      <c r="A26" s="130">
        <v>14</v>
      </c>
      <c r="B26" s="125"/>
      <c r="C26" s="141"/>
      <c r="D26" s="142"/>
      <c r="E26" s="161"/>
      <c r="F26" s="163"/>
      <c r="G26" s="163"/>
      <c r="H26" s="188"/>
      <c r="I26" s="143"/>
      <c r="J26" s="125"/>
      <c r="K26" s="141"/>
      <c r="L26" s="142"/>
      <c r="M26" s="161"/>
      <c r="N26" s="163"/>
      <c r="O26" s="163"/>
      <c r="P26" s="148"/>
      <c r="Q26" s="150"/>
      <c r="R26" s="125"/>
      <c r="S26" s="161"/>
      <c r="T26" s="163"/>
      <c r="U26" s="163"/>
      <c r="V26" s="212"/>
      <c r="W26" s="143"/>
      <c r="X26" s="125"/>
      <c r="Y26" s="161"/>
      <c r="Z26" s="163"/>
      <c r="AA26" s="163"/>
      <c r="AB26" s="125"/>
    </row>
    <row r="27" spans="1:28">
      <c r="A27" s="130">
        <v>15</v>
      </c>
      <c r="B27" s="125"/>
      <c r="C27" s="141"/>
      <c r="D27" s="133"/>
      <c r="E27" s="161"/>
      <c r="F27" s="133"/>
      <c r="G27" s="133"/>
      <c r="H27" s="188"/>
      <c r="I27" s="133"/>
      <c r="J27" s="125"/>
      <c r="K27" s="141"/>
      <c r="L27" s="133"/>
      <c r="M27" s="161"/>
      <c r="N27" s="133"/>
      <c r="O27" s="133"/>
      <c r="P27" s="148"/>
      <c r="Q27" s="133"/>
      <c r="R27" s="125"/>
      <c r="S27" s="161"/>
      <c r="T27" s="133"/>
      <c r="U27" s="133"/>
      <c r="V27" s="212"/>
      <c r="W27" s="133"/>
      <c r="X27" s="125"/>
      <c r="Y27" s="161"/>
      <c r="Z27" s="133"/>
      <c r="AA27" s="133"/>
      <c r="AB27" s="125"/>
    </row>
    <row r="28" spans="1:28">
      <c r="A28" s="130">
        <v>16</v>
      </c>
      <c r="B28" s="125"/>
      <c r="C28" s="141"/>
      <c r="D28" s="142"/>
      <c r="E28" s="161"/>
      <c r="F28" s="163"/>
      <c r="G28" s="163"/>
      <c r="H28" s="188"/>
      <c r="I28" s="143"/>
      <c r="J28" s="125"/>
      <c r="K28" s="141"/>
      <c r="L28" s="142"/>
      <c r="M28" s="161"/>
      <c r="N28" s="163"/>
      <c r="O28" s="163"/>
      <c r="P28" s="148"/>
      <c r="Q28" s="150"/>
      <c r="R28" s="125"/>
      <c r="S28" s="161"/>
      <c r="T28" s="163"/>
      <c r="U28" s="163"/>
      <c r="V28" s="212"/>
      <c r="W28" s="143"/>
      <c r="X28" s="125"/>
      <c r="Y28" s="161"/>
      <c r="Z28" s="163"/>
      <c r="AA28" s="163"/>
      <c r="AB28" s="125"/>
    </row>
    <row r="29" spans="1:28">
      <c r="A29" s="130">
        <v>17</v>
      </c>
      <c r="B29" s="125"/>
      <c r="C29" s="141"/>
      <c r="D29" s="133"/>
      <c r="E29" s="161"/>
      <c r="F29" s="133"/>
      <c r="G29" s="133"/>
      <c r="H29" s="188"/>
      <c r="I29" s="133"/>
      <c r="J29" s="125"/>
      <c r="K29" s="141"/>
      <c r="L29" s="133"/>
      <c r="M29" s="161"/>
      <c r="N29" s="133"/>
      <c r="O29" s="133"/>
      <c r="P29" s="148"/>
      <c r="Q29" s="133"/>
      <c r="R29" s="125"/>
      <c r="S29" s="161"/>
      <c r="T29" s="133"/>
      <c r="U29" s="133"/>
      <c r="V29" s="212"/>
      <c r="W29" s="133"/>
      <c r="X29" s="125"/>
      <c r="Y29" s="161"/>
      <c r="Z29" s="133"/>
      <c r="AA29" s="133"/>
      <c r="AB29" s="125"/>
    </row>
    <row r="30" spans="1:28">
      <c r="A30" s="130">
        <v>18</v>
      </c>
      <c r="B30" s="125"/>
      <c r="C30" s="141"/>
      <c r="D30" s="142"/>
      <c r="E30" s="161"/>
      <c r="F30" s="163"/>
      <c r="G30" s="163"/>
      <c r="H30" s="188"/>
      <c r="I30" s="143"/>
      <c r="J30" s="125"/>
      <c r="K30" s="141"/>
      <c r="L30" s="142"/>
      <c r="M30" s="161"/>
      <c r="N30" s="163"/>
      <c r="O30" s="163"/>
      <c r="P30" s="148"/>
      <c r="Q30" s="150"/>
      <c r="R30" s="125"/>
      <c r="S30" s="161"/>
      <c r="T30" s="163"/>
      <c r="U30" s="163"/>
      <c r="V30" s="212"/>
      <c r="W30" s="143"/>
      <c r="X30" s="125"/>
      <c r="Y30" s="161"/>
      <c r="Z30" s="163"/>
      <c r="AA30" s="163"/>
      <c r="AB30" s="125"/>
    </row>
    <row r="31" spans="1:28">
      <c r="A31" s="130">
        <v>19</v>
      </c>
      <c r="B31" s="125"/>
      <c r="C31" s="141"/>
      <c r="D31" s="133"/>
      <c r="E31" s="161"/>
      <c r="F31" s="133"/>
      <c r="G31" s="133"/>
      <c r="H31" s="188"/>
      <c r="I31" s="133"/>
      <c r="J31" s="125"/>
      <c r="K31" s="141"/>
      <c r="L31" s="133"/>
      <c r="M31" s="161"/>
      <c r="N31" s="133"/>
      <c r="O31" s="133"/>
      <c r="P31" s="148"/>
      <c r="Q31" s="133"/>
      <c r="R31" s="125"/>
      <c r="S31" s="161"/>
      <c r="T31" s="133"/>
      <c r="U31" s="133"/>
      <c r="V31" s="212"/>
      <c r="W31" s="133"/>
      <c r="X31" s="125"/>
      <c r="Y31" s="161"/>
      <c r="Z31" s="133"/>
      <c r="AA31" s="133"/>
      <c r="AB31" s="125"/>
    </row>
    <row r="32" spans="1:28">
      <c r="A32" s="130">
        <v>20</v>
      </c>
      <c r="B32" s="125"/>
      <c r="C32" s="141"/>
      <c r="D32" s="142"/>
      <c r="E32" s="161"/>
      <c r="F32" s="163"/>
      <c r="G32" s="163"/>
      <c r="H32" s="188"/>
      <c r="I32" s="143"/>
      <c r="J32" s="125"/>
      <c r="K32" s="141"/>
      <c r="L32" s="142"/>
      <c r="M32" s="161"/>
      <c r="N32" s="163"/>
      <c r="O32" s="163"/>
      <c r="P32" s="148"/>
      <c r="Q32" s="150"/>
      <c r="R32" s="125"/>
      <c r="S32" s="161"/>
      <c r="T32" s="163"/>
      <c r="U32" s="163"/>
      <c r="V32" s="212"/>
      <c r="W32" s="143"/>
      <c r="X32" s="125"/>
      <c r="Y32" s="161"/>
      <c r="Z32" s="163"/>
      <c r="AA32" s="163"/>
      <c r="AB32" s="125"/>
    </row>
    <row r="33" spans="1:28">
      <c r="A33" s="130">
        <v>21</v>
      </c>
      <c r="B33" s="125"/>
      <c r="C33" s="141"/>
      <c r="D33" s="133"/>
      <c r="E33" s="161"/>
      <c r="F33" s="133"/>
      <c r="G33" s="133"/>
      <c r="H33" s="188"/>
      <c r="I33" s="133"/>
      <c r="J33" s="125"/>
      <c r="K33" s="141"/>
      <c r="L33" s="133"/>
      <c r="M33" s="161"/>
      <c r="N33" s="133"/>
      <c r="O33" s="133"/>
      <c r="P33" s="148"/>
      <c r="Q33" s="133"/>
      <c r="R33" s="125"/>
      <c r="S33" s="161"/>
      <c r="T33" s="133"/>
      <c r="U33" s="133"/>
      <c r="V33" s="212"/>
      <c r="W33" s="133"/>
      <c r="X33" s="125"/>
      <c r="Y33" s="161"/>
      <c r="Z33" s="133"/>
      <c r="AA33" s="133"/>
      <c r="AB33" s="125"/>
    </row>
    <row r="34" spans="1:28">
      <c r="A34" s="130">
        <v>22</v>
      </c>
      <c r="B34" s="125"/>
      <c r="C34" s="141"/>
      <c r="D34" s="142"/>
      <c r="E34" s="161"/>
      <c r="F34" s="163"/>
      <c r="G34" s="163"/>
      <c r="H34" s="188"/>
      <c r="I34" s="143"/>
      <c r="J34" s="125"/>
      <c r="K34" s="141"/>
      <c r="L34" s="142"/>
      <c r="M34" s="161"/>
      <c r="N34" s="163"/>
      <c r="O34" s="163"/>
      <c r="P34" s="148"/>
      <c r="Q34" s="150"/>
      <c r="R34" s="125"/>
      <c r="S34" s="161"/>
      <c r="T34" s="163"/>
      <c r="U34" s="163"/>
      <c r="V34" s="212"/>
      <c r="W34" s="143"/>
      <c r="X34" s="125"/>
      <c r="Y34" s="161"/>
      <c r="Z34" s="163"/>
      <c r="AA34" s="163"/>
      <c r="AB34" s="125"/>
    </row>
    <row r="35" spans="1:28">
      <c r="A35" s="130">
        <v>23</v>
      </c>
      <c r="B35" s="125"/>
      <c r="C35" s="141"/>
      <c r="D35" s="133"/>
      <c r="E35" s="161"/>
      <c r="F35" s="133"/>
      <c r="G35" s="133"/>
      <c r="H35" s="188"/>
      <c r="I35" s="133"/>
      <c r="J35" s="125"/>
      <c r="K35" s="141"/>
      <c r="L35" s="133"/>
      <c r="M35" s="161"/>
      <c r="N35" s="133"/>
      <c r="O35" s="133"/>
      <c r="P35" s="148"/>
      <c r="Q35" s="133"/>
      <c r="R35" s="125"/>
      <c r="S35" s="161"/>
      <c r="T35" s="133"/>
      <c r="U35" s="133"/>
      <c r="V35" s="212"/>
      <c r="W35" s="133"/>
      <c r="X35" s="125"/>
      <c r="Y35" s="161"/>
      <c r="Z35" s="133"/>
      <c r="AA35" s="133"/>
      <c r="AB35" s="125"/>
    </row>
    <row r="36" spans="1:28">
      <c r="A36" s="130">
        <v>24</v>
      </c>
      <c r="B36" s="125"/>
      <c r="C36" s="141"/>
      <c r="D36" s="142"/>
      <c r="E36" s="161"/>
      <c r="F36" s="163"/>
      <c r="G36" s="163"/>
      <c r="H36" s="188"/>
      <c r="I36" s="143"/>
      <c r="J36" s="125"/>
      <c r="K36" s="141"/>
      <c r="L36" s="142"/>
      <c r="M36" s="161"/>
      <c r="N36" s="163"/>
      <c r="O36" s="163"/>
      <c r="P36" s="148"/>
      <c r="Q36" s="150"/>
      <c r="R36" s="125"/>
      <c r="S36" s="161"/>
      <c r="T36" s="163"/>
      <c r="U36" s="163"/>
      <c r="V36" s="212"/>
      <c r="W36" s="143"/>
      <c r="X36" s="125"/>
      <c r="Y36" s="161"/>
      <c r="Z36" s="163"/>
      <c r="AA36" s="163"/>
      <c r="AB36" s="125"/>
    </row>
    <row r="37" spans="1:28">
      <c r="A37" s="130">
        <v>25</v>
      </c>
      <c r="B37" s="125"/>
      <c r="C37" s="141"/>
      <c r="D37" s="133"/>
      <c r="E37" s="161"/>
      <c r="F37" s="133"/>
      <c r="G37" s="133"/>
      <c r="H37" s="188"/>
      <c r="I37" s="133"/>
      <c r="J37" s="125"/>
      <c r="K37" s="141"/>
      <c r="L37" s="133"/>
      <c r="M37" s="161"/>
      <c r="N37" s="133"/>
      <c r="O37" s="133"/>
      <c r="P37" s="148"/>
      <c r="Q37" s="133"/>
      <c r="R37" s="125"/>
      <c r="S37" s="172"/>
      <c r="T37" s="173"/>
      <c r="U37" s="173"/>
      <c r="V37" s="212"/>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268" t="s">
        <v>507</v>
      </c>
      <c r="T38" s="268"/>
      <c r="U38" s="268" t="s">
        <v>508</v>
      </c>
      <c r="V38" s="268"/>
      <c r="W38" s="268"/>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mergeCells count="19">
    <mergeCell ref="K11:Q11"/>
    <mergeCell ref="S11:W11"/>
    <mergeCell ref="Y11:AA11"/>
    <mergeCell ref="F6:G6"/>
    <mergeCell ref="N6:O6"/>
    <mergeCell ref="C7:I7"/>
    <mergeCell ref="T6:U6"/>
    <mergeCell ref="K7:Q7"/>
    <mergeCell ref="S7:W7"/>
    <mergeCell ref="Y7:AA7"/>
    <mergeCell ref="H11:I11"/>
    <mergeCell ref="C4:I4"/>
    <mergeCell ref="C5:I5"/>
    <mergeCell ref="S5:W5"/>
    <mergeCell ref="Y5:AA5"/>
    <mergeCell ref="Y4:AA4"/>
    <mergeCell ref="S4:W4"/>
    <mergeCell ref="K4:Q4"/>
    <mergeCell ref="K5:Q5"/>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U58"/>
  <sheetViews>
    <sheetView zoomScale="90" zoomScaleNormal="90" workbookViewId="0"/>
  </sheetViews>
  <sheetFormatPr baseColWidth="10" defaultRowHeight="15.75"/>
  <cols>
    <col min="1" max="1" width="13.28515625" style="127" bestFit="1" customWidth="1"/>
    <col min="2" max="2" width="1.7109375" style="127" customWidth="1"/>
    <col min="3" max="3" width="11.7109375" style="127" customWidth="1"/>
    <col min="4" max="4" width="11.5703125" style="127" bestFit="1" customWidth="1"/>
    <col min="5" max="5" width="14" style="127" bestFit="1" customWidth="1"/>
    <col min="6" max="6" width="1.7109375" style="127" customWidth="1"/>
    <col min="7" max="11" width="11.7109375" style="127" customWidth="1"/>
    <col min="12" max="12" width="9" style="127" bestFit="1" customWidth="1"/>
    <col min="13" max="17" width="11.7109375" style="127" customWidth="1"/>
    <col min="18" max="18" width="9.5703125" style="127" customWidth="1"/>
    <col min="19" max="19" width="10.85546875" style="127" customWidth="1"/>
    <col min="20" max="20" width="1.7109375" style="127" customWidth="1"/>
    <col min="21" max="23" width="11.7109375" style="127" customWidth="1"/>
    <col min="24" max="24" width="1.7109375" style="127" customWidth="1"/>
    <col min="25" max="27" width="11.7109375" style="127" customWidth="1"/>
    <col min="28" max="28" width="1.7109375" style="127" customWidth="1"/>
    <col min="29" max="31" width="11.7109375" style="127" customWidth="1"/>
    <col min="32" max="32" width="1.7109375" style="127" customWidth="1"/>
    <col min="33" max="35" width="11.7109375" style="127" customWidth="1"/>
    <col min="36" max="36" width="1.7109375" style="127" customWidth="1"/>
    <col min="37" max="46" width="11.42578125" style="151"/>
    <col min="47" max="16384" width="11.42578125" style="127"/>
  </cols>
  <sheetData>
    <row r="1" spans="1:47">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K1" s="127"/>
      <c r="AL1" s="127"/>
      <c r="AM1" s="127"/>
      <c r="AN1" s="127"/>
    </row>
    <row r="2" spans="1:47" ht="21">
      <c r="A2" s="13" t="s">
        <v>444</v>
      </c>
      <c r="B2" s="125"/>
      <c r="C2" s="258" t="s">
        <v>709</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c r="AK2" s="127"/>
      <c r="AL2" s="127"/>
      <c r="AM2" s="127"/>
      <c r="AN2" s="127"/>
    </row>
    <row r="3" spans="1:47" ht="16.5" thickBot="1">
      <c r="A3" s="18" t="s">
        <v>447</v>
      </c>
      <c r="B3" s="125"/>
      <c r="C3" s="189"/>
      <c r="D3" s="190"/>
      <c r="E3" s="190"/>
      <c r="F3" s="125"/>
      <c r="G3" s="189"/>
      <c r="H3" s="189"/>
      <c r="I3" s="189"/>
      <c r="J3" s="189"/>
      <c r="K3" s="189"/>
      <c r="L3" s="125"/>
      <c r="M3" s="189"/>
      <c r="N3" s="189"/>
      <c r="O3" s="189"/>
      <c r="P3" s="189"/>
      <c r="Q3" s="189"/>
      <c r="R3" s="189"/>
      <c r="S3" s="189"/>
      <c r="T3" s="125"/>
      <c r="U3" s="189"/>
      <c r="V3" s="190"/>
      <c r="W3" s="190"/>
      <c r="X3" s="125"/>
      <c r="Y3" s="125"/>
      <c r="Z3" s="125"/>
      <c r="AA3" s="125"/>
      <c r="AB3" s="125"/>
      <c r="AK3" s="127"/>
      <c r="AL3" s="127"/>
      <c r="AM3" s="127"/>
      <c r="AN3" s="127"/>
    </row>
    <row r="4" spans="1:47" ht="16.5" thickBot="1">
      <c r="A4" s="35" t="s">
        <v>446</v>
      </c>
      <c r="B4" s="125"/>
      <c r="C4" s="1648" t="s">
        <v>604</v>
      </c>
      <c r="D4" s="1646"/>
      <c r="E4" s="1647"/>
      <c r="F4" s="125"/>
      <c r="G4" s="1648" t="s">
        <v>536</v>
      </c>
      <c r="H4" s="1646"/>
      <c r="I4" s="1646"/>
      <c r="J4" s="1646"/>
      <c r="K4" s="1647"/>
      <c r="L4" s="125"/>
      <c r="M4" s="1648" t="s">
        <v>536</v>
      </c>
      <c r="N4" s="1649"/>
      <c r="O4" s="1649"/>
      <c r="P4" s="1649"/>
      <c r="Q4" s="1649"/>
      <c r="R4" s="1649"/>
      <c r="S4" s="1650"/>
      <c r="T4" s="125"/>
      <c r="U4" s="1648" t="s">
        <v>536</v>
      </c>
      <c r="V4" s="1646"/>
      <c r="W4" s="1647"/>
      <c r="X4" s="125"/>
      <c r="Y4" s="1648" t="s">
        <v>536</v>
      </c>
      <c r="Z4" s="1646"/>
      <c r="AA4" s="1647"/>
      <c r="AB4" s="125"/>
      <c r="AU4" s="151"/>
    </row>
    <row r="5" spans="1:47" ht="16.5" thickBot="1">
      <c r="A5" s="135" t="s">
        <v>445</v>
      </c>
      <c r="B5" s="125"/>
      <c r="C5" s="1648" t="s">
        <v>603</v>
      </c>
      <c r="D5" s="1646"/>
      <c r="E5" s="1647"/>
      <c r="F5" s="125"/>
      <c r="G5" s="1648" t="s">
        <v>504</v>
      </c>
      <c r="H5" s="1646"/>
      <c r="I5" s="1646"/>
      <c r="J5" s="1646"/>
      <c r="K5" s="1647"/>
      <c r="L5" s="125"/>
      <c r="M5" s="1648" t="s">
        <v>505</v>
      </c>
      <c r="N5" s="1649"/>
      <c r="O5" s="1649"/>
      <c r="P5" s="1649"/>
      <c r="Q5" s="1649"/>
      <c r="R5" s="1649"/>
      <c r="S5" s="1650"/>
      <c r="T5" s="125"/>
      <c r="U5" s="1648" t="s">
        <v>516</v>
      </c>
      <c r="V5" s="1646"/>
      <c r="W5" s="1647"/>
      <c r="X5" s="125"/>
      <c r="Y5" s="1645" t="s">
        <v>515</v>
      </c>
      <c r="Z5" s="1646"/>
      <c r="AA5" s="1647"/>
      <c r="AB5" s="125"/>
      <c r="AU5" s="151"/>
    </row>
    <row r="6" spans="1:47" ht="16.5" thickBot="1">
      <c r="A6" s="125"/>
      <c r="B6" s="125"/>
      <c r="C6" s="1648" t="s">
        <v>591</v>
      </c>
      <c r="D6" s="1646"/>
      <c r="E6" s="1647"/>
      <c r="F6" s="125"/>
      <c r="G6" s="125"/>
      <c r="H6" s="247">
        <v>1</v>
      </c>
      <c r="I6" s="248">
        <v>2</v>
      </c>
      <c r="J6" s="248">
        <v>3</v>
      </c>
      <c r="K6" s="248">
        <v>4</v>
      </c>
      <c r="L6" s="178" t="s">
        <v>503</v>
      </c>
      <c r="M6" s="125"/>
      <c r="N6" s="1648" t="s">
        <v>543</v>
      </c>
      <c r="O6" s="1647"/>
      <c r="P6" s="1648" t="s">
        <v>544</v>
      </c>
      <c r="Q6" s="1647"/>
      <c r="R6" s="125"/>
      <c r="S6" s="245" t="s">
        <v>774</v>
      </c>
      <c r="T6" s="125"/>
      <c r="U6" s="1648" t="s">
        <v>780</v>
      </c>
      <c r="V6" s="1646"/>
      <c r="W6" s="1647"/>
      <c r="X6" s="125"/>
      <c r="Y6" s="125"/>
      <c r="Z6" s="125"/>
      <c r="AA6" s="125"/>
      <c r="AB6" s="125"/>
      <c r="AU6" s="151"/>
    </row>
    <row r="7" spans="1:47" ht="16.5" thickBot="1">
      <c r="A7" s="125"/>
      <c r="B7" s="125"/>
      <c r="C7" s="158" t="s">
        <v>64</v>
      </c>
      <c r="D7" s="146" t="s">
        <v>426</v>
      </c>
      <c r="E7" s="146" t="s">
        <v>427</v>
      </c>
      <c r="F7" s="125"/>
      <c r="G7" s="1638" t="s">
        <v>847</v>
      </c>
      <c r="H7" s="1639"/>
      <c r="I7" s="1639"/>
      <c r="J7" s="1639"/>
      <c r="K7" s="1639"/>
      <c r="L7" s="178" t="s">
        <v>440</v>
      </c>
      <c r="M7" s="1671" t="s">
        <v>848</v>
      </c>
      <c r="N7" s="1672"/>
      <c r="O7" s="1672"/>
      <c r="P7" s="1672"/>
      <c r="Q7" s="1672"/>
      <c r="R7" s="1672"/>
      <c r="S7" s="1672"/>
      <c r="T7" s="125"/>
      <c r="U7" s="1638" t="s">
        <v>843</v>
      </c>
      <c r="V7" s="1639"/>
      <c r="W7" s="1639"/>
      <c r="X7" s="125"/>
      <c r="Y7" s="1638" t="s">
        <v>857</v>
      </c>
      <c r="Z7" s="1639"/>
      <c r="AA7" s="1639"/>
      <c r="AB7" s="125"/>
      <c r="AU7" s="151"/>
    </row>
    <row r="8" spans="1:47" ht="16.5" thickBot="1">
      <c r="A8" s="146" t="s">
        <v>645</v>
      </c>
      <c r="B8" s="125"/>
      <c r="C8" s="158" t="s">
        <v>636</v>
      </c>
      <c r="D8" s="182" t="s">
        <v>646</v>
      </c>
      <c r="E8" s="186" t="s">
        <v>647</v>
      </c>
      <c r="F8" s="125"/>
      <c r="G8" s="146" t="s">
        <v>636</v>
      </c>
      <c r="H8" s="146" t="s">
        <v>426</v>
      </c>
      <c r="I8" s="146" t="s">
        <v>426</v>
      </c>
      <c r="J8" s="146" t="s">
        <v>426</v>
      </c>
      <c r="K8" s="146" t="s">
        <v>426</v>
      </c>
      <c r="L8" s="179"/>
      <c r="M8" s="146" t="s">
        <v>636</v>
      </c>
      <c r="N8" s="146" t="s">
        <v>426</v>
      </c>
      <c r="O8" s="146" t="s">
        <v>427</v>
      </c>
      <c r="P8" s="146" t="s">
        <v>426</v>
      </c>
      <c r="Q8" s="146" t="s">
        <v>427</v>
      </c>
      <c r="R8" s="111"/>
      <c r="S8" s="111"/>
      <c r="T8" s="125"/>
      <c r="U8" s="146" t="s">
        <v>636</v>
      </c>
      <c r="V8" s="146" t="s">
        <v>426</v>
      </c>
      <c r="W8" s="146" t="s">
        <v>427</v>
      </c>
      <c r="X8" s="125"/>
      <c r="Y8" s="146" t="s">
        <v>636</v>
      </c>
      <c r="Z8" s="146" t="s">
        <v>426</v>
      </c>
      <c r="AA8" s="146" t="s">
        <v>427</v>
      </c>
      <c r="AB8" s="125"/>
    </row>
    <row r="9" spans="1:47" s="129" customFormat="1" ht="16.5" thickBot="1">
      <c r="A9" s="216" t="s">
        <v>644</v>
      </c>
      <c r="B9" s="126"/>
      <c r="C9" s="126"/>
      <c r="D9" s="236">
        <v>1</v>
      </c>
      <c r="E9" s="236">
        <v>1</v>
      </c>
      <c r="F9" s="126"/>
      <c r="G9" s="126"/>
      <c r="H9" s="236">
        <v>1</v>
      </c>
      <c r="I9" s="236">
        <v>1</v>
      </c>
      <c r="J9" s="236">
        <v>1</v>
      </c>
      <c r="K9" s="236">
        <v>1</v>
      </c>
      <c r="L9" s="178"/>
      <c r="M9" s="126"/>
      <c r="N9" s="236">
        <v>1</v>
      </c>
      <c r="O9" s="236">
        <v>1</v>
      </c>
      <c r="P9" s="236">
        <v>1</v>
      </c>
      <c r="Q9" s="236">
        <v>1</v>
      </c>
      <c r="R9" s="1665" t="s">
        <v>785</v>
      </c>
      <c r="S9" s="1670"/>
      <c r="T9" s="126"/>
      <c r="U9" s="126"/>
      <c r="V9" s="236">
        <v>1</v>
      </c>
      <c r="W9" s="236">
        <v>1</v>
      </c>
      <c r="X9" s="126"/>
      <c r="Y9" s="126"/>
      <c r="Z9" s="236">
        <v>1</v>
      </c>
      <c r="AA9" s="236">
        <v>1</v>
      </c>
      <c r="AB9" s="126"/>
      <c r="AK9" s="152"/>
      <c r="AL9" s="152"/>
      <c r="AM9" s="152"/>
      <c r="AN9" s="152"/>
      <c r="AO9" s="152"/>
      <c r="AP9" s="152"/>
      <c r="AQ9" s="152"/>
      <c r="AR9" s="152"/>
      <c r="AS9" s="152"/>
      <c r="AT9" s="152"/>
    </row>
    <row r="10" spans="1:47" s="228" customFormat="1">
      <c r="A10" s="220" t="s">
        <v>642</v>
      </c>
      <c r="B10" s="221"/>
      <c r="C10" s="221"/>
      <c r="D10" s="222">
        <f>COUNT(D13:D37)</f>
        <v>3</v>
      </c>
      <c r="E10" s="222">
        <f>COUNT(E13:E37)</f>
        <v>3</v>
      </c>
      <c r="F10" s="221"/>
      <c r="G10" s="221"/>
      <c r="H10" s="222">
        <f>COUNT(H13:H37)</f>
        <v>3</v>
      </c>
      <c r="I10" s="222">
        <f>COUNT(I13:I37)</f>
        <v>3</v>
      </c>
      <c r="J10" s="222">
        <f>COUNT(J13:J37)</f>
        <v>3</v>
      </c>
      <c r="K10" s="222">
        <f>COUNT(K13:K37)</f>
        <v>3</v>
      </c>
      <c r="L10" s="229"/>
      <c r="M10" s="221"/>
      <c r="N10" s="222">
        <f>COUNT(N13:N37)</f>
        <v>3</v>
      </c>
      <c r="O10" s="222">
        <f>COUNT(O13:O37)</f>
        <v>3</v>
      </c>
      <c r="P10" s="222">
        <f>COUNT(P13:P37)</f>
        <v>3</v>
      </c>
      <c r="Q10" s="222">
        <f>COUNT(Q13:Q37)</f>
        <v>3</v>
      </c>
      <c r="R10" s="222"/>
      <c r="S10" s="222"/>
      <c r="T10" s="221"/>
      <c r="U10" s="221"/>
      <c r="V10" s="222">
        <f>COUNT(V13:V37)</f>
        <v>1</v>
      </c>
      <c r="W10" s="222">
        <f>COUNT(W13:W37)</f>
        <v>1</v>
      </c>
      <c r="X10" s="221"/>
      <c r="Y10" s="221"/>
      <c r="Z10" s="222">
        <f>COUNT(Z13:Z37)</f>
        <v>3</v>
      </c>
      <c r="AA10" s="222">
        <f>COUNT(AA13:AA37)</f>
        <v>3</v>
      </c>
      <c r="AB10" s="221"/>
      <c r="AK10" s="227"/>
      <c r="AL10" s="227"/>
      <c r="AM10" s="227"/>
      <c r="AN10" s="227"/>
      <c r="AO10" s="227"/>
      <c r="AP10" s="227"/>
      <c r="AQ10" s="227"/>
      <c r="AR10" s="227"/>
      <c r="AS10" s="227"/>
      <c r="AT10" s="227"/>
    </row>
    <row r="11" spans="1:47" s="234" customFormat="1">
      <c r="A11" s="223" t="s">
        <v>643</v>
      </c>
      <c r="B11" s="235"/>
      <c r="C11" s="1642" t="s">
        <v>935</v>
      </c>
      <c r="D11" s="1642"/>
      <c r="E11" s="1642"/>
      <c r="F11" s="235"/>
      <c r="G11" s="1642" t="s">
        <v>936</v>
      </c>
      <c r="H11" s="1642"/>
      <c r="I11" s="1642"/>
      <c r="J11" s="1642"/>
      <c r="K11" s="1642"/>
      <c r="L11" s="229"/>
      <c r="M11" s="1642" t="s">
        <v>937</v>
      </c>
      <c r="N11" s="1642"/>
      <c r="O11" s="1642"/>
      <c r="P11" s="1642"/>
      <c r="Q11" s="1642"/>
      <c r="R11" s="231"/>
      <c r="S11" s="231"/>
      <c r="T11" s="235"/>
      <c r="U11" s="1642" t="s">
        <v>938</v>
      </c>
      <c r="V11" s="1642"/>
      <c r="W11" s="1642"/>
      <c r="X11" s="235"/>
      <c r="Y11" s="1642" t="s">
        <v>939</v>
      </c>
      <c r="Z11" s="1642"/>
      <c r="AA11" s="1642"/>
      <c r="AB11" s="235"/>
      <c r="AK11" s="233"/>
      <c r="AL11" s="233"/>
      <c r="AM11" s="233"/>
      <c r="AN11" s="233"/>
      <c r="AO11" s="233"/>
      <c r="AP11" s="233"/>
      <c r="AQ11" s="233"/>
      <c r="AR11" s="233"/>
      <c r="AS11" s="233"/>
      <c r="AT11" s="233"/>
    </row>
    <row r="12" spans="1:47">
      <c r="A12" s="130" t="s">
        <v>317</v>
      </c>
      <c r="B12" s="125"/>
      <c r="C12" s="131" t="s">
        <v>438</v>
      </c>
      <c r="D12" s="131" t="s">
        <v>433</v>
      </c>
      <c r="E12" s="130" t="s">
        <v>4</v>
      </c>
      <c r="F12" s="125"/>
      <c r="G12" s="131" t="s">
        <v>438</v>
      </c>
      <c r="H12" s="130" t="s">
        <v>4</v>
      </c>
      <c r="I12" s="130" t="s">
        <v>4</v>
      </c>
      <c r="J12" s="130" t="s">
        <v>4</v>
      </c>
      <c r="K12" s="130" t="s">
        <v>4</v>
      </c>
      <c r="L12" s="179"/>
      <c r="M12" s="131" t="s">
        <v>438</v>
      </c>
      <c r="N12" s="130" t="s">
        <v>0</v>
      </c>
      <c r="O12" s="130" t="s">
        <v>0</v>
      </c>
      <c r="P12" s="130" t="s">
        <v>0</v>
      </c>
      <c r="Q12" s="130" t="s">
        <v>0</v>
      </c>
      <c r="R12" s="111"/>
      <c r="S12" s="111"/>
      <c r="T12" s="125"/>
      <c r="U12" s="131" t="s">
        <v>438</v>
      </c>
      <c r="V12" s="130" t="s">
        <v>3</v>
      </c>
      <c r="W12" s="130" t="s">
        <v>3</v>
      </c>
      <c r="X12" s="125"/>
      <c r="Y12" s="131" t="s">
        <v>438</v>
      </c>
      <c r="Z12" s="130" t="s">
        <v>3</v>
      </c>
      <c r="AA12" s="130" t="s">
        <v>3</v>
      </c>
      <c r="AB12" s="125"/>
    </row>
    <row r="13" spans="1:47">
      <c r="A13" s="130">
        <v>1</v>
      </c>
      <c r="B13" s="125"/>
      <c r="C13" s="172">
        <v>0</v>
      </c>
      <c r="D13" s="183">
        <v>60</v>
      </c>
      <c r="E13" s="173">
        <v>6</v>
      </c>
      <c r="F13" s="125"/>
      <c r="G13" s="106">
        <v>0</v>
      </c>
      <c r="H13" s="273">
        <v>100</v>
      </c>
      <c r="I13" s="273">
        <v>0</v>
      </c>
      <c r="J13" s="273">
        <v>0</v>
      </c>
      <c r="K13" s="273">
        <v>0</v>
      </c>
      <c r="L13" s="180">
        <f t="shared" ref="L13:L15" si="0">SUM(H13:K13)</f>
        <v>100</v>
      </c>
      <c r="M13" s="161">
        <v>0</v>
      </c>
      <c r="N13" s="133">
        <v>1</v>
      </c>
      <c r="O13" s="133">
        <v>0</v>
      </c>
      <c r="P13" s="133">
        <v>1</v>
      </c>
      <c r="Q13" s="133">
        <v>0</v>
      </c>
      <c r="R13" s="272">
        <f>[3]SPIKELET_Geom!H13</f>
        <v>1</v>
      </c>
      <c r="S13" s="272">
        <f>[3]SPIKELET_Geom!I13</f>
        <v>0.5</v>
      </c>
      <c r="T13" s="125"/>
      <c r="U13" s="161">
        <v>0</v>
      </c>
      <c r="V13" s="133">
        <v>137</v>
      </c>
      <c r="W13" s="133">
        <v>1.37</v>
      </c>
      <c r="X13" s="125"/>
      <c r="Y13" s="161">
        <v>0</v>
      </c>
      <c r="Z13" s="133">
        <v>30</v>
      </c>
      <c r="AA13" s="133">
        <v>0</v>
      </c>
      <c r="AB13" s="125"/>
    </row>
    <row r="14" spans="1:47">
      <c r="A14" s="130">
        <v>2</v>
      </c>
      <c r="B14" s="125"/>
      <c r="C14" s="172">
        <v>70</v>
      </c>
      <c r="D14" s="184">
        <v>20</v>
      </c>
      <c r="E14" s="185">
        <v>6</v>
      </c>
      <c r="F14" s="125"/>
      <c r="G14" s="106">
        <v>70</v>
      </c>
      <c r="H14" s="274">
        <v>50</v>
      </c>
      <c r="I14" s="274">
        <v>50</v>
      </c>
      <c r="J14" s="274">
        <v>0</v>
      </c>
      <c r="K14" s="274">
        <v>0</v>
      </c>
      <c r="L14" s="180">
        <f t="shared" si="0"/>
        <v>100</v>
      </c>
      <c r="M14" s="161">
        <v>70</v>
      </c>
      <c r="N14" s="163">
        <v>2</v>
      </c>
      <c r="O14" s="163">
        <v>0.2</v>
      </c>
      <c r="P14" s="163">
        <v>1</v>
      </c>
      <c r="Q14" s="163">
        <v>0.1</v>
      </c>
      <c r="R14" s="272">
        <f>[3]SPIKELET_Geom!H14</f>
        <v>13</v>
      </c>
      <c r="S14" s="272">
        <f>[3]SPIKELET_Geom!I14</f>
        <v>0.8</v>
      </c>
      <c r="T14" s="125"/>
      <c r="U14" s="161"/>
      <c r="V14" s="163"/>
      <c r="W14" s="163"/>
      <c r="X14" s="125"/>
      <c r="Y14" s="161">
        <v>70</v>
      </c>
      <c r="Z14" s="163">
        <v>60</v>
      </c>
      <c r="AA14" s="163">
        <v>6</v>
      </c>
      <c r="AB14" s="125"/>
    </row>
    <row r="15" spans="1:47">
      <c r="A15" s="130">
        <v>3</v>
      </c>
      <c r="B15" s="125"/>
      <c r="C15" s="172">
        <v>100</v>
      </c>
      <c r="D15" s="183">
        <v>40</v>
      </c>
      <c r="E15" s="173">
        <v>4</v>
      </c>
      <c r="F15" s="125"/>
      <c r="G15" s="161">
        <v>100</v>
      </c>
      <c r="H15" s="133">
        <v>25</v>
      </c>
      <c r="I15" s="133">
        <v>50</v>
      </c>
      <c r="J15" s="133">
        <v>25</v>
      </c>
      <c r="K15" s="133">
        <v>0</v>
      </c>
      <c r="L15" s="180">
        <f t="shared" si="0"/>
        <v>100</v>
      </c>
      <c r="M15" s="161">
        <v>100</v>
      </c>
      <c r="N15" s="133">
        <v>1</v>
      </c>
      <c r="O15" s="133">
        <v>0.1</v>
      </c>
      <c r="P15" s="133">
        <v>0.3</v>
      </c>
      <c r="Q15" s="133">
        <v>0.05</v>
      </c>
      <c r="R15" s="111"/>
      <c r="S15" s="111"/>
      <c r="T15" s="125"/>
      <c r="U15" s="161"/>
      <c r="V15" s="133"/>
      <c r="W15" s="133"/>
      <c r="X15" s="125"/>
      <c r="Y15" s="161">
        <v>100</v>
      </c>
      <c r="Z15" s="133">
        <v>30</v>
      </c>
      <c r="AA15" s="133">
        <v>3</v>
      </c>
      <c r="AB15" s="125"/>
    </row>
    <row r="16" spans="1:47">
      <c r="A16" s="130">
        <v>4</v>
      </c>
      <c r="B16" s="125"/>
      <c r="C16" s="161"/>
      <c r="D16" s="162"/>
      <c r="E16" s="163"/>
      <c r="F16" s="125"/>
      <c r="G16" s="161"/>
      <c r="H16" s="163"/>
      <c r="I16" s="163"/>
      <c r="J16" s="163"/>
      <c r="K16" s="163"/>
      <c r="L16" s="180">
        <f t="shared" ref="L13:L36" si="1">SUM(H16:K16)</f>
        <v>0</v>
      </c>
      <c r="M16" s="161"/>
      <c r="N16" s="163"/>
      <c r="O16" s="163"/>
      <c r="P16" s="163"/>
      <c r="Q16" s="163"/>
      <c r="R16" s="111"/>
      <c r="S16" s="111"/>
      <c r="T16" s="125"/>
      <c r="U16" s="161"/>
      <c r="V16" s="163"/>
      <c r="W16" s="163"/>
      <c r="X16" s="125"/>
      <c r="Y16" s="161"/>
      <c r="Z16" s="163"/>
      <c r="AA16" s="163"/>
      <c r="AB16" s="125"/>
    </row>
    <row r="17" spans="1:28">
      <c r="A17" s="130">
        <v>5</v>
      </c>
      <c r="B17" s="125"/>
      <c r="C17" s="161"/>
      <c r="D17" s="147"/>
      <c r="E17" s="133"/>
      <c r="F17" s="125"/>
      <c r="G17" s="161"/>
      <c r="H17" s="133"/>
      <c r="I17" s="133"/>
      <c r="J17" s="133"/>
      <c r="K17" s="133"/>
      <c r="L17" s="180">
        <f t="shared" si="1"/>
        <v>0</v>
      </c>
      <c r="M17" s="161"/>
      <c r="N17" s="133"/>
      <c r="O17" s="133"/>
      <c r="P17" s="133"/>
      <c r="Q17" s="133"/>
      <c r="R17" s="111"/>
      <c r="S17" s="111"/>
      <c r="T17" s="125"/>
      <c r="U17" s="161"/>
      <c r="V17" s="133"/>
      <c r="W17" s="133"/>
      <c r="X17" s="125"/>
      <c r="Y17" s="161"/>
      <c r="Z17" s="133"/>
      <c r="AA17" s="133"/>
      <c r="AB17" s="125"/>
    </row>
    <row r="18" spans="1:28">
      <c r="A18" s="130">
        <v>6</v>
      </c>
      <c r="B18" s="125"/>
      <c r="C18" s="161"/>
      <c r="D18" s="162"/>
      <c r="E18" s="163"/>
      <c r="F18" s="125"/>
      <c r="G18" s="161"/>
      <c r="H18" s="163"/>
      <c r="I18" s="163"/>
      <c r="J18" s="163"/>
      <c r="K18" s="163"/>
      <c r="L18" s="180">
        <f t="shared" si="1"/>
        <v>0</v>
      </c>
      <c r="M18" s="161"/>
      <c r="N18" s="163"/>
      <c r="O18" s="163"/>
      <c r="P18" s="163"/>
      <c r="Q18" s="163"/>
      <c r="R18" s="111"/>
      <c r="S18" s="111"/>
      <c r="T18" s="125"/>
      <c r="U18" s="161"/>
      <c r="V18" s="163"/>
      <c r="W18" s="163"/>
      <c r="X18" s="125"/>
      <c r="Y18" s="161"/>
      <c r="Z18" s="163"/>
      <c r="AA18" s="163"/>
      <c r="AB18" s="125"/>
    </row>
    <row r="19" spans="1:28">
      <c r="A19" s="130">
        <v>7</v>
      </c>
      <c r="B19" s="125"/>
      <c r="C19" s="161"/>
      <c r="D19" s="147"/>
      <c r="E19" s="133"/>
      <c r="F19" s="125"/>
      <c r="G19" s="161"/>
      <c r="H19" s="133"/>
      <c r="I19" s="133"/>
      <c r="J19" s="133"/>
      <c r="K19" s="133"/>
      <c r="L19" s="180">
        <f t="shared" si="1"/>
        <v>0</v>
      </c>
      <c r="M19" s="161"/>
      <c r="N19" s="133"/>
      <c r="O19" s="133"/>
      <c r="P19" s="133"/>
      <c r="Q19" s="133"/>
      <c r="R19" s="111"/>
      <c r="S19" s="111"/>
      <c r="T19" s="125"/>
      <c r="U19" s="161"/>
      <c r="V19" s="133"/>
      <c r="W19" s="133"/>
      <c r="X19" s="125"/>
      <c r="Y19" s="161"/>
      <c r="Z19" s="133"/>
      <c r="AA19" s="133"/>
      <c r="AB19" s="125"/>
    </row>
    <row r="20" spans="1:28">
      <c r="A20" s="130">
        <v>8</v>
      </c>
      <c r="B20" s="125"/>
      <c r="C20" s="161"/>
      <c r="D20" s="162"/>
      <c r="E20" s="163"/>
      <c r="F20" s="125"/>
      <c r="G20" s="161"/>
      <c r="H20" s="163"/>
      <c r="I20" s="163"/>
      <c r="J20" s="163"/>
      <c r="K20" s="163"/>
      <c r="L20" s="180">
        <f t="shared" si="1"/>
        <v>0</v>
      </c>
      <c r="M20" s="161"/>
      <c r="N20" s="163"/>
      <c r="O20" s="163"/>
      <c r="P20" s="163"/>
      <c r="Q20" s="163"/>
      <c r="R20" s="111"/>
      <c r="S20" s="111"/>
      <c r="T20" s="125"/>
      <c r="U20" s="161"/>
      <c r="V20" s="163"/>
      <c r="W20" s="163"/>
      <c r="X20" s="125"/>
      <c r="Y20" s="161"/>
      <c r="Z20" s="163"/>
      <c r="AA20" s="163"/>
      <c r="AB20" s="125"/>
    </row>
    <row r="21" spans="1:28">
      <c r="A21" s="130">
        <v>9</v>
      </c>
      <c r="B21" s="125"/>
      <c r="C21" s="161"/>
      <c r="D21" s="147"/>
      <c r="E21" s="133"/>
      <c r="F21" s="125"/>
      <c r="G21" s="161"/>
      <c r="H21" s="133"/>
      <c r="I21" s="133"/>
      <c r="J21" s="133"/>
      <c r="K21" s="133"/>
      <c r="L21" s="180">
        <f t="shared" si="1"/>
        <v>0</v>
      </c>
      <c r="M21" s="161"/>
      <c r="N21" s="133"/>
      <c r="O21" s="133"/>
      <c r="P21" s="133"/>
      <c r="Q21" s="133"/>
      <c r="R21" s="111"/>
      <c r="S21" s="111"/>
      <c r="T21" s="125"/>
      <c r="U21" s="161"/>
      <c r="V21" s="133"/>
      <c r="W21" s="133"/>
      <c r="X21" s="125"/>
      <c r="Y21" s="161"/>
      <c r="Z21" s="133"/>
      <c r="AA21" s="133"/>
      <c r="AB21" s="125"/>
    </row>
    <row r="22" spans="1:28">
      <c r="A22" s="130">
        <v>10</v>
      </c>
      <c r="B22" s="125"/>
      <c r="C22" s="161"/>
      <c r="D22" s="162"/>
      <c r="E22" s="163"/>
      <c r="F22" s="125"/>
      <c r="G22" s="161"/>
      <c r="H22" s="163"/>
      <c r="I22" s="163"/>
      <c r="J22" s="163"/>
      <c r="K22" s="163"/>
      <c r="L22" s="180">
        <f t="shared" si="1"/>
        <v>0</v>
      </c>
      <c r="M22" s="161"/>
      <c r="N22" s="163"/>
      <c r="O22" s="163"/>
      <c r="P22" s="163"/>
      <c r="Q22" s="163"/>
      <c r="R22" s="111"/>
      <c r="S22" s="111"/>
      <c r="T22" s="125"/>
      <c r="U22" s="161"/>
      <c r="V22" s="163"/>
      <c r="W22" s="163"/>
      <c r="X22" s="125"/>
      <c r="Y22" s="161"/>
      <c r="Z22" s="163"/>
      <c r="AA22" s="163"/>
      <c r="AB22" s="125"/>
    </row>
    <row r="23" spans="1:28">
      <c r="A23" s="130">
        <v>11</v>
      </c>
      <c r="B23" s="125"/>
      <c r="C23" s="161"/>
      <c r="D23" s="147"/>
      <c r="E23" s="133"/>
      <c r="F23" s="125"/>
      <c r="G23" s="161"/>
      <c r="H23" s="133"/>
      <c r="I23" s="133"/>
      <c r="J23" s="133"/>
      <c r="K23" s="133"/>
      <c r="L23" s="180">
        <f t="shared" si="1"/>
        <v>0</v>
      </c>
      <c r="M23" s="161"/>
      <c r="N23" s="133"/>
      <c r="O23" s="133"/>
      <c r="P23" s="133"/>
      <c r="Q23" s="133"/>
      <c r="R23" s="111"/>
      <c r="S23" s="111"/>
      <c r="T23" s="125"/>
      <c r="U23" s="161"/>
      <c r="V23" s="133"/>
      <c r="W23" s="133"/>
      <c r="X23" s="125"/>
      <c r="Y23" s="161"/>
      <c r="Z23" s="133"/>
      <c r="AA23" s="133"/>
      <c r="AB23" s="125"/>
    </row>
    <row r="24" spans="1:28">
      <c r="A24" s="130">
        <v>12</v>
      </c>
      <c r="B24" s="125"/>
      <c r="C24" s="161"/>
      <c r="D24" s="162"/>
      <c r="E24" s="163"/>
      <c r="F24" s="125"/>
      <c r="G24" s="161"/>
      <c r="H24" s="163"/>
      <c r="I24" s="163"/>
      <c r="J24" s="163"/>
      <c r="K24" s="163"/>
      <c r="L24" s="180">
        <f t="shared" si="1"/>
        <v>0</v>
      </c>
      <c r="M24" s="161"/>
      <c r="N24" s="163"/>
      <c r="O24" s="163"/>
      <c r="P24" s="163"/>
      <c r="Q24" s="163"/>
      <c r="R24" s="111"/>
      <c r="S24" s="111"/>
      <c r="T24" s="125"/>
      <c r="U24" s="161"/>
      <c r="V24" s="163"/>
      <c r="W24" s="163"/>
      <c r="X24" s="125"/>
      <c r="Y24" s="161"/>
      <c r="Z24" s="163"/>
      <c r="AA24" s="163"/>
      <c r="AB24" s="125"/>
    </row>
    <row r="25" spans="1:28">
      <c r="A25" s="130">
        <v>13</v>
      </c>
      <c r="B25" s="125"/>
      <c r="C25" s="161"/>
      <c r="D25" s="147"/>
      <c r="E25" s="133"/>
      <c r="F25" s="125"/>
      <c r="G25" s="161"/>
      <c r="H25" s="133"/>
      <c r="I25" s="133"/>
      <c r="J25" s="133"/>
      <c r="K25" s="133"/>
      <c r="L25" s="180">
        <f t="shared" si="1"/>
        <v>0</v>
      </c>
      <c r="M25" s="161"/>
      <c r="N25" s="133"/>
      <c r="O25" s="133"/>
      <c r="P25" s="133"/>
      <c r="Q25" s="133"/>
      <c r="R25" s="111"/>
      <c r="S25" s="111"/>
      <c r="T25" s="125"/>
      <c r="U25" s="161"/>
      <c r="V25" s="133"/>
      <c r="W25" s="133"/>
      <c r="X25" s="125"/>
      <c r="Y25" s="161"/>
      <c r="Z25" s="133"/>
      <c r="AA25" s="133"/>
      <c r="AB25" s="125"/>
    </row>
    <row r="26" spans="1:28">
      <c r="A26" s="130">
        <v>14</v>
      </c>
      <c r="B26" s="125"/>
      <c r="C26" s="161"/>
      <c r="D26" s="162"/>
      <c r="E26" s="163"/>
      <c r="F26" s="125"/>
      <c r="G26" s="161"/>
      <c r="H26" s="163"/>
      <c r="I26" s="163"/>
      <c r="J26" s="163"/>
      <c r="K26" s="163"/>
      <c r="L26" s="180">
        <f t="shared" si="1"/>
        <v>0</v>
      </c>
      <c r="M26" s="161"/>
      <c r="N26" s="163"/>
      <c r="O26" s="163"/>
      <c r="P26" s="163"/>
      <c r="Q26" s="163"/>
      <c r="R26" s="111"/>
      <c r="S26" s="111"/>
      <c r="T26" s="125"/>
      <c r="U26" s="161"/>
      <c r="V26" s="163"/>
      <c r="W26" s="163"/>
      <c r="X26" s="125"/>
      <c r="Y26" s="161"/>
      <c r="Z26" s="163"/>
      <c r="AA26" s="163"/>
      <c r="AB26" s="125"/>
    </row>
    <row r="27" spans="1:28">
      <c r="A27" s="130">
        <v>15</v>
      </c>
      <c r="B27" s="125"/>
      <c r="C27" s="161"/>
      <c r="D27" s="147"/>
      <c r="E27" s="133"/>
      <c r="F27" s="125"/>
      <c r="G27" s="161"/>
      <c r="H27" s="133"/>
      <c r="I27" s="133"/>
      <c r="J27" s="133"/>
      <c r="K27" s="133"/>
      <c r="L27" s="180">
        <f t="shared" si="1"/>
        <v>0</v>
      </c>
      <c r="M27" s="161"/>
      <c r="N27" s="133"/>
      <c r="O27" s="133"/>
      <c r="P27" s="133"/>
      <c r="Q27" s="133"/>
      <c r="R27" s="111"/>
      <c r="S27" s="111"/>
      <c r="T27" s="125"/>
      <c r="U27" s="161"/>
      <c r="V27" s="133"/>
      <c r="W27" s="133"/>
      <c r="X27" s="125"/>
      <c r="Y27" s="161"/>
      <c r="Z27" s="133"/>
      <c r="AA27" s="133"/>
      <c r="AB27" s="125"/>
    </row>
    <row r="28" spans="1:28">
      <c r="A28" s="130">
        <v>16</v>
      </c>
      <c r="B28" s="125"/>
      <c r="C28" s="161"/>
      <c r="D28" s="162"/>
      <c r="E28" s="163"/>
      <c r="F28" s="125"/>
      <c r="G28" s="161"/>
      <c r="H28" s="163"/>
      <c r="I28" s="163"/>
      <c r="J28" s="163"/>
      <c r="K28" s="163"/>
      <c r="L28" s="180">
        <f t="shared" si="1"/>
        <v>0</v>
      </c>
      <c r="M28" s="161"/>
      <c r="N28" s="163"/>
      <c r="O28" s="163"/>
      <c r="P28" s="163"/>
      <c r="Q28" s="163"/>
      <c r="R28" s="111"/>
      <c r="S28" s="111"/>
      <c r="T28" s="125"/>
      <c r="U28" s="161"/>
      <c r="V28" s="163"/>
      <c r="W28" s="163"/>
      <c r="X28" s="125"/>
      <c r="Y28" s="161"/>
      <c r="Z28" s="163"/>
      <c r="AA28" s="163"/>
      <c r="AB28" s="125"/>
    </row>
    <row r="29" spans="1:28">
      <c r="A29" s="130">
        <v>17</v>
      </c>
      <c r="B29" s="125"/>
      <c r="C29" s="161"/>
      <c r="D29" s="147"/>
      <c r="E29" s="133"/>
      <c r="F29" s="125"/>
      <c r="G29" s="161"/>
      <c r="H29" s="133"/>
      <c r="I29" s="133"/>
      <c r="J29" s="133"/>
      <c r="K29" s="133"/>
      <c r="L29" s="180">
        <f t="shared" si="1"/>
        <v>0</v>
      </c>
      <c r="M29" s="161"/>
      <c r="N29" s="133"/>
      <c r="O29" s="133"/>
      <c r="P29" s="133"/>
      <c r="Q29" s="133"/>
      <c r="R29" s="111"/>
      <c r="S29" s="111"/>
      <c r="T29" s="125"/>
      <c r="U29" s="161"/>
      <c r="V29" s="133"/>
      <c r="W29" s="133"/>
      <c r="X29" s="125"/>
      <c r="Y29" s="161"/>
      <c r="Z29" s="133"/>
      <c r="AA29" s="133"/>
      <c r="AB29" s="125"/>
    </row>
    <row r="30" spans="1:28">
      <c r="A30" s="130">
        <v>18</v>
      </c>
      <c r="B30" s="125"/>
      <c r="C30" s="161"/>
      <c r="D30" s="162"/>
      <c r="E30" s="163"/>
      <c r="F30" s="125"/>
      <c r="G30" s="161"/>
      <c r="H30" s="163"/>
      <c r="I30" s="163"/>
      <c r="J30" s="163"/>
      <c r="K30" s="163"/>
      <c r="L30" s="180">
        <f t="shared" si="1"/>
        <v>0</v>
      </c>
      <c r="M30" s="161"/>
      <c r="N30" s="163"/>
      <c r="O30" s="163"/>
      <c r="P30" s="163"/>
      <c r="Q30" s="163"/>
      <c r="R30" s="111"/>
      <c r="S30" s="111"/>
      <c r="T30" s="125"/>
      <c r="U30" s="161"/>
      <c r="V30" s="163"/>
      <c r="W30" s="163"/>
      <c r="X30" s="125"/>
      <c r="Y30" s="161"/>
      <c r="Z30" s="163"/>
      <c r="AA30" s="163"/>
      <c r="AB30" s="125"/>
    </row>
    <row r="31" spans="1:28">
      <c r="A31" s="130">
        <v>19</v>
      </c>
      <c r="B31" s="125"/>
      <c r="C31" s="161"/>
      <c r="D31" s="147"/>
      <c r="E31" s="133"/>
      <c r="F31" s="125"/>
      <c r="G31" s="161"/>
      <c r="H31" s="133"/>
      <c r="I31" s="133"/>
      <c r="J31" s="133"/>
      <c r="K31" s="133"/>
      <c r="L31" s="180">
        <f t="shared" si="1"/>
        <v>0</v>
      </c>
      <c r="M31" s="161"/>
      <c r="N31" s="133"/>
      <c r="O31" s="133"/>
      <c r="P31" s="133"/>
      <c r="Q31" s="133"/>
      <c r="R31" s="111"/>
      <c r="S31" s="111"/>
      <c r="T31" s="125"/>
      <c r="U31" s="161"/>
      <c r="V31" s="133"/>
      <c r="W31" s="133"/>
      <c r="X31" s="125"/>
      <c r="Y31" s="161"/>
      <c r="Z31" s="133"/>
      <c r="AA31" s="133"/>
      <c r="AB31" s="125"/>
    </row>
    <row r="32" spans="1:28">
      <c r="A32" s="130">
        <v>20</v>
      </c>
      <c r="B32" s="125"/>
      <c r="C32" s="161"/>
      <c r="D32" s="162"/>
      <c r="E32" s="163"/>
      <c r="F32" s="125"/>
      <c r="G32" s="161"/>
      <c r="H32" s="163"/>
      <c r="I32" s="163"/>
      <c r="J32" s="163"/>
      <c r="K32" s="163"/>
      <c r="L32" s="180">
        <f t="shared" si="1"/>
        <v>0</v>
      </c>
      <c r="M32" s="161"/>
      <c r="N32" s="163"/>
      <c r="O32" s="163"/>
      <c r="P32" s="163"/>
      <c r="Q32" s="163"/>
      <c r="R32" s="111"/>
      <c r="S32" s="111"/>
      <c r="T32" s="125"/>
      <c r="U32" s="161"/>
      <c r="V32" s="163"/>
      <c r="W32" s="163"/>
      <c r="X32" s="125"/>
      <c r="Y32" s="161"/>
      <c r="Z32" s="163"/>
      <c r="AA32" s="163"/>
      <c r="AB32" s="125"/>
    </row>
    <row r="33" spans="1:28">
      <c r="A33" s="130">
        <v>21</v>
      </c>
      <c r="B33" s="125"/>
      <c r="C33" s="161"/>
      <c r="D33" s="147"/>
      <c r="E33" s="133"/>
      <c r="F33" s="125"/>
      <c r="G33" s="161"/>
      <c r="H33" s="133"/>
      <c r="I33" s="133"/>
      <c r="J33" s="133"/>
      <c r="K33" s="133"/>
      <c r="L33" s="180">
        <f t="shared" si="1"/>
        <v>0</v>
      </c>
      <c r="M33" s="161"/>
      <c r="N33" s="133"/>
      <c r="O33" s="133"/>
      <c r="P33" s="133"/>
      <c r="Q33" s="133"/>
      <c r="R33" s="111"/>
      <c r="S33" s="111"/>
      <c r="T33" s="125"/>
      <c r="U33" s="161"/>
      <c r="V33" s="133"/>
      <c r="W33" s="133"/>
      <c r="X33" s="125"/>
      <c r="Y33" s="161"/>
      <c r="Z33" s="133"/>
      <c r="AA33" s="133"/>
      <c r="AB33" s="125"/>
    </row>
    <row r="34" spans="1:28">
      <c r="A34" s="130">
        <v>22</v>
      </c>
      <c r="B34" s="125"/>
      <c r="C34" s="161"/>
      <c r="D34" s="162"/>
      <c r="E34" s="163"/>
      <c r="F34" s="125"/>
      <c r="G34" s="161"/>
      <c r="H34" s="163"/>
      <c r="I34" s="163"/>
      <c r="J34" s="163"/>
      <c r="K34" s="163"/>
      <c r="L34" s="180">
        <f t="shared" si="1"/>
        <v>0</v>
      </c>
      <c r="M34" s="161"/>
      <c r="N34" s="163"/>
      <c r="O34" s="163"/>
      <c r="P34" s="163"/>
      <c r="Q34" s="163"/>
      <c r="R34" s="111"/>
      <c r="S34" s="111"/>
      <c r="T34" s="125"/>
      <c r="U34" s="161"/>
      <c r="V34" s="163"/>
      <c r="W34" s="163"/>
      <c r="X34" s="125"/>
      <c r="Y34" s="161"/>
      <c r="Z34" s="163"/>
      <c r="AA34" s="163"/>
      <c r="AB34" s="125"/>
    </row>
    <row r="35" spans="1:28">
      <c r="A35" s="130">
        <v>23</v>
      </c>
      <c r="B35" s="125"/>
      <c r="C35" s="161"/>
      <c r="D35" s="147"/>
      <c r="E35" s="133"/>
      <c r="F35" s="125"/>
      <c r="G35" s="161"/>
      <c r="H35" s="133"/>
      <c r="I35" s="133"/>
      <c r="J35" s="133"/>
      <c r="K35" s="133"/>
      <c r="L35" s="180">
        <f t="shared" si="1"/>
        <v>0</v>
      </c>
      <c r="M35" s="161"/>
      <c r="N35" s="133"/>
      <c r="O35" s="133"/>
      <c r="P35" s="133"/>
      <c r="Q35" s="133"/>
      <c r="R35" s="111"/>
      <c r="S35" s="111"/>
      <c r="T35" s="125"/>
      <c r="U35" s="161"/>
      <c r="V35" s="133"/>
      <c r="W35" s="133"/>
      <c r="X35" s="125"/>
      <c r="Y35" s="161"/>
      <c r="Z35" s="133"/>
      <c r="AA35" s="133"/>
      <c r="AB35" s="125"/>
    </row>
    <row r="36" spans="1:28">
      <c r="A36" s="130">
        <v>24</v>
      </c>
      <c r="B36" s="125"/>
      <c r="C36" s="161"/>
      <c r="D36" s="162"/>
      <c r="E36" s="163"/>
      <c r="F36" s="125"/>
      <c r="G36" s="161"/>
      <c r="H36" s="163"/>
      <c r="I36" s="163"/>
      <c r="J36" s="163"/>
      <c r="K36" s="163"/>
      <c r="L36" s="180">
        <f t="shared" si="1"/>
        <v>0</v>
      </c>
      <c r="M36" s="161"/>
      <c r="N36" s="163"/>
      <c r="O36" s="163"/>
      <c r="P36" s="163"/>
      <c r="Q36" s="163"/>
      <c r="R36" s="111"/>
      <c r="S36" s="111"/>
      <c r="T36" s="125"/>
      <c r="U36" s="161"/>
      <c r="V36" s="163"/>
      <c r="W36" s="163"/>
      <c r="X36" s="125"/>
      <c r="Y36" s="161"/>
      <c r="Z36" s="163"/>
      <c r="AA36" s="163"/>
      <c r="AB36" s="125"/>
    </row>
    <row r="37" spans="1:28">
      <c r="A37" s="130">
        <v>25</v>
      </c>
      <c r="B37" s="125"/>
      <c r="C37" s="161"/>
      <c r="D37" s="147"/>
      <c r="E37" s="133"/>
      <c r="F37" s="125"/>
      <c r="G37" s="161"/>
      <c r="H37" s="133"/>
      <c r="I37" s="133"/>
      <c r="J37" s="133"/>
      <c r="K37" s="133"/>
      <c r="L37" s="180"/>
      <c r="M37" s="161"/>
      <c r="N37" s="133"/>
      <c r="O37" s="133"/>
      <c r="P37" s="133"/>
      <c r="Q37" s="133"/>
      <c r="R37" s="111"/>
      <c r="S37" s="111"/>
      <c r="T37" s="125"/>
      <c r="U37" s="161"/>
      <c r="V37" s="133"/>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37">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K49" s="127"/>
    </row>
    <row r="50" spans="1:37">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K50" s="127"/>
    </row>
    <row r="51" spans="1:37">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K51" s="127"/>
    </row>
    <row r="52" spans="1:37">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K52" s="127"/>
    </row>
    <row r="53" spans="1:37">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K53" s="127"/>
    </row>
    <row r="54" spans="1:37">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K54" s="127"/>
    </row>
    <row r="55" spans="1:37">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K55" s="127"/>
    </row>
    <row r="56" spans="1:37">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K56" s="127"/>
    </row>
    <row r="57" spans="1:37">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K57" s="127"/>
    </row>
    <row r="58" spans="1:37">
      <c r="AK58" s="127"/>
    </row>
  </sheetData>
  <sheetProtection selectLockedCells="1"/>
  <mergeCells count="24">
    <mergeCell ref="P6:Q6"/>
    <mergeCell ref="C6:E6"/>
    <mergeCell ref="U6:W6"/>
    <mergeCell ref="N6:O6"/>
    <mergeCell ref="C11:E11"/>
    <mergeCell ref="M11:Q11"/>
    <mergeCell ref="C4:E4"/>
    <mergeCell ref="U4:W4"/>
    <mergeCell ref="G4:K4"/>
    <mergeCell ref="Y5:AA5"/>
    <mergeCell ref="M4:S4"/>
    <mergeCell ref="M5:S5"/>
    <mergeCell ref="Y4:AA4"/>
    <mergeCell ref="C5:E5"/>
    <mergeCell ref="G5:K5"/>
    <mergeCell ref="U5:W5"/>
    <mergeCell ref="Y7:AA7"/>
    <mergeCell ref="G11:K11"/>
    <mergeCell ref="U11:W11"/>
    <mergeCell ref="R9:S9"/>
    <mergeCell ref="G7:K7"/>
    <mergeCell ref="M7:S7"/>
    <mergeCell ref="U7:W7"/>
    <mergeCell ref="Y11:AA11"/>
  </mergeCells>
  <hyperlinks>
    <hyperlink ref="A1" location="IGAP!A1" display="IGAP!A1"/>
  </hyperlinks>
  <pageMargins left="0.7" right="0.7" top="0.75" bottom="0.75" header="0.3" footer="0.3"/>
  <pageSetup paperSize="9" orientation="portrait"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B57"/>
  <sheetViews>
    <sheetView zoomScale="90" zoomScaleNormal="90" workbookViewId="0"/>
  </sheetViews>
  <sheetFormatPr baseColWidth="10" defaultRowHeight="15.75"/>
  <cols>
    <col min="1" max="1" width="13.28515625" style="71" bestFit="1" customWidth="1"/>
    <col min="2" max="2" width="1.7109375" style="71" customWidth="1"/>
    <col min="6" max="6" width="11.7109375" style="127" customWidth="1"/>
    <col min="7" max="7" width="14" style="127" bestFit="1" customWidth="1"/>
    <col min="8" max="8" width="1.7109375" style="71" customWidth="1"/>
    <col min="12" max="12" width="11.140625" style="127" customWidth="1"/>
    <col min="13" max="13" width="12.28515625" style="127" bestFit="1" customWidth="1"/>
    <col min="14" max="28" width="14.28515625" style="71" customWidth="1"/>
  </cols>
  <sheetData>
    <row r="1" spans="1:28" ht="16.5" thickBot="1">
      <c r="A1" s="108" t="s">
        <v>329</v>
      </c>
      <c r="B1" s="70"/>
      <c r="C1" s="70"/>
      <c r="D1" s="70"/>
      <c r="E1" s="70"/>
      <c r="F1" s="125"/>
      <c r="G1" s="125"/>
      <c r="H1" s="70"/>
      <c r="I1" s="70"/>
      <c r="J1" s="70"/>
      <c r="K1" s="70"/>
      <c r="L1" s="125"/>
      <c r="M1" s="125"/>
      <c r="N1" s="70"/>
      <c r="O1" s="70"/>
      <c r="P1" s="70"/>
      <c r="Q1" s="70"/>
      <c r="R1" s="70"/>
      <c r="S1" s="70"/>
      <c r="T1" s="70"/>
      <c r="U1" s="70"/>
      <c r="V1" s="70"/>
      <c r="W1" s="70"/>
      <c r="X1" s="70"/>
      <c r="Y1" s="70"/>
      <c r="Z1" s="70"/>
      <c r="AA1" s="70"/>
      <c r="AB1" s="70"/>
    </row>
    <row r="2" spans="1:28" ht="21.75" thickBot="1">
      <c r="A2" s="56" t="s">
        <v>444</v>
      </c>
      <c r="B2" s="70"/>
      <c r="C2" s="1686" t="s">
        <v>1054</v>
      </c>
      <c r="D2" s="1687"/>
      <c r="E2" s="1687"/>
      <c r="F2" s="1687"/>
      <c r="G2" s="1687"/>
      <c r="H2" s="1687"/>
      <c r="I2" s="1687"/>
      <c r="J2" s="1687"/>
      <c r="K2" s="1687"/>
      <c r="L2" s="1687"/>
      <c r="M2" s="1687"/>
      <c r="N2" s="70"/>
      <c r="O2" s="70"/>
      <c r="P2" s="70"/>
      <c r="Q2" s="70"/>
      <c r="R2" s="70"/>
      <c r="S2" s="70"/>
      <c r="T2" s="70"/>
      <c r="U2" s="70"/>
      <c r="V2" s="70"/>
      <c r="W2" s="70"/>
      <c r="X2" s="70"/>
      <c r="Y2" s="70"/>
      <c r="Z2" s="70"/>
      <c r="AA2" s="70"/>
      <c r="AB2" s="70"/>
    </row>
    <row r="3" spans="1:28" ht="16.5" thickBot="1">
      <c r="A3" s="58" t="s">
        <v>447</v>
      </c>
      <c r="B3" s="70"/>
      <c r="C3" s="70"/>
      <c r="D3" s="70"/>
      <c r="E3" s="70"/>
      <c r="F3" s="125"/>
      <c r="G3" s="125"/>
      <c r="H3" s="70"/>
      <c r="I3" s="70"/>
      <c r="J3" s="70"/>
      <c r="K3" s="70"/>
      <c r="L3" s="125"/>
      <c r="M3" s="125"/>
      <c r="N3" s="70"/>
      <c r="O3" s="70"/>
      <c r="P3" s="70"/>
      <c r="Q3" s="70"/>
      <c r="R3" s="70"/>
      <c r="S3" s="70"/>
      <c r="T3" s="70"/>
      <c r="U3" s="70"/>
      <c r="V3" s="70"/>
      <c r="W3" s="70"/>
      <c r="X3" s="70"/>
      <c r="Y3" s="70"/>
      <c r="Z3" s="70"/>
      <c r="AA3" s="70"/>
      <c r="AB3" s="70"/>
    </row>
    <row r="4" spans="1:28" ht="16.5" thickBot="1">
      <c r="A4" s="57" t="s">
        <v>446</v>
      </c>
      <c r="B4" s="70"/>
      <c r="C4" s="1688" t="s">
        <v>1061</v>
      </c>
      <c r="D4" s="1689"/>
      <c r="E4" s="1689"/>
      <c r="F4" s="1689"/>
      <c r="G4" s="1690"/>
      <c r="H4" s="70"/>
      <c r="I4" s="1688" t="s">
        <v>1061</v>
      </c>
      <c r="J4" s="1689"/>
      <c r="K4" s="1689"/>
      <c r="L4" s="1689"/>
      <c r="M4" s="1690"/>
      <c r="N4" s="70"/>
      <c r="O4" s="70"/>
      <c r="P4" s="70"/>
      <c r="Q4" s="70"/>
      <c r="R4" s="70"/>
      <c r="S4" s="70"/>
      <c r="T4" s="70"/>
      <c r="U4" s="70"/>
      <c r="V4" s="70"/>
      <c r="W4" s="70"/>
      <c r="X4" s="70"/>
      <c r="Y4" s="70"/>
      <c r="Z4" s="70"/>
      <c r="AA4" s="70"/>
      <c r="AB4" s="70"/>
    </row>
    <row r="5" spans="1:28" ht="16.5" thickBot="1">
      <c r="A5" s="76" t="s">
        <v>445</v>
      </c>
      <c r="B5" s="70"/>
      <c r="C5" s="1691" t="s">
        <v>513</v>
      </c>
      <c r="D5" s="1692"/>
      <c r="E5" s="1692"/>
      <c r="F5" s="1692"/>
      <c r="G5" s="1693"/>
      <c r="H5" s="70"/>
      <c r="I5" s="1691" t="s">
        <v>517</v>
      </c>
      <c r="J5" s="1692"/>
      <c r="K5" s="1692"/>
      <c r="L5" s="1692"/>
      <c r="M5" s="1693"/>
      <c r="N5" s="70"/>
      <c r="O5" s="70"/>
      <c r="P5" s="70"/>
      <c r="Q5" s="70"/>
      <c r="R5" s="70"/>
      <c r="S5" s="70"/>
      <c r="T5" s="70"/>
      <c r="U5" s="70"/>
      <c r="V5" s="70"/>
      <c r="W5" s="70"/>
      <c r="X5" s="70"/>
      <c r="Y5" s="70"/>
      <c r="Z5" s="70"/>
      <c r="AA5" s="70"/>
      <c r="AB5" s="70"/>
    </row>
    <row r="6" spans="1:28" ht="16.5" thickBot="1">
      <c r="A6" s="70"/>
      <c r="B6" s="70"/>
      <c r="C6" s="70"/>
      <c r="D6" s="1661" t="s">
        <v>634</v>
      </c>
      <c r="E6" s="1655"/>
      <c r="F6" s="125"/>
      <c r="G6" s="282" t="s">
        <v>633</v>
      </c>
      <c r="H6" s="70"/>
      <c r="I6" s="70"/>
      <c r="J6" s="1661" t="s">
        <v>634</v>
      </c>
      <c r="K6" s="1655"/>
      <c r="L6" s="125"/>
      <c r="M6" s="282" t="s">
        <v>633</v>
      </c>
      <c r="N6" s="70"/>
      <c r="O6" s="70"/>
      <c r="P6" s="70"/>
      <c r="Q6" s="70"/>
      <c r="R6" s="70"/>
      <c r="S6" s="70"/>
      <c r="T6" s="70"/>
      <c r="U6" s="70"/>
      <c r="V6" s="70"/>
      <c r="W6" s="70"/>
      <c r="X6" s="70"/>
      <c r="Y6" s="70"/>
      <c r="Z6" s="70"/>
      <c r="AA6" s="70"/>
      <c r="AB6" s="70"/>
    </row>
    <row r="7" spans="1:28" ht="16.5" thickBot="1">
      <c r="A7" s="70"/>
      <c r="B7" s="70"/>
      <c r="C7" s="1657" t="s">
        <v>846</v>
      </c>
      <c r="D7" s="1658"/>
      <c r="E7" s="1658"/>
      <c r="F7" s="1658"/>
      <c r="G7" s="1658"/>
      <c r="H7" s="70"/>
      <c r="I7" s="1657" t="s">
        <v>222</v>
      </c>
      <c r="J7" s="1658"/>
      <c r="K7" s="1658"/>
      <c r="L7" s="1658"/>
      <c r="M7" s="1658"/>
      <c r="N7" s="70"/>
      <c r="O7" s="70"/>
      <c r="P7" s="70"/>
      <c r="Q7" s="70"/>
      <c r="R7" s="70"/>
      <c r="S7" s="70"/>
      <c r="T7" s="70"/>
      <c r="U7" s="70"/>
      <c r="V7" s="70"/>
      <c r="W7" s="70"/>
      <c r="X7" s="70"/>
      <c r="Y7" s="70"/>
      <c r="Z7" s="70"/>
      <c r="AA7" s="70"/>
      <c r="AB7" s="70"/>
    </row>
    <row r="8" spans="1:28" ht="16.5" thickBot="1">
      <c r="A8" s="146" t="s">
        <v>645</v>
      </c>
      <c r="B8" s="70"/>
      <c r="C8" s="158" t="s">
        <v>636</v>
      </c>
      <c r="D8" s="102" t="s">
        <v>426</v>
      </c>
      <c r="E8" s="102" t="s">
        <v>427</v>
      </c>
      <c r="F8" s="154" t="s">
        <v>638</v>
      </c>
      <c r="G8" s="154" t="s">
        <v>637</v>
      </c>
      <c r="H8" s="70"/>
      <c r="I8" s="158" t="s">
        <v>636</v>
      </c>
      <c r="J8" s="102" t="s">
        <v>426</v>
      </c>
      <c r="K8" s="102" t="s">
        <v>427</v>
      </c>
      <c r="L8" s="154" t="s">
        <v>638</v>
      </c>
      <c r="M8" s="154" t="s">
        <v>637</v>
      </c>
      <c r="N8" s="70"/>
      <c r="O8" s="70"/>
      <c r="P8" s="70"/>
      <c r="Q8" s="70"/>
      <c r="R8" s="70"/>
      <c r="S8" s="70"/>
      <c r="T8" s="70"/>
      <c r="U8" s="70"/>
      <c r="V8" s="70"/>
      <c r="W8" s="70"/>
      <c r="X8" s="70"/>
      <c r="Y8" s="70"/>
      <c r="Z8" s="70"/>
      <c r="AA8" s="70"/>
      <c r="AB8" s="70"/>
    </row>
    <row r="9" spans="1:28" s="115" customFormat="1">
      <c r="A9" s="216" t="s">
        <v>644</v>
      </c>
      <c r="B9" s="103"/>
      <c r="C9" s="103"/>
      <c r="D9" s="236">
        <v>1</v>
      </c>
      <c r="E9" s="236">
        <v>1</v>
      </c>
      <c r="F9" s="237"/>
      <c r="G9" s="236">
        <v>1</v>
      </c>
      <c r="H9" s="103"/>
      <c r="I9" s="103"/>
      <c r="J9" s="236">
        <v>1</v>
      </c>
      <c r="K9" s="236">
        <v>1</v>
      </c>
      <c r="L9" s="237"/>
      <c r="M9" s="236">
        <v>1</v>
      </c>
      <c r="N9" s="103"/>
      <c r="O9" s="103"/>
      <c r="P9" s="103"/>
      <c r="Q9" s="103"/>
      <c r="R9" s="103"/>
      <c r="S9" s="103"/>
      <c r="T9" s="103"/>
      <c r="U9" s="103"/>
      <c r="V9" s="103"/>
      <c r="W9" s="103"/>
      <c r="X9" s="103"/>
      <c r="Y9" s="103"/>
      <c r="Z9" s="103"/>
      <c r="AA9" s="103"/>
      <c r="AB9" s="103"/>
    </row>
    <row r="10" spans="1:28" s="239" customFormat="1">
      <c r="A10" s="220" t="s">
        <v>642</v>
      </c>
      <c r="B10" s="238"/>
      <c r="C10" s="238"/>
      <c r="D10" s="222">
        <f>COUNT(D13:D37)</f>
        <v>3</v>
      </c>
      <c r="E10" s="222">
        <f>COUNT(E13:E37)</f>
        <v>3</v>
      </c>
      <c r="F10" s="222"/>
      <c r="G10" s="222">
        <f>COUNT(G13:G37)</f>
        <v>4</v>
      </c>
      <c r="H10" s="238"/>
      <c r="I10" s="238"/>
      <c r="J10" s="222">
        <f>COUNT(J13:J37)</f>
        <v>3</v>
      </c>
      <c r="K10" s="222">
        <f>COUNT(K13:K37)</f>
        <v>3</v>
      </c>
      <c r="L10" s="222"/>
      <c r="M10" s="222">
        <f>COUNT(M13:M37)</f>
        <v>4</v>
      </c>
      <c r="N10" s="238"/>
      <c r="O10" s="238"/>
      <c r="P10" s="238"/>
      <c r="Q10" s="238"/>
      <c r="R10" s="238"/>
      <c r="S10" s="238"/>
      <c r="T10" s="238"/>
      <c r="U10" s="238"/>
      <c r="V10" s="238"/>
      <c r="W10" s="238"/>
      <c r="X10" s="238"/>
      <c r="Y10" s="238"/>
      <c r="Z10" s="238"/>
      <c r="AA10" s="238"/>
      <c r="AB10" s="238"/>
    </row>
    <row r="11" spans="1:28" s="239" customFormat="1">
      <c r="A11" s="308" t="s">
        <v>643</v>
      </c>
      <c r="B11" s="240"/>
      <c r="C11" s="311" t="s">
        <v>940</v>
      </c>
      <c r="D11" s="311"/>
      <c r="E11" s="311"/>
      <c r="F11" s="231" t="s">
        <v>954</v>
      </c>
      <c r="G11" s="231"/>
      <c r="H11" s="240"/>
      <c r="I11" s="311" t="s">
        <v>941</v>
      </c>
      <c r="J11" s="311"/>
      <c r="K11" s="311"/>
      <c r="L11" s="231" t="s">
        <v>955</v>
      </c>
      <c r="M11" s="231"/>
      <c r="N11" s="240"/>
      <c r="O11" s="240"/>
      <c r="P11" s="240"/>
      <c r="Q11" s="240"/>
      <c r="R11" s="240"/>
      <c r="S11" s="240"/>
      <c r="T11" s="240"/>
      <c r="U11" s="240"/>
      <c r="V11" s="240"/>
      <c r="W11" s="240"/>
      <c r="X11" s="240"/>
      <c r="Y11" s="240"/>
      <c r="Z11" s="240"/>
      <c r="AA11" s="240"/>
      <c r="AB11" s="240"/>
    </row>
    <row r="12" spans="1:28">
      <c r="A12" s="130" t="s">
        <v>317</v>
      </c>
      <c r="B12" s="70"/>
      <c r="C12" s="87" t="s">
        <v>438</v>
      </c>
      <c r="D12" s="130" t="s">
        <v>0</v>
      </c>
      <c r="E12" s="130" t="s">
        <v>0</v>
      </c>
      <c r="F12" s="130" t="s">
        <v>635</v>
      </c>
      <c r="G12" s="130" t="s">
        <v>454</v>
      </c>
      <c r="H12" s="70"/>
      <c r="I12" s="87" t="s">
        <v>438</v>
      </c>
      <c r="J12" s="130" t="s">
        <v>0</v>
      </c>
      <c r="K12" s="130" t="s">
        <v>0</v>
      </c>
      <c r="L12" s="130" t="s">
        <v>635</v>
      </c>
      <c r="M12" s="130" t="s">
        <v>454</v>
      </c>
      <c r="N12" s="70"/>
      <c r="O12" s="70"/>
      <c r="P12" s="70"/>
      <c r="Q12" s="70"/>
      <c r="R12" s="70"/>
      <c r="S12" s="70"/>
      <c r="T12" s="70"/>
      <c r="U12" s="70"/>
      <c r="V12" s="70"/>
      <c r="W12" s="70"/>
      <c r="X12" s="70"/>
      <c r="Y12" s="70"/>
      <c r="Z12" s="70"/>
      <c r="AA12" s="70"/>
      <c r="AB12" s="70"/>
    </row>
    <row r="13" spans="1:28">
      <c r="A13" s="75">
        <v>1</v>
      </c>
      <c r="B13" s="70"/>
      <c r="C13" s="106">
        <v>0</v>
      </c>
      <c r="D13" s="105">
        <v>1</v>
      </c>
      <c r="E13" s="105">
        <v>0</v>
      </c>
      <c r="F13" s="212">
        <v>1</v>
      </c>
      <c r="G13" s="133">
        <v>0.1</v>
      </c>
      <c r="H13" s="70"/>
      <c r="I13" s="106">
        <v>0</v>
      </c>
      <c r="J13" s="105">
        <v>1</v>
      </c>
      <c r="K13" s="105">
        <v>0</v>
      </c>
      <c r="L13" s="212">
        <v>1</v>
      </c>
      <c r="M13" s="133">
        <v>0.1</v>
      </c>
      <c r="N13" s="70"/>
      <c r="O13" s="70"/>
      <c r="P13" s="70"/>
      <c r="Q13" s="70"/>
      <c r="R13" s="70"/>
      <c r="S13" s="70"/>
      <c r="T13" s="70"/>
      <c r="U13" s="70"/>
      <c r="V13" s="70"/>
      <c r="W13" s="70"/>
      <c r="X13" s="70"/>
      <c r="Y13" s="70"/>
      <c r="Z13" s="70"/>
      <c r="AA13" s="70"/>
      <c r="AB13" s="70"/>
    </row>
    <row r="14" spans="1:28">
      <c r="A14" s="75">
        <v>2</v>
      </c>
      <c r="B14" s="70"/>
      <c r="C14" s="106">
        <v>70</v>
      </c>
      <c r="D14" s="107">
        <v>5</v>
      </c>
      <c r="E14" s="107">
        <v>0.5</v>
      </c>
      <c r="F14" s="212">
        <v>13</v>
      </c>
      <c r="G14" s="143">
        <v>0.1</v>
      </c>
      <c r="H14" s="70"/>
      <c r="I14" s="106">
        <v>70</v>
      </c>
      <c r="J14" s="107">
        <v>3</v>
      </c>
      <c r="K14" s="107">
        <v>0.3</v>
      </c>
      <c r="L14" s="212">
        <v>13</v>
      </c>
      <c r="M14" s="143">
        <v>0.1</v>
      </c>
      <c r="N14" s="70"/>
      <c r="O14" s="70"/>
      <c r="P14" s="70"/>
      <c r="Q14" s="70"/>
      <c r="R14" s="70"/>
      <c r="S14" s="70"/>
      <c r="T14" s="70"/>
      <c r="U14" s="70"/>
      <c r="V14" s="70"/>
      <c r="W14" s="70"/>
      <c r="X14" s="70"/>
      <c r="Y14" s="70"/>
      <c r="Z14" s="70"/>
      <c r="AA14" s="70"/>
      <c r="AB14" s="70"/>
    </row>
    <row r="15" spans="1:28">
      <c r="A15" s="75">
        <v>3</v>
      </c>
      <c r="B15" s="70"/>
      <c r="C15" s="106">
        <v>100</v>
      </c>
      <c r="D15" s="105">
        <v>3</v>
      </c>
      <c r="E15" s="105">
        <v>0.3</v>
      </c>
      <c r="F15" s="212">
        <v>17</v>
      </c>
      <c r="G15" s="133">
        <v>0.8</v>
      </c>
      <c r="H15" s="70"/>
      <c r="I15" s="106">
        <v>100</v>
      </c>
      <c r="J15" s="105">
        <v>2</v>
      </c>
      <c r="K15" s="105">
        <v>0.2</v>
      </c>
      <c r="L15" s="212">
        <v>17</v>
      </c>
      <c r="M15" s="133">
        <v>0.8</v>
      </c>
      <c r="N15" s="70"/>
      <c r="O15" s="70"/>
      <c r="P15" s="70"/>
      <c r="Q15" s="70"/>
      <c r="R15" s="70"/>
      <c r="S15" s="70"/>
      <c r="T15" s="70"/>
      <c r="U15" s="70"/>
      <c r="V15" s="70"/>
      <c r="W15" s="70"/>
      <c r="X15" s="70"/>
      <c r="Y15" s="70"/>
      <c r="Z15" s="70"/>
      <c r="AA15" s="70"/>
      <c r="AB15" s="70"/>
    </row>
    <row r="16" spans="1:28">
      <c r="A16" s="75">
        <v>4</v>
      </c>
      <c r="B16" s="70"/>
      <c r="C16" s="106"/>
      <c r="D16" s="107"/>
      <c r="E16" s="107"/>
      <c r="F16" s="212">
        <v>32</v>
      </c>
      <c r="G16" s="143">
        <v>1</v>
      </c>
      <c r="H16" s="70"/>
      <c r="I16" s="106"/>
      <c r="J16" s="107"/>
      <c r="K16" s="107"/>
      <c r="L16" s="212">
        <v>32</v>
      </c>
      <c r="M16" s="143">
        <v>1</v>
      </c>
      <c r="N16" s="70"/>
      <c r="O16" s="70"/>
      <c r="P16" s="70"/>
      <c r="Q16" s="70"/>
      <c r="R16" s="70"/>
      <c r="S16" s="70"/>
      <c r="T16" s="70"/>
      <c r="U16" s="70"/>
      <c r="V16" s="70"/>
      <c r="W16" s="70"/>
      <c r="X16" s="70"/>
      <c r="Y16" s="70"/>
      <c r="Z16" s="70"/>
      <c r="AA16" s="70"/>
      <c r="AB16" s="70"/>
    </row>
    <row r="17" spans="1:28">
      <c r="A17" s="75">
        <v>5</v>
      </c>
      <c r="B17" s="70"/>
      <c r="C17" s="106"/>
      <c r="D17" s="105"/>
      <c r="E17" s="105"/>
      <c r="F17" s="212"/>
      <c r="G17" s="133"/>
      <c r="H17" s="70"/>
      <c r="I17" s="106"/>
      <c r="J17" s="105"/>
      <c r="K17" s="105"/>
      <c r="L17" s="212"/>
      <c r="M17" s="133"/>
      <c r="N17" s="70"/>
      <c r="O17" s="70"/>
      <c r="P17" s="70"/>
      <c r="Q17" s="70"/>
      <c r="R17" s="70"/>
      <c r="S17" s="70"/>
      <c r="T17" s="70"/>
      <c r="U17" s="70"/>
      <c r="V17" s="70"/>
      <c r="W17" s="70"/>
      <c r="X17" s="70"/>
      <c r="Y17" s="70"/>
      <c r="Z17" s="70"/>
      <c r="AA17" s="70"/>
      <c r="AB17" s="70"/>
    </row>
    <row r="18" spans="1:28">
      <c r="A18" s="75">
        <v>6</v>
      </c>
      <c r="B18" s="70"/>
      <c r="C18" s="106"/>
      <c r="D18" s="107"/>
      <c r="E18" s="107"/>
      <c r="F18" s="212"/>
      <c r="G18" s="143"/>
      <c r="H18" s="70"/>
      <c r="I18" s="106"/>
      <c r="J18" s="107"/>
      <c r="K18" s="107"/>
      <c r="L18" s="212"/>
      <c r="M18" s="143"/>
      <c r="N18" s="70"/>
      <c r="O18" s="70"/>
      <c r="P18" s="70"/>
      <c r="Q18" s="70"/>
      <c r="R18" s="70"/>
      <c r="S18" s="70"/>
      <c r="T18" s="70"/>
      <c r="U18" s="70"/>
      <c r="V18" s="70"/>
      <c r="W18" s="70"/>
      <c r="X18" s="70"/>
      <c r="Y18" s="70"/>
      <c r="Z18" s="70"/>
      <c r="AA18" s="70"/>
      <c r="AB18" s="70"/>
    </row>
    <row r="19" spans="1:28">
      <c r="A19" s="75">
        <v>7</v>
      </c>
      <c r="B19" s="70"/>
      <c r="C19" s="106"/>
      <c r="D19" s="105"/>
      <c r="E19" s="105"/>
      <c r="F19" s="212"/>
      <c r="G19" s="133"/>
      <c r="H19" s="70"/>
      <c r="I19" s="106"/>
      <c r="J19" s="105"/>
      <c r="K19" s="105"/>
      <c r="L19" s="212"/>
      <c r="M19" s="133"/>
      <c r="N19" s="70"/>
      <c r="O19" s="70"/>
      <c r="P19" s="70"/>
      <c r="Q19" s="70"/>
      <c r="R19" s="70"/>
      <c r="S19" s="70"/>
      <c r="T19" s="70"/>
      <c r="U19" s="70"/>
      <c r="V19" s="70"/>
      <c r="W19" s="70"/>
      <c r="X19" s="70"/>
      <c r="Y19" s="70"/>
      <c r="Z19" s="70"/>
      <c r="AA19" s="70"/>
      <c r="AB19" s="70"/>
    </row>
    <row r="20" spans="1:28">
      <c r="A20" s="75">
        <v>8</v>
      </c>
      <c r="B20" s="70"/>
      <c r="C20" s="106"/>
      <c r="D20" s="107"/>
      <c r="E20" s="107"/>
      <c r="F20" s="212"/>
      <c r="G20" s="143"/>
      <c r="H20" s="70"/>
      <c r="I20" s="106"/>
      <c r="J20" s="107"/>
      <c r="K20" s="107"/>
      <c r="L20" s="212"/>
      <c r="M20" s="143"/>
      <c r="N20" s="70"/>
      <c r="O20" s="70"/>
      <c r="P20" s="70"/>
      <c r="Q20" s="70"/>
      <c r="R20" s="70"/>
      <c r="S20" s="70"/>
      <c r="T20" s="70"/>
      <c r="U20" s="70"/>
      <c r="V20" s="70"/>
      <c r="W20" s="70"/>
      <c r="X20" s="70"/>
      <c r="Y20" s="70"/>
      <c r="Z20" s="70"/>
      <c r="AA20" s="70"/>
      <c r="AB20" s="70"/>
    </row>
    <row r="21" spans="1:28">
      <c r="A21" s="75">
        <v>9</v>
      </c>
      <c r="B21" s="70"/>
      <c r="C21" s="106"/>
      <c r="D21" s="105"/>
      <c r="E21" s="105"/>
      <c r="F21" s="212"/>
      <c r="G21" s="133"/>
      <c r="H21" s="70"/>
      <c r="I21" s="106"/>
      <c r="J21" s="105"/>
      <c r="K21" s="105"/>
      <c r="L21" s="212"/>
      <c r="M21" s="133"/>
      <c r="N21" s="70"/>
      <c r="O21" s="70"/>
      <c r="P21" s="70"/>
      <c r="Q21" s="70"/>
      <c r="R21" s="70"/>
      <c r="S21" s="70"/>
      <c r="T21" s="70"/>
      <c r="U21" s="70"/>
      <c r="V21" s="70"/>
      <c r="W21" s="70"/>
      <c r="X21" s="70"/>
      <c r="Y21" s="70"/>
      <c r="Z21" s="70"/>
      <c r="AA21" s="70"/>
      <c r="AB21" s="70"/>
    </row>
    <row r="22" spans="1:28">
      <c r="A22" s="75">
        <v>10</v>
      </c>
      <c r="B22" s="70"/>
      <c r="C22" s="106"/>
      <c r="D22" s="107"/>
      <c r="E22" s="107"/>
      <c r="F22" s="212"/>
      <c r="G22" s="143"/>
      <c r="H22" s="70"/>
      <c r="I22" s="106"/>
      <c r="J22" s="107"/>
      <c r="K22" s="107"/>
      <c r="L22" s="212"/>
      <c r="M22" s="143"/>
      <c r="N22" s="70"/>
      <c r="O22" s="70"/>
      <c r="P22" s="70"/>
      <c r="Q22" s="70"/>
      <c r="R22" s="70"/>
      <c r="S22" s="70"/>
      <c r="T22" s="70"/>
      <c r="U22" s="70"/>
      <c r="V22" s="70"/>
      <c r="W22" s="70"/>
      <c r="X22" s="70"/>
      <c r="Y22" s="70"/>
      <c r="Z22" s="70"/>
      <c r="AA22" s="70"/>
      <c r="AB22" s="70"/>
    </row>
    <row r="23" spans="1:28">
      <c r="A23" s="75">
        <v>11</v>
      </c>
      <c r="B23" s="70"/>
      <c r="C23" s="106"/>
      <c r="D23" s="105"/>
      <c r="E23" s="105"/>
      <c r="F23" s="212"/>
      <c r="G23" s="133"/>
      <c r="H23" s="70"/>
      <c r="I23" s="106"/>
      <c r="J23" s="105"/>
      <c r="K23" s="105"/>
      <c r="L23" s="212"/>
      <c r="M23" s="133"/>
      <c r="N23" s="70"/>
      <c r="O23" s="70"/>
      <c r="P23" s="70"/>
      <c r="Q23" s="70"/>
      <c r="R23" s="70"/>
      <c r="S23" s="70"/>
      <c r="T23" s="70"/>
      <c r="U23" s="70"/>
      <c r="V23" s="70"/>
      <c r="W23" s="70"/>
      <c r="X23" s="70"/>
      <c r="Y23" s="70"/>
      <c r="Z23" s="70"/>
      <c r="AA23" s="70"/>
      <c r="AB23" s="70"/>
    </row>
    <row r="24" spans="1:28">
      <c r="A24" s="75">
        <v>12</v>
      </c>
      <c r="B24" s="70"/>
      <c r="C24" s="106"/>
      <c r="D24" s="107"/>
      <c r="E24" s="107"/>
      <c r="F24" s="212"/>
      <c r="G24" s="143"/>
      <c r="H24" s="70"/>
      <c r="I24" s="106"/>
      <c r="J24" s="107"/>
      <c r="K24" s="107"/>
      <c r="L24" s="212"/>
      <c r="M24" s="143"/>
      <c r="N24" s="70"/>
      <c r="O24" s="70"/>
      <c r="P24" s="70"/>
      <c r="Q24" s="70"/>
      <c r="R24" s="70"/>
      <c r="S24" s="70"/>
      <c r="T24" s="70"/>
      <c r="U24" s="70"/>
      <c r="V24" s="70"/>
      <c r="W24" s="70"/>
      <c r="X24" s="70"/>
      <c r="Y24" s="70"/>
      <c r="Z24" s="70"/>
      <c r="AA24" s="70"/>
      <c r="AB24" s="70"/>
    </row>
    <row r="25" spans="1:28">
      <c r="A25" s="75">
        <v>13</v>
      </c>
      <c r="B25" s="70"/>
      <c r="C25" s="106"/>
      <c r="D25" s="105"/>
      <c r="E25" s="105"/>
      <c r="F25" s="212"/>
      <c r="G25" s="133"/>
      <c r="H25" s="70"/>
      <c r="I25" s="106"/>
      <c r="J25" s="105"/>
      <c r="K25" s="105"/>
      <c r="L25" s="212"/>
      <c r="M25" s="133"/>
      <c r="N25" s="70"/>
      <c r="O25" s="70"/>
      <c r="P25" s="70"/>
      <c r="Q25" s="70"/>
      <c r="R25" s="70"/>
      <c r="S25" s="70"/>
      <c r="T25" s="70"/>
      <c r="U25" s="70"/>
      <c r="V25" s="70"/>
      <c r="W25" s="70"/>
      <c r="X25" s="70"/>
      <c r="Y25" s="70"/>
      <c r="Z25" s="70"/>
      <c r="AA25" s="70"/>
      <c r="AB25" s="70"/>
    </row>
    <row r="26" spans="1:28">
      <c r="A26" s="75">
        <v>14</v>
      </c>
      <c r="B26" s="70"/>
      <c r="C26" s="106"/>
      <c r="D26" s="107"/>
      <c r="E26" s="107"/>
      <c r="F26" s="212"/>
      <c r="G26" s="143"/>
      <c r="H26" s="70"/>
      <c r="I26" s="106"/>
      <c r="J26" s="107"/>
      <c r="K26" s="107"/>
      <c r="L26" s="212"/>
      <c r="M26" s="143"/>
      <c r="N26" s="70"/>
      <c r="O26" s="70"/>
      <c r="P26" s="70"/>
      <c r="Q26" s="70"/>
      <c r="R26" s="70"/>
      <c r="S26" s="70"/>
      <c r="T26" s="70"/>
      <c r="U26" s="70"/>
      <c r="V26" s="70"/>
      <c r="W26" s="70"/>
      <c r="X26" s="70"/>
      <c r="Y26" s="70"/>
      <c r="Z26" s="70"/>
      <c r="AA26" s="70"/>
      <c r="AB26" s="70"/>
    </row>
    <row r="27" spans="1:28">
      <c r="A27" s="75">
        <v>15</v>
      </c>
      <c r="B27" s="70"/>
      <c r="C27" s="106"/>
      <c r="D27" s="105"/>
      <c r="E27" s="105"/>
      <c r="F27" s="212"/>
      <c r="G27" s="133"/>
      <c r="H27" s="70"/>
      <c r="I27" s="106"/>
      <c r="J27" s="105"/>
      <c r="K27" s="105"/>
      <c r="L27" s="212"/>
      <c r="M27" s="133"/>
      <c r="N27" s="70"/>
      <c r="O27" s="70"/>
      <c r="P27" s="70"/>
      <c r="Q27" s="70"/>
      <c r="R27" s="70"/>
      <c r="S27" s="70"/>
      <c r="T27" s="70"/>
      <c r="U27" s="70"/>
      <c r="V27" s="70"/>
      <c r="W27" s="70"/>
      <c r="X27" s="70"/>
      <c r="Y27" s="70"/>
      <c r="Z27" s="70"/>
      <c r="AA27" s="70"/>
      <c r="AB27" s="70"/>
    </row>
    <row r="28" spans="1:28">
      <c r="A28" s="75">
        <v>16</v>
      </c>
      <c r="B28" s="70"/>
      <c r="C28" s="106"/>
      <c r="D28" s="107"/>
      <c r="E28" s="107"/>
      <c r="F28" s="212"/>
      <c r="G28" s="143"/>
      <c r="H28" s="70"/>
      <c r="I28" s="106"/>
      <c r="J28" s="107"/>
      <c r="K28" s="107"/>
      <c r="L28" s="212"/>
      <c r="M28" s="143"/>
      <c r="N28" s="70"/>
      <c r="O28" s="70"/>
      <c r="P28" s="70"/>
      <c r="Q28" s="70"/>
      <c r="R28" s="70"/>
      <c r="S28" s="70"/>
      <c r="T28" s="70"/>
      <c r="U28" s="70"/>
      <c r="V28" s="70"/>
      <c r="W28" s="70"/>
      <c r="X28" s="70"/>
      <c r="Y28" s="70"/>
      <c r="Z28" s="70"/>
      <c r="AA28" s="70"/>
      <c r="AB28" s="70"/>
    </row>
    <row r="29" spans="1:28">
      <c r="A29" s="75">
        <v>17</v>
      </c>
      <c r="B29" s="70"/>
      <c r="C29" s="106"/>
      <c r="D29" s="105"/>
      <c r="E29" s="105"/>
      <c r="F29" s="212"/>
      <c r="G29" s="133"/>
      <c r="H29" s="70"/>
      <c r="I29" s="106"/>
      <c r="J29" s="105"/>
      <c r="K29" s="105"/>
      <c r="L29" s="212"/>
      <c r="M29" s="133"/>
      <c r="N29" s="70"/>
      <c r="O29" s="70"/>
      <c r="P29" s="70"/>
      <c r="Q29" s="70"/>
      <c r="R29" s="70"/>
      <c r="S29" s="70"/>
      <c r="T29" s="70"/>
      <c r="U29" s="70"/>
      <c r="V29" s="70"/>
      <c r="W29" s="70"/>
      <c r="X29" s="70"/>
      <c r="Y29" s="70"/>
      <c r="Z29" s="70"/>
      <c r="AA29" s="70"/>
      <c r="AB29" s="70"/>
    </row>
    <row r="30" spans="1:28">
      <c r="A30" s="75">
        <v>18</v>
      </c>
      <c r="B30" s="70"/>
      <c r="C30" s="106"/>
      <c r="D30" s="107"/>
      <c r="E30" s="107"/>
      <c r="F30" s="212"/>
      <c r="G30" s="143"/>
      <c r="H30" s="70"/>
      <c r="I30" s="106"/>
      <c r="J30" s="107"/>
      <c r="K30" s="107"/>
      <c r="L30" s="212"/>
      <c r="M30" s="143"/>
      <c r="N30" s="70"/>
      <c r="O30" s="70"/>
      <c r="P30" s="70"/>
      <c r="Q30" s="70"/>
      <c r="R30" s="70"/>
      <c r="S30" s="70"/>
      <c r="T30" s="70"/>
      <c r="U30" s="70"/>
      <c r="V30" s="70"/>
      <c r="W30" s="70"/>
      <c r="X30" s="70"/>
      <c r="Y30" s="70"/>
      <c r="Z30" s="70"/>
      <c r="AA30" s="70"/>
      <c r="AB30" s="70"/>
    </row>
    <row r="31" spans="1:28">
      <c r="A31" s="75">
        <v>19</v>
      </c>
      <c r="B31" s="70"/>
      <c r="C31" s="106"/>
      <c r="D31" s="105"/>
      <c r="E31" s="105"/>
      <c r="F31" s="212"/>
      <c r="G31" s="133"/>
      <c r="H31" s="70"/>
      <c r="I31" s="106"/>
      <c r="J31" s="105"/>
      <c r="K31" s="105"/>
      <c r="L31" s="212"/>
      <c r="M31" s="133"/>
      <c r="N31" s="70"/>
      <c r="O31" s="70"/>
      <c r="P31" s="70"/>
      <c r="Q31" s="70"/>
      <c r="R31" s="70"/>
      <c r="S31" s="70"/>
      <c r="T31" s="70"/>
      <c r="U31" s="70"/>
      <c r="V31" s="70"/>
      <c r="W31" s="70"/>
      <c r="X31" s="70"/>
      <c r="Y31" s="70"/>
      <c r="Z31" s="70"/>
      <c r="AA31" s="70"/>
      <c r="AB31" s="70"/>
    </row>
    <row r="32" spans="1:28">
      <c r="A32" s="75">
        <v>20</v>
      </c>
      <c r="B32" s="70"/>
      <c r="C32" s="106"/>
      <c r="D32" s="107"/>
      <c r="E32" s="107"/>
      <c r="F32" s="212"/>
      <c r="G32" s="143"/>
      <c r="H32" s="70"/>
      <c r="I32" s="106"/>
      <c r="J32" s="107"/>
      <c r="K32" s="107"/>
      <c r="L32" s="212"/>
      <c r="M32" s="143"/>
      <c r="N32" s="70"/>
      <c r="O32" s="70"/>
      <c r="P32" s="70"/>
      <c r="Q32" s="70"/>
      <c r="R32" s="70"/>
      <c r="S32" s="70"/>
      <c r="T32" s="70"/>
      <c r="U32" s="70"/>
      <c r="V32" s="70"/>
      <c r="W32" s="70"/>
      <c r="X32" s="70"/>
      <c r="Y32" s="70"/>
      <c r="Z32" s="70"/>
      <c r="AA32" s="70"/>
      <c r="AB32" s="70"/>
    </row>
    <row r="33" spans="1:28">
      <c r="A33" s="75">
        <v>21</v>
      </c>
      <c r="B33" s="70"/>
      <c r="C33" s="106"/>
      <c r="D33" s="105"/>
      <c r="E33" s="105"/>
      <c r="F33" s="212"/>
      <c r="G33" s="133"/>
      <c r="H33" s="70"/>
      <c r="I33" s="106"/>
      <c r="J33" s="105"/>
      <c r="K33" s="105"/>
      <c r="L33" s="212"/>
      <c r="M33" s="133"/>
      <c r="N33" s="70"/>
      <c r="O33" s="70"/>
      <c r="P33" s="70"/>
      <c r="Q33" s="70"/>
      <c r="R33" s="70"/>
      <c r="S33" s="70"/>
      <c r="T33" s="70"/>
      <c r="U33" s="70"/>
      <c r="V33" s="70"/>
      <c r="W33" s="70"/>
      <c r="X33" s="70"/>
      <c r="Y33" s="70"/>
      <c r="Z33" s="70"/>
      <c r="AA33" s="70"/>
      <c r="AB33" s="70"/>
    </row>
    <row r="34" spans="1:28">
      <c r="A34" s="75">
        <v>22</v>
      </c>
      <c r="B34" s="70"/>
      <c r="C34" s="106"/>
      <c r="D34" s="107"/>
      <c r="E34" s="107"/>
      <c r="F34" s="212"/>
      <c r="G34" s="143"/>
      <c r="H34" s="70"/>
      <c r="I34" s="106"/>
      <c r="J34" s="107"/>
      <c r="K34" s="107"/>
      <c r="L34" s="212"/>
      <c r="M34" s="143"/>
      <c r="N34" s="70"/>
      <c r="O34" s="70"/>
      <c r="P34" s="70"/>
      <c r="Q34" s="70"/>
      <c r="R34" s="70"/>
      <c r="S34" s="70"/>
      <c r="T34" s="70"/>
      <c r="U34" s="70"/>
      <c r="V34" s="70"/>
      <c r="W34" s="70"/>
      <c r="X34" s="70"/>
      <c r="Y34" s="70"/>
      <c r="Z34" s="70"/>
      <c r="AA34" s="70"/>
      <c r="AB34" s="70"/>
    </row>
    <row r="35" spans="1:28">
      <c r="A35" s="75">
        <v>23</v>
      </c>
      <c r="B35" s="70"/>
      <c r="C35" s="106"/>
      <c r="D35" s="105"/>
      <c r="E35" s="105"/>
      <c r="F35" s="212"/>
      <c r="G35" s="133"/>
      <c r="H35" s="70"/>
      <c r="I35" s="106"/>
      <c r="J35" s="105"/>
      <c r="K35" s="105"/>
      <c r="L35" s="212"/>
      <c r="M35" s="133"/>
      <c r="N35" s="70"/>
      <c r="O35" s="70"/>
      <c r="P35" s="70"/>
      <c r="Q35" s="70"/>
      <c r="R35" s="70"/>
      <c r="S35" s="70"/>
      <c r="T35" s="70"/>
      <c r="U35" s="70"/>
      <c r="V35" s="70"/>
      <c r="W35" s="70"/>
      <c r="X35" s="70"/>
      <c r="Y35" s="70"/>
      <c r="Z35" s="70"/>
      <c r="AA35" s="70"/>
      <c r="AB35" s="70"/>
    </row>
    <row r="36" spans="1:28">
      <c r="A36" s="75">
        <v>24</v>
      </c>
      <c r="B36" s="70"/>
      <c r="C36" s="106"/>
      <c r="D36" s="107"/>
      <c r="E36" s="107"/>
      <c r="F36" s="212"/>
      <c r="G36" s="143"/>
      <c r="H36" s="70"/>
      <c r="I36" s="106"/>
      <c r="J36" s="107"/>
      <c r="K36" s="107"/>
      <c r="L36" s="212"/>
      <c r="M36" s="143"/>
      <c r="N36" s="70"/>
      <c r="O36" s="70"/>
      <c r="P36" s="70"/>
      <c r="Q36" s="70"/>
      <c r="R36" s="70"/>
      <c r="S36" s="70"/>
      <c r="T36" s="70"/>
      <c r="U36" s="70"/>
      <c r="V36" s="70"/>
      <c r="W36" s="70"/>
      <c r="X36" s="70"/>
      <c r="Y36" s="70"/>
      <c r="Z36" s="70"/>
      <c r="AA36" s="70"/>
      <c r="AB36" s="70"/>
    </row>
    <row r="37" spans="1:28">
      <c r="A37" s="75">
        <v>25</v>
      </c>
      <c r="B37" s="70"/>
      <c r="C37" s="106"/>
      <c r="D37" s="105"/>
      <c r="E37" s="105"/>
      <c r="F37" s="212"/>
      <c r="G37" s="133"/>
      <c r="H37" s="70"/>
      <c r="I37" s="106"/>
      <c r="J37" s="105"/>
      <c r="K37" s="105"/>
      <c r="L37" s="212"/>
      <c r="M37" s="133"/>
      <c r="N37" s="70"/>
      <c r="O37" s="70"/>
      <c r="P37" s="70"/>
      <c r="Q37" s="70"/>
      <c r="R37" s="70"/>
      <c r="S37" s="70"/>
      <c r="T37" s="70"/>
      <c r="U37" s="70"/>
      <c r="V37" s="70"/>
      <c r="W37" s="70"/>
      <c r="X37" s="70"/>
      <c r="Y37" s="70"/>
      <c r="Z37" s="70"/>
      <c r="AA37" s="70"/>
      <c r="AB37" s="70"/>
    </row>
    <row r="38" spans="1:28">
      <c r="A38" s="70"/>
      <c r="B38" s="70"/>
      <c r="C38" s="70"/>
      <c r="D38" s="70"/>
      <c r="E38" s="70"/>
      <c r="F38" s="125"/>
      <c r="G38" s="125"/>
      <c r="H38" s="70"/>
      <c r="I38" s="70"/>
      <c r="J38" s="70"/>
      <c r="K38" s="70"/>
      <c r="L38" s="125"/>
      <c r="M38" s="125"/>
      <c r="N38" s="70"/>
      <c r="O38" s="70"/>
      <c r="P38" s="70"/>
      <c r="Q38" s="70"/>
      <c r="R38" s="70"/>
      <c r="S38" s="70"/>
      <c r="T38" s="70"/>
      <c r="U38" s="70"/>
      <c r="V38" s="70"/>
      <c r="W38" s="70"/>
      <c r="X38" s="70"/>
      <c r="Y38" s="70"/>
      <c r="Z38" s="70"/>
      <c r="AA38" s="70"/>
      <c r="AB38" s="70"/>
    </row>
    <row r="39" spans="1:28">
      <c r="A39" s="70"/>
      <c r="B39" s="70"/>
      <c r="C39" s="70"/>
      <c r="D39" s="70"/>
      <c r="E39" s="70"/>
      <c r="F39" s="125"/>
      <c r="G39" s="125"/>
      <c r="H39" s="70"/>
      <c r="I39" s="70"/>
      <c r="J39" s="70"/>
      <c r="K39" s="70"/>
      <c r="L39" s="125"/>
      <c r="M39" s="125"/>
      <c r="N39" s="70"/>
      <c r="O39" s="70"/>
      <c r="P39" s="70"/>
      <c r="Q39" s="70"/>
      <c r="R39" s="70"/>
      <c r="S39" s="70"/>
      <c r="T39" s="70"/>
      <c r="U39" s="70"/>
      <c r="V39" s="70"/>
      <c r="W39" s="70"/>
      <c r="X39" s="70"/>
      <c r="Y39" s="70"/>
      <c r="Z39" s="70"/>
      <c r="AA39" s="70"/>
      <c r="AB39" s="70"/>
    </row>
    <row r="40" spans="1:28">
      <c r="A40" s="70"/>
      <c r="B40" s="70"/>
      <c r="C40" s="70"/>
      <c r="D40" s="70"/>
      <c r="E40" s="70"/>
      <c r="F40" s="125"/>
      <c r="G40" s="125"/>
      <c r="H40" s="70"/>
      <c r="I40" s="70"/>
      <c r="J40" s="70"/>
      <c r="K40" s="70"/>
      <c r="L40" s="125"/>
      <c r="M40" s="125"/>
      <c r="N40" s="70"/>
      <c r="O40" s="70"/>
      <c r="P40" s="70"/>
      <c r="Q40" s="70"/>
      <c r="R40" s="70"/>
      <c r="S40" s="70"/>
      <c r="T40" s="70"/>
      <c r="U40" s="70"/>
      <c r="V40" s="70"/>
      <c r="W40" s="70"/>
      <c r="X40" s="70"/>
      <c r="Y40" s="70"/>
      <c r="Z40" s="70"/>
      <c r="AA40" s="70"/>
      <c r="AB40" s="70"/>
    </row>
    <row r="41" spans="1:28">
      <c r="A41" s="70"/>
      <c r="B41" s="70"/>
      <c r="C41" s="70"/>
      <c r="D41" s="70"/>
      <c r="E41" s="70"/>
      <c r="F41" s="125"/>
      <c r="G41" s="125"/>
      <c r="H41" s="70"/>
      <c r="I41" s="70"/>
      <c r="J41" s="70"/>
      <c r="K41" s="70"/>
      <c r="L41" s="125"/>
      <c r="M41" s="125"/>
      <c r="N41" s="70"/>
      <c r="O41" s="70"/>
      <c r="P41" s="70"/>
      <c r="Q41" s="70"/>
      <c r="R41" s="70"/>
      <c r="S41" s="70"/>
      <c r="T41" s="70"/>
      <c r="U41" s="70"/>
      <c r="V41" s="70"/>
      <c r="W41" s="70"/>
      <c r="X41" s="70"/>
      <c r="Y41" s="70"/>
      <c r="Z41" s="70"/>
      <c r="AA41" s="70"/>
      <c r="AB41" s="70"/>
    </row>
    <row r="42" spans="1:28">
      <c r="A42" s="70"/>
      <c r="B42" s="70"/>
      <c r="C42" s="70"/>
      <c r="D42" s="70"/>
      <c r="E42" s="70"/>
      <c r="F42" s="125"/>
      <c r="G42" s="125"/>
      <c r="H42" s="70"/>
      <c r="I42" s="70"/>
      <c r="J42" s="70"/>
      <c r="K42" s="70"/>
      <c r="L42" s="125"/>
      <c r="M42" s="125"/>
      <c r="N42" s="70"/>
      <c r="O42" s="70"/>
      <c r="P42" s="70"/>
      <c r="Q42" s="70"/>
      <c r="R42" s="70"/>
      <c r="S42" s="70"/>
      <c r="T42" s="70"/>
      <c r="U42" s="70"/>
      <c r="V42" s="70"/>
      <c r="W42" s="70"/>
      <c r="X42" s="70"/>
      <c r="Y42" s="70"/>
      <c r="Z42" s="70"/>
      <c r="AA42" s="70"/>
      <c r="AB42" s="70"/>
    </row>
    <row r="43" spans="1:28">
      <c r="A43" s="70"/>
      <c r="B43" s="70"/>
      <c r="C43" s="70"/>
      <c r="D43" s="70"/>
      <c r="E43" s="70"/>
      <c r="F43" s="125"/>
      <c r="G43" s="125"/>
      <c r="H43" s="70"/>
      <c r="I43" s="70"/>
      <c r="J43" s="70"/>
      <c r="K43" s="70"/>
      <c r="L43" s="125"/>
      <c r="M43" s="125"/>
      <c r="N43" s="70"/>
      <c r="O43" s="70"/>
      <c r="P43" s="70"/>
      <c r="Q43" s="70"/>
      <c r="R43" s="70"/>
      <c r="S43" s="70"/>
      <c r="T43" s="70"/>
      <c r="U43" s="70"/>
      <c r="V43" s="70"/>
      <c r="W43" s="70"/>
      <c r="X43" s="70"/>
      <c r="Y43" s="70"/>
      <c r="Z43" s="70"/>
      <c r="AA43" s="70"/>
      <c r="AB43" s="70"/>
    </row>
    <row r="44" spans="1:28">
      <c r="A44" s="70"/>
      <c r="B44" s="70"/>
      <c r="C44" s="70"/>
      <c r="D44" s="70"/>
      <c r="E44" s="70"/>
      <c r="F44" s="125"/>
      <c r="G44" s="125"/>
      <c r="H44" s="70"/>
      <c r="I44" s="70"/>
      <c r="J44" s="70"/>
      <c r="K44" s="70"/>
      <c r="L44" s="125"/>
      <c r="M44" s="125"/>
      <c r="N44" s="70"/>
      <c r="O44" s="70"/>
      <c r="P44" s="70"/>
      <c r="Q44" s="70"/>
      <c r="R44" s="70"/>
      <c r="S44" s="70"/>
      <c r="T44" s="70"/>
      <c r="U44" s="70"/>
      <c r="V44" s="70"/>
      <c r="W44" s="70"/>
      <c r="X44" s="70"/>
      <c r="Y44" s="70"/>
      <c r="Z44" s="70"/>
      <c r="AA44" s="70"/>
      <c r="AB44" s="70"/>
    </row>
    <row r="45" spans="1:28">
      <c r="A45" s="70"/>
      <c r="B45" s="70"/>
      <c r="C45" s="70"/>
      <c r="D45" s="70"/>
      <c r="E45" s="70"/>
      <c r="F45" s="125"/>
      <c r="G45" s="125"/>
      <c r="H45" s="70"/>
      <c r="I45" s="70"/>
      <c r="J45" s="70"/>
      <c r="K45" s="70"/>
      <c r="L45" s="125"/>
      <c r="M45" s="125"/>
      <c r="N45" s="70"/>
      <c r="O45" s="70"/>
      <c r="P45" s="70"/>
      <c r="Q45" s="70"/>
      <c r="R45" s="70"/>
      <c r="S45" s="70"/>
      <c r="T45" s="70"/>
      <c r="U45" s="70"/>
      <c r="V45" s="70"/>
      <c r="W45" s="70"/>
      <c r="X45" s="70"/>
      <c r="Y45" s="70"/>
      <c r="Z45" s="70"/>
      <c r="AA45" s="70"/>
      <c r="AB45" s="70"/>
    </row>
    <row r="46" spans="1:28">
      <c r="A46" s="70"/>
      <c r="B46" s="70"/>
      <c r="C46" s="70"/>
      <c r="D46" s="70"/>
      <c r="E46" s="70"/>
      <c r="F46" s="125"/>
      <c r="G46" s="125"/>
      <c r="H46" s="70"/>
      <c r="I46" s="70"/>
      <c r="J46" s="70"/>
      <c r="K46" s="70"/>
      <c r="L46" s="125"/>
      <c r="M46" s="125"/>
      <c r="N46" s="70"/>
      <c r="O46" s="70"/>
      <c r="P46" s="70"/>
      <c r="Q46" s="70"/>
      <c r="R46" s="70"/>
      <c r="S46" s="70"/>
      <c r="T46" s="70"/>
      <c r="U46" s="70"/>
      <c r="V46" s="70"/>
      <c r="W46" s="70"/>
      <c r="X46" s="70"/>
      <c r="Y46" s="70"/>
      <c r="Z46" s="70"/>
      <c r="AA46" s="70"/>
      <c r="AB46" s="70"/>
    </row>
    <row r="47" spans="1:28">
      <c r="A47" s="70"/>
      <c r="B47" s="70"/>
      <c r="C47" s="70"/>
      <c r="D47" s="70"/>
      <c r="E47" s="70"/>
      <c r="F47" s="125"/>
      <c r="G47" s="125"/>
      <c r="H47" s="70"/>
      <c r="I47" s="70"/>
      <c r="J47" s="70"/>
      <c r="K47" s="70"/>
      <c r="L47" s="125"/>
      <c r="M47" s="125"/>
      <c r="N47" s="70"/>
      <c r="O47" s="70"/>
      <c r="P47" s="70"/>
      <c r="Q47" s="70"/>
      <c r="R47" s="70"/>
      <c r="S47" s="70"/>
      <c r="T47" s="70"/>
      <c r="U47" s="70"/>
      <c r="V47" s="70"/>
      <c r="W47" s="70"/>
      <c r="X47" s="70"/>
      <c r="Y47" s="70"/>
      <c r="Z47" s="70"/>
      <c r="AA47" s="70"/>
      <c r="AB47" s="70"/>
    </row>
    <row r="48" spans="1:28">
      <c r="A48" s="70"/>
      <c r="B48" s="70"/>
      <c r="C48" s="70"/>
      <c r="D48" s="70"/>
      <c r="E48" s="70"/>
      <c r="F48" s="125"/>
      <c r="G48" s="125"/>
      <c r="H48" s="70"/>
      <c r="I48" s="70"/>
      <c r="J48" s="70"/>
      <c r="K48" s="70"/>
      <c r="L48" s="125"/>
      <c r="M48" s="125"/>
      <c r="N48" s="70"/>
      <c r="O48" s="70"/>
      <c r="P48" s="70"/>
      <c r="Q48" s="70"/>
      <c r="R48" s="70"/>
      <c r="S48" s="70"/>
      <c r="T48" s="70"/>
      <c r="U48" s="70"/>
      <c r="V48" s="70"/>
      <c r="W48" s="70"/>
      <c r="X48" s="70"/>
      <c r="Y48" s="70"/>
      <c r="Z48" s="70"/>
      <c r="AA48" s="70"/>
      <c r="AB48" s="70"/>
    </row>
    <row r="49" spans="1:28">
      <c r="A49" s="70"/>
      <c r="B49" s="70"/>
      <c r="C49" s="70"/>
      <c r="D49" s="70"/>
      <c r="E49" s="70"/>
      <c r="F49" s="125"/>
      <c r="G49" s="125"/>
      <c r="H49" s="70"/>
      <c r="I49" s="70"/>
      <c r="J49" s="70"/>
      <c r="K49" s="70"/>
      <c r="L49" s="125"/>
      <c r="M49" s="125"/>
      <c r="N49" s="70"/>
      <c r="O49" s="70"/>
      <c r="P49" s="70"/>
      <c r="Q49" s="70"/>
      <c r="R49" s="70"/>
      <c r="S49" s="70"/>
      <c r="T49" s="70"/>
      <c r="U49" s="70"/>
      <c r="V49" s="70"/>
      <c r="W49" s="70"/>
      <c r="X49" s="70"/>
      <c r="Y49" s="70"/>
      <c r="Z49" s="70"/>
      <c r="AA49" s="70"/>
      <c r="AB49" s="70"/>
    </row>
    <row r="50" spans="1:28">
      <c r="A50" s="70"/>
      <c r="B50" s="70"/>
      <c r="C50" s="70"/>
      <c r="D50" s="70"/>
      <c r="E50" s="70"/>
      <c r="F50" s="125"/>
      <c r="G50" s="125"/>
      <c r="H50" s="70"/>
      <c r="I50" s="70"/>
      <c r="J50" s="70"/>
      <c r="K50" s="70"/>
      <c r="L50" s="125"/>
      <c r="M50" s="125"/>
      <c r="N50" s="70"/>
      <c r="O50" s="70"/>
      <c r="P50" s="70"/>
      <c r="Q50" s="70"/>
      <c r="R50" s="70"/>
      <c r="S50" s="70"/>
      <c r="T50" s="70"/>
      <c r="U50" s="70"/>
      <c r="V50" s="70"/>
      <c r="W50" s="70"/>
      <c r="X50" s="70"/>
      <c r="Y50" s="70"/>
      <c r="Z50" s="70"/>
      <c r="AA50" s="70"/>
      <c r="AB50" s="70"/>
    </row>
    <row r="51" spans="1:28">
      <c r="A51" s="70"/>
      <c r="B51" s="70"/>
      <c r="C51" s="70"/>
      <c r="D51" s="70"/>
      <c r="E51" s="70"/>
      <c r="F51" s="125"/>
      <c r="G51" s="125"/>
      <c r="H51" s="70"/>
      <c r="I51" s="70"/>
      <c r="J51" s="70"/>
      <c r="K51" s="70"/>
      <c r="L51" s="125"/>
      <c r="M51" s="125"/>
      <c r="N51" s="70"/>
      <c r="O51" s="70"/>
      <c r="P51" s="70"/>
      <c r="Q51" s="70"/>
      <c r="R51" s="70"/>
      <c r="S51" s="70"/>
      <c r="T51" s="70"/>
      <c r="U51" s="70"/>
      <c r="V51" s="70"/>
      <c r="W51" s="70"/>
      <c r="X51" s="70"/>
      <c r="Y51" s="70"/>
      <c r="Z51" s="70"/>
      <c r="AA51" s="70"/>
      <c r="AB51" s="70"/>
    </row>
    <row r="52" spans="1:28">
      <c r="A52" s="70"/>
      <c r="B52" s="70"/>
      <c r="C52" s="70"/>
      <c r="D52" s="70"/>
      <c r="E52" s="70"/>
      <c r="F52" s="125"/>
      <c r="G52" s="125"/>
      <c r="H52" s="70"/>
      <c r="I52" s="70"/>
      <c r="J52" s="70"/>
      <c r="K52" s="70"/>
      <c r="L52" s="125"/>
      <c r="M52" s="125"/>
      <c r="N52" s="70"/>
      <c r="O52" s="70"/>
      <c r="P52" s="70"/>
      <c r="Q52" s="70"/>
      <c r="R52" s="70"/>
      <c r="S52" s="70"/>
      <c r="T52" s="70"/>
      <c r="U52" s="70"/>
      <c r="V52" s="70"/>
      <c r="W52" s="70"/>
      <c r="X52" s="70"/>
      <c r="Y52" s="70"/>
      <c r="Z52" s="70"/>
      <c r="AA52" s="70"/>
      <c r="AB52" s="70"/>
    </row>
    <row r="53" spans="1:28">
      <c r="A53" s="70"/>
      <c r="B53" s="70"/>
      <c r="C53" s="70"/>
      <c r="D53" s="70"/>
      <c r="E53" s="70"/>
      <c r="F53" s="125"/>
      <c r="G53" s="125"/>
      <c r="H53" s="70"/>
      <c r="I53" s="70"/>
      <c r="J53" s="70"/>
      <c r="K53" s="70"/>
      <c r="L53" s="125"/>
      <c r="M53" s="125"/>
      <c r="N53" s="70"/>
      <c r="O53" s="70"/>
      <c r="P53" s="70"/>
      <c r="Q53" s="70"/>
      <c r="R53" s="70"/>
      <c r="S53" s="70"/>
      <c r="T53" s="70"/>
      <c r="U53" s="70"/>
      <c r="V53" s="70"/>
      <c r="W53" s="70"/>
      <c r="X53" s="70"/>
      <c r="Y53" s="70"/>
      <c r="Z53" s="70"/>
      <c r="AA53" s="70"/>
      <c r="AB53" s="70"/>
    </row>
    <row r="54" spans="1:28">
      <c r="A54" s="70"/>
      <c r="B54" s="70"/>
      <c r="C54" s="70"/>
      <c r="D54" s="70"/>
      <c r="E54" s="70"/>
      <c r="F54" s="125"/>
      <c r="G54" s="125"/>
      <c r="H54" s="70"/>
      <c r="I54" s="70"/>
      <c r="J54" s="70"/>
      <c r="K54" s="70"/>
      <c r="L54" s="125"/>
      <c r="M54" s="125"/>
      <c r="N54" s="70"/>
      <c r="O54" s="70"/>
      <c r="P54" s="70"/>
      <c r="Q54" s="70"/>
      <c r="R54" s="70"/>
      <c r="S54" s="70"/>
      <c r="T54" s="70"/>
      <c r="U54" s="70"/>
      <c r="V54" s="70"/>
      <c r="W54" s="70"/>
      <c r="X54" s="70"/>
      <c r="Y54" s="70"/>
      <c r="Z54" s="70"/>
      <c r="AA54" s="70"/>
      <c r="AB54" s="70"/>
    </row>
    <row r="55" spans="1:28">
      <c r="A55" s="70"/>
      <c r="B55" s="70"/>
      <c r="C55" s="70"/>
      <c r="D55" s="70"/>
      <c r="E55" s="70"/>
      <c r="F55" s="125"/>
      <c r="G55" s="125"/>
      <c r="H55" s="70"/>
      <c r="I55" s="70"/>
      <c r="J55" s="70"/>
      <c r="K55" s="70"/>
      <c r="L55" s="125"/>
      <c r="M55" s="125"/>
      <c r="N55" s="70"/>
      <c r="O55" s="70"/>
      <c r="P55" s="70"/>
      <c r="Q55" s="70"/>
      <c r="R55" s="70"/>
      <c r="S55" s="70"/>
      <c r="T55" s="70"/>
      <c r="U55" s="70"/>
      <c r="V55" s="70"/>
      <c r="W55" s="70"/>
      <c r="X55" s="70"/>
      <c r="Y55" s="70"/>
      <c r="Z55" s="70"/>
      <c r="AA55" s="70"/>
      <c r="AB55" s="70"/>
    </row>
    <row r="56" spans="1:28">
      <c r="A56" s="70"/>
      <c r="B56" s="70"/>
      <c r="C56" s="70"/>
      <c r="D56" s="70"/>
      <c r="E56" s="70"/>
      <c r="F56" s="125"/>
      <c r="G56" s="125"/>
      <c r="H56" s="70"/>
      <c r="I56" s="70"/>
      <c r="J56" s="70"/>
      <c r="K56" s="70"/>
      <c r="L56" s="125"/>
      <c r="M56" s="125"/>
      <c r="N56" s="70"/>
      <c r="O56" s="70"/>
      <c r="P56" s="70"/>
      <c r="Q56" s="70"/>
      <c r="R56" s="70"/>
      <c r="S56" s="70"/>
      <c r="T56" s="70"/>
      <c r="U56" s="70"/>
      <c r="V56" s="70"/>
      <c r="W56" s="70"/>
      <c r="X56" s="70"/>
      <c r="Y56" s="70"/>
      <c r="Z56" s="70"/>
      <c r="AA56" s="70"/>
      <c r="AB56" s="70"/>
    </row>
    <row r="57" spans="1:28">
      <c r="A57" s="70"/>
      <c r="B57" s="70"/>
      <c r="C57" s="70"/>
      <c r="D57" s="70"/>
      <c r="E57" s="70"/>
      <c r="F57" s="125"/>
      <c r="G57" s="125"/>
      <c r="H57" s="70"/>
      <c r="I57" s="70"/>
      <c r="J57" s="70"/>
      <c r="K57" s="70"/>
      <c r="L57" s="125"/>
      <c r="M57" s="125"/>
      <c r="N57" s="70"/>
      <c r="O57" s="70"/>
      <c r="P57" s="70"/>
      <c r="Q57" s="70"/>
      <c r="R57" s="70"/>
      <c r="S57" s="70"/>
      <c r="T57" s="70"/>
      <c r="U57" s="70"/>
      <c r="V57" s="70"/>
      <c r="W57" s="70"/>
      <c r="X57" s="70"/>
      <c r="Y57" s="70"/>
      <c r="Z57" s="70"/>
      <c r="AA57" s="70"/>
      <c r="AB57" s="70"/>
    </row>
  </sheetData>
  <mergeCells count="9">
    <mergeCell ref="C2:M2"/>
    <mergeCell ref="C7:G7"/>
    <mergeCell ref="I7:M7"/>
    <mergeCell ref="D6:E6"/>
    <mergeCell ref="C4:G4"/>
    <mergeCell ref="C5:G5"/>
    <mergeCell ref="I5:M5"/>
    <mergeCell ref="I4:M4"/>
    <mergeCell ref="J6:K6"/>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T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3" width="15.5703125" style="127" customWidth="1"/>
    <col min="4" max="5" width="11.7109375" style="127" customWidth="1"/>
    <col min="6" max="6" width="1.7109375" style="127" customWidth="1"/>
    <col min="7" max="11" width="11.7109375" style="127" customWidth="1"/>
    <col min="12" max="12" width="9" style="127" bestFit="1" customWidth="1"/>
    <col min="13" max="17" width="11.7109375" style="127" customWidth="1"/>
    <col min="18" max="18" width="10.140625" style="127" customWidth="1"/>
    <col min="19" max="19" width="14" style="127" bestFit="1" customWidth="1"/>
    <col min="20" max="20" width="1.7109375" style="127" customWidth="1"/>
    <col min="21" max="23" width="11.7109375" style="127" customWidth="1"/>
    <col min="24" max="24" width="1.7109375" style="127" customWidth="1"/>
    <col min="25" max="27" width="11.7109375" style="127" customWidth="1"/>
    <col min="28" max="28" width="1.7109375" style="127" customWidth="1"/>
    <col min="29" max="35" width="11.42578125" style="159"/>
    <col min="36" max="46" width="11.42578125" style="151"/>
    <col min="47" max="16384" width="11.42578125" style="127"/>
  </cols>
  <sheetData>
    <row r="1" spans="1:4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46" ht="21">
      <c r="A2" s="13" t="s">
        <v>444</v>
      </c>
      <c r="B2" s="125"/>
      <c r="C2" s="258" t="s">
        <v>710</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c r="AT2" s="127"/>
    </row>
    <row r="3" spans="1:46" ht="16.5" thickBot="1">
      <c r="A3" s="18" t="s">
        <v>447</v>
      </c>
      <c r="B3" s="125"/>
      <c r="C3" s="189"/>
      <c r="D3" s="190"/>
      <c r="E3" s="190"/>
      <c r="F3" s="125"/>
      <c r="G3" s="189"/>
      <c r="H3" s="189"/>
      <c r="I3" s="189"/>
      <c r="J3" s="189"/>
      <c r="K3" s="189"/>
      <c r="L3" s="125"/>
      <c r="M3" s="189"/>
      <c r="N3" s="189"/>
      <c r="O3" s="189"/>
      <c r="P3" s="189"/>
      <c r="Q3" s="189"/>
      <c r="R3" s="189"/>
      <c r="S3" s="189"/>
      <c r="T3" s="125"/>
      <c r="U3" s="189"/>
      <c r="V3" s="190"/>
      <c r="W3" s="190"/>
      <c r="X3" s="125"/>
      <c r="Y3" s="125"/>
      <c r="Z3" s="125"/>
      <c r="AA3" s="125"/>
      <c r="AB3" s="125"/>
      <c r="AC3" s="127"/>
      <c r="AD3" s="127"/>
      <c r="AE3" s="127"/>
      <c r="AF3" s="127"/>
      <c r="AG3" s="127"/>
      <c r="AH3" s="127"/>
      <c r="AI3" s="127"/>
      <c r="AJ3" s="127"/>
      <c r="AK3" s="127"/>
      <c r="AL3" s="127"/>
      <c r="AM3" s="127"/>
      <c r="AN3" s="127"/>
    </row>
    <row r="4" spans="1:46" ht="16.5" thickBot="1">
      <c r="A4" s="35" t="s">
        <v>446</v>
      </c>
      <c r="B4" s="125"/>
      <c r="C4" s="1648" t="s">
        <v>605</v>
      </c>
      <c r="D4" s="1646"/>
      <c r="E4" s="1647"/>
      <c r="F4" s="125"/>
      <c r="G4" s="1648" t="s">
        <v>535</v>
      </c>
      <c r="H4" s="1646"/>
      <c r="I4" s="1646"/>
      <c r="J4" s="1646"/>
      <c r="K4" s="1647"/>
      <c r="L4" s="125"/>
      <c r="M4" s="1648" t="s">
        <v>535</v>
      </c>
      <c r="N4" s="1649"/>
      <c r="O4" s="1649"/>
      <c r="P4" s="1649"/>
      <c r="Q4" s="1649"/>
      <c r="R4" s="1649"/>
      <c r="S4" s="1650"/>
      <c r="T4" s="125"/>
      <c r="U4" s="1648" t="s">
        <v>535</v>
      </c>
      <c r="V4" s="1646"/>
      <c r="W4" s="1647"/>
      <c r="X4" s="125"/>
      <c r="Y4" s="1645" t="s">
        <v>535</v>
      </c>
      <c r="Z4" s="1646"/>
      <c r="AA4" s="1647"/>
      <c r="AB4" s="125"/>
    </row>
    <row r="5" spans="1:46" ht="16.5" thickBot="1">
      <c r="A5" s="135" t="s">
        <v>445</v>
      </c>
      <c r="B5" s="125"/>
      <c r="C5" s="1648" t="s">
        <v>603</v>
      </c>
      <c r="D5" s="1646"/>
      <c r="E5" s="1647"/>
      <c r="F5" s="125"/>
      <c r="G5" s="1648" t="s">
        <v>504</v>
      </c>
      <c r="H5" s="1646"/>
      <c r="I5" s="1646"/>
      <c r="J5" s="1646"/>
      <c r="K5" s="1647"/>
      <c r="L5" s="125"/>
      <c r="M5" s="1648" t="s">
        <v>505</v>
      </c>
      <c r="N5" s="1649"/>
      <c r="O5" s="1649"/>
      <c r="P5" s="1649"/>
      <c r="Q5" s="1649"/>
      <c r="R5" s="1649"/>
      <c r="S5" s="1650"/>
      <c r="T5" s="125"/>
      <c r="U5" s="1648" t="s">
        <v>516</v>
      </c>
      <c r="V5" s="1646"/>
      <c r="W5" s="1647"/>
      <c r="X5" s="125"/>
      <c r="Y5" s="1645" t="s">
        <v>515</v>
      </c>
      <c r="Z5" s="1646"/>
      <c r="AA5" s="1647"/>
      <c r="AB5" s="125"/>
    </row>
    <row r="6" spans="1:46" ht="16.5" thickBot="1">
      <c r="A6" s="125"/>
      <c r="B6" s="125"/>
      <c r="C6" s="1648" t="s">
        <v>591</v>
      </c>
      <c r="D6" s="1646"/>
      <c r="E6" s="1647"/>
      <c r="F6" s="125"/>
      <c r="G6" s="125"/>
      <c r="H6" s="247">
        <v>1</v>
      </c>
      <c r="I6" s="248">
        <v>2</v>
      </c>
      <c r="J6" s="248">
        <v>3</v>
      </c>
      <c r="K6" s="248">
        <v>4</v>
      </c>
      <c r="L6" s="178" t="s">
        <v>503</v>
      </c>
      <c r="M6" s="125"/>
      <c r="N6" s="1648" t="s">
        <v>543</v>
      </c>
      <c r="O6" s="1647"/>
      <c r="P6" s="1648" t="s">
        <v>544</v>
      </c>
      <c r="Q6" s="1647"/>
      <c r="R6" s="125"/>
      <c r="S6" s="245" t="s">
        <v>774</v>
      </c>
      <c r="T6" s="125"/>
      <c r="U6" s="1648" t="s">
        <v>780</v>
      </c>
      <c r="V6" s="1646"/>
      <c r="W6" s="1647"/>
      <c r="X6" s="125"/>
      <c r="Y6" s="125"/>
      <c r="Z6" s="125"/>
      <c r="AA6" s="125"/>
      <c r="AB6" s="125"/>
    </row>
    <row r="7" spans="1:46" ht="16.5" thickBot="1">
      <c r="A7" s="125"/>
      <c r="B7" s="125"/>
      <c r="C7" s="158" t="s">
        <v>64</v>
      </c>
      <c r="D7" s="146" t="s">
        <v>426</v>
      </c>
      <c r="E7" s="146" t="s">
        <v>427</v>
      </c>
      <c r="F7" s="125"/>
      <c r="G7" s="1638" t="s">
        <v>847</v>
      </c>
      <c r="H7" s="1639"/>
      <c r="I7" s="1639"/>
      <c r="J7" s="1639"/>
      <c r="K7" s="1639"/>
      <c r="L7" s="178" t="s">
        <v>440</v>
      </c>
      <c r="M7" s="1671" t="s">
        <v>848</v>
      </c>
      <c r="N7" s="1672"/>
      <c r="O7" s="1672"/>
      <c r="P7" s="1672"/>
      <c r="Q7" s="1672"/>
      <c r="R7" s="1672"/>
      <c r="S7" s="1672"/>
      <c r="T7" s="125"/>
      <c r="U7" s="1638" t="s">
        <v>850</v>
      </c>
      <c r="V7" s="1639"/>
      <c r="W7" s="1639"/>
      <c r="X7" s="125"/>
      <c r="Y7" s="1638" t="s">
        <v>851</v>
      </c>
      <c r="Z7" s="1639"/>
      <c r="AA7" s="1639"/>
      <c r="AB7" s="125"/>
    </row>
    <row r="8" spans="1:46" ht="16.5" thickBot="1">
      <c r="A8" s="146" t="s">
        <v>645</v>
      </c>
      <c r="B8" s="125"/>
      <c r="C8" s="158" t="s">
        <v>636</v>
      </c>
      <c r="D8" s="182" t="s">
        <v>646</v>
      </c>
      <c r="E8" s="186" t="s">
        <v>647</v>
      </c>
      <c r="F8" s="125"/>
      <c r="G8" s="158" t="s">
        <v>636</v>
      </c>
      <c r="H8" s="146" t="s">
        <v>426</v>
      </c>
      <c r="I8" s="146" t="s">
        <v>426</v>
      </c>
      <c r="J8" s="146" t="s">
        <v>426</v>
      </c>
      <c r="K8" s="146" t="s">
        <v>426</v>
      </c>
      <c r="L8" s="179"/>
      <c r="M8" s="146" t="s">
        <v>636</v>
      </c>
      <c r="N8" s="146" t="s">
        <v>426</v>
      </c>
      <c r="O8" s="146" t="s">
        <v>427</v>
      </c>
      <c r="P8" s="146" t="s">
        <v>426</v>
      </c>
      <c r="Q8" s="146" t="s">
        <v>427</v>
      </c>
      <c r="R8" s="111"/>
      <c r="S8" s="111"/>
      <c r="T8" s="125"/>
      <c r="U8" s="158" t="s">
        <v>636</v>
      </c>
      <c r="V8" s="146" t="s">
        <v>426</v>
      </c>
      <c r="W8" s="146" t="s">
        <v>427</v>
      </c>
      <c r="X8" s="125"/>
      <c r="Y8" s="158" t="s">
        <v>636</v>
      </c>
      <c r="Z8" s="146" t="s">
        <v>426</v>
      </c>
      <c r="AA8" s="146" t="s">
        <v>427</v>
      </c>
      <c r="AB8" s="125"/>
    </row>
    <row r="9" spans="1:46" s="129" customFormat="1" ht="16.5" thickBot="1">
      <c r="A9" s="216" t="s">
        <v>644</v>
      </c>
      <c r="B9" s="126"/>
      <c r="C9" s="126"/>
      <c r="D9" s="236">
        <v>1</v>
      </c>
      <c r="E9" s="236">
        <v>1</v>
      </c>
      <c r="F9" s="126"/>
      <c r="G9" s="126"/>
      <c r="H9" s="236">
        <v>1</v>
      </c>
      <c r="I9" s="236">
        <v>1</v>
      </c>
      <c r="J9" s="236">
        <v>1</v>
      </c>
      <c r="K9" s="236">
        <v>1</v>
      </c>
      <c r="L9" s="178"/>
      <c r="M9" s="126"/>
      <c r="N9" s="236">
        <v>1</v>
      </c>
      <c r="O9" s="236">
        <v>1</v>
      </c>
      <c r="P9" s="236">
        <v>1</v>
      </c>
      <c r="Q9" s="236">
        <v>1</v>
      </c>
      <c r="R9" s="1665" t="s">
        <v>785</v>
      </c>
      <c r="S9" s="1670"/>
      <c r="T9" s="126"/>
      <c r="U9" s="126"/>
      <c r="V9" s="236">
        <v>1</v>
      </c>
      <c r="W9" s="236">
        <v>1</v>
      </c>
      <c r="X9" s="126"/>
      <c r="Y9" s="126"/>
      <c r="Z9" s="236">
        <v>1</v>
      </c>
      <c r="AA9" s="236">
        <v>1</v>
      </c>
      <c r="AB9" s="126"/>
      <c r="AC9" s="160"/>
      <c r="AD9" s="160"/>
      <c r="AE9" s="160"/>
      <c r="AF9" s="160"/>
      <c r="AG9" s="160"/>
      <c r="AH9" s="160"/>
      <c r="AI9" s="160"/>
      <c r="AJ9" s="152"/>
      <c r="AK9" s="152"/>
      <c r="AL9" s="152"/>
      <c r="AM9" s="152"/>
      <c r="AN9" s="152"/>
      <c r="AO9" s="152"/>
      <c r="AP9" s="152"/>
      <c r="AQ9" s="152"/>
      <c r="AR9" s="152"/>
      <c r="AS9" s="152"/>
      <c r="AT9" s="152"/>
    </row>
    <row r="10" spans="1:46" s="228" customFormat="1">
      <c r="A10" s="220" t="s">
        <v>642</v>
      </c>
      <c r="B10" s="221"/>
      <c r="C10" s="221"/>
      <c r="D10" s="222">
        <f>COUNT(D13:D37)</f>
        <v>1</v>
      </c>
      <c r="E10" s="222">
        <f>COUNT(E13:E37)</f>
        <v>1</v>
      </c>
      <c r="F10" s="221"/>
      <c r="G10" s="221"/>
      <c r="H10" s="222">
        <f>COUNT(H13:H37)</f>
        <v>1</v>
      </c>
      <c r="I10" s="222">
        <f>COUNT(I13:I37)</f>
        <v>1</v>
      </c>
      <c r="J10" s="222">
        <f>COUNT(J13:J37)</f>
        <v>1</v>
      </c>
      <c r="K10" s="222">
        <f>COUNT(K13:K37)</f>
        <v>1</v>
      </c>
      <c r="L10" s="229"/>
      <c r="M10" s="221"/>
      <c r="N10" s="222">
        <f>COUNT(N13:N37)</f>
        <v>1</v>
      </c>
      <c r="O10" s="222">
        <f>COUNT(O13:O37)</f>
        <v>1</v>
      </c>
      <c r="P10" s="222">
        <f>COUNT(P13:P37)</f>
        <v>1</v>
      </c>
      <c r="Q10" s="222">
        <f>COUNT(Q13:Q37)</f>
        <v>1</v>
      </c>
      <c r="R10" s="222"/>
      <c r="S10" s="222"/>
      <c r="T10" s="221"/>
      <c r="U10" s="221"/>
      <c r="V10" s="222">
        <f>COUNT(V13:V37)</f>
        <v>1</v>
      </c>
      <c r="W10" s="222">
        <f>COUNT(W13:W37)</f>
        <v>1</v>
      </c>
      <c r="X10" s="221"/>
      <c r="Y10" s="221"/>
      <c r="Z10" s="222">
        <f>COUNT(Z13:Z37)</f>
        <v>1</v>
      </c>
      <c r="AA10" s="222">
        <f>COUNT(AA13:AA37)</f>
        <v>1</v>
      </c>
      <c r="AB10" s="221"/>
      <c r="AC10" s="226"/>
      <c r="AD10" s="226"/>
      <c r="AE10" s="226"/>
      <c r="AF10" s="226"/>
      <c r="AG10" s="226"/>
      <c r="AH10" s="226"/>
      <c r="AI10" s="226"/>
      <c r="AJ10" s="227"/>
      <c r="AK10" s="227"/>
      <c r="AL10" s="227"/>
      <c r="AM10" s="227"/>
      <c r="AN10" s="227"/>
      <c r="AO10" s="227"/>
      <c r="AP10" s="227"/>
      <c r="AQ10" s="227"/>
      <c r="AR10" s="227"/>
      <c r="AS10" s="227"/>
      <c r="AT10" s="227"/>
    </row>
    <row r="11" spans="1:46" s="234" customFormat="1">
      <c r="A11" s="223" t="s">
        <v>643</v>
      </c>
      <c r="B11" s="235"/>
      <c r="C11" s="1642" t="s">
        <v>942</v>
      </c>
      <c r="D11" s="1642"/>
      <c r="E11" s="1642"/>
      <c r="F11" s="235"/>
      <c r="G11" s="1642" t="s">
        <v>943</v>
      </c>
      <c r="H11" s="1642"/>
      <c r="I11" s="1642"/>
      <c r="J11" s="1642"/>
      <c r="K11" s="1642"/>
      <c r="L11" s="229"/>
      <c r="M11" s="1642" t="s">
        <v>944</v>
      </c>
      <c r="N11" s="1642"/>
      <c r="O11" s="1642"/>
      <c r="P11" s="1642"/>
      <c r="Q11" s="1642"/>
      <c r="R11" s="231"/>
      <c r="S11" s="231"/>
      <c r="T11" s="235"/>
      <c r="U11" s="1642" t="s">
        <v>945</v>
      </c>
      <c r="V11" s="1642"/>
      <c r="W11" s="1642"/>
      <c r="X11" s="235"/>
      <c r="Y11" s="1642" t="s">
        <v>946</v>
      </c>
      <c r="Z11" s="1642"/>
      <c r="AA11" s="1642"/>
      <c r="AB11" s="235"/>
      <c r="AC11" s="226"/>
      <c r="AD11" s="226"/>
      <c r="AE11" s="226"/>
      <c r="AF11" s="226"/>
      <c r="AG11" s="226"/>
      <c r="AH11" s="226"/>
      <c r="AI11" s="226"/>
      <c r="AJ11" s="233"/>
      <c r="AK11" s="233"/>
      <c r="AL11" s="233"/>
      <c r="AM11" s="233"/>
      <c r="AN11" s="233"/>
      <c r="AO11" s="233"/>
      <c r="AP11" s="233"/>
      <c r="AQ11" s="233"/>
      <c r="AR11" s="233"/>
      <c r="AS11" s="233"/>
      <c r="AT11" s="233"/>
    </row>
    <row r="12" spans="1:46">
      <c r="A12" s="130" t="s">
        <v>317</v>
      </c>
      <c r="B12" s="125"/>
      <c r="C12" s="131" t="s">
        <v>438</v>
      </c>
      <c r="D12" s="131" t="s">
        <v>433</v>
      </c>
      <c r="E12" s="130" t="s">
        <v>4</v>
      </c>
      <c r="F12" s="125"/>
      <c r="G12" s="131" t="s">
        <v>438</v>
      </c>
      <c r="H12" s="130" t="s">
        <v>4</v>
      </c>
      <c r="I12" s="130" t="s">
        <v>4</v>
      </c>
      <c r="J12" s="130" t="s">
        <v>4</v>
      </c>
      <c r="K12" s="130" t="s">
        <v>4</v>
      </c>
      <c r="L12" s="179"/>
      <c r="M12" s="131" t="s">
        <v>438</v>
      </c>
      <c r="N12" s="130" t="s">
        <v>0</v>
      </c>
      <c r="O12" s="130" t="s">
        <v>0</v>
      </c>
      <c r="P12" s="130" t="s">
        <v>0</v>
      </c>
      <c r="Q12" s="130" t="s">
        <v>0</v>
      </c>
      <c r="R12" s="111"/>
      <c r="S12" s="111"/>
      <c r="T12" s="125"/>
      <c r="U12" s="131" t="s">
        <v>438</v>
      </c>
      <c r="V12" s="130" t="s">
        <v>3</v>
      </c>
      <c r="W12" s="130" t="s">
        <v>3</v>
      </c>
      <c r="X12" s="125"/>
      <c r="Y12" s="131" t="s">
        <v>438</v>
      </c>
      <c r="Z12" s="130" t="s">
        <v>3</v>
      </c>
      <c r="AA12" s="130" t="s">
        <v>3</v>
      </c>
      <c r="AB12" s="125"/>
    </row>
    <row r="13" spans="1:46">
      <c r="A13" s="130">
        <v>1</v>
      </c>
      <c r="B13" s="125"/>
      <c r="C13" s="172">
        <v>0</v>
      </c>
      <c r="D13" s="183">
        <v>20</v>
      </c>
      <c r="E13" s="173">
        <v>0</v>
      </c>
      <c r="F13" s="125"/>
      <c r="G13" s="161">
        <v>0</v>
      </c>
      <c r="H13" s="133">
        <v>100</v>
      </c>
      <c r="I13" s="133">
        <v>0</v>
      </c>
      <c r="J13" s="133">
        <v>0</v>
      </c>
      <c r="K13" s="133">
        <v>0</v>
      </c>
      <c r="L13" s="180">
        <f t="shared" ref="L13:L36" si="0">SUM(H13:K13)</f>
        <v>100</v>
      </c>
      <c r="M13" s="161">
        <v>0</v>
      </c>
      <c r="N13" s="133">
        <v>0</v>
      </c>
      <c r="O13" s="133">
        <v>0</v>
      </c>
      <c r="P13" s="133">
        <v>0</v>
      </c>
      <c r="Q13" s="133">
        <v>0</v>
      </c>
      <c r="R13" s="111"/>
      <c r="S13" s="111"/>
      <c r="T13" s="125"/>
      <c r="U13" s="161">
        <v>0</v>
      </c>
      <c r="V13" s="133">
        <v>137</v>
      </c>
      <c r="W13" s="133">
        <v>0</v>
      </c>
      <c r="X13" s="125"/>
      <c r="Y13" s="161">
        <v>0</v>
      </c>
      <c r="Z13" s="133">
        <v>10</v>
      </c>
      <c r="AA13" s="133">
        <v>0</v>
      </c>
      <c r="AB13" s="125"/>
    </row>
    <row r="14" spans="1:46">
      <c r="A14" s="130">
        <v>2</v>
      </c>
      <c r="B14" s="125"/>
      <c r="C14" s="172"/>
      <c r="D14" s="184"/>
      <c r="E14" s="185"/>
      <c r="F14" s="125"/>
      <c r="G14" s="161"/>
      <c r="H14" s="163"/>
      <c r="I14" s="163"/>
      <c r="J14" s="163"/>
      <c r="K14" s="163"/>
      <c r="L14" s="180">
        <f t="shared" si="0"/>
        <v>0</v>
      </c>
      <c r="M14" s="161"/>
      <c r="N14" s="163"/>
      <c r="O14" s="163"/>
      <c r="P14" s="163"/>
      <c r="Q14" s="163"/>
      <c r="R14" s="111"/>
      <c r="S14" s="111"/>
      <c r="T14" s="125"/>
      <c r="U14" s="161"/>
      <c r="V14" s="163"/>
      <c r="W14" s="163"/>
      <c r="X14" s="125"/>
      <c r="Y14" s="161"/>
      <c r="Z14" s="163"/>
      <c r="AA14" s="163"/>
      <c r="AB14" s="125"/>
    </row>
    <row r="15" spans="1:46">
      <c r="A15" s="130">
        <v>3</v>
      </c>
      <c r="B15" s="125"/>
      <c r="C15" s="172"/>
      <c r="D15" s="183"/>
      <c r="E15" s="173"/>
      <c r="F15" s="125"/>
      <c r="G15" s="161"/>
      <c r="H15" s="133"/>
      <c r="I15" s="133"/>
      <c r="J15" s="133"/>
      <c r="K15" s="133"/>
      <c r="L15" s="180">
        <f t="shared" si="0"/>
        <v>0</v>
      </c>
      <c r="M15" s="161"/>
      <c r="N15" s="133"/>
      <c r="O15" s="133"/>
      <c r="P15" s="133"/>
      <c r="Q15" s="133"/>
      <c r="R15" s="111"/>
      <c r="S15" s="111"/>
      <c r="T15" s="125"/>
      <c r="U15" s="161"/>
      <c r="V15" s="133"/>
      <c r="W15" s="133"/>
      <c r="X15" s="125"/>
      <c r="Y15" s="161"/>
      <c r="Z15" s="133"/>
      <c r="AA15" s="133"/>
      <c r="AB15" s="125"/>
    </row>
    <row r="16" spans="1:46">
      <c r="A16" s="130">
        <v>4</v>
      </c>
      <c r="B16" s="125"/>
      <c r="C16" s="172"/>
      <c r="D16" s="184"/>
      <c r="E16" s="185"/>
      <c r="F16" s="125"/>
      <c r="G16" s="161"/>
      <c r="H16" s="163"/>
      <c r="I16" s="163"/>
      <c r="J16" s="163"/>
      <c r="K16" s="163"/>
      <c r="L16" s="180">
        <f t="shared" si="0"/>
        <v>0</v>
      </c>
      <c r="M16" s="161"/>
      <c r="N16" s="163"/>
      <c r="O16" s="163"/>
      <c r="P16" s="163"/>
      <c r="Q16" s="163"/>
      <c r="R16" s="111"/>
      <c r="S16" s="111"/>
      <c r="T16" s="125"/>
      <c r="U16" s="161"/>
      <c r="V16" s="163"/>
      <c r="W16" s="163"/>
      <c r="X16" s="125"/>
      <c r="Y16" s="161"/>
      <c r="Z16" s="163"/>
      <c r="AA16" s="163"/>
      <c r="AB16" s="125"/>
    </row>
    <row r="17" spans="1:28">
      <c r="A17" s="130">
        <v>5</v>
      </c>
      <c r="B17" s="125"/>
      <c r="C17" s="172"/>
      <c r="D17" s="183"/>
      <c r="E17" s="173"/>
      <c r="F17" s="125"/>
      <c r="G17" s="161"/>
      <c r="H17" s="133"/>
      <c r="I17" s="133"/>
      <c r="J17" s="133"/>
      <c r="K17" s="133"/>
      <c r="L17" s="180">
        <f t="shared" si="0"/>
        <v>0</v>
      </c>
      <c r="M17" s="161"/>
      <c r="N17" s="133"/>
      <c r="O17" s="133"/>
      <c r="P17" s="133"/>
      <c r="Q17" s="133"/>
      <c r="R17" s="111"/>
      <c r="S17" s="111"/>
      <c r="T17" s="125"/>
      <c r="U17" s="161"/>
      <c r="V17" s="133"/>
      <c r="W17" s="133"/>
      <c r="X17" s="125"/>
      <c r="Y17" s="161"/>
      <c r="Z17" s="133"/>
      <c r="AA17" s="133"/>
      <c r="AB17" s="125"/>
    </row>
    <row r="18" spans="1:28">
      <c r="A18" s="130">
        <v>6</v>
      </c>
      <c r="B18" s="125"/>
      <c r="C18" s="161"/>
      <c r="D18" s="162"/>
      <c r="E18" s="163"/>
      <c r="F18" s="125"/>
      <c r="G18" s="161"/>
      <c r="H18" s="163"/>
      <c r="I18" s="163"/>
      <c r="J18" s="163"/>
      <c r="K18" s="163"/>
      <c r="L18" s="180">
        <f t="shared" si="0"/>
        <v>0</v>
      </c>
      <c r="M18" s="161"/>
      <c r="N18" s="163"/>
      <c r="O18" s="163"/>
      <c r="P18" s="163"/>
      <c r="Q18" s="163"/>
      <c r="R18" s="111"/>
      <c r="S18" s="111"/>
      <c r="T18" s="125"/>
      <c r="U18" s="161"/>
      <c r="V18" s="163"/>
      <c r="W18" s="163"/>
      <c r="X18" s="125"/>
      <c r="Y18" s="161"/>
      <c r="Z18" s="163"/>
      <c r="AA18" s="163"/>
      <c r="AB18" s="125"/>
    </row>
    <row r="19" spans="1:28">
      <c r="A19" s="130">
        <v>7</v>
      </c>
      <c r="B19" s="125"/>
      <c r="C19" s="161"/>
      <c r="D19" s="147"/>
      <c r="E19" s="133"/>
      <c r="F19" s="125"/>
      <c r="G19" s="161"/>
      <c r="H19" s="133"/>
      <c r="I19" s="133"/>
      <c r="J19" s="133"/>
      <c r="K19" s="133"/>
      <c r="L19" s="180">
        <f t="shared" si="0"/>
        <v>0</v>
      </c>
      <c r="M19" s="161"/>
      <c r="N19" s="133"/>
      <c r="O19" s="133"/>
      <c r="P19" s="133"/>
      <c r="Q19" s="133"/>
      <c r="R19" s="111"/>
      <c r="S19" s="111"/>
      <c r="T19" s="125"/>
      <c r="U19" s="161"/>
      <c r="V19" s="133"/>
      <c r="W19" s="133"/>
      <c r="X19" s="125"/>
      <c r="Y19" s="161"/>
      <c r="Z19" s="133"/>
      <c r="AA19" s="133"/>
      <c r="AB19" s="125"/>
    </row>
    <row r="20" spans="1:28">
      <c r="A20" s="130">
        <v>8</v>
      </c>
      <c r="B20" s="125"/>
      <c r="C20" s="161"/>
      <c r="D20" s="162"/>
      <c r="E20" s="163"/>
      <c r="F20" s="125"/>
      <c r="G20" s="161"/>
      <c r="H20" s="163"/>
      <c r="I20" s="163"/>
      <c r="J20" s="163"/>
      <c r="K20" s="163"/>
      <c r="L20" s="180">
        <f t="shared" si="0"/>
        <v>0</v>
      </c>
      <c r="M20" s="161"/>
      <c r="N20" s="163"/>
      <c r="O20" s="163"/>
      <c r="P20" s="163"/>
      <c r="Q20" s="163"/>
      <c r="R20" s="111"/>
      <c r="S20" s="111"/>
      <c r="T20" s="125"/>
      <c r="U20" s="161"/>
      <c r="V20" s="163"/>
      <c r="W20" s="163"/>
      <c r="X20" s="125"/>
      <c r="Y20" s="161"/>
      <c r="Z20" s="163"/>
      <c r="AA20" s="163"/>
      <c r="AB20" s="125"/>
    </row>
    <row r="21" spans="1:28">
      <c r="A21" s="130">
        <v>9</v>
      </c>
      <c r="B21" s="125"/>
      <c r="C21" s="161"/>
      <c r="D21" s="147"/>
      <c r="E21" s="133"/>
      <c r="F21" s="125"/>
      <c r="G21" s="161"/>
      <c r="H21" s="133"/>
      <c r="I21" s="133"/>
      <c r="J21" s="133"/>
      <c r="K21" s="133"/>
      <c r="L21" s="180">
        <f t="shared" si="0"/>
        <v>0</v>
      </c>
      <c r="M21" s="161"/>
      <c r="N21" s="133"/>
      <c r="O21" s="133"/>
      <c r="P21" s="133"/>
      <c r="Q21" s="133"/>
      <c r="R21" s="111"/>
      <c r="S21" s="111"/>
      <c r="T21" s="125"/>
      <c r="U21" s="161"/>
      <c r="V21" s="133"/>
      <c r="W21" s="133"/>
      <c r="X21" s="125"/>
      <c r="Y21" s="161"/>
      <c r="Z21" s="133"/>
      <c r="AA21" s="133"/>
      <c r="AB21" s="125"/>
    </row>
    <row r="22" spans="1:28">
      <c r="A22" s="130">
        <v>10</v>
      </c>
      <c r="B22" s="125"/>
      <c r="C22" s="161"/>
      <c r="D22" s="162"/>
      <c r="E22" s="163"/>
      <c r="F22" s="125"/>
      <c r="G22" s="161"/>
      <c r="H22" s="163"/>
      <c r="I22" s="163"/>
      <c r="J22" s="163"/>
      <c r="K22" s="163"/>
      <c r="L22" s="180">
        <f t="shared" si="0"/>
        <v>0</v>
      </c>
      <c r="M22" s="161"/>
      <c r="N22" s="163"/>
      <c r="O22" s="163"/>
      <c r="P22" s="163"/>
      <c r="Q22" s="163"/>
      <c r="R22" s="111"/>
      <c r="S22" s="111"/>
      <c r="T22" s="125"/>
      <c r="U22" s="161"/>
      <c r="V22" s="163"/>
      <c r="W22" s="163"/>
      <c r="X22" s="125"/>
      <c r="Y22" s="161"/>
      <c r="Z22" s="163"/>
      <c r="AA22" s="163"/>
      <c r="AB22" s="125"/>
    </row>
    <row r="23" spans="1:28">
      <c r="A23" s="130">
        <v>11</v>
      </c>
      <c r="B23" s="125"/>
      <c r="C23" s="161"/>
      <c r="D23" s="147"/>
      <c r="E23" s="133"/>
      <c r="F23" s="125"/>
      <c r="G23" s="161"/>
      <c r="H23" s="133"/>
      <c r="I23" s="133"/>
      <c r="J23" s="133"/>
      <c r="K23" s="133"/>
      <c r="L23" s="180">
        <f t="shared" si="0"/>
        <v>0</v>
      </c>
      <c r="M23" s="161"/>
      <c r="N23" s="133"/>
      <c r="O23" s="133"/>
      <c r="P23" s="133"/>
      <c r="Q23" s="133"/>
      <c r="R23" s="111"/>
      <c r="S23" s="111"/>
      <c r="T23" s="125"/>
      <c r="U23" s="161"/>
      <c r="V23" s="133"/>
      <c r="W23" s="133"/>
      <c r="X23" s="125"/>
      <c r="Y23" s="161"/>
      <c r="Z23" s="133"/>
      <c r="AA23" s="133"/>
      <c r="AB23" s="125"/>
    </row>
    <row r="24" spans="1:28">
      <c r="A24" s="130">
        <v>12</v>
      </c>
      <c r="B24" s="125"/>
      <c r="C24" s="161"/>
      <c r="D24" s="162"/>
      <c r="E24" s="163"/>
      <c r="F24" s="125"/>
      <c r="G24" s="161"/>
      <c r="H24" s="163"/>
      <c r="I24" s="163"/>
      <c r="J24" s="163"/>
      <c r="K24" s="163"/>
      <c r="L24" s="180">
        <f t="shared" si="0"/>
        <v>0</v>
      </c>
      <c r="M24" s="161"/>
      <c r="N24" s="163"/>
      <c r="O24" s="163"/>
      <c r="P24" s="163"/>
      <c r="Q24" s="163"/>
      <c r="R24" s="111"/>
      <c r="S24" s="111"/>
      <c r="T24" s="125"/>
      <c r="U24" s="161"/>
      <c r="V24" s="163"/>
      <c r="W24" s="163"/>
      <c r="X24" s="125"/>
      <c r="Y24" s="161"/>
      <c r="Z24" s="163"/>
      <c r="AA24" s="163"/>
      <c r="AB24" s="125"/>
    </row>
    <row r="25" spans="1:28">
      <c r="A25" s="130">
        <v>13</v>
      </c>
      <c r="B25" s="125"/>
      <c r="C25" s="161"/>
      <c r="D25" s="147"/>
      <c r="E25" s="133"/>
      <c r="F25" s="125"/>
      <c r="G25" s="161"/>
      <c r="H25" s="133"/>
      <c r="I25" s="133"/>
      <c r="J25" s="133"/>
      <c r="K25" s="133"/>
      <c r="L25" s="180">
        <f t="shared" si="0"/>
        <v>0</v>
      </c>
      <c r="M25" s="161"/>
      <c r="N25" s="133"/>
      <c r="O25" s="133"/>
      <c r="P25" s="133"/>
      <c r="Q25" s="133"/>
      <c r="R25" s="111"/>
      <c r="S25" s="111"/>
      <c r="T25" s="125"/>
      <c r="U25" s="161"/>
      <c r="V25" s="133"/>
      <c r="W25" s="133"/>
      <c r="X25" s="125"/>
      <c r="Y25" s="161"/>
      <c r="Z25" s="133"/>
      <c r="AA25" s="133"/>
      <c r="AB25" s="125"/>
    </row>
    <row r="26" spans="1:28">
      <c r="A26" s="130">
        <v>14</v>
      </c>
      <c r="B26" s="125"/>
      <c r="C26" s="161"/>
      <c r="D26" s="162"/>
      <c r="E26" s="163"/>
      <c r="F26" s="125"/>
      <c r="G26" s="161"/>
      <c r="H26" s="163"/>
      <c r="I26" s="163"/>
      <c r="J26" s="163"/>
      <c r="K26" s="163"/>
      <c r="L26" s="180">
        <f t="shared" si="0"/>
        <v>0</v>
      </c>
      <c r="M26" s="161"/>
      <c r="N26" s="163"/>
      <c r="O26" s="163"/>
      <c r="P26" s="163"/>
      <c r="Q26" s="163"/>
      <c r="R26" s="111"/>
      <c r="S26" s="111"/>
      <c r="T26" s="125"/>
      <c r="U26" s="161"/>
      <c r="V26" s="163"/>
      <c r="W26" s="163"/>
      <c r="X26" s="125"/>
      <c r="Y26" s="161"/>
      <c r="Z26" s="163"/>
      <c r="AA26" s="163"/>
      <c r="AB26" s="125"/>
    </row>
    <row r="27" spans="1:28">
      <c r="A27" s="130">
        <v>15</v>
      </c>
      <c r="B27" s="125"/>
      <c r="C27" s="161"/>
      <c r="D27" s="147"/>
      <c r="E27" s="133"/>
      <c r="F27" s="125"/>
      <c r="G27" s="161"/>
      <c r="H27" s="133"/>
      <c r="I27" s="133"/>
      <c r="J27" s="133"/>
      <c r="K27" s="133"/>
      <c r="L27" s="180">
        <f t="shared" si="0"/>
        <v>0</v>
      </c>
      <c r="M27" s="161"/>
      <c r="N27" s="133"/>
      <c r="O27" s="133"/>
      <c r="P27" s="133"/>
      <c r="Q27" s="133"/>
      <c r="R27" s="111"/>
      <c r="S27" s="111"/>
      <c r="T27" s="125"/>
      <c r="U27" s="161"/>
      <c r="V27" s="133"/>
      <c r="W27" s="133"/>
      <c r="X27" s="125"/>
      <c r="Y27" s="161"/>
      <c r="Z27" s="133"/>
      <c r="AA27" s="133"/>
      <c r="AB27" s="125"/>
    </row>
    <row r="28" spans="1:28">
      <c r="A28" s="130">
        <v>16</v>
      </c>
      <c r="B28" s="125"/>
      <c r="C28" s="161"/>
      <c r="D28" s="162"/>
      <c r="E28" s="163"/>
      <c r="F28" s="125"/>
      <c r="G28" s="161"/>
      <c r="H28" s="163"/>
      <c r="I28" s="163"/>
      <c r="J28" s="163"/>
      <c r="K28" s="163"/>
      <c r="L28" s="180">
        <f t="shared" si="0"/>
        <v>0</v>
      </c>
      <c r="M28" s="161"/>
      <c r="N28" s="163"/>
      <c r="O28" s="163"/>
      <c r="P28" s="163"/>
      <c r="Q28" s="163"/>
      <c r="R28" s="111"/>
      <c r="S28" s="111"/>
      <c r="T28" s="125"/>
      <c r="U28" s="161"/>
      <c r="V28" s="163"/>
      <c r="W28" s="163"/>
      <c r="X28" s="125"/>
      <c r="Y28" s="161"/>
      <c r="Z28" s="163"/>
      <c r="AA28" s="163"/>
      <c r="AB28" s="125"/>
    </row>
    <row r="29" spans="1:28">
      <c r="A29" s="130">
        <v>17</v>
      </c>
      <c r="B29" s="125"/>
      <c r="C29" s="161"/>
      <c r="D29" s="147"/>
      <c r="E29" s="133"/>
      <c r="F29" s="125"/>
      <c r="G29" s="161"/>
      <c r="H29" s="133"/>
      <c r="I29" s="133"/>
      <c r="J29" s="133"/>
      <c r="K29" s="133"/>
      <c r="L29" s="180">
        <f t="shared" si="0"/>
        <v>0</v>
      </c>
      <c r="M29" s="161"/>
      <c r="N29" s="133"/>
      <c r="O29" s="133"/>
      <c r="P29" s="133"/>
      <c r="Q29" s="133"/>
      <c r="R29" s="111"/>
      <c r="S29" s="111"/>
      <c r="T29" s="125"/>
      <c r="U29" s="161"/>
      <c r="V29" s="133"/>
      <c r="W29" s="133"/>
      <c r="X29" s="125"/>
      <c r="Y29" s="161"/>
      <c r="Z29" s="133"/>
      <c r="AA29" s="133"/>
      <c r="AB29" s="125"/>
    </row>
    <row r="30" spans="1:28">
      <c r="A30" s="130">
        <v>18</v>
      </c>
      <c r="B30" s="125"/>
      <c r="C30" s="161"/>
      <c r="D30" s="162"/>
      <c r="E30" s="163"/>
      <c r="F30" s="125"/>
      <c r="G30" s="161"/>
      <c r="H30" s="163"/>
      <c r="I30" s="163"/>
      <c r="J30" s="163"/>
      <c r="K30" s="163"/>
      <c r="L30" s="180">
        <f t="shared" si="0"/>
        <v>0</v>
      </c>
      <c r="M30" s="161"/>
      <c r="N30" s="163"/>
      <c r="O30" s="163"/>
      <c r="P30" s="163"/>
      <c r="Q30" s="163"/>
      <c r="R30" s="111"/>
      <c r="S30" s="111"/>
      <c r="T30" s="125"/>
      <c r="U30" s="161"/>
      <c r="V30" s="163"/>
      <c r="W30" s="163"/>
      <c r="X30" s="125"/>
      <c r="Y30" s="161"/>
      <c r="Z30" s="163"/>
      <c r="AA30" s="163"/>
      <c r="AB30" s="125"/>
    </row>
    <row r="31" spans="1:28">
      <c r="A31" s="130">
        <v>19</v>
      </c>
      <c r="B31" s="125"/>
      <c r="C31" s="161"/>
      <c r="D31" s="147"/>
      <c r="E31" s="133"/>
      <c r="F31" s="125"/>
      <c r="G31" s="161"/>
      <c r="H31" s="133"/>
      <c r="I31" s="133"/>
      <c r="J31" s="133"/>
      <c r="K31" s="133"/>
      <c r="L31" s="180">
        <f t="shared" si="0"/>
        <v>0</v>
      </c>
      <c r="M31" s="161"/>
      <c r="N31" s="133"/>
      <c r="O31" s="133"/>
      <c r="P31" s="133"/>
      <c r="Q31" s="133"/>
      <c r="R31" s="111"/>
      <c r="S31" s="111"/>
      <c r="T31" s="125"/>
      <c r="U31" s="161"/>
      <c r="V31" s="133"/>
      <c r="W31" s="133"/>
      <c r="X31" s="125"/>
      <c r="Y31" s="161"/>
      <c r="Z31" s="133"/>
      <c r="AA31" s="133"/>
      <c r="AB31" s="125"/>
    </row>
    <row r="32" spans="1:28">
      <c r="A32" s="130">
        <v>20</v>
      </c>
      <c r="B32" s="125"/>
      <c r="C32" s="161"/>
      <c r="D32" s="162"/>
      <c r="E32" s="163"/>
      <c r="F32" s="125"/>
      <c r="G32" s="161"/>
      <c r="H32" s="163"/>
      <c r="I32" s="163"/>
      <c r="J32" s="163"/>
      <c r="K32" s="163"/>
      <c r="L32" s="180">
        <f t="shared" si="0"/>
        <v>0</v>
      </c>
      <c r="M32" s="161"/>
      <c r="N32" s="163"/>
      <c r="O32" s="163"/>
      <c r="P32" s="163"/>
      <c r="Q32" s="163"/>
      <c r="R32" s="111"/>
      <c r="S32" s="111"/>
      <c r="T32" s="125"/>
      <c r="U32" s="161"/>
      <c r="V32" s="163"/>
      <c r="W32" s="163"/>
      <c r="X32" s="125"/>
      <c r="Y32" s="161"/>
      <c r="Z32" s="163"/>
      <c r="AA32" s="163"/>
      <c r="AB32" s="125"/>
    </row>
    <row r="33" spans="1:28">
      <c r="A33" s="130">
        <v>21</v>
      </c>
      <c r="B33" s="125"/>
      <c r="C33" s="161"/>
      <c r="D33" s="147"/>
      <c r="E33" s="133"/>
      <c r="F33" s="125"/>
      <c r="G33" s="161"/>
      <c r="H33" s="133"/>
      <c r="I33" s="133"/>
      <c r="J33" s="133"/>
      <c r="K33" s="133"/>
      <c r="L33" s="180">
        <f t="shared" si="0"/>
        <v>0</v>
      </c>
      <c r="M33" s="161"/>
      <c r="N33" s="133"/>
      <c r="O33" s="133"/>
      <c r="P33" s="133"/>
      <c r="Q33" s="133"/>
      <c r="R33" s="111"/>
      <c r="S33" s="111"/>
      <c r="T33" s="125"/>
      <c r="U33" s="161"/>
      <c r="V33" s="133"/>
      <c r="W33" s="133"/>
      <c r="X33" s="125"/>
      <c r="Y33" s="161"/>
      <c r="Z33" s="133"/>
      <c r="AA33" s="133"/>
      <c r="AB33" s="125"/>
    </row>
    <row r="34" spans="1:28">
      <c r="A34" s="130">
        <v>22</v>
      </c>
      <c r="B34" s="125"/>
      <c r="C34" s="161"/>
      <c r="D34" s="162"/>
      <c r="E34" s="163"/>
      <c r="F34" s="125"/>
      <c r="G34" s="161"/>
      <c r="H34" s="163"/>
      <c r="I34" s="163"/>
      <c r="J34" s="163"/>
      <c r="K34" s="163"/>
      <c r="L34" s="180">
        <f t="shared" si="0"/>
        <v>0</v>
      </c>
      <c r="M34" s="161"/>
      <c r="N34" s="163"/>
      <c r="O34" s="163"/>
      <c r="P34" s="163"/>
      <c r="Q34" s="163"/>
      <c r="R34" s="111"/>
      <c r="S34" s="111"/>
      <c r="T34" s="125"/>
      <c r="U34" s="161"/>
      <c r="V34" s="163"/>
      <c r="W34" s="163"/>
      <c r="X34" s="125"/>
      <c r="Y34" s="161"/>
      <c r="Z34" s="163"/>
      <c r="AA34" s="163"/>
      <c r="AB34" s="125"/>
    </row>
    <row r="35" spans="1:28">
      <c r="A35" s="130">
        <v>23</v>
      </c>
      <c r="B35" s="125"/>
      <c r="C35" s="161"/>
      <c r="D35" s="147"/>
      <c r="E35" s="133"/>
      <c r="F35" s="125"/>
      <c r="G35" s="161"/>
      <c r="H35" s="133"/>
      <c r="I35" s="133"/>
      <c r="J35" s="133"/>
      <c r="K35" s="133"/>
      <c r="L35" s="180">
        <f t="shared" si="0"/>
        <v>0</v>
      </c>
      <c r="M35" s="161"/>
      <c r="N35" s="133"/>
      <c r="O35" s="133"/>
      <c r="P35" s="133"/>
      <c r="Q35" s="133"/>
      <c r="R35" s="111"/>
      <c r="S35" s="111"/>
      <c r="T35" s="125"/>
      <c r="U35" s="161"/>
      <c r="V35" s="133"/>
      <c r="W35" s="133"/>
      <c r="X35" s="125"/>
      <c r="Y35" s="161"/>
      <c r="Z35" s="133"/>
      <c r="AA35" s="133"/>
      <c r="AB35" s="125"/>
    </row>
    <row r="36" spans="1:28">
      <c r="A36" s="130">
        <v>24</v>
      </c>
      <c r="B36" s="125"/>
      <c r="C36" s="161"/>
      <c r="D36" s="162"/>
      <c r="E36" s="163"/>
      <c r="F36" s="125"/>
      <c r="G36" s="161"/>
      <c r="H36" s="163"/>
      <c r="I36" s="163"/>
      <c r="J36" s="163"/>
      <c r="K36" s="163"/>
      <c r="L36" s="180">
        <f t="shared" si="0"/>
        <v>0</v>
      </c>
      <c r="M36" s="161"/>
      <c r="N36" s="163"/>
      <c r="O36" s="163"/>
      <c r="P36" s="163"/>
      <c r="Q36" s="163"/>
      <c r="R36" s="111"/>
      <c r="S36" s="111"/>
      <c r="T36" s="125"/>
      <c r="U36" s="161"/>
      <c r="V36" s="163"/>
      <c r="W36" s="163"/>
      <c r="X36" s="125"/>
      <c r="Y36" s="161"/>
      <c r="Z36" s="163"/>
      <c r="AA36" s="163"/>
      <c r="AB36" s="125"/>
    </row>
    <row r="37" spans="1:28">
      <c r="A37" s="130">
        <v>25</v>
      </c>
      <c r="B37" s="125"/>
      <c r="C37" s="161"/>
      <c r="D37" s="147"/>
      <c r="E37" s="133"/>
      <c r="F37" s="125"/>
      <c r="G37" s="161"/>
      <c r="H37" s="133"/>
      <c r="I37" s="133"/>
      <c r="J37" s="133"/>
      <c r="K37" s="133"/>
      <c r="L37" s="180"/>
      <c r="M37" s="161"/>
      <c r="N37" s="133"/>
      <c r="O37" s="133"/>
      <c r="P37" s="133"/>
      <c r="Q37" s="133"/>
      <c r="R37" s="111"/>
      <c r="S37" s="111"/>
      <c r="T37" s="125"/>
      <c r="U37" s="161"/>
      <c r="V37" s="133"/>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sheetProtection selectLockedCells="1"/>
  <mergeCells count="24">
    <mergeCell ref="M7:S7"/>
    <mergeCell ref="Y11:AA11"/>
    <mergeCell ref="C11:E11"/>
    <mergeCell ref="G11:K11"/>
    <mergeCell ref="U11:W11"/>
    <mergeCell ref="R9:S9"/>
    <mergeCell ref="G7:K7"/>
    <mergeCell ref="U7:W7"/>
    <mergeCell ref="Y7:AA7"/>
    <mergeCell ref="M11:Q11"/>
    <mergeCell ref="Y4:AA4"/>
    <mergeCell ref="C4:E4"/>
    <mergeCell ref="G4:K4"/>
    <mergeCell ref="U4:W4"/>
    <mergeCell ref="M4:S4"/>
    <mergeCell ref="Y5:AA5"/>
    <mergeCell ref="U5:W5"/>
    <mergeCell ref="G5:K5"/>
    <mergeCell ref="C5:E5"/>
    <mergeCell ref="C6:E6"/>
    <mergeCell ref="N6:O6"/>
    <mergeCell ref="P6:Q6"/>
    <mergeCell ref="U6:W6"/>
    <mergeCell ref="M5:S5"/>
  </mergeCells>
  <hyperlinks>
    <hyperlink ref="A1" location="IGAP!A1" display="IGAP!A1"/>
  </hyperlinks>
  <pageMargins left="0.7" right="0.7" top="0.75" bottom="0.75" header="0.3" footer="0.3"/>
  <pageSetup paperSize="9"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Z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9" width="11.7109375" style="127" customWidth="1"/>
    <col min="10" max="10" width="1.7109375" style="127" customWidth="1"/>
    <col min="11" max="26" width="14.28515625" style="127" customWidth="1"/>
    <col min="27" max="16384" width="11.42578125" style="159"/>
  </cols>
  <sheetData>
    <row r="1" spans="1:26" ht="16.5" thickBo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75" thickBot="1">
      <c r="A2" s="13" t="s">
        <v>444</v>
      </c>
      <c r="B2" s="125"/>
      <c r="C2" s="259" t="s">
        <v>567</v>
      </c>
      <c r="D2" s="260"/>
      <c r="E2" s="260"/>
      <c r="F2" s="260"/>
      <c r="G2" s="260"/>
      <c r="H2" s="260"/>
      <c r="I2" s="261"/>
      <c r="J2" s="125"/>
      <c r="K2" s="125"/>
      <c r="L2" s="125"/>
      <c r="M2" s="125"/>
      <c r="N2" s="125"/>
      <c r="O2" s="125"/>
      <c r="P2" s="125"/>
      <c r="Q2" s="125"/>
      <c r="R2" s="125"/>
      <c r="S2" s="125"/>
      <c r="T2" s="125"/>
      <c r="U2" s="125"/>
      <c r="V2" s="125"/>
      <c r="W2" s="125"/>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16.5" thickBot="1">
      <c r="A4" s="35" t="s">
        <v>446</v>
      </c>
      <c r="B4" s="125"/>
      <c r="C4" s="1645" t="s">
        <v>535</v>
      </c>
      <c r="D4" s="1646"/>
      <c r="E4" s="1647"/>
      <c r="F4" s="125"/>
      <c r="G4" s="1645" t="s">
        <v>535</v>
      </c>
      <c r="H4" s="1646"/>
      <c r="I4" s="1647"/>
      <c r="J4" s="125"/>
      <c r="K4" s="125"/>
      <c r="L4" s="125"/>
      <c r="M4" s="125"/>
      <c r="N4" s="125"/>
      <c r="O4" s="125"/>
      <c r="P4" s="125"/>
      <c r="Q4" s="125"/>
      <c r="R4" s="125"/>
      <c r="S4" s="125"/>
      <c r="T4" s="125"/>
      <c r="U4" s="125"/>
      <c r="V4" s="125"/>
      <c r="W4" s="125"/>
      <c r="X4" s="125"/>
      <c r="Y4" s="125"/>
      <c r="Z4" s="125"/>
    </row>
    <row r="5" spans="1:26" ht="16.5" thickBot="1">
      <c r="A5" s="135" t="s">
        <v>445</v>
      </c>
      <c r="B5" s="125"/>
      <c r="C5" s="1645" t="s">
        <v>513</v>
      </c>
      <c r="D5" s="1646"/>
      <c r="E5" s="1647"/>
      <c r="F5" s="125"/>
      <c r="G5" s="1645" t="s">
        <v>517</v>
      </c>
      <c r="H5" s="1646"/>
      <c r="I5" s="1647"/>
      <c r="J5" s="125"/>
      <c r="K5" s="125"/>
      <c r="L5" s="125"/>
      <c r="M5" s="125"/>
      <c r="N5" s="125"/>
      <c r="O5" s="125"/>
      <c r="P5" s="125"/>
      <c r="Q5" s="125"/>
      <c r="R5" s="125"/>
      <c r="S5" s="125"/>
      <c r="T5" s="125"/>
      <c r="U5" s="125"/>
      <c r="V5" s="125"/>
      <c r="W5" s="125"/>
      <c r="X5" s="125"/>
      <c r="Y5" s="125"/>
      <c r="Z5" s="125"/>
    </row>
    <row r="6" spans="1:26" ht="16.5" thickBot="1">
      <c r="A6" s="125"/>
      <c r="B6" s="125"/>
      <c r="C6" s="125"/>
      <c r="D6" s="125"/>
      <c r="E6" s="125"/>
      <c r="F6" s="125"/>
      <c r="G6" s="125"/>
      <c r="H6" s="125"/>
      <c r="I6" s="125"/>
      <c r="J6" s="125"/>
      <c r="K6" s="125"/>
      <c r="L6" s="125"/>
      <c r="M6" s="125"/>
      <c r="N6" s="125"/>
      <c r="O6" s="125"/>
      <c r="P6" s="125"/>
      <c r="Q6" s="125"/>
      <c r="R6" s="125"/>
      <c r="S6" s="125"/>
      <c r="T6" s="125"/>
      <c r="U6" s="125"/>
      <c r="V6" s="125"/>
      <c r="W6" s="125"/>
      <c r="X6" s="125"/>
      <c r="Y6" s="125"/>
      <c r="Z6" s="125"/>
    </row>
    <row r="7" spans="1:26" ht="16.5" thickBot="1">
      <c r="A7" s="125"/>
      <c r="B7" s="125"/>
      <c r="C7" s="1638" t="s">
        <v>846</v>
      </c>
      <c r="D7" s="1639"/>
      <c r="E7" s="1639"/>
      <c r="F7" s="70"/>
      <c r="G7" s="1638" t="s">
        <v>222</v>
      </c>
      <c r="H7" s="1639"/>
      <c r="I7" s="1639"/>
      <c r="J7" s="125"/>
      <c r="K7" s="125"/>
      <c r="L7" s="125"/>
      <c r="M7" s="125"/>
      <c r="N7" s="125"/>
      <c r="O7" s="125"/>
      <c r="P7" s="125"/>
      <c r="Q7" s="125"/>
      <c r="R7" s="125"/>
      <c r="S7" s="125"/>
      <c r="T7" s="125"/>
      <c r="U7" s="125"/>
      <c r="V7" s="125"/>
      <c r="W7" s="125"/>
      <c r="X7" s="125"/>
      <c r="Y7" s="125"/>
      <c r="Z7" s="125"/>
    </row>
    <row r="8" spans="1:26" ht="16.5" thickBot="1">
      <c r="A8" s="146" t="s">
        <v>645</v>
      </c>
      <c r="B8" s="125"/>
      <c r="C8" s="158" t="s">
        <v>636</v>
      </c>
      <c r="D8" s="146" t="s">
        <v>426</v>
      </c>
      <c r="E8" s="146" t="s">
        <v>427</v>
      </c>
      <c r="F8" s="125"/>
      <c r="G8" s="158" t="s">
        <v>636</v>
      </c>
      <c r="H8" s="146" t="s">
        <v>426</v>
      </c>
      <c r="I8" s="146" t="s">
        <v>427</v>
      </c>
      <c r="J8" s="125"/>
      <c r="K8" s="125"/>
      <c r="L8" s="125"/>
      <c r="M8" s="125"/>
      <c r="N8" s="125"/>
      <c r="O8" s="125"/>
      <c r="P8" s="125"/>
      <c r="Q8" s="125"/>
      <c r="R8" s="125"/>
      <c r="S8" s="125"/>
      <c r="T8" s="125"/>
      <c r="U8" s="125"/>
      <c r="V8" s="125"/>
      <c r="W8" s="125"/>
      <c r="X8" s="125"/>
      <c r="Y8" s="125"/>
      <c r="Z8" s="125"/>
    </row>
    <row r="9" spans="1:26" s="160" customFormat="1">
      <c r="A9" s="216" t="s">
        <v>644</v>
      </c>
      <c r="B9" s="126"/>
      <c r="C9" s="126"/>
      <c r="D9" s="236">
        <v>1</v>
      </c>
      <c r="E9" s="236">
        <v>1</v>
      </c>
      <c r="F9" s="126"/>
      <c r="G9" s="126"/>
      <c r="H9" s="236">
        <v>1</v>
      </c>
      <c r="I9" s="236">
        <v>1</v>
      </c>
      <c r="J9" s="126"/>
      <c r="K9" s="126"/>
      <c r="L9" s="126"/>
      <c r="M9" s="126"/>
      <c r="N9" s="126"/>
      <c r="O9" s="126"/>
      <c r="P9" s="126"/>
      <c r="Q9" s="126"/>
      <c r="R9" s="126"/>
      <c r="S9" s="126"/>
      <c r="T9" s="126"/>
      <c r="U9" s="126"/>
      <c r="V9" s="126"/>
      <c r="W9" s="126"/>
      <c r="X9" s="126"/>
      <c r="Y9" s="126"/>
      <c r="Z9" s="126"/>
    </row>
    <row r="10" spans="1:26" s="226" customFormat="1">
      <c r="A10" s="220" t="s">
        <v>642</v>
      </c>
      <c r="B10" s="221"/>
      <c r="C10" s="221"/>
      <c r="D10" s="222">
        <f>COUNT(D13:D37)</f>
        <v>1</v>
      </c>
      <c r="E10" s="222">
        <f>COUNT(E13:E37)</f>
        <v>1</v>
      </c>
      <c r="F10" s="221"/>
      <c r="G10" s="221"/>
      <c r="H10" s="222">
        <f>COUNT(H13:H37)</f>
        <v>1</v>
      </c>
      <c r="I10" s="222">
        <f>COUNT(I13:I37)</f>
        <v>1</v>
      </c>
      <c r="J10" s="221"/>
      <c r="K10" s="221"/>
      <c r="L10" s="221"/>
      <c r="M10" s="221"/>
      <c r="N10" s="221"/>
      <c r="O10" s="221"/>
      <c r="P10" s="221"/>
      <c r="Q10" s="221"/>
      <c r="R10" s="221"/>
      <c r="S10" s="221"/>
      <c r="T10" s="221"/>
      <c r="U10" s="221"/>
      <c r="V10" s="221"/>
      <c r="W10" s="221"/>
      <c r="X10" s="221"/>
      <c r="Y10" s="221"/>
      <c r="Z10" s="221"/>
    </row>
    <row r="11" spans="1:26" s="226" customFormat="1">
      <c r="A11" s="223" t="s">
        <v>643</v>
      </c>
      <c r="B11" s="235"/>
      <c r="C11" s="1642" t="s">
        <v>947</v>
      </c>
      <c r="D11" s="1642"/>
      <c r="E11" s="1642"/>
      <c r="F11" s="235"/>
      <c r="G11" s="1642" t="s">
        <v>948</v>
      </c>
      <c r="H11" s="1642"/>
      <c r="I11" s="1642"/>
      <c r="J11" s="235"/>
      <c r="K11" s="235"/>
      <c r="L11" s="235"/>
      <c r="M11" s="235"/>
      <c r="N11" s="235"/>
      <c r="O11" s="235"/>
      <c r="P11" s="235"/>
      <c r="Q11" s="235"/>
      <c r="R11" s="235"/>
      <c r="S11" s="235"/>
      <c r="T11" s="235"/>
      <c r="U11" s="235"/>
      <c r="V11" s="235"/>
      <c r="W11" s="235"/>
      <c r="X11" s="235"/>
      <c r="Y11" s="235"/>
      <c r="Z11" s="235"/>
    </row>
    <row r="12" spans="1:26">
      <c r="A12" s="130" t="s">
        <v>317</v>
      </c>
      <c r="B12" s="125"/>
      <c r="C12" s="131" t="s">
        <v>438</v>
      </c>
      <c r="D12" s="130" t="s">
        <v>0</v>
      </c>
      <c r="E12" s="130" t="s">
        <v>0</v>
      </c>
      <c r="F12" s="125"/>
      <c r="G12" s="131" t="s">
        <v>438</v>
      </c>
      <c r="H12" s="130" t="s">
        <v>0</v>
      </c>
      <c r="I12" s="130" t="s">
        <v>0</v>
      </c>
      <c r="J12" s="125"/>
      <c r="K12" s="125"/>
      <c r="L12" s="125"/>
      <c r="M12" s="125"/>
      <c r="N12" s="125"/>
      <c r="O12" s="125"/>
      <c r="P12" s="125"/>
      <c r="Q12" s="125"/>
      <c r="R12" s="125"/>
      <c r="S12" s="125"/>
      <c r="T12" s="125"/>
      <c r="U12" s="125"/>
      <c r="V12" s="125"/>
      <c r="W12" s="125"/>
      <c r="X12" s="125"/>
      <c r="Y12" s="125"/>
      <c r="Z12" s="125"/>
    </row>
    <row r="13" spans="1:26">
      <c r="A13" s="130">
        <v>1</v>
      </c>
      <c r="B13" s="125"/>
      <c r="C13" s="161">
        <v>0</v>
      </c>
      <c r="D13" s="133">
        <v>0.3</v>
      </c>
      <c r="E13" s="133">
        <v>0</v>
      </c>
      <c r="F13" s="125"/>
      <c r="G13" s="161">
        <v>0</v>
      </c>
      <c r="H13" s="133">
        <v>0.2</v>
      </c>
      <c r="I13" s="133">
        <v>0</v>
      </c>
      <c r="J13" s="125"/>
      <c r="K13" s="125"/>
      <c r="L13" s="125"/>
      <c r="M13" s="125"/>
      <c r="N13" s="125"/>
      <c r="O13" s="125"/>
      <c r="P13" s="125"/>
      <c r="Q13" s="125"/>
      <c r="R13" s="125"/>
      <c r="S13" s="125"/>
      <c r="T13" s="125"/>
      <c r="U13" s="125"/>
      <c r="V13" s="125"/>
      <c r="W13" s="125"/>
      <c r="X13" s="125"/>
      <c r="Y13" s="125"/>
      <c r="Z13" s="125"/>
    </row>
    <row r="14" spans="1:26">
      <c r="A14" s="130">
        <v>2</v>
      </c>
      <c r="B14" s="125"/>
      <c r="C14" s="161"/>
      <c r="D14" s="163"/>
      <c r="E14" s="163"/>
      <c r="F14" s="125"/>
      <c r="G14" s="161"/>
      <c r="H14" s="163"/>
      <c r="I14" s="163"/>
      <c r="J14" s="125"/>
      <c r="K14" s="125"/>
      <c r="L14" s="125"/>
      <c r="M14" s="125"/>
      <c r="N14" s="125"/>
      <c r="O14" s="125"/>
      <c r="P14" s="125"/>
      <c r="Q14" s="125"/>
      <c r="R14" s="125"/>
      <c r="S14" s="125"/>
      <c r="T14" s="125"/>
      <c r="U14" s="125"/>
      <c r="V14" s="125"/>
      <c r="W14" s="125"/>
      <c r="X14" s="125"/>
      <c r="Y14" s="125"/>
      <c r="Z14" s="125"/>
    </row>
    <row r="15" spans="1:26">
      <c r="A15" s="130">
        <v>3</v>
      </c>
      <c r="B15" s="125"/>
      <c r="C15" s="161"/>
      <c r="D15" s="133"/>
      <c r="E15" s="133"/>
      <c r="F15" s="125"/>
      <c r="G15" s="161"/>
      <c r="H15" s="133"/>
      <c r="I15" s="133"/>
      <c r="J15" s="125"/>
      <c r="K15" s="125"/>
      <c r="L15" s="125"/>
      <c r="M15" s="125"/>
      <c r="N15" s="125"/>
      <c r="O15" s="125"/>
      <c r="P15" s="125"/>
      <c r="Q15" s="125"/>
      <c r="R15" s="125"/>
      <c r="S15" s="125"/>
      <c r="T15" s="125"/>
      <c r="U15" s="125"/>
      <c r="V15" s="125"/>
      <c r="W15" s="125"/>
      <c r="X15" s="125"/>
      <c r="Y15" s="125"/>
      <c r="Z15" s="125"/>
    </row>
    <row r="16" spans="1:26">
      <c r="A16" s="130">
        <v>4</v>
      </c>
      <c r="B16" s="125"/>
      <c r="C16" s="161"/>
      <c r="D16" s="163"/>
      <c r="E16" s="163"/>
      <c r="F16" s="125"/>
      <c r="G16" s="161"/>
      <c r="H16" s="163"/>
      <c r="I16" s="163"/>
      <c r="J16" s="125"/>
      <c r="K16" s="125"/>
      <c r="L16" s="125"/>
      <c r="M16" s="125"/>
      <c r="N16" s="125"/>
      <c r="O16" s="125"/>
      <c r="P16" s="125"/>
      <c r="Q16" s="125"/>
      <c r="R16" s="125"/>
      <c r="S16" s="125"/>
      <c r="T16" s="125"/>
      <c r="U16" s="125"/>
      <c r="V16" s="125"/>
      <c r="W16" s="125"/>
      <c r="X16" s="125"/>
      <c r="Y16" s="125"/>
      <c r="Z16" s="125"/>
    </row>
    <row r="17" spans="1:26">
      <c r="A17" s="130">
        <v>5</v>
      </c>
      <c r="B17" s="125"/>
      <c r="C17" s="161"/>
      <c r="D17" s="133"/>
      <c r="E17" s="133"/>
      <c r="F17" s="125"/>
      <c r="G17" s="161"/>
      <c r="H17" s="133"/>
      <c r="I17" s="133"/>
      <c r="J17" s="125"/>
      <c r="K17" s="125"/>
      <c r="L17" s="125"/>
      <c r="M17" s="125"/>
      <c r="N17" s="125"/>
      <c r="O17" s="125"/>
      <c r="P17" s="125"/>
      <c r="Q17" s="125"/>
      <c r="R17" s="125"/>
      <c r="S17" s="125"/>
      <c r="T17" s="125"/>
      <c r="U17" s="125"/>
      <c r="V17" s="125"/>
      <c r="W17" s="125"/>
      <c r="X17" s="125"/>
      <c r="Y17" s="125"/>
      <c r="Z17" s="125"/>
    </row>
    <row r="18" spans="1:26">
      <c r="A18" s="130">
        <v>6</v>
      </c>
      <c r="B18" s="125"/>
      <c r="C18" s="161"/>
      <c r="D18" s="163"/>
      <c r="E18" s="163"/>
      <c r="F18" s="125"/>
      <c r="G18" s="161"/>
      <c r="H18" s="163"/>
      <c r="I18" s="163"/>
      <c r="J18" s="125"/>
      <c r="K18" s="125"/>
      <c r="L18" s="125"/>
      <c r="M18" s="125"/>
      <c r="N18" s="125"/>
      <c r="O18" s="125"/>
      <c r="P18" s="125"/>
      <c r="Q18" s="125"/>
      <c r="R18" s="125"/>
      <c r="S18" s="125"/>
      <c r="T18" s="125"/>
      <c r="U18" s="125"/>
      <c r="V18" s="125"/>
      <c r="W18" s="125"/>
      <c r="X18" s="125"/>
      <c r="Y18" s="125"/>
      <c r="Z18" s="125"/>
    </row>
    <row r="19" spans="1:26">
      <c r="A19" s="130">
        <v>7</v>
      </c>
      <c r="B19" s="125"/>
      <c r="C19" s="161"/>
      <c r="D19" s="133"/>
      <c r="E19" s="133"/>
      <c r="F19" s="125"/>
      <c r="G19" s="161"/>
      <c r="H19" s="133"/>
      <c r="I19" s="133"/>
      <c r="J19" s="125"/>
      <c r="K19" s="125"/>
      <c r="L19" s="125"/>
      <c r="M19" s="125"/>
      <c r="N19" s="125"/>
      <c r="O19" s="125"/>
      <c r="P19" s="125"/>
      <c r="Q19" s="125"/>
      <c r="R19" s="125"/>
      <c r="S19" s="125"/>
      <c r="T19" s="125"/>
      <c r="U19" s="125"/>
      <c r="V19" s="125"/>
      <c r="W19" s="125"/>
      <c r="X19" s="125"/>
      <c r="Y19" s="125"/>
      <c r="Z19" s="125"/>
    </row>
    <row r="20" spans="1:26">
      <c r="A20" s="130">
        <v>8</v>
      </c>
      <c r="B20" s="125"/>
      <c r="C20" s="161"/>
      <c r="D20" s="163"/>
      <c r="E20" s="163"/>
      <c r="F20" s="125"/>
      <c r="G20" s="161"/>
      <c r="H20" s="163"/>
      <c r="I20" s="163"/>
      <c r="J20" s="125"/>
      <c r="K20" s="125"/>
      <c r="L20" s="125"/>
      <c r="M20" s="125"/>
      <c r="N20" s="125"/>
      <c r="O20" s="125"/>
      <c r="P20" s="125"/>
      <c r="Q20" s="125"/>
      <c r="R20" s="125"/>
      <c r="S20" s="125"/>
      <c r="T20" s="125"/>
      <c r="U20" s="125"/>
      <c r="V20" s="125"/>
      <c r="W20" s="125"/>
      <c r="X20" s="125"/>
      <c r="Y20" s="125"/>
      <c r="Z20" s="125"/>
    </row>
    <row r="21" spans="1:26">
      <c r="A21" s="130">
        <v>9</v>
      </c>
      <c r="B21" s="125"/>
      <c r="C21" s="161"/>
      <c r="D21" s="133"/>
      <c r="E21" s="133"/>
      <c r="F21" s="125"/>
      <c r="G21" s="161"/>
      <c r="H21" s="133"/>
      <c r="I21" s="133"/>
      <c r="J21" s="125"/>
      <c r="K21" s="125"/>
      <c r="L21" s="125"/>
      <c r="M21" s="125"/>
      <c r="N21" s="125"/>
      <c r="O21" s="125"/>
      <c r="P21" s="125"/>
      <c r="Q21" s="125"/>
      <c r="R21" s="125"/>
      <c r="S21" s="125"/>
      <c r="T21" s="125"/>
      <c r="U21" s="125"/>
      <c r="V21" s="125"/>
      <c r="W21" s="125"/>
      <c r="X21" s="125"/>
      <c r="Y21" s="125"/>
      <c r="Z21" s="125"/>
    </row>
    <row r="22" spans="1:26">
      <c r="A22" s="130">
        <v>10</v>
      </c>
      <c r="B22" s="125"/>
      <c r="C22" s="161"/>
      <c r="D22" s="163"/>
      <c r="E22" s="163"/>
      <c r="F22" s="125"/>
      <c r="G22" s="161"/>
      <c r="H22" s="163"/>
      <c r="I22" s="163"/>
      <c r="J22" s="125"/>
      <c r="K22" s="125"/>
      <c r="L22" s="125"/>
      <c r="M22" s="125"/>
      <c r="N22" s="125"/>
      <c r="O22" s="125"/>
      <c r="P22" s="125"/>
      <c r="Q22" s="125"/>
      <c r="R22" s="125"/>
      <c r="S22" s="125"/>
      <c r="T22" s="125"/>
      <c r="U22" s="125"/>
      <c r="V22" s="125"/>
      <c r="W22" s="125"/>
      <c r="X22" s="125"/>
      <c r="Y22" s="125"/>
      <c r="Z22" s="125"/>
    </row>
    <row r="23" spans="1:26">
      <c r="A23" s="130">
        <v>11</v>
      </c>
      <c r="B23" s="125"/>
      <c r="C23" s="161"/>
      <c r="D23" s="133"/>
      <c r="E23" s="133"/>
      <c r="F23" s="125"/>
      <c r="G23" s="161"/>
      <c r="H23" s="133"/>
      <c r="I23" s="133"/>
      <c r="J23" s="125"/>
      <c r="K23" s="125"/>
      <c r="L23" s="125"/>
      <c r="M23" s="125"/>
      <c r="N23" s="125"/>
      <c r="O23" s="125"/>
      <c r="P23" s="125"/>
      <c r="Q23" s="125"/>
      <c r="R23" s="125"/>
      <c r="S23" s="125"/>
      <c r="T23" s="125"/>
      <c r="U23" s="125"/>
      <c r="V23" s="125"/>
      <c r="W23" s="125"/>
      <c r="X23" s="125"/>
      <c r="Y23" s="125"/>
      <c r="Z23" s="125"/>
    </row>
    <row r="24" spans="1:26">
      <c r="A24" s="130">
        <v>12</v>
      </c>
      <c r="B24" s="125"/>
      <c r="C24" s="161"/>
      <c r="D24" s="163"/>
      <c r="E24" s="163"/>
      <c r="F24" s="125"/>
      <c r="G24" s="161"/>
      <c r="H24" s="163"/>
      <c r="I24" s="163"/>
      <c r="J24" s="125"/>
      <c r="K24" s="125"/>
      <c r="L24" s="125"/>
      <c r="M24" s="125"/>
      <c r="N24" s="125"/>
      <c r="O24" s="125"/>
      <c r="P24" s="125"/>
      <c r="Q24" s="125"/>
      <c r="R24" s="125"/>
      <c r="S24" s="125"/>
      <c r="T24" s="125"/>
      <c r="U24" s="125"/>
      <c r="V24" s="125"/>
      <c r="W24" s="125"/>
      <c r="X24" s="125"/>
      <c r="Y24" s="125"/>
      <c r="Z24" s="125"/>
    </row>
    <row r="25" spans="1:26">
      <c r="A25" s="130">
        <v>13</v>
      </c>
      <c r="B25" s="125"/>
      <c r="C25" s="161"/>
      <c r="D25" s="133"/>
      <c r="E25" s="133"/>
      <c r="F25" s="125"/>
      <c r="G25" s="161"/>
      <c r="H25" s="133"/>
      <c r="I25" s="133"/>
      <c r="J25" s="125"/>
      <c r="K25" s="125"/>
      <c r="L25" s="125"/>
      <c r="M25" s="125"/>
      <c r="N25" s="125"/>
      <c r="O25" s="125"/>
      <c r="P25" s="125"/>
      <c r="Q25" s="125"/>
      <c r="R25" s="125"/>
      <c r="S25" s="125"/>
      <c r="T25" s="125"/>
      <c r="U25" s="125"/>
      <c r="V25" s="125"/>
      <c r="W25" s="125"/>
      <c r="X25" s="125"/>
      <c r="Y25" s="125"/>
      <c r="Z25" s="125"/>
    </row>
    <row r="26" spans="1:26">
      <c r="A26" s="130">
        <v>14</v>
      </c>
      <c r="B26" s="125"/>
      <c r="C26" s="161"/>
      <c r="D26" s="163"/>
      <c r="E26" s="163"/>
      <c r="F26" s="125"/>
      <c r="G26" s="161"/>
      <c r="H26" s="163"/>
      <c r="I26" s="163"/>
      <c r="J26" s="125"/>
      <c r="K26" s="125"/>
      <c r="L26" s="125"/>
      <c r="M26" s="125"/>
      <c r="N26" s="125"/>
      <c r="O26" s="125"/>
      <c r="P26" s="125"/>
      <c r="Q26" s="125"/>
      <c r="R26" s="125"/>
      <c r="S26" s="125"/>
      <c r="T26" s="125"/>
      <c r="U26" s="125"/>
      <c r="V26" s="125"/>
      <c r="W26" s="125"/>
      <c r="X26" s="125"/>
      <c r="Y26" s="125"/>
      <c r="Z26" s="125"/>
    </row>
    <row r="27" spans="1:26">
      <c r="A27" s="130">
        <v>15</v>
      </c>
      <c r="B27" s="125"/>
      <c r="C27" s="161"/>
      <c r="D27" s="133"/>
      <c r="E27" s="133"/>
      <c r="F27" s="125"/>
      <c r="G27" s="161"/>
      <c r="H27" s="133"/>
      <c r="I27" s="133"/>
      <c r="J27" s="125"/>
      <c r="K27" s="125"/>
      <c r="L27" s="125"/>
      <c r="M27" s="125"/>
      <c r="N27" s="125"/>
      <c r="O27" s="125"/>
      <c r="P27" s="125"/>
      <c r="Q27" s="125"/>
      <c r="R27" s="125"/>
      <c r="S27" s="125"/>
      <c r="T27" s="125"/>
      <c r="U27" s="125"/>
      <c r="V27" s="125"/>
      <c r="W27" s="125"/>
      <c r="X27" s="125"/>
      <c r="Y27" s="125"/>
      <c r="Z27" s="125"/>
    </row>
    <row r="28" spans="1:26">
      <c r="A28" s="130">
        <v>16</v>
      </c>
      <c r="B28" s="125"/>
      <c r="C28" s="161"/>
      <c r="D28" s="163"/>
      <c r="E28" s="163"/>
      <c r="F28" s="125"/>
      <c r="G28" s="161"/>
      <c r="H28" s="163"/>
      <c r="I28" s="163"/>
      <c r="J28" s="125"/>
      <c r="K28" s="125"/>
      <c r="L28" s="125"/>
      <c r="M28" s="125"/>
      <c r="N28" s="125"/>
      <c r="O28" s="125"/>
      <c r="P28" s="125"/>
      <c r="Q28" s="125"/>
      <c r="R28" s="125"/>
      <c r="S28" s="125"/>
      <c r="T28" s="125"/>
      <c r="U28" s="125"/>
      <c r="V28" s="125"/>
      <c r="W28" s="125"/>
      <c r="X28" s="125"/>
      <c r="Y28" s="125"/>
      <c r="Z28" s="125"/>
    </row>
    <row r="29" spans="1:26">
      <c r="A29" s="130">
        <v>17</v>
      </c>
      <c r="B29" s="125"/>
      <c r="C29" s="161"/>
      <c r="D29" s="133"/>
      <c r="E29" s="133"/>
      <c r="F29" s="125"/>
      <c r="G29" s="161"/>
      <c r="H29" s="133"/>
      <c r="I29" s="133"/>
      <c r="J29" s="125"/>
      <c r="K29" s="125"/>
      <c r="L29" s="125"/>
      <c r="M29" s="125"/>
      <c r="N29" s="125"/>
      <c r="O29" s="125"/>
      <c r="P29" s="125"/>
      <c r="Q29" s="125"/>
      <c r="R29" s="125"/>
      <c r="S29" s="125"/>
      <c r="T29" s="125"/>
      <c r="U29" s="125"/>
      <c r="V29" s="125"/>
      <c r="W29" s="125"/>
      <c r="X29" s="125"/>
      <c r="Y29" s="125"/>
      <c r="Z29" s="125"/>
    </row>
    <row r="30" spans="1:26">
      <c r="A30" s="130">
        <v>18</v>
      </c>
      <c r="B30" s="125"/>
      <c r="C30" s="161"/>
      <c r="D30" s="163"/>
      <c r="E30" s="163"/>
      <c r="F30" s="125"/>
      <c r="G30" s="161"/>
      <c r="H30" s="163"/>
      <c r="I30" s="163"/>
      <c r="J30" s="125"/>
      <c r="K30" s="125"/>
      <c r="L30" s="125"/>
      <c r="M30" s="125"/>
      <c r="N30" s="125"/>
      <c r="O30" s="125"/>
      <c r="P30" s="125"/>
      <c r="Q30" s="125"/>
      <c r="R30" s="125"/>
      <c r="S30" s="125"/>
      <c r="T30" s="125"/>
      <c r="U30" s="125"/>
      <c r="V30" s="125"/>
      <c r="W30" s="125"/>
      <c r="X30" s="125"/>
      <c r="Y30" s="125"/>
      <c r="Z30" s="125"/>
    </row>
    <row r="31" spans="1:26">
      <c r="A31" s="130">
        <v>19</v>
      </c>
      <c r="B31" s="125"/>
      <c r="C31" s="161"/>
      <c r="D31" s="133"/>
      <c r="E31" s="133"/>
      <c r="F31" s="125"/>
      <c r="G31" s="161"/>
      <c r="H31" s="133"/>
      <c r="I31" s="133"/>
      <c r="J31" s="125"/>
      <c r="K31" s="125"/>
      <c r="L31" s="125"/>
      <c r="M31" s="125"/>
      <c r="N31" s="125"/>
      <c r="O31" s="125"/>
      <c r="P31" s="125"/>
      <c r="Q31" s="125"/>
      <c r="R31" s="125"/>
      <c r="S31" s="125"/>
      <c r="T31" s="125"/>
      <c r="U31" s="125"/>
      <c r="V31" s="125"/>
      <c r="W31" s="125"/>
      <c r="X31" s="125"/>
      <c r="Y31" s="125"/>
      <c r="Z31" s="125"/>
    </row>
    <row r="32" spans="1:26">
      <c r="A32" s="130">
        <v>20</v>
      </c>
      <c r="B32" s="125"/>
      <c r="C32" s="161"/>
      <c r="D32" s="163"/>
      <c r="E32" s="163"/>
      <c r="F32" s="125"/>
      <c r="G32" s="161"/>
      <c r="H32" s="163"/>
      <c r="I32" s="163"/>
      <c r="J32" s="125"/>
      <c r="K32" s="125"/>
      <c r="L32" s="125"/>
      <c r="M32" s="125"/>
      <c r="N32" s="125"/>
      <c r="O32" s="125"/>
      <c r="P32" s="125"/>
      <c r="Q32" s="125"/>
      <c r="R32" s="125"/>
      <c r="S32" s="125"/>
      <c r="T32" s="125"/>
      <c r="U32" s="125"/>
      <c r="V32" s="125"/>
      <c r="W32" s="125"/>
      <c r="X32" s="125"/>
      <c r="Y32" s="125"/>
      <c r="Z32" s="125"/>
    </row>
    <row r="33" spans="1:26">
      <c r="A33" s="130">
        <v>21</v>
      </c>
      <c r="B33" s="125"/>
      <c r="C33" s="161"/>
      <c r="D33" s="133"/>
      <c r="E33" s="133"/>
      <c r="F33" s="125"/>
      <c r="G33" s="161"/>
      <c r="H33" s="133"/>
      <c r="I33" s="133"/>
      <c r="J33" s="125"/>
      <c r="K33" s="125"/>
      <c r="L33" s="125"/>
      <c r="M33" s="125"/>
      <c r="N33" s="125"/>
      <c r="O33" s="125"/>
      <c r="P33" s="125"/>
      <c r="Q33" s="125"/>
      <c r="R33" s="125"/>
      <c r="S33" s="125"/>
      <c r="T33" s="125"/>
      <c r="U33" s="125"/>
      <c r="V33" s="125"/>
      <c r="W33" s="125"/>
      <c r="X33" s="125"/>
      <c r="Y33" s="125"/>
      <c r="Z33" s="125"/>
    </row>
    <row r="34" spans="1:26">
      <c r="A34" s="130">
        <v>22</v>
      </c>
      <c r="B34" s="125"/>
      <c r="C34" s="161"/>
      <c r="D34" s="163"/>
      <c r="E34" s="163"/>
      <c r="F34" s="125"/>
      <c r="G34" s="161"/>
      <c r="H34" s="163"/>
      <c r="I34" s="163"/>
      <c r="J34" s="125"/>
      <c r="K34" s="125"/>
      <c r="L34" s="125"/>
      <c r="M34" s="125"/>
      <c r="N34" s="125"/>
      <c r="O34" s="125"/>
      <c r="P34" s="125"/>
      <c r="Q34" s="125"/>
      <c r="R34" s="125"/>
      <c r="S34" s="125"/>
      <c r="T34" s="125"/>
      <c r="U34" s="125"/>
      <c r="V34" s="125"/>
      <c r="W34" s="125"/>
      <c r="X34" s="125"/>
      <c r="Y34" s="125"/>
      <c r="Z34" s="125"/>
    </row>
    <row r="35" spans="1:26">
      <c r="A35" s="130">
        <v>23</v>
      </c>
      <c r="B35" s="125"/>
      <c r="C35" s="161"/>
      <c r="D35" s="133"/>
      <c r="E35" s="133"/>
      <c r="F35" s="125"/>
      <c r="G35" s="161"/>
      <c r="H35" s="133"/>
      <c r="I35" s="133"/>
      <c r="J35" s="125"/>
      <c r="K35" s="125"/>
      <c r="L35" s="125"/>
      <c r="M35" s="125"/>
      <c r="N35" s="125"/>
      <c r="O35" s="125"/>
      <c r="P35" s="125"/>
      <c r="Q35" s="125"/>
      <c r="R35" s="125"/>
      <c r="S35" s="125"/>
      <c r="T35" s="125"/>
      <c r="U35" s="125"/>
      <c r="V35" s="125"/>
      <c r="W35" s="125"/>
      <c r="X35" s="125"/>
      <c r="Y35" s="125"/>
      <c r="Z35" s="125"/>
    </row>
    <row r="36" spans="1:26">
      <c r="A36" s="130">
        <v>24</v>
      </c>
      <c r="B36" s="125"/>
      <c r="C36" s="161"/>
      <c r="D36" s="163"/>
      <c r="E36" s="163"/>
      <c r="F36" s="125"/>
      <c r="G36" s="161"/>
      <c r="H36" s="163"/>
      <c r="I36" s="163"/>
      <c r="J36" s="125"/>
      <c r="K36" s="125"/>
      <c r="L36" s="125"/>
      <c r="M36" s="125"/>
      <c r="N36" s="125"/>
      <c r="O36" s="125"/>
      <c r="P36" s="125"/>
      <c r="Q36" s="125"/>
      <c r="R36" s="125"/>
      <c r="S36" s="125"/>
      <c r="T36" s="125"/>
      <c r="U36" s="125"/>
      <c r="V36" s="125"/>
      <c r="W36" s="125"/>
      <c r="X36" s="125"/>
      <c r="Y36" s="125"/>
      <c r="Z36" s="125"/>
    </row>
    <row r="37" spans="1:26">
      <c r="A37" s="130">
        <v>25</v>
      </c>
      <c r="B37" s="125"/>
      <c r="C37" s="161"/>
      <c r="D37" s="133"/>
      <c r="E37" s="133"/>
      <c r="F37" s="125"/>
      <c r="G37" s="161"/>
      <c r="H37" s="133"/>
      <c r="I37" s="133"/>
      <c r="J37" s="125"/>
      <c r="K37" s="125"/>
      <c r="L37" s="125"/>
      <c r="M37" s="125"/>
      <c r="N37" s="125"/>
      <c r="O37" s="125"/>
      <c r="P37" s="125"/>
      <c r="Q37" s="125"/>
      <c r="R37" s="125"/>
      <c r="S37" s="125"/>
      <c r="T37" s="125"/>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mergeCells count="8">
    <mergeCell ref="C11:E11"/>
    <mergeCell ref="G11:I11"/>
    <mergeCell ref="C5:E5"/>
    <mergeCell ref="G5:I5"/>
    <mergeCell ref="C4:E4"/>
    <mergeCell ref="G4:I4"/>
    <mergeCell ref="C7:E7"/>
    <mergeCell ref="G7:I7"/>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topLeftCell="A28" workbookViewId="0">
      <selection activeCell="F38" sqref="F38:G39"/>
    </sheetView>
  </sheetViews>
  <sheetFormatPr baseColWidth="10" defaultRowHeight="12.75"/>
  <cols>
    <col min="1" max="1" width="5.42578125" customWidth="1"/>
    <col min="6" max="6" width="11.5703125" bestFit="1" customWidth="1"/>
    <col min="8" max="8" width="13.7109375" customWidth="1"/>
    <col min="9" max="12" width="17.7109375" customWidth="1"/>
    <col min="13" max="13" width="35.28515625" customWidth="1"/>
    <col min="14" max="14" width="17.7109375" customWidth="1"/>
  </cols>
  <sheetData>
    <row r="1" spans="1:13" ht="18">
      <c r="A1" s="1228" t="s">
        <v>1101</v>
      </c>
      <c r="B1" s="1228"/>
      <c r="C1" s="345"/>
      <c r="D1" s="345"/>
      <c r="E1" s="345"/>
      <c r="F1" s="345"/>
      <c r="G1" s="1320">
        <f>IF('Stipe=phyllotaxie&amp;croissance'!E9&gt;0,'Stipe=phyllotaxie&amp;croissance'!E9,"")</f>
        <v>40826</v>
      </c>
      <c r="H1" s="1320"/>
      <c r="I1" s="345"/>
      <c r="J1" s="345"/>
      <c r="K1" s="345"/>
      <c r="L1" s="345"/>
    </row>
    <row r="2" spans="1:13" ht="18">
      <c r="A2" s="346"/>
      <c r="B2" s="346"/>
      <c r="C2" s="345"/>
      <c r="D2" s="345"/>
      <c r="E2" s="345"/>
      <c r="F2" s="345"/>
      <c r="G2" s="345"/>
      <c r="H2" s="345"/>
      <c r="I2" s="345"/>
      <c r="J2" s="345"/>
      <c r="K2" s="345"/>
      <c r="L2" s="345"/>
    </row>
    <row r="3" spans="1:13" ht="15.75">
      <c r="A3" s="1321" t="s">
        <v>1102</v>
      </c>
      <c r="B3" s="1321"/>
      <c r="C3" s="1321"/>
      <c r="D3" s="1322" t="str">
        <f>IF('Stipe=phyllotaxie&amp;croissance'!E11&gt;0,'Stipe=phyllotaxie&amp;croissance'!E11,"")</f>
        <v>Rochdi</v>
      </c>
      <c r="E3" s="1322"/>
      <c r="F3" s="1323" t="s">
        <v>1103</v>
      </c>
      <c r="G3" s="1323"/>
      <c r="H3" s="376" t="str">
        <f>IF('Stipe=phyllotaxie&amp;croissance'!E10&gt;0,'Stipe=phyllotaxie&amp;croissance'!E10,"")</f>
        <v>01</v>
      </c>
      <c r="I3" s="377"/>
      <c r="J3" s="378"/>
      <c r="K3" s="378"/>
      <c r="L3" s="345"/>
    </row>
    <row r="4" spans="1:13" ht="18">
      <c r="A4" s="346"/>
      <c r="B4" s="346"/>
      <c r="C4" s="345"/>
      <c r="D4" s="345"/>
      <c r="E4" s="345"/>
      <c r="F4" s="345"/>
      <c r="G4" s="345"/>
      <c r="H4" s="345"/>
      <c r="I4" s="345"/>
      <c r="J4" s="378"/>
      <c r="K4" s="378"/>
      <c r="L4" s="345"/>
    </row>
    <row r="5" spans="1:13" ht="18">
      <c r="A5" s="345"/>
      <c r="B5" s="1319" t="s">
        <v>1143</v>
      </c>
      <c r="C5" s="1319"/>
      <c r="D5" s="1319"/>
      <c r="E5" s="1319"/>
      <c r="F5" s="1319"/>
      <c r="G5" s="1319"/>
      <c r="H5" s="1319"/>
      <c r="I5" s="345"/>
      <c r="J5" s="378"/>
      <c r="K5" s="378"/>
      <c r="L5" s="345"/>
    </row>
    <row r="6" spans="1:13" ht="18">
      <c r="A6" s="345"/>
      <c r="B6" s="379"/>
      <c r="C6" s="379"/>
      <c r="D6" s="379"/>
      <c r="E6" s="379"/>
      <c r="F6" s="379"/>
      <c r="G6" s="379"/>
      <c r="H6" s="379"/>
      <c r="I6" s="345"/>
      <c r="J6" s="378"/>
      <c r="K6" s="378"/>
      <c r="L6" s="345"/>
    </row>
    <row r="7" spans="1:13">
      <c r="A7" s="345"/>
      <c r="B7" s="345"/>
      <c r="C7" s="345"/>
      <c r="D7" s="345"/>
      <c r="E7" s="345"/>
      <c r="F7" s="345"/>
      <c r="G7" s="345"/>
      <c r="H7" s="345"/>
      <c r="I7" s="345"/>
      <c r="J7" s="378"/>
      <c r="K7" s="378"/>
      <c r="L7" s="345"/>
    </row>
    <row r="8" spans="1:13" ht="15">
      <c r="A8" s="345"/>
      <c r="B8" s="1324" t="s">
        <v>1144</v>
      </c>
      <c r="C8" s="1324"/>
      <c r="D8" s="1324"/>
      <c r="E8" s="1324"/>
      <c r="F8" s="1324"/>
      <c r="G8" s="345"/>
      <c r="H8" s="345"/>
      <c r="I8" s="345"/>
      <c r="J8" s="378"/>
      <c r="K8" s="378"/>
      <c r="L8" s="345"/>
    </row>
    <row r="9" spans="1:13" ht="13.5" thickBot="1">
      <c r="A9" s="345"/>
      <c r="B9" s="345"/>
      <c r="C9" s="345"/>
      <c r="D9" s="345"/>
      <c r="E9" s="345"/>
      <c r="F9" s="345"/>
      <c r="G9" s="345"/>
      <c r="H9" s="345"/>
      <c r="I9" s="345"/>
      <c r="J9" s="378"/>
      <c r="K9" s="378"/>
      <c r="L9" s="345"/>
    </row>
    <row r="10" spans="1:13" ht="16.5" thickBot="1">
      <c r="A10" s="345"/>
      <c r="B10" s="1325" t="s">
        <v>1145</v>
      </c>
      <c r="C10" s="1326"/>
      <c r="D10" s="1326"/>
      <c r="E10" s="1327"/>
      <c r="F10" s="380">
        <v>57</v>
      </c>
      <c r="G10" s="381">
        <v>83</v>
      </c>
      <c r="H10" s="1328" t="s">
        <v>1356</v>
      </c>
      <c r="I10" s="1329"/>
      <c r="J10" s="382" t="s">
        <v>1146</v>
      </c>
      <c r="K10" s="382" t="s">
        <v>1147</v>
      </c>
      <c r="L10" s="345"/>
    </row>
    <row r="11" spans="1:13" ht="29.25" customHeight="1">
      <c r="A11" s="383" t="s">
        <v>1148</v>
      </c>
      <c r="B11" s="1330" t="s">
        <v>1125</v>
      </c>
      <c r="C11" s="1331"/>
      <c r="D11" s="1331"/>
      <c r="E11" s="1332"/>
      <c r="F11" s="384">
        <v>65</v>
      </c>
      <c r="G11" s="385">
        <v>72</v>
      </c>
      <c r="H11" s="1333" t="s">
        <v>1149</v>
      </c>
      <c r="I11" s="1334"/>
      <c r="J11" s="1193">
        <f>IF(F10+G10=0,"",ROUND((F10+G10)/2,0))</f>
        <v>70</v>
      </c>
      <c r="K11" s="1193">
        <f>IF(J11="","",'Stipe=phyllotaxie&amp;croissance'!L33-J11)</f>
        <v>124</v>
      </c>
      <c r="L11" s="386" t="s">
        <v>1150</v>
      </c>
      <c r="M11" s="1194">
        <f>J18</f>
        <v>98</v>
      </c>
    </row>
    <row r="12" spans="1:13" ht="30.75" customHeight="1" thickBot="1">
      <c r="A12" s="345"/>
      <c r="B12" s="1313" t="s">
        <v>1151</v>
      </c>
      <c r="C12" s="1314"/>
      <c r="D12" s="1314"/>
      <c r="E12" s="1315"/>
      <c r="F12" s="387">
        <v>380</v>
      </c>
      <c r="G12" s="388">
        <v>350</v>
      </c>
      <c r="H12" s="345"/>
      <c r="I12" s="345"/>
      <c r="J12" s="389" t="s">
        <v>463</v>
      </c>
      <c r="K12" s="1193">
        <f>IF(J11="","",'Stipe=phyllotaxie&amp;croissance'!L33)</f>
        <v>194</v>
      </c>
      <c r="L12" s="1195">
        <f>IF('Feuilles=description générale'!$E$13="","",IF($F$22&lt;90,99.99,100*$F$12/'Feuilles=description générale'!$E$13))</f>
        <v>99.99</v>
      </c>
      <c r="M12" s="1195">
        <f>IF('Feuilles=description générale'!$E$27="","",IF($G$22&lt;90,99.99,100*$G$12/'Feuilles=description générale'!$E$27))</f>
        <v>80.999768572089792</v>
      </c>
    </row>
    <row r="13" spans="1:13" ht="26.25" customHeight="1" thickBot="1">
      <c r="A13" s="345"/>
      <c r="B13" s="1316" t="s">
        <v>1125</v>
      </c>
      <c r="C13" s="1317"/>
      <c r="D13" s="1317"/>
      <c r="E13" s="1318"/>
      <c r="F13" s="390">
        <f>IF(F10='Stipe=phyllotaxie&amp;croissance'!B26,'Stipe=phyllotaxie&amp;croissance'!F26,'Nervure=pétiole&amp;rachis'!F11)</f>
        <v>65</v>
      </c>
      <c r="G13" s="391">
        <f>IF(G10='Stipe=phyllotaxie&amp;croissance'!B27,'Stipe=phyllotaxie&amp;croissance'!F27,'Nervure=pétiole&amp;rachis'!G11)</f>
        <v>72</v>
      </c>
      <c r="J13" s="1198">
        <f>IF($G$10="","",IF($L$12-($M$12-$L$12)*($F$10-1)/($G$10-$F$10)&gt;100,99.99,$L$12-($M$12-$L$12)*($F$10-1)/($G$10-$F$10)))</f>
        <v>99.99</v>
      </c>
      <c r="K13" s="1198">
        <f>IF($G$10="","",IF($M$12+($J$18-$G$10)*($M$12-$L$12)/($G$10-$F$10)&lt;$K$26+5,$K$26+5,$M$12+($J$18-$G$10)*($M$12-$L$12)/($G$10-$F$10)))</f>
        <v>70.043865825218518</v>
      </c>
      <c r="L13" s="1335" t="s">
        <v>1152</v>
      </c>
      <c r="M13" s="1335"/>
    </row>
    <row r="14" spans="1:13">
      <c r="A14" s="345"/>
      <c r="B14" s="345"/>
      <c r="C14" s="345"/>
      <c r="D14" s="345"/>
      <c r="E14" s="345"/>
      <c r="F14" s="392">
        <f>IF('Feuilles=description générale'!E13="","",100*F12/'Feuilles=description générale'!E13)</f>
        <v>93.366093366093367</v>
      </c>
      <c r="G14" s="392">
        <f>IF('Feuilles=description générale'!E27="","",100*G12/'Feuilles=description générale'!E27)</f>
        <v>80.999768572089792</v>
      </c>
      <c r="H14" s="345"/>
      <c r="I14" s="345"/>
      <c r="J14" s="1196"/>
      <c r="K14" s="1196"/>
      <c r="L14" s="345"/>
    </row>
    <row r="15" spans="1:13">
      <c r="A15" s="345"/>
      <c r="B15" s="345"/>
      <c r="C15" s="345"/>
      <c r="D15" s="345"/>
      <c r="E15" s="345"/>
      <c r="F15" s="392">
        <f>IF(F22&gt;90,90,IF(F22="","",F22))</f>
        <v>82</v>
      </c>
      <c r="G15" s="392">
        <f>IF(G22&gt;90,90,IF(G22="","",G22))</f>
        <v>90</v>
      </c>
      <c r="H15" s="345"/>
      <c r="I15" s="345"/>
      <c r="J15" s="378"/>
      <c r="K15" s="378"/>
      <c r="L15" s="345"/>
    </row>
    <row r="16" spans="1:13" ht="15" customHeight="1">
      <c r="A16" s="345"/>
      <c r="B16" s="1324" t="s">
        <v>1153</v>
      </c>
      <c r="C16" s="1324"/>
      <c r="D16" s="1324"/>
      <c r="E16" s="1324"/>
      <c r="F16" s="1324"/>
      <c r="G16" s="345"/>
      <c r="H16" s="345"/>
      <c r="I16" s="345"/>
      <c r="J16" s="1336" t="s">
        <v>1154</v>
      </c>
      <c r="K16" s="1336" t="s">
        <v>1155</v>
      </c>
      <c r="L16" s="345"/>
    </row>
    <row r="17" spans="1:13" ht="13.5" thickBot="1">
      <c r="A17" s="345"/>
      <c r="B17" s="345"/>
      <c r="C17" s="345"/>
      <c r="D17" s="345"/>
      <c r="E17" s="345"/>
      <c r="F17" s="345"/>
      <c r="G17" s="345"/>
      <c r="H17" s="345"/>
      <c r="I17" s="345"/>
      <c r="J17" s="1336"/>
      <c r="K17" s="1336"/>
      <c r="L17" s="345"/>
    </row>
    <row r="18" spans="1:13" ht="15.75" thickBot="1">
      <c r="A18" s="345"/>
      <c r="B18" s="1325" t="s">
        <v>1156</v>
      </c>
      <c r="C18" s="1326"/>
      <c r="D18" s="1326"/>
      <c r="E18" s="1347"/>
      <c r="F18" s="393">
        <f>IF(F10&gt;0,F10,"")</f>
        <v>57</v>
      </c>
      <c r="G18" s="394">
        <f>IF(G10&gt;0,G10,"")</f>
        <v>83</v>
      </c>
      <c r="J18" s="1197">
        <f>'Stipe=phyllotaxie&amp;croissance'!$E$14+'Stipe=phyllotaxie&amp;croissance'!$E$13</f>
        <v>98</v>
      </c>
      <c r="K18" s="1197">
        <f>IF($G$18="","",IF($G$19+($J$18-$G$18)*($G$19-$F$19)/($G$18-$F$18)&gt;40,40,$G$19+($J$18-$G$18)*($G$19-$F$19)/($G$18-$F$18)))</f>
        <v>12.153846153846153</v>
      </c>
      <c r="L18" s="345"/>
    </row>
    <row r="19" spans="1:13" ht="30.75" customHeight="1">
      <c r="A19" s="345"/>
      <c r="B19" s="1338" t="s">
        <v>1157</v>
      </c>
      <c r="C19" s="1339"/>
      <c r="D19" s="1339"/>
      <c r="E19" s="1340"/>
      <c r="F19" s="384">
        <v>9</v>
      </c>
      <c r="G19" s="385">
        <v>11</v>
      </c>
      <c r="H19" s="395">
        <f>$F$18</f>
        <v>57</v>
      </c>
      <c r="I19" s="396">
        <f>$G$18</f>
        <v>83</v>
      </c>
      <c r="J19" s="1193">
        <f>IF(F19+G19=0,"",(F19+G19)/2)</f>
        <v>10</v>
      </c>
      <c r="K19" s="1193">
        <f>IF(F19+G19=0,"",STDEV(F19,G19))</f>
        <v>1.4142135623730951</v>
      </c>
      <c r="L19" s="345"/>
    </row>
    <row r="20" spans="1:13" ht="29.25" customHeight="1">
      <c r="A20" s="345"/>
      <c r="B20" s="1341" t="s">
        <v>1158</v>
      </c>
      <c r="C20" s="1342"/>
      <c r="D20" s="1342"/>
      <c r="E20" s="1343"/>
      <c r="F20" s="397">
        <v>28</v>
      </c>
      <c r="G20" s="398">
        <v>31</v>
      </c>
      <c r="H20" s="399">
        <f>$F$20-$F$19</f>
        <v>19</v>
      </c>
      <c r="I20" s="399">
        <f>$G$20-$G$19</f>
        <v>20</v>
      </c>
      <c r="J20" s="1193">
        <f>IF(F20+G20=0,"",(F20+G20)/2)</f>
        <v>29.5</v>
      </c>
      <c r="K20" s="1193">
        <f>IF(F20+G20=0,"",STDEV(F20,G20))</f>
        <v>2.1213203435596424</v>
      </c>
      <c r="L20" s="345"/>
    </row>
    <row r="21" spans="1:13" ht="28.5" customHeight="1">
      <c r="A21" s="383" t="s">
        <v>1022</v>
      </c>
      <c r="B21" s="1341" t="s">
        <v>1159</v>
      </c>
      <c r="C21" s="1342"/>
      <c r="D21" s="1342"/>
      <c r="E21" s="1343"/>
      <c r="F21" s="400"/>
      <c r="G21" s="401"/>
      <c r="H21" s="1334" t="s">
        <v>1160</v>
      </c>
      <c r="I21" s="1334"/>
      <c r="J21" s="402">
        <f>IF($G$18="","",IF($G$20+($J$18-$G$18)*($G$20-$F$20)/($G$18-$F$18)&gt;85,85,$G$20+($J$18-$G$18)*($G$20-$F$20)/($G$18-$F$18)))</f>
        <v>32.730769230769234</v>
      </c>
      <c r="K21" s="402">
        <f>IF($G$18="","",IF($G$22+($J$18-$G$18)*($G$22-$F$22)/($G$18-$F$18)&gt;180-K18,180-K18,$G$22+($J$18-$G$18)*($G$22-$F$22)/($G$18-$F$18)))</f>
        <v>110.38461538461539</v>
      </c>
      <c r="L21" s="1337" t="s">
        <v>1161</v>
      </c>
      <c r="M21" s="1337"/>
    </row>
    <row r="22" spans="1:13" ht="30" customHeight="1" thickBot="1">
      <c r="A22" s="345"/>
      <c r="B22" s="1344" t="s">
        <v>1162</v>
      </c>
      <c r="C22" s="1345"/>
      <c r="D22" s="1345"/>
      <c r="E22" s="1346"/>
      <c r="F22" s="387">
        <v>82</v>
      </c>
      <c r="G22" s="388">
        <v>100</v>
      </c>
      <c r="H22" s="403">
        <f>$F$22-$F$19</f>
        <v>73</v>
      </c>
      <c r="I22" s="403">
        <f>$G$22-$G$19</f>
        <v>89</v>
      </c>
      <c r="J22" s="1193">
        <f>IF(F22+G22=0,"",(F22+G22)/2)</f>
        <v>91</v>
      </c>
      <c r="K22" s="1193">
        <f>IF(F22+G22=0,"",STDEV(F22,G22))</f>
        <v>12.727922061357855</v>
      </c>
      <c r="L22" s="345"/>
    </row>
    <row r="23" spans="1:13" ht="30.75" customHeight="1">
      <c r="B23" s="1349" t="s">
        <v>1163</v>
      </c>
      <c r="C23" s="1350"/>
      <c r="D23" s="1350"/>
      <c r="E23" s="1351"/>
      <c r="F23" s="404">
        <f>IF('Stipe=phyllotaxie&amp;croissance'!F26="",IF(F21="","",F21),(180/PI())*ASIN('Stipe=phyllotaxie&amp;croissance'!F26/100))</f>
        <v>44.427004000805709</v>
      </c>
      <c r="G23" s="405">
        <f>IF('Stipe=phyllotaxie&amp;croissance'!F27="",IF(G21="","",G21),(180/PI())*ASIN('Stipe=phyllotaxie&amp;croissance'!F27/100))</f>
        <v>48.590377890729144</v>
      </c>
      <c r="H23" s="403">
        <f>IF($F$19="","",$F$23-$F$19)</f>
        <v>35.427004000805709</v>
      </c>
      <c r="I23" s="403">
        <f>IF($G$19="","",$G$23-$G$19)</f>
        <v>37.590377890729144</v>
      </c>
      <c r="J23" s="1193">
        <f>IF(F23="","",IF(G23="","",IF(F23+G23=0,"",(F23+G23)/2)))</f>
        <v>46.508690945767427</v>
      </c>
      <c r="K23" s="1193">
        <f>IF(F3="","",IF(G23="","",IF(F23+G23=0,"",STDEV(F23,G23))))</f>
        <v>2.9439499101798754</v>
      </c>
      <c r="L23" s="345"/>
    </row>
    <row r="24" spans="1:13" ht="30.75" customHeight="1" thickBot="1">
      <c r="A24" s="345"/>
      <c r="B24" s="1352" t="s">
        <v>1164</v>
      </c>
      <c r="C24" s="1353"/>
      <c r="D24" s="1353"/>
      <c r="E24" s="1354"/>
      <c r="F24" s="406">
        <f>IF(F25="",F26+50,F25+50)</f>
        <v>75</v>
      </c>
      <c r="G24" s="407">
        <f>IF(G25="",G26+50,G25+50)</f>
        <v>78</v>
      </c>
      <c r="H24" s="408">
        <f>IF('Feuilles=description générale'!$E$13="","",100*$F$24/'Feuilles=description générale'!$E$13)</f>
        <v>18.427518427518429</v>
      </c>
      <c r="I24" s="408">
        <f>IF('Feuilles=description générale'!$E$27="","",100*$G$24/'Feuilles=description générale'!$E$27)</f>
        <v>18.051376996065724</v>
      </c>
      <c r="J24" s="1193">
        <f>IF(F24+G24=0,"",(F24+G24)/2)</f>
        <v>76.5</v>
      </c>
      <c r="K24" s="1193">
        <f>IF(F24+G24=0,"",STDEV(F24,G24))</f>
        <v>2.1213203435596424</v>
      </c>
      <c r="L24" s="345"/>
    </row>
    <row r="25" spans="1:13" ht="29.25" customHeight="1" thickBot="1">
      <c r="A25" s="345"/>
      <c r="B25" s="1325" t="s">
        <v>1357</v>
      </c>
      <c r="C25" s="1326"/>
      <c r="D25" s="1326"/>
      <c r="E25" s="1347"/>
      <c r="F25" s="409">
        <v>25</v>
      </c>
      <c r="G25" s="410">
        <v>28</v>
      </c>
      <c r="H25" s="1334" t="s">
        <v>1166</v>
      </c>
      <c r="I25" s="1334"/>
      <c r="J25" s="1193">
        <f>IF(F25+G25=0,(F26+G26)/2,(F25+G25)/2)</f>
        <v>26.5</v>
      </c>
      <c r="K25" s="1193">
        <f>IF(F25+G25=0,STDEV(F26,G26),STDEV(F25,G25))</f>
        <v>2.1213203435596424</v>
      </c>
      <c r="L25" s="345"/>
    </row>
    <row r="26" spans="1:13" ht="27" customHeight="1" thickBot="1">
      <c r="A26" s="345"/>
      <c r="B26" s="1355" t="s">
        <v>1165</v>
      </c>
      <c r="C26" s="1356"/>
      <c r="D26" s="1356"/>
      <c r="E26" s="1357"/>
      <c r="F26" s="390">
        <f>IF(F10='Stipe=phyllotaxie&amp;croissance'!B26,'Stipe=phyllotaxie&amp;croissance'!D26,'Feuilles=description générale'!E10)</f>
        <v>21</v>
      </c>
      <c r="G26" s="391">
        <f>IF(G10='Stipe=phyllotaxie&amp;croissance'!B27,'Stipe=phyllotaxie&amp;croissance'!D27,'Feuilles=description générale'!E24)</f>
        <v>23</v>
      </c>
      <c r="H26" s="408">
        <f>IF('Feuilles=description générale'!$E$13="","",100*$F$26/'Feuilles=description générale'!$E$13)</f>
        <v>5.15970515970516</v>
      </c>
      <c r="I26" s="408">
        <f>IF('Feuilles=description générale'!$E$27="","",100*$G$26/'Feuilles=description générale'!$E$27)</f>
        <v>5.3228419347373288</v>
      </c>
      <c r="J26" s="402">
        <f>IF($G$10="","",IF($H$24-($I$24-$H$24)*($F$10-1)/($G$10-$F$10)&gt;$J$13-5,$J$13-5,$H$24-($I$24-$H$24)*($F$10-1)/($G$10-$F$10)))</f>
        <v>19.237669202955026</v>
      </c>
      <c r="K26" s="402">
        <f>IF($G$10="","",IF($I$24+($J$18-$G$10)*($I$24-$H$24)/($G$10-$F$10)&lt;$K$27+5,$K$27+5,$I$24+($J$18-$G$10)*($I$24-$H$24)/($G$10-$F$10)))</f>
        <v>17.834372324073779</v>
      </c>
      <c r="L26" s="1337" t="s">
        <v>1167</v>
      </c>
      <c r="M26" s="1337"/>
    </row>
    <row r="27" spans="1:13" ht="12.75" customHeight="1">
      <c r="A27" s="345"/>
      <c r="B27" s="345"/>
      <c r="C27" s="345"/>
      <c r="D27" s="345"/>
      <c r="E27" s="345"/>
      <c r="F27" s="411"/>
      <c r="G27" s="411"/>
      <c r="H27" s="345"/>
      <c r="I27" s="345"/>
      <c r="J27" s="402">
        <f>IF($H$26="","",$H$26)</f>
        <v>5.15970515970516</v>
      </c>
      <c r="K27" s="402">
        <f>IF($I$26="","",$I$26)</f>
        <v>5.3228419347373288</v>
      </c>
      <c r="L27" s="1337" t="s">
        <v>1168</v>
      </c>
      <c r="M27" s="1337"/>
    </row>
    <row r="28" spans="1:13" ht="15">
      <c r="A28" s="345"/>
      <c r="B28" s="1324" t="s">
        <v>1169</v>
      </c>
      <c r="C28" s="1324"/>
      <c r="D28" s="1324"/>
      <c r="E28" s="1324"/>
      <c r="F28" s="1324"/>
      <c r="G28" s="345"/>
      <c r="H28" s="345"/>
      <c r="I28" s="345"/>
      <c r="J28" s="1193"/>
      <c r="K28" s="1193"/>
      <c r="L28" s="345"/>
    </row>
    <row r="29" spans="1:13" ht="13.5" customHeight="1" thickBot="1">
      <c r="A29" s="345"/>
      <c r="B29" s="345"/>
      <c r="C29" s="345"/>
      <c r="D29" s="345"/>
      <c r="E29" s="345"/>
      <c r="F29" s="345"/>
      <c r="G29" s="345"/>
      <c r="H29" s="345"/>
      <c r="I29" s="345"/>
      <c r="J29" s="402">
        <f>IF($G$18="","",IF($H$20-($F$18-1)*($I$20-$H$20)/($G$18-$F$18)&lt;0.5,0.5,IF(H$20-($F$18-1)*($I$20-$H$20)/($G$18-$F$18)&gt;$J$30,0.9*$J$30,H$20-($F$18-1)*($I$20-$H$20)/($G$18-$F$18))))</f>
        <v>16.846153846153847</v>
      </c>
      <c r="K29" s="402">
        <f>IF($G$18="","",IF($I$20+($I$20-$H$20)*($J$18-$G$18)/($G$18-$F$18)&lt;5,5,IF($I$20+($I$20-$H$20)*($J$18-$G$18)/($G$18-$F$18)&gt;$K$30,0.9*$K$30,$I$20+($I$20-$H$20)*($J$18-$G$18)/($G$18-$F$18))))</f>
        <v>20.576923076923077</v>
      </c>
      <c r="L29" s="1337" t="s">
        <v>1170</v>
      </c>
      <c r="M29" s="1337"/>
    </row>
    <row r="30" spans="1:13" ht="32.25" customHeight="1" thickBot="1">
      <c r="A30" s="345"/>
      <c r="B30" s="1325" t="s">
        <v>1156</v>
      </c>
      <c r="C30" s="1326"/>
      <c r="D30" s="1326"/>
      <c r="E30" s="1327"/>
      <c r="F30" s="393">
        <f>IF(F10&gt;0,F10,"")</f>
        <v>57</v>
      </c>
      <c r="G30" s="394">
        <f>IF(G10&gt;0,G10,"")</f>
        <v>83</v>
      </c>
      <c r="H30" s="345"/>
      <c r="I30" s="345"/>
      <c r="J30" s="402">
        <f>IF($G$18="","",IF($H$23-($F$18-1)*($I$23-$H$23)/($G$18-$F$18)&lt;1,1,IF(H$23-($F$18-1)*($I$23-$H$23)/($G$18-$F$18)&gt;$J$21,0.9*$J$21,H$23-($F$18-1)*($I$23-$H$23)/($G$18-$F$18))))</f>
        <v>30.767429468662925</v>
      </c>
      <c r="K30" s="402">
        <f>IF($G$18="","",IF($I$23+($I$23-$H$23)*($J$18-$G$18)/($G$18-$F$18)&lt;7,7,IF($I$23+($I$23-$H$23)*($J$18-$G$18)/($G$18-$F$18)&gt;$K$21,0.9*$K$21,$I$23+($I$23-$H$23)*($J$18-$G$18)/($G$18-$F$18))))</f>
        <v>38.838478211838819</v>
      </c>
      <c r="L30" s="1337" t="s">
        <v>1171</v>
      </c>
      <c r="M30" s="1337"/>
    </row>
    <row r="31" spans="1:13" ht="30" customHeight="1">
      <c r="A31" s="345"/>
      <c r="B31" s="1338" t="s">
        <v>1172</v>
      </c>
      <c r="C31" s="1339"/>
      <c r="D31" s="1339"/>
      <c r="E31" s="1348"/>
      <c r="F31" s="412">
        <v>-1</v>
      </c>
      <c r="G31" s="413">
        <v>-1</v>
      </c>
      <c r="H31" s="345"/>
      <c r="I31" s="345"/>
      <c r="J31" s="1193">
        <f>IF(F31+G31=0,"",(F31+G31)/2)</f>
        <v>-1</v>
      </c>
      <c r="K31" s="1193">
        <f>IF(F31+G31=0,"",STDEV(F31,G31))</f>
        <v>0</v>
      </c>
      <c r="L31" s="345"/>
    </row>
    <row r="32" spans="1:13" ht="30.75" customHeight="1">
      <c r="A32" s="345"/>
      <c r="B32" s="1341" t="s">
        <v>1173</v>
      </c>
      <c r="C32" s="1342"/>
      <c r="D32" s="1342"/>
      <c r="E32" s="1363"/>
      <c r="F32" s="397">
        <v>200</v>
      </c>
      <c r="G32" s="398">
        <v>175</v>
      </c>
      <c r="H32" s="345"/>
      <c r="I32" s="345"/>
      <c r="J32" s="1193">
        <f>IF(F32+G32=0,"",(F32+G32)/2)</f>
        <v>187.5</v>
      </c>
      <c r="K32" s="1193">
        <f>IF(F32+G32=0,"",STDEV(F32,G32))</f>
        <v>17.677669529663689</v>
      </c>
      <c r="L32" s="345"/>
    </row>
    <row r="33" spans="1:12" ht="29.25" customHeight="1">
      <c r="A33" s="383" t="s">
        <v>1286</v>
      </c>
      <c r="B33" s="1341" t="s">
        <v>1174</v>
      </c>
      <c r="C33" s="1342"/>
      <c r="D33" s="1342"/>
      <c r="E33" s="1363"/>
      <c r="F33" s="414"/>
      <c r="G33" s="401"/>
      <c r="H33" s="1358" t="s">
        <v>1358</v>
      </c>
      <c r="I33" s="1334"/>
      <c r="J33" s="1193"/>
      <c r="K33" s="1193"/>
      <c r="L33" s="345"/>
    </row>
    <row r="34" spans="1:12" ht="30.75" customHeight="1">
      <c r="A34" s="383" t="s">
        <v>1286</v>
      </c>
      <c r="B34" s="1341" t="s">
        <v>1175</v>
      </c>
      <c r="C34" s="1342"/>
      <c r="D34" s="1342"/>
      <c r="E34" s="1363"/>
      <c r="F34" s="414"/>
      <c r="G34" s="401"/>
      <c r="H34" s="1358"/>
      <c r="I34" s="1334"/>
      <c r="J34" s="1193"/>
      <c r="K34" s="1193"/>
      <c r="L34" s="345"/>
    </row>
    <row r="35" spans="1:12" ht="30" customHeight="1" thickBot="1">
      <c r="A35" s="383" t="s">
        <v>61</v>
      </c>
      <c r="B35" s="1341" t="s">
        <v>1176</v>
      </c>
      <c r="C35" s="1342"/>
      <c r="D35" s="1342"/>
      <c r="E35" s="1363"/>
      <c r="F35" s="387">
        <v>17</v>
      </c>
      <c r="G35" s="388">
        <v>21</v>
      </c>
      <c r="H35" s="1334" t="s">
        <v>1359</v>
      </c>
      <c r="I35" s="1334"/>
      <c r="J35" s="1193"/>
      <c r="K35" s="1193"/>
      <c r="L35" s="345"/>
    </row>
    <row r="36" spans="1:12" ht="30.75" customHeight="1">
      <c r="A36" s="345"/>
      <c r="B36" s="1364" t="s">
        <v>1174</v>
      </c>
      <c r="C36" s="1365"/>
      <c r="D36" s="1365"/>
      <c r="E36" s="1366"/>
      <c r="F36" s="415" t="str">
        <f>IF('Stipe=phyllotaxie&amp;croissance'!J26="",IF(F33="","",F33),'Stipe=phyllotaxie&amp;croissance'!J26)</f>
        <v/>
      </c>
      <c r="G36" s="416" t="str">
        <f>IF('Stipe=phyllotaxie&amp;croissance'!J27="",IF(G33="","",G33),'Stipe=phyllotaxie&amp;croissance'!J27)</f>
        <v/>
      </c>
      <c r="H36" s="345"/>
      <c r="I36" s="345"/>
      <c r="J36" s="1193"/>
      <c r="K36" s="1193"/>
      <c r="L36" s="345"/>
    </row>
    <row r="37" spans="1:12" ht="30.75" customHeight="1" thickBot="1">
      <c r="A37" s="345"/>
      <c r="B37" s="1367" t="s">
        <v>1177</v>
      </c>
      <c r="C37" s="1368"/>
      <c r="D37" s="1368"/>
      <c r="E37" s="1369"/>
      <c r="F37" s="417">
        <f>IF(F35="",IF(F36="","",ABS(F34-F36)),F35)</f>
        <v>17</v>
      </c>
      <c r="G37" s="418">
        <f>IF(G35="",IF(G36="","",ABS(G34-G36)),G35)</f>
        <v>21</v>
      </c>
      <c r="H37" s="345"/>
      <c r="I37" s="345"/>
      <c r="J37" s="1193">
        <f>IF(F37="","",IF(G37="","",MAX(F37,G37)))</f>
        <v>21</v>
      </c>
      <c r="K37" s="1193">
        <f>IF(F37="","",IF(G37="","",STDEV(F37,G37)))</f>
        <v>2.8284271247461903</v>
      </c>
      <c r="L37" s="345"/>
    </row>
    <row r="38" spans="1:12" ht="30" customHeight="1">
      <c r="A38" s="345"/>
      <c r="B38" s="1359" t="s">
        <v>1178</v>
      </c>
      <c r="C38" s="1360"/>
      <c r="D38" s="1360"/>
      <c r="E38" s="1361"/>
      <c r="F38" s="397">
        <v>200</v>
      </c>
      <c r="G38" s="398">
        <v>170</v>
      </c>
      <c r="H38" s="345"/>
      <c r="I38" s="345"/>
      <c r="J38" s="1193">
        <f>IF(F38+G38=0,"",(F38+G38)/2)</f>
        <v>185</v>
      </c>
      <c r="K38" s="1193">
        <f>IF(F38+G38=0,"",STDEV(F38,G38))</f>
        <v>21.213203435596427</v>
      </c>
      <c r="L38" s="345"/>
    </row>
    <row r="39" spans="1:12" ht="27" customHeight="1" thickBot="1">
      <c r="A39" s="345"/>
      <c r="B39" s="1344" t="s">
        <v>1179</v>
      </c>
      <c r="C39" s="1345"/>
      <c r="D39" s="1345"/>
      <c r="E39" s="1362"/>
      <c r="F39" s="387">
        <v>60</v>
      </c>
      <c r="G39" s="388">
        <v>66</v>
      </c>
      <c r="H39" s="345"/>
      <c r="I39" s="345"/>
      <c r="J39" s="1193">
        <f>IF(F39+G39=0,"",MAX(F39,G39))</f>
        <v>66</v>
      </c>
      <c r="K39" s="1193">
        <f>IF(F39+G39=0,"",STDEV(F39,G39))</f>
        <v>4.2426406871192848</v>
      </c>
      <c r="L39" s="345"/>
    </row>
    <row r="40" spans="1:12">
      <c r="A40" s="345"/>
      <c r="B40" s="345"/>
      <c r="C40" s="345"/>
      <c r="D40" s="345"/>
      <c r="E40" s="345"/>
      <c r="F40" s="345"/>
      <c r="G40" s="345"/>
      <c r="H40" s="345"/>
      <c r="I40" s="345"/>
      <c r="J40" s="419"/>
      <c r="K40" s="419"/>
      <c r="L40" s="345"/>
    </row>
    <row r="41" spans="1:12">
      <c r="A41" s="345"/>
      <c r="B41" s="345"/>
      <c r="C41" s="345"/>
      <c r="D41" s="345"/>
      <c r="E41" s="345"/>
      <c r="F41" s="345"/>
      <c r="G41" s="345"/>
      <c r="H41" s="345"/>
      <c r="I41" s="345"/>
      <c r="J41" s="419"/>
      <c r="K41" s="419"/>
      <c r="L41" s="345"/>
    </row>
  </sheetData>
  <sheetProtection sheet="1" objects="1" scenarios="1" selectLockedCells="1"/>
  <mergeCells count="46">
    <mergeCell ref="H33:I34"/>
    <mergeCell ref="H35:I35"/>
    <mergeCell ref="B38:E38"/>
    <mergeCell ref="B39:E39"/>
    <mergeCell ref="B32:E32"/>
    <mergeCell ref="B33:E33"/>
    <mergeCell ref="B34:E34"/>
    <mergeCell ref="B35:E35"/>
    <mergeCell ref="B36:E36"/>
    <mergeCell ref="B37:E37"/>
    <mergeCell ref="L27:M27"/>
    <mergeCell ref="B28:F28"/>
    <mergeCell ref="L29:M29"/>
    <mergeCell ref="B30:E30"/>
    <mergeCell ref="L30:M30"/>
    <mergeCell ref="B31:E31"/>
    <mergeCell ref="B23:E23"/>
    <mergeCell ref="B24:E24"/>
    <mergeCell ref="B25:E25"/>
    <mergeCell ref="H25:I25"/>
    <mergeCell ref="B26:E26"/>
    <mergeCell ref="L13:M13"/>
    <mergeCell ref="B16:F16"/>
    <mergeCell ref="J16:J17"/>
    <mergeCell ref="K16:K17"/>
    <mergeCell ref="L26:M26"/>
    <mergeCell ref="B19:E19"/>
    <mergeCell ref="B20:E20"/>
    <mergeCell ref="B21:E21"/>
    <mergeCell ref="H21:I21"/>
    <mergeCell ref="L21:M21"/>
    <mergeCell ref="B22:E22"/>
    <mergeCell ref="B18:E18"/>
    <mergeCell ref="B12:E12"/>
    <mergeCell ref="B13:E13"/>
    <mergeCell ref="B5:H5"/>
    <mergeCell ref="A1:B1"/>
    <mergeCell ref="G1:H1"/>
    <mergeCell ref="A3:C3"/>
    <mergeCell ref="D3:E3"/>
    <mergeCell ref="F3:G3"/>
    <mergeCell ref="B8:F8"/>
    <mergeCell ref="B10:E10"/>
    <mergeCell ref="H10:I10"/>
    <mergeCell ref="B11:E11"/>
    <mergeCell ref="H11:I11"/>
  </mergeCells>
  <conditionalFormatting sqref="F11">
    <cfRule type="expression" dxfId="7" priority="8">
      <formula>$F$21&lt;&gt;""</formula>
    </cfRule>
  </conditionalFormatting>
  <conditionalFormatting sqref="F21">
    <cfRule type="expression" dxfId="6" priority="10">
      <formula>$F$11&lt;&gt;""</formula>
    </cfRule>
  </conditionalFormatting>
  <conditionalFormatting sqref="G21">
    <cfRule type="expression" dxfId="5" priority="7">
      <formula>$G$11&lt;&gt;""</formula>
    </cfRule>
    <cfRule type="expression" dxfId="4" priority="9">
      <formula>$G$11&lt;&gt;""</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3" operator="greaterThan" id="{1A3F3DD4-3769-4A42-A417-2426CD87E82B}">
            <xm:f>'\Données_2\RL_CIRAD\MOCAF PRINCIPES\PRINCIPES_Docs_files\Versions2014.09_FR\[Principes_Saisie_V14.10.18.xlsx]Stipe=phyllotaxie&amp;croissance'!#REF!+'\Données_2\RL_CIRAD\MOCAF PRINCIPES\PRINCIPES_Docs_files\Versions2014.09_FR\[Principes_Saisie_V14.10.18.xlsx]Stipe=phyllotaxie&amp;croissance'!#REF!</xm:f>
            <x14:dxf>
              <font>
                <color theme="5" tint="-0.499984740745262"/>
              </font>
              <fill>
                <patternFill>
                  <bgColor rgb="FFFF0000"/>
                </patternFill>
              </fill>
            </x14:dxf>
          </x14:cfRule>
          <x14:cfRule type="cellIs" priority="14" operator="greaterThan" id="{6747CC21-B8B2-4A97-AE44-EB607F2528D7}">
            <xm:f>'\Données_2\RL_CIRAD\MOCAF PRINCIPES\PRINCIPES_Docs_files\Versions2014.09_FR\[Principes_Saisie_V14.09.19.xlsx]Stipe=phyllotaxie&amp;croissance'!#REF!+'\Données_2\RL_CIRAD\MOCAF PRINCIPES\PRINCIPES_Docs_files\Versions2014.09_FR\[Principes_Saisie_V14.09.19.xlsx]Stipe=phyllotaxie&amp;croissance'!#REF!</xm:f>
            <x14:dxf>
              <font>
                <color theme="5" tint="-0.499984740745262"/>
              </font>
              <fill>
                <patternFill>
                  <bgColor rgb="FFFF0000"/>
                </patternFill>
              </fill>
            </x14:dxf>
          </x14:cfRule>
          <xm:sqref>F10:G10</xm:sqref>
        </x14:conditionalFormatting>
        <x14:conditionalFormatting xmlns:xm="http://schemas.microsoft.com/office/excel/2006/main">
          <x14:cfRule type="expression" priority="12" id="{4C2C7109-11FF-44BC-BA0E-E27970D7ECA1}">
            <xm:f>$F$10='Stipe=phyllotaxie&amp;croissance'!$B$26</xm:f>
            <x14:dxf>
              <fill>
                <patternFill>
                  <bgColor theme="1" tint="4.9989318521683403E-2"/>
                </patternFill>
              </fill>
            </x14:dxf>
          </x14:cfRule>
          <xm:sqref>F11</xm:sqref>
        </x14:conditionalFormatting>
        <x14:conditionalFormatting xmlns:xm="http://schemas.microsoft.com/office/excel/2006/main">
          <x14:cfRule type="expression" priority="11" id="{8504F52E-A929-47CC-BFC5-5A0F2FB8FF9A}">
            <xm:f>$G$10='Stipe=phyllotaxie&amp;croissance'!$B$27</xm:f>
            <x14:dxf>
              <fill>
                <patternFill>
                  <bgColor theme="1" tint="4.9989318521683403E-2"/>
                </patternFill>
              </fill>
            </x14:dxf>
          </x14:cfRule>
          <xm:sqref>G11</xm:sqref>
        </x14:conditionalFormatting>
      </x14:conditionalFormatting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H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7" width="15" style="127" customWidth="1"/>
    <col min="8" max="9" width="11.7109375" style="127" customWidth="1"/>
    <col min="10" max="10" width="1.7109375" style="127" customWidth="1"/>
    <col min="11" max="15" width="11.7109375" style="127" customWidth="1"/>
    <col min="16" max="16" width="9" style="127" bestFit="1" customWidth="1"/>
    <col min="17" max="21" width="11.7109375" style="127" customWidth="1"/>
    <col min="22" max="22" width="6.7109375" style="127" customWidth="1"/>
    <col min="23" max="23" width="14" style="127" bestFit="1" customWidth="1"/>
    <col min="24" max="24" width="1.7109375" style="127" customWidth="1"/>
    <col min="25" max="27" width="11.7109375" style="127" customWidth="1"/>
    <col min="28" max="28" width="1.7109375" style="127" customWidth="1"/>
    <col min="29" max="31" width="11.42578125" style="151"/>
    <col min="32" max="32" width="1.7109375" style="127" customWidth="1"/>
    <col min="33" max="34" width="11.42578125" style="151"/>
    <col min="35" max="16384" width="11.42578125" style="127"/>
  </cols>
  <sheetData>
    <row r="1" spans="1:34">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row>
    <row r="2" spans="1:34" ht="21">
      <c r="A2" s="13" t="s">
        <v>444</v>
      </c>
      <c r="B2" s="125"/>
      <c r="C2" s="241" t="s">
        <v>652</v>
      </c>
      <c r="D2" s="246"/>
      <c r="E2" s="246"/>
      <c r="F2" s="242"/>
      <c r="G2" s="242"/>
      <c r="H2" s="246"/>
      <c r="I2" s="246"/>
      <c r="J2" s="246"/>
      <c r="K2" s="246"/>
      <c r="L2" s="246"/>
      <c r="M2" s="246"/>
      <c r="N2" s="246"/>
      <c r="O2" s="246"/>
      <c r="P2" s="246"/>
      <c r="Q2" s="246"/>
      <c r="R2" s="246"/>
      <c r="S2" s="246"/>
      <c r="T2" s="246"/>
      <c r="U2" s="246"/>
      <c r="V2" s="246"/>
      <c r="W2" s="246"/>
      <c r="X2" s="246"/>
      <c r="Y2" s="246"/>
      <c r="Z2" s="246"/>
      <c r="AA2" s="246"/>
      <c r="AB2" s="246"/>
      <c r="AC2" s="246"/>
      <c r="AD2" s="246"/>
      <c r="AE2" s="246"/>
      <c r="AF2" s="125"/>
    </row>
    <row r="3" spans="1:34"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34" ht="16.5" thickBot="1">
      <c r="A4" s="35" t="s">
        <v>446</v>
      </c>
      <c r="B4" s="125"/>
      <c r="C4" s="1648" t="s">
        <v>568</v>
      </c>
      <c r="D4" s="1646"/>
      <c r="E4" s="1647"/>
      <c r="F4" s="125"/>
      <c r="G4" s="1648" t="s">
        <v>606</v>
      </c>
      <c r="H4" s="1646"/>
      <c r="I4" s="1647"/>
      <c r="J4" s="125"/>
      <c r="K4" s="1648" t="s">
        <v>568</v>
      </c>
      <c r="L4" s="1646"/>
      <c r="M4" s="1646"/>
      <c r="N4" s="1646"/>
      <c r="O4" s="1647"/>
      <c r="P4" s="125"/>
      <c r="Q4" s="1648" t="s">
        <v>568</v>
      </c>
      <c r="R4" s="1649"/>
      <c r="S4" s="1649"/>
      <c r="T4" s="1649"/>
      <c r="U4" s="1649"/>
      <c r="V4" s="1649"/>
      <c r="W4" s="1650"/>
      <c r="X4" s="125"/>
      <c r="Y4" s="1648" t="s">
        <v>568</v>
      </c>
      <c r="Z4" s="1646"/>
      <c r="AA4" s="1647"/>
      <c r="AB4" s="125"/>
      <c r="AC4" s="1648" t="s">
        <v>568</v>
      </c>
      <c r="AD4" s="1646"/>
      <c r="AE4" s="1647"/>
      <c r="AF4" s="125"/>
    </row>
    <row r="5" spans="1:34" ht="16.5" thickBot="1">
      <c r="A5" s="135" t="s">
        <v>445</v>
      </c>
      <c r="B5" s="125"/>
      <c r="C5" s="1645" t="s">
        <v>519</v>
      </c>
      <c r="D5" s="1646"/>
      <c r="E5" s="1647"/>
      <c r="F5" s="125"/>
      <c r="G5" s="1648" t="s">
        <v>603</v>
      </c>
      <c r="H5" s="1646"/>
      <c r="I5" s="1647"/>
      <c r="J5" s="125"/>
      <c r="K5" s="1648" t="s">
        <v>504</v>
      </c>
      <c r="L5" s="1646"/>
      <c r="M5" s="1646"/>
      <c r="N5" s="1646"/>
      <c r="O5" s="1647"/>
      <c r="P5" s="125"/>
      <c r="Q5" s="1648" t="s">
        <v>505</v>
      </c>
      <c r="R5" s="1649"/>
      <c r="S5" s="1649"/>
      <c r="T5" s="1649"/>
      <c r="U5" s="1649"/>
      <c r="V5" s="1649"/>
      <c r="W5" s="1650"/>
      <c r="X5" s="125"/>
      <c r="Y5" s="1648" t="s">
        <v>516</v>
      </c>
      <c r="Z5" s="1646"/>
      <c r="AA5" s="1647"/>
      <c r="AB5" s="125"/>
      <c r="AC5" s="1645" t="s">
        <v>515</v>
      </c>
      <c r="AD5" s="1646"/>
      <c r="AE5" s="1647"/>
      <c r="AF5" s="125"/>
    </row>
    <row r="6" spans="1:34" ht="16.5" thickBot="1">
      <c r="A6" s="125"/>
      <c r="B6" s="125"/>
      <c r="C6" s="1645" t="s">
        <v>460</v>
      </c>
      <c r="D6" s="1646"/>
      <c r="E6" s="1647"/>
      <c r="F6" s="125"/>
      <c r="G6" s="1648" t="s">
        <v>591</v>
      </c>
      <c r="H6" s="1646"/>
      <c r="I6" s="1647"/>
      <c r="J6" s="125"/>
      <c r="K6" s="125"/>
      <c r="L6" s="247">
        <v>1</v>
      </c>
      <c r="M6" s="248">
        <v>2</v>
      </c>
      <c r="N6" s="248">
        <v>3</v>
      </c>
      <c r="O6" s="248">
        <v>4</v>
      </c>
      <c r="P6" s="178" t="s">
        <v>503</v>
      </c>
      <c r="Q6" s="125"/>
      <c r="R6" s="1648" t="s">
        <v>543</v>
      </c>
      <c r="S6" s="1647"/>
      <c r="T6" s="1648" t="s">
        <v>544</v>
      </c>
      <c r="U6" s="1647"/>
      <c r="V6" s="125"/>
      <c r="W6" s="245" t="s">
        <v>639</v>
      </c>
      <c r="X6" s="125"/>
      <c r="Y6" s="1648" t="s">
        <v>537</v>
      </c>
      <c r="Z6" s="1646"/>
      <c r="AA6" s="1647"/>
      <c r="AB6" s="125"/>
      <c r="AC6" s="1645" t="s">
        <v>786</v>
      </c>
      <c r="AD6" s="1646"/>
      <c r="AE6" s="1647"/>
      <c r="AF6" s="125"/>
    </row>
    <row r="7" spans="1:34" ht="16.5" thickBot="1">
      <c r="A7" s="125"/>
      <c r="B7" s="125"/>
      <c r="C7" s="125"/>
      <c r="D7" s="125"/>
      <c r="E7" s="125"/>
      <c r="F7" s="125"/>
      <c r="G7" s="158" t="s">
        <v>64</v>
      </c>
      <c r="H7" s="146" t="s">
        <v>426</v>
      </c>
      <c r="I7" s="146" t="s">
        <v>427</v>
      </c>
      <c r="J7" s="125"/>
      <c r="K7" s="1638" t="s">
        <v>847</v>
      </c>
      <c r="L7" s="1639"/>
      <c r="M7" s="1639"/>
      <c r="N7" s="1639"/>
      <c r="O7" s="1639"/>
      <c r="P7" s="178" t="s">
        <v>440</v>
      </c>
      <c r="Q7" s="1671" t="s">
        <v>848</v>
      </c>
      <c r="R7" s="1672"/>
      <c r="S7" s="1672"/>
      <c r="T7" s="1672"/>
      <c r="U7" s="1672"/>
      <c r="V7" s="1672"/>
      <c r="W7" s="1672"/>
      <c r="X7" s="125"/>
      <c r="Y7" s="1638" t="s">
        <v>850</v>
      </c>
      <c r="Z7" s="1639"/>
      <c r="AA7" s="1639"/>
      <c r="AB7" s="125"/>
      <c r="AC7" s="1638" t="s">
        <v>851</v>
      </c>
      <c r="AD7" s="1639"/>
      <c r="AE7" s="1639"/>
      <c r="AF7" s="125"/>
    </row>
    <row r="8" spans="1:34" ht="16.5" thickBot="1">
      <c r="A8" s="146" t="s">
        <v>645</v>
      </c>
      <c r="B8" s="125"/>
      <c r="C8" s="158" t="s">
        <v>636</v>
      </c>
      <c r="D8" s="146" t="s">
        <v>456</v>
      </c>
      <c r="E8" s="146" t="s">
        <v>427</v>
      </c>
      <c r="F8" s="125"/>
      <c r="G8" s="158" t="s">
        <v>636</v>
      </c>
      <c r="H8" s="182" t="s">
        <v>646</v>
      </c>
      <c r="I8" s="186" t="s">
        <v>647</v>
      </c>
      <c r="J8" s="125"/>
      <c r="K8" s="158" t="s">
        <v>636</v>
      </c>
      <c r="L8" s="146" t="s">
        <v>426</v>
      </c>
      <c r="M8" s="146" t="s">
        <v>426</v>
      </c>
      <c r="N8" s="146" t="s">
        <v>426</v>
      </c>
      <c r="O8" s="146" t="s">
        <v>426</v>
      </c>
      <c r="P8" s="179"/>
      <c r="Q8" s="146" t="s">
        <v>636</v>
      </c>
      <c r="R8" s="146" t="s">
        <v>426</v>
      </c>
      <c r="S8" s="146" t="s">
        <v>427</v>
      </c>
      <c r="T8" s="146" t="s">
        <v>426</v>
      </c>
      <c r="U8" s="146" t="s">
        <v>427</v>
      </c>
      <c r="V8" s="125"/>
      <c r="W8" s="125"/>
      <c r="X8" s="125"/>
      <c r="Y8" s="158" t="s">
        <v>636</v>
      </c>
      <c r="Z8" s="146" t="s">
        <v>426</v>
      </c>
      <c r="AA8" s="146" t="s">
        <v>427</v>
      </c>
      <c r="AB8" s="125"/>
      <c r="AC8" s="125"/>
      <c r="AD8" s="125"/>
      <c r="AE8" s="125"/>
      <c r="AF8" s="125"/>
    </row>
    <row r="9" spans="1:34" s="129" customFormat="1" ht="16.5" thickBot="1">
      <c r="A9" s="216" t="s">
        <v>644</v>
      </c>
      <c r="B9" s="126"/>
      <c r="C9" s="126"/>
      <c r="D9" s="236">
        <v>1</v>
      </c>
      <c r="E9" s="236">
        <v>1</v>
      </c>
      <c r="F9" s="126"/>
      <c r="G9" s="126"/>
      <c r="H9" s="236">
        <v>1</v>
      </c>
      <c r="I9" s="236">
        <v>1</v>
      </c>
      <c r="J9" s="126"/>
      <c r="K9" s="126"/>
      <c r="L9" s="236">
        <v>1</v>
      </c>
      <c r="M9" s="236">
        <v>1</v>
      </c>
      <c r="N9" s="236">
        <v>1</v>
      </c>
      <c r="O9" s="236">
        <v>1</v>
      </c>
      <c r="P9" s="178"/>
      <c r="Q9" s="126"/>
      <c r="R9" s="236">
        <v>1</v>
      </c>
      <c r="S9" s="236">
        <v>1</v>
      </c>
      <c r="T9" s="236">
        <v>1</v>
      </c>
      <c r="U9" s="236">
        <v>1</v>
      </c>
      <c r="V9" s="1665" t="s">
        <v>785</v>
      </c>
      <c r="W9" s="1670"/>
      <c r="X9" s="126"/>
      <c r="Y9" s="126"/>
      <c r="Z9" s="236">
        <v>1</v>
      </c>
      <c r="AA9" s="236">
        <v>1</v>
      </c>
      <c r="AB9" s="126"/>
      <c r="AC9" s="125"/>
      <c r="AD9" s="125"/>
      <c r="AE9" s="125"/>
      <c r="AF9" s="126"/>
      <c r="AG9" s="152"/>
      <c r="AH9" s="152"/>
    </row>
    <row r="10" spans="1:34" s="228" customFormat="1">
      <c r="A10" s="220" t="s">
        <v>642</v>
      </c>
      <c r="B10" s="221"/>
      <c r="C10" s="221"/>
      <c r="D10" s="222">
        <f>COUNT(D13:D37)</f>
        <v>2</v>
      </c>
      <c r="E10" s="222">
        <f>COUNT(E13:E37)</f>
        <v>2</v>
      </c>
      <c r="F10" s="221"/>
      <c r="G10" s="221"/>
      <c r="H10" s="222">
        <f>COUNT(H13:H37)</f>
        <v>1</v>
      </c>
      <c r="I10" s="222">
        <f>COUNT(I13:I37)</f>
        <v>1</v>
      </c>
      <c r="J10" s="221"/>
      <c r="K10" s="221"/>
      <c r="L10" s="222">
        <f>COUNT(L13:L37)</f>
        <v>1</v>
      </c>
      <c r="M10" s="222">
        <f>COUNT(M13:M37)</f>
        <v>1</v>
      </c>
      <c r="N10" s="222">
        <f>COUNT(N13:N37)</f>
        <v>1</v>
      </c>
      <c r="O10" s="222">
        <f>COUNT(O13:O37)</f>
        <v>1</v>
      </c>
      <c r="P10" s="229"/>
      <c r="Q10" s="221"/>
      <c r="R10" s="222">
        <f>COUNT(R13:R37)</f>
        <v>1</v>
      </c>
      <c r="S10" s="222">
        <f>COUNT(S13:S37)</f>
        <v>1</v>
      </c>
      <c r="T10" s="222">
        <f>COUNT(T13:T37)</f>
        <v>1</v>
      </c>
      <c r="U10" s="222">
        <f>COUNT(U13:U37)</f>
        <v>1</v>
      </c>
      <c r="V10" s="222"/>
      <c r="W10" s="221"/>
      <c r="X10" s="221"/>
      <c r="Y10" s="221"/>
      <c r="Z10" s="222">
        <f>COUNT(Z13:Z37)</f>
        <v>1</v>
      </c>
      <c r="AA10" s="222">
        <f>COUNT(AA13:AA37)</f>
        <v>1</v>
      </c>
      <c r="AB10" s="221"/>
      <c r="AC10" s="125"/>
      <c r="AD10" s="125"/>
      <c r="AE10" s="125"/>
      <c r="AF10" s="221"/>
      <c r="AG10" s="227"/>
      <c r="AH10" s="227"/>
    </row>
    <row r="11" spans="1:34" s="234" customFormat="1">
      <c r="A11" s="223" t="s">
        <v>643</v>
      </c>
      <c r="B11" s="235"/>
      <c r="C11" s="1642" t="s">
        <v>949</v>
      </c>
      <c r="D11" s="1642"/>
      <c r="E11" s="1642"/>
      <c r="F11" s="235"/>
      <c r="G11" s="1642" t="s">
        <v>950</v>
      </c>
      <c r="H11" s="1642"/>
      <c r="I11" s="1642"/>
      <c r="J11" s="235"/>
      <c r="K11" s="1642" t="s">
        <v>951</v>
      </c>
      <c r="L11" s="1642"/>
      <c r="M11" s="1642"/>
      <c r="N11" s="1642"/>
      <c r="O11" s="1642"/>
      <c r="P11" s="229"/>
      <c r="Q11" s="1642" t="s">
        <v>952</v>
      </c>
      <c r="R11" s="1642"/>
      <c r="S11" s="1642"/>
      <c r="T11" s="1642"/>
      <c r="U11" s="1642"/>
      <c r="V11" s="231"/>
      <c r="W11" s="231"/>
      <c r="X11" s="235"/>
      <c r="Y11" s="1642" t="s">
        <v>953</v>
      </c>
      <c r="Z11" s="1642"/>
      <c r="AA11" s="1642"/>
      <c r="AB11" s="235"/>
      <c r="AC11" s="125"/>
      <c r="AD11" s="125"/>
      <c r="AE11" s="125"/>
      <c r="AF11" s="235"/>
      <c r="AG11" s="233"/>
      <c r="AH11" s="233"/>
    </row>
    <row r="12" spans="1:34">
      <c r="A12" s="130" t="s">
        <v>317</v>
      </c>
      <c r="B12" s="125"/>
      <c r="C12" s="131" t="s">
        <v>438</v>
      </c>
      <c r="D12" s="130" t="s">
        <v>4</v>
      </c>
      <c r="E12" s="130" t="s">
        <v>4</v>
      </c>
      <c r="F12" s="125"/>
      <c r="G12" s="131" t="s">
        <v>438</v>
      </c>
      <c r="H12" s="131" t="s">
        <v>433</v>
      </c>
      <c r="I12" s="130" t="s">
        <v>4</v>
      </c>
      <c r="J12" s="125"/>
      <c r="K12" s="131" t="s">
        <v>438</v>
      </c>
      <c r="L12" s="130" t="s">
        <v>4</v>
      </c>
      <c r="M12" s="130" t="s">
        <v>4</v>
      </c>
      <c r="N12" s="130" t="s">
        <v>4</v>
      </c>
      <c r="O12" s="130" t="s">
        <v>4</v>
      </c>
      <c r="P12" s="179"/>
      <c r="Q12" s="131" t="s">
        <v>438</v>
      </c>
      <c r="R12" s="130" t="s">
        <v>0</v>
      </c>
      <c r="S12" s="130" t="s">
        <v>0</v>
      </c>
      <c r="T12" s="130" t="s">
        <v>0</v>
      </c>
      <c r="U12" s="130" t="s">
        <v>0</v>
      </c>
      <c r="V12" s="125"/>
      <c r="W12" s="125"/>
      <c r="X12" s="125"/>
      <c r="Y12" s="131" t="s">
        <v>438</v>
      </c>
      <c r="Z12" s="130" t="s">
        <v>3</v>
      </c>
      <c r="AA12" s="130" t="s">
        <v>3</v>
      </c>
      <c r="AB12" s="125"/>
      <c r="AC12" s="125"/>
      <c r="AD12" s="125"/>
      <c r="AE12" s="125"/>
      <c r="AF12" s="125"/>
    </row>
    <row r="13" spans="1:34">
      <c r="A13" s="130">
        <v>1</v>
      </c>
      <c r="B13" s="125"/>
      <c r="C13" s="161">
        <v>0</v>
      </c>
      <c r="D13" s="133">
        <v>10</v>
      </c>
      <c r="E13" s="133">
        <v>0</v>
      </c>
      <c r="F13" s="125"/>
      <c r="G13" s="172">
        <v>0</v>
      </c>
      <c r="H13" s="183">
        <v>50</v>
      </c>
      <c r="I13" s="173">
        <v>0</v>
      </c>
      <c r="J13" s="125"/>
      <c r="K13" s="161">
        <v>0</v>
      </c>
      <c r="L13" s="133">
        <v>100</v>
      </c>
      <c r="M13" s="133">
        <v>0</v>
      </c>
      <c r="N13" s="133">
        <v>0</v>
      </c>
      <c r="O13" s="133">
        <v>0</v>
      </c>
      <c r="P13" s="180">
        <f t="shared" ref="P13:P36" si="0">SUM(L13:O13)</f>
        <v>100</v>
      </c>
      <c r="Q13" s="161">
        <v>0</v>
      </c>
      <c r="R13" s="133">
        <v>3</v>
      </c>
      <c r="S13" s="133">
        <v>0</v>
      </c>
      <c r="T13" s="133">
        <v>2</v>
      </c>
      <c r="U13" s="133">
        <v>0</v>
      </c>
      <c r="V13" s="125">
        <v>5</v>
      </c>
      <c r="W13" s="125"/>
      <c r="X13" s="125"/>
      <c r="Y13" s="161">
        <v>0</v>
      </c>
      <c r="Z13" s="133">
        <v>136</v>
      </c>
      <c r="AA13" s="133">
        <v>0</v>
      </c>
      <c r="AB13" s="125"/>
      <c r="AC13" s="125"/>
      <c r="AD13" s="125"/>
      <c r="AE13" s="125"/>
      <c r="AF13" s="125"/>
    </row>
    <row r="14" spans="1:34">
      <c r="A14" s="130">
        <v>2</v>
      </c>
      <c r="B14" s="125"/>
      <c r="C14" s="161">
        <v>50</v>
      </c>
      <c r="D14" s="163">
        <v>50</v>
      </c>
      <c r="E14" s="163">
        <v>0</v>
      </c>
      <c r="F14" s="125"/>
      <c r="G14" s="172"/>
      <c r="H14" s="184"/>
      <c r="I14" s="185"/>
      <c r="J14" s="125"/>
      <c r="K14" s="161"/>
      <c r="L14" s="163"/>
      <c r="M14" s="163"/>
      <c r="N14" s="163"/>
      <c r="O14" s="163"/>
      <c r="P14" s="180">
        <f t="shared" si="0"/>
        <v>0</v>
      </c>
      <c r="Q14" s="161"/>
      <c r="R14" s="163"/>
      <c r="S14" s="163"/>
      <c r="T14" s="163"/>
      <c r="U14" s="163"/>
      <c r="V14" s="125"/>
      <c r="W14" s="125"/>
      <c r="X14" s="125"/>
      <c r="Y14" s="161"/>
      <c r="Z14" s="163"/>
      <c r="AA14" s="163"/>
      <c r="AB14" s="125"/>
      <c r="AC14" s="125"/>
      <c r="AD14" s="125"/>
      <c r="AE14" s="125"/>
      <c r="AF14" s="125"/>
    </row>
    <row r="15" spans="1:34">
      <c r="A15" s="130">
        <v>3</v>
      </c>
      <c r="B15" s="125"/>
      <c r="C15" s="161"/>
      <c r="D15" s="133"/>
      <c r="E15" s="133"/>
      <c r="F15" s="125"/>
      <c r="G15" s="172"/>
      <c r="H15" s="183"/>
      <c r="I15" s="173"/>
      <c r="J15" s="125"/>
      <c r="K15" s="161"/>
      <c r="L15" s="133"/>
      <c r="M15" s="133"/>
      <c r="N15" s="133"/>
      <c r="O15" s="133"/>
      <c r="P15" s="180">
        <f t="shared" si="0"/>
        <v>0</v>
      </c>
      <c r="Q15" s="161"/>
      <c r="R15" s="133"/>
      <c r="S15" s="133"/>
      <c r="T15" s="133"/>
      <c r="U15" s="133"/>
      <c r="V15" s="125"/>
      <c r="W15" s="125"/>
      <c r="X15" s="125"/>
      <c r="Y15" s="161"/>
      <c r="Z15" s="133"/>
      <c r="AA15" s="133"/>
      <c r="AB15" s="125"/>
      <c r="AC15" s="125"/>
      <c r="AD15" s="125"/>
      <c r="AE15" s="125"/>
      <c r="AF15" s="125"/>
    </row>
    <row r="16" spans="1:34">
      <c r="A16" s="130">
        <v>4</v>
      </c>
      <c r="B16" s="125"/>
      <c r="C16" s="161"/>
      <c r="D16" s="163"/>
      <c r="E16" s="163"/>
      <c r="F16" s="125"/>
      <c r="G16" s="161"/>
      <c r="H16" s="162"/>
      <c r="I16" s="163"/>
      <c r="J16" s="125"/>
      <c r="K16" s="161"/>
      <c r="L16" s="163"/>
      <c r="M16" s="163"/>
      <c r="N16" s="163"/>
      <c r="O16" s="163"/>
      <c r="P16" s="180">
        <f t="shared" si="0"/>
        <v>0</v>
      </c>
      <c r="Q16" s="161"/>
      <c r="R16" s="163"/>
      <c r="S16" s="163"/>
      <c r="T16" s="163"/>
      <c r="U16" s="163"/>
      <c r="V16" s="125"/>
      <c r="W16" s="125"/>
      <c r="X16" s="125"/>
      <c r="Y16" s="161"/>
      <c r="Z16" s="163"/>
      <c r="AA16" s="163"/>
      <c r="AB16" s="125"/>
      <c r="AC16" s="125"/>
      <c r="AD16" s="125"/>
      <c r="AE16" s="125"/>
      <c r="AF16" s="125"/>
    </row>
    <row r="17" spans="1:32">
      <c r="A17" s="130">
        <v>5</v>
      </c>
      <c r="B17" s="125"/>
      <c r="C17" s="161"/>
      <c r="D17" s="133"/>
      <c r="E17" s="133"/>
      <c r="F17" s="125"/>
      <c r="G17" s="161"/>
      <c r="H17" s="147"/>
      <c r="I17" s="133"/>
      <c r="J17" s="125"/>
      <c r="K17" s="161"/>
      <c r="L17" s="133"/>
      <c r="M17" s="133"/>
      <c r="N17" s="133"/>
      <c r="O17" s="133"/>
      <c r="P17" s="180">
        <f t="shared" si="0"/>
        <v>0</v>
      </c>
      <c r="Q17" s="161"/>
      <c r="R17" s="133"/>
      <c r="S17" s="133"/>
      <c r="T17" s="133"/>
      <c r="U17" s="133"/>
      <c r="V17" s="125"/>
      <c r="W17" s="125"/>
      <c r="X17" s="125"/>
      <c r="Y17" s="161"/>
      <c r="Z17" s="133"/>
      <c r="AA17" s="133"/>
      <c r="AB17" s="125"/>
      <c r="AC17" s="125"/>
      <c r="AD17" s="125"/>
      <c r="AE17" s="125"/>
      <c r="AF17" s="125"/>
    </row>
    <row r="18" spans="1:32">
      <c r="A18" s="130">
        <v>6</v>
      </c>
      <c r="B18" s="125"/>
      <c r="C18" s="161"/>
      <c r="D18" s="163"/>
      <c r="E18" s="163"/>
      <c r="F18" s="125"/>
      <c r="G18" s="161"/>
      <c r="H18" s="162"/>
      <c r="I18" s="163"/>
      <c r="J18" s="125"/>
      <c r="K18" s="161"/>
      <c r="L18" s="163"/>
      <c r="M18" s="163"/>
      <c r="N18" s="163"/>
      <c r="O18" s="163"/>
      <c r="P18" s="180">
        <f t="shared" si="0"/>
        <v>0</v>
      </c>
      <c r="Q18" s="161"/>
      <c r="R18" s="163"/>
      <c r="S18" s="163"/>
      <c r="T18" s="163"/>
      <c r="U18" s="163"/>
      <c r="V18" s="125"/>
      <c r="W18" s="125"/>
      <c r="X18" s="125"/>
      <c r="Y18" s="161"/>
      <c r="Z18" s="163"/>
      <c r="AA18" s="163"/>
      <c r="AB18" s="125"/>
      <c r="AC18" s="125"/>
      <c r="AD18" s="125"/>
      <c r="AE18" s="125"/>
      <c r="AF18" s="125"/>
    </row>
    <row r="19" spans="1:32">
      <c r="A19" s="130">
        <v>7</v>
      </c>
      <c r="B19" s="125"/>
      <c r="C19" s="161"/>
      <c r="D19" s="133"/>
      <c r="E19" s="133"/>
      <c r="F19" s="125"/>
      <c r="G19" s="161"/>
      <c r="H19" s="147"/>
      <c r="I19" s="133"/>
      <c r="J19" s="125"/>
      <c r="K19" s="161"/>
      <c r="L19" s="133"/>
      <c r="M19" s="133"/>
      <c r="N19" s="133"/>
      <c r="O19" s="133"/>
      <c r="P19" s="180">
        <f t="shared" si="0"/>
        <v>0</v>
      </c>
      <c r="Q19" s="161"/>
      <c r="R19" s="133"/>
      <c r="S19" s="133"/>
      <c r="T19" s="133"/>
      <c r="U19" s="133"/>
      <c r="V19" s="125"/>
      <c r="W19" s="125"/>
      <c r="X19" s="125"/>
      <c r="Y19" s="161"/>
      <c r="Z19" s="133"/>
      <c r="AA19" s="133"/>
      <c r="AB19" s="125"/>
      <c r="AC19" s="125"/>
      <c r="AD19" s="125"/>
      <c r="AE19" s="125"/>
      <c r="AF19" s="125"/>
    </row>
    <row r="20" spans="1:32">
      <c r="A20" s="130">
        <v>8</v>
      </c>
      <c r="B20" s="125"/>
      <c r="C20" s="161"/>
      <c r="D20" s="163"/>
      <c r="E20" s="163"/>
      <c r="F20" s="125"/>
      <c r="G20" s="161"/>
      <c r="H20" s="162"/>
      <c r="I20" s="163"/>
      <c r="J20" s="125"/>
      <c r="K20" s="161"/>
      <c r="L20" s="163"/>
      <c r="M20" s="163"/>
      <c r="N20" s="163"/>
      <c r="O20" s="163"/>
      <c r="P20" s="180">
        <f t="shared" si="0"/>
        <v>0</v>
      </c>
      <c r="Q20" s="161"/>
      <c r="R20" s="163"/>
      <c r="S20" s="163"/>
      <c r="T20" s="163"/>
      <c r="U20" s="163"/>
      <c r="V20" s="125"/>
      <c r="W20" s="125"/>
      <c r="X20" s="125"/>
      <c r="Y20" s="161"/>
      <c r="Z20" s="163"/>
      <c r="AA20" s="163"/>
      <c r="AB20" s="125"/>
      <c r="AC20" s="125"/>
      <c r="AD20" s="125"/>
      <c r="AE20" s="125"/>
      <c r="AF20" s="125"/>
    </row>
    <row r="21" spans="1:32">
      <c r="A21" s="130">
        <v>9</v>
      </c>
      <c r="B21" s="125"/>
      <c r="C21" s="161"/>
      <c r="D21" s="133"/>
      <c r="E21" s="133"/>
      <c r="F21" s="125"/>
      <c r="G21" s="161"/>
      <c r="H21" s="147"/>
      <c r="I21" s="133"/>
      <c r="J21" s="125"/>
      <c r="K21" s="161"/>
      <c r="L21" s="133"/>
      <c r="M21" s="133"/>
      <c r="N21" s="133"/>
      <c r="O21" s="133"/>
      <c r="P21" s="180">
        <f t="shared" si="0"/>
        <v>0</v>
      </c>
      <c r="Q21" s="161"/>
      <c r="R21" s="133"/>
      <c r="S21" s="133"/>
      <c r="T21" s="133"/>
      <c r="U21" s="133"/>
      <c r="V21" s="125"/>
      <c r="W21" s="125"/>
      <c r="X21" s="125"/>
      <c r="Y21" s="161"/>
      <c r="Z21" s="133"/>
      <c r="AA21" s="133"/>
      <c r="AB21" s="125"/>
      <c r="AC21" s="125"/>
      <c r="AD21" s="125"/>
      <c r="AE21" s="125"/>
      <c r="AF21" s="125"/>
    </row>
    <row r="22" spans="1:32">
      <c r="A22" s="130">
        <v>10</v>
      </c>
      <c r="B22" s="125"/>
      <c r="C22" s="161"/>
      <c r="D22" s="163"/>
      <c r="E22" s="163"/>
      <c r="F22" s="125"/>
      <c r="G22" s="161"/>
      <c r="H22" s="162"/>
      <c r="I22" s="163"/>
      <c r="J22" s="125"/>
      <c r="K22" s="161"/>
      <c r="L22" s="163"/>
      <c r="M22" s="163"/>
      <c r="N22" s="163"/>
      <c r="O22" s="163"/>
      <c r="P22" s="180">
        <f t="shared" si="0"/>
        <v>0</v>
      </c>
      <c r="Q22" s="161"/>
      <c r="R22" s="163"/>
      <c r="S22" s="163"/>
      <c r="T22" s="163"/>
      <c r="U22" s="163"/>
      <c r="V22" s="125"/>
      <c r="W22" s="125"/>
      <c r="X22" s="125"/>
      <c r="Y22" s="161"/>
      <c r="Z22" s="163"/>
      <c r="AA22" s="163"/>
      <c r="AB22" s="125"/>
      <c r="AC22" s="125"/>
      <c r="AD22" s="125"/>
      <c r="AE22" s="125"/>
      <c r="AF22" s="125"/>
    </row>
    <row r="23" spans="1:32">
      <c r="A23" s="130">
        <v>11</v>
      </c>
      <c r="B23" s="125"/>
      <c r="C23" s="161"/>
      <c r="D23" s="133"/>
      <c r="E23" s="133"/>
      <c r="F23" s="125"/>
      <c r="G23" s="161"/>
      <c r="H23" s="147"/>
      <c r="I23" s="133"/>
      <c r="J23" s="125"/>
      <c r="K23" s="161"/>
      <c r="L23" s="133"/>
      <c r="M23" s="133"/>
      <c r="N23" s="133"/>
      <c r="O23" s="133"/>
      <c r="P23" s="180">
        <f t="shared" si="0"/>
        <v>0</v>
      </c>
      <c r="Q23" s="161"/>
      <c r="R23" s="133"/>
      <c r="S23" s="133"/>
      <c r="T23" s="133"/>
      <c r="U23" s="133"/>
      <c r="V23" s="125"/>
      <c r="W23" s="125"/>
      <c r="X23" s="125"/>
      <c r="Y23" s="161"/>
      <c r="Z23" s="133"/>
      <c r="AA23" s="133"/>
      <c r="AB23" s="125"/>
      <c r="AC23" s="125"/>
      <c r="AD23" s="125"/>
      <c r="AE23" s="125"/>
      <c r="AF23" s="125"/>
    </row>
    <row r="24" spans="1:32">
      <c r="A24" s="130">
        <v>12</v>
      </c>
      <c r="B24" s="125"/>
      <c r="C24" s="161"/>
      <c r="D24" s="163"/>
      <c r="E24" s="163"/>
      <c r="F24" s="125"/>
      <c r="G24" s="161"/>
      <c r="H24" s="162"/>
      <c r="I24" s="163"/>
      <c r="J24" s="125"/>
      <c r="K24" s="161"/>
      <c r="L24" s="163"/>
      <c r="M24" s="163"/>
      <c r="N24" s="163"/>
      <c r="O24" s="163"/>
      <c r="P24" s="180">
        <f t="shared" si="0"/>
        <v>0</v>
      </c>
      <c r="Q24" s="161"/>
      <c r="R24" s="163"/>
      <c r="S24" s="163"/>
      <c r="T24" s="163"/>
      <c r="U24" s="163"/>
      <c r="V24" s="125"/>
      <c r="W24" s="125"/>
      <c r="X24" s="125"/>
      <c r="Y24" s="161"/>
      <c r="Z24" s="163"/>
      <c r="AA24" s="163"/>
      <c r="AB24" s="125"/>
      <c r="AC24" s="125"/>
      <c r="AD24" s="125"/>
      <c r="AE24" s="125"/>
      <c r="AF24" s="125"/>
    </row>
    <row r="25" spans="1:32">
      <c r="A25" s="130">
        <v>13</v>
      </c>
      <c r="B25" s="125"/>
      <c r="C25" s="161"/>
      <c r="D25" s="133"/>
      <c r="E25" s="133"/>
      <c r="F25" s="125"/>
      <c r="G25" s="161"/>
      <c r="H25" s="147"/>
      <c r="I25" s="133"/>
      <c r="J25" s="125"/>
      <c r="K25" s="161"/>
      <c r="L25" s="133"/>
      <c r="M25" s="133"/>
      <c r="N25" s="133"/>
      <c r="O25" s="133"/>
      <c r="P25" s="180">
        <f t="shared" si="0"/>
        <v>0</v>
      </c>
      <c r="Q25" s="161"/>
      <c r="R25" s="133"/>
      <c r="S25" s="133"/>
      <c r="T25" s="133"/>
      <c r="U25" s="133"/>
      <c r="V25" s="125"/>
      <c r="W25" s="125"/>
      <c r="X25" s="125"/>
      <c r="Y25" s="161"/>
      <c r="Z25" s="133"/>
      <c r="AA25" s="133"/>
      <c r="AB25" s="125"/>
      <c r="AC25" s="125"/>
      <c r="AD25" s="125"/>
      <c r="AE25" s="125"/>
      <c r="AF25" s="125"/>
    </row>
    <row r="26" spans="1:32">
      <c r="A26" s="130">
        <v>14</v>
      </c>
      <c r="B26" s="125"/>
      <c r="C26" s="161"/>
      <c r="D26" s="163"/>
      <c r="E26" s="163"/>
      <c r="F26" s="125"/>
      <c r="G26" s="161"/>
      <c r="H26" s="162"/>
      <c r="I26" s="163"/>
      <c r="J26" s="125"/>
      <c r="K26" s="161"/>
      <c r="L26" s="163"/>
      <c r="M26" s="163"/>
      <c r="N26" s="163"/>
      <c r="O26" s="163"/>
      <c r="P26" s="180">
        <f t="shared" si="0"/>
        <v>0</v>
      </c>
      <c r="Q26" s="161"/>
      <c r="R26" s="163"/>
      <c r="S26" s="163"/>
      <c r="T26" s="163"/>
      <c r="U26" s="163"/>
      <c r="V26" s="125"/>
      <c r="W26" s="125"/>
      <c r="X26" s="125"/>
      <c r="Y26" s="161"/>
      <c r="Z26" s="163"/>
      <c r="AA26" s="163"/>
      <c r="AB26" s="125"/>
      <c r="AC26" s="125"/>
      <c r="AD26" s="125"/>
      <c r="AE26" s="125"/>
      <c r="AF26" s="125"/>
    </row>
    <row r="27" spans="1:32">
      <c r="A27" s="130">
        <v>15</v>
      </c>
      <c r="B27" s="125"/>
      <c r="C27" s="161"/>
      <c r="D27" s="133"/>
      <c r="E27" s="133"/>
      <c r="F27" s="125"/>
      <c r="G27" s="161"/>
      <c r="H27" s="147"/>
      <c r="I27" s="133"/>
      <c r="J27" s="125"/>
      <c r="K27" s="161"/>
      <c r="L27" s="133"/>
      <c r="M27" s="133"/>
      <c r="N27" s="133"/>
      <c r="O27" s="133"/>
      <c r="P27" s="180">
        <f t="shared" si="0"/>
        <v>0</v>
      </c>
      <c r="Q27" s="161"/>
      <c r="R27" s="133"/>
      <c r="S27" s="133"/>
      <c r="T27" s="133"/>
      <c r="U27" s="133"/>
      <c r="V27" s="125"/>
      <c r="W27" s="125"/>
      <c r="X27" s="125"/>
      <c r="Y27" s="161"/>
      <c r="Z27" s="133"/>
      <c r="AA27" s="133"/>
      <c r="AB27" s="125"/>
      <c r="AC27" s="125"/>
      <c r="AD27" s="125"/>
      <c r="AE27" s="125"/>
      <c r="AF27" s="125"/>
    </row>
    <row r="28" spans="1:32">
      <c r="A28" s="130">
        <v>16</v>
      </c>
      <c r="B28" s="125"/>
      <c r="C28" s="161"/>
      <c r="D28" s="163"/>
      <c r="E28" s="163"/>
      <c r="F28" s="125"/>
      <c r="G28" s="161"/>
      <c r="H28" s="162"/>
      <c r="I28" s="163"/>
      <c r="J28" s="125"/>
      <c r="K28" s="161"/>
      <c r="L28" s="163"/>
      <c r="M28" s="163"/>
      <c r="N28" s="163"/>
      <c r="O28" s="163"/>
      <c r="P28" s="180">
        <f t="shared" si="0"/>
        <v>0</v>
      </c>
      <c r="Q28" s="161"/>
      <c r="R28" s="163"/>
      <c r="S28" s="163"/>
      <c r="T28" s="163"/>
      <c r="U28" s="163"/>
      <c r="V28" s="125"/>
      <c r="W28" s="125"/>
      <c r="X28" s="125"/>
      <c r="Y28" s="161"/>
      <c r="Z28" s="163"/>
      <c r="AA28" s="163"/>
      <c r="AB28" s="125"/>
      <c r="AC28" s="125"/>
      <c r="AD28" s="125"/>
      <c r="AE28" s="125"/>
      <c r="AF28" s="125"/>
    </row>
    <row r="29" spans="1:32">
      <c r="A29" s="130">
        <v>17</v>
      </c>
      <c r="B29" s="125"/>
      <c r="C29" s="161"/>
      <c r="D29" s="133"/>
      <c r="E29" s="133"/>
      <c r="F29" s="125"/>
      <c r="G29" s="161"/>
      <c r="H29" s="147"/>
      <c r="I29" s="133"/>
      <c r="J29" s="125"/>
      <c r="K29" s="161"/>
      <c r="L29" s="133"/>
      <c r="M29" s="133"/>
      <c r="N29" s="133"/>
      <c r="O29" s="133"/>
      <c r="P29" s="180">
        <f t="shared" si="0"/>
        <v>0</v>
      </c>
      <c r="Q29" s="161"/>
      <c r="R29" s="133"/>
      <c r="S29" s="133"/>
      <c r="T29" s="133"/>
      <c r="U29" s="133"/>
      <c r="V29" s="125"/>
      <c r="W29" s="125"/>
      <c r="X29" s="125"/>
      <c r="Y29" s="161"/>
      <c r="Z29" s="133"/>
      <c r="AA29" s="133"/>
      <c r="AB29" s="125"/>
      <c r="AC29" s="125"/>
      <c r="AD29" s="125"/>
      <c r="AE29" s="125"/>
      <c r="AF29" s="125"/>
    </row>
    <row r="30" spans="1:32">
      <c r="A30" s="130">
        <v>18</v>
      </c>
      <c r="B30" s="125"/>
      <c r="C30" s="161"/>
      <c r="D30" s="163"/>
      <c r="E30" s="163"/>
      <c r="F30" s="125"/>
      <c r="G30" s="161"/>
      <c r="H30" s="162"/>
      <c r="I30" s="163"/>
      <c r="J30" s="125"/>
      <c r="K30" s="161"/>
      <c r="L30" s="163"/>
      <c r="M30" s="163"/>
      <c r="N30" s="163"/>
      <c r="O30" s="163"/>
      <c r="P30" s="180">
        <f t="shared" si="0"/>
        <v>0</v>
      </c>
      <c r="Q30" s="161"/>
      <c r="R30" s="163"/>
      <c r="S30" s="163"/>
      <c r="T30" s="163"/>
      <c r="U30" s="163"/>
      <c r="V30" s="125"/>
      <c r="W30" s="125"/>
      <c r="X30" s="125"/>
      <c r="Y30" s="161"/>
      <c r="Z30" s="163"/>
      <c r="AA30" s="163"/>
      <c r="AB30" s="125"/>
      <c r="AC30" s="125"/>
      <c r="AD30" s="125"/>
      <c r="AE30" s="125"/>
      <c r="AF30" s="125"/>
    </row>
    <row r="31" spans="1:32">
      <c r="A31" s="130">
        <v>19</v>
      </c>
      <c r="B31" s="125"/>
      <c r="C31" s="161"/>
      <c r="D31" s="133"/>
      <c r="E31" s="133"/>
      <c r="F31" s="125"/>
      <c r="G31" s="161"/>
      <c r="H31" s="147"/>
      <c r="I31" s="133"/>
      <c r="J31" s="125"/>
      <c r="K31" s="161"/>
      <c r="L31" s="133"/>
      <c r="M31" s="133"/>
      <c r="N31" s="133"/>
      <c r="O31" s="133"/>
      <c r="P31" s="180">
        <f t="shared" si="0"/>
        <v>0</v>
      </c>
      <c r="Q31" s="161"/>
      <c r="R31" s="133"/>
      <c r="S31" s="133"/>
      <c r="T31" s="133"/>
      <c r="U31" s="133"/>
      <c r="V31" s="125"/>
      <c r="W31" s="125"/>
      <c r="X31" s="125"/>
      <c r="Y31" s="161"/>
      <c r="Z31" s="133"/>
      <c r="AA31" s="133"/>
      <c r="AB31" s="125"/>
      <c r="AC31" s="125"/>
      <c r="AD31" s="125"/>
      <c r="AE31" s="125"/>
      <c r="AF31" s="125"/>
    </row>
    <row r="32" spans="1:32">
      <c r="A32" s="130">
        <v>20</v>
      </c>
      <c r="B32" s="125"/>
      <c r="C32" s="161"/>
      <c r="D32" s="163"/>
      <c r="E32" s="163"/>
      <c r="F32" s="125"/>
      <c r="G32" s="161"/>
      <c r="H32" s="162"/>
      <c r="I32" s="163"/>
      <c r="J32" s="125"/>
      <c r="K32" s="161"/>
      <c r="L32" s="163"/>
      <c r="M32" s="163"/>
      <c r="N32" s="163"/>
      <c r="O32" s="163"/>
      <c r="P32" s="180">
        <f t="shared" si="0"/>
        <v>0</v>
      </c>
      <c r="Q32" s="161"/>
      <c r="R32" s="163"/>
      <c r="S32" s="163"/>
      <c r="T32" s="163"/>
      <c r="U32" s="163"/>
      <c r="V32" s="125"/>
      <c r="W32" s="125"/>
      <c r="X32" s="125"/>
      <c r="Y32" s="161"/>
      <c r="Z32" s="163"/>
      <c r="AA32" s="163"/>
      <c r="AB32" s="125"/>
      <c r="AC32" s="125"/>
      <c r="AD32" s="125"/>
      <c r="AE32" s="125"/>
      <c r="AF32" s="125"/>
    </row>
    <row r="33" spans="1:32">
      <c r="A33" s="130">
        <v>21</v>
      </c>
      <c r="B33" s="125"/>
      <c r="C33" s="161"/>
      <c r="D33" s="133"/>
      <c r="E33" s="133"/>
      <c r="F33" s="125"/>
      <c r="G33" s="161"/>
      <c r="H33" s="147"/>
      <c r="I33" s="133"/>
      <c r="J33" s="125"/>
      <c r="K33" s="161"/>
      <c r="L33" s="133"/>
      <c r="M33" s="133"/>
      <c r="N33" s="133"/>
      <c r="O33" s="133"/>
      <c r="P33" s="180">
        <f t="shared" si="0"/>
        <v>0</v>
      </c>
      <c r="Q33" s="161"/>
      <c r="R33" s="133"/>
      <c r="S33" s="133"/>
      <c r="T33" s="133"/>
      <c r="U33" s="133"/>
      <c r="V33" s="125"/>
      <c r="W33" s="125"/>
      <c r="X33" s="125"/>
      <c r="Y33" s="161"/>
      <c r="Z33" s="133"/>
      <c r="AA33" s="133"/>
      <c r="AB33" s="125"/>
      <c r="AC33" s="125"/>
      <c r="AD33" s="125"/>
      <c r="AE33" s="125"/>
      <c r="AF33" s="125"/>
    </row>
    <row r="34" spans="1:32">
      <c r="A34" s="130">
        <v>22</v>
      </c>
      <c r="B34" s="125"/>
      <c r="C34" s="161"/>
      <c r="D34" s="163"/>
      <c r="E34" s="163"/>
      <c r="F34" s="125"/>
      <c r="G34" s="161"/>
      <c r="H34" s="162"/>
      <c r="I34" s="163"/>
      <c r="J34" s="125"/>
      <c r="K34" s="161"/>
      <c r="L34" s="163"/>
      <c r="M34" s="163"/>
      <c r="N34" s="163"/>
      <c r="O34" s="163"/>
      <c r="P34" s="180">
        <f t="shared" si="0"/>
        <v>0</v>
      </c>
      <c r="Q34" s="161"/>
      <c r="R34" s="163"/>
      <c r="S34" s="163"/>
      <c r="T34" s="163"/>
      <c r="U34" s="163"/>
      <c r="V34" s="125"/>
      <c r="W34" s="125"/>
      <c r="X34" s="125"/>
      <c r="Y34" s="161"/>
      <c r="Z34" s="163"/>
      <c r="AA34" s="163"/>
      <c r="AB34" s="125"/>
      <c r="AC34" s="125"/>
      <c r="AD34" s="125"/>
      <c r="AE34" s="125"/>
      <c r="AF34" s="125"/>
    </row>
    <row r="35" spans="1:32">
      <c r="A35" s="130">
        <v>23</v>
      </c>
      <c r="B35" s="125"/>
      <c r="C35" s="161"/>
      <c r="D35" s="133"/>
      <c r="E35" s="133"/>
      <c r="F35" s="125"/>
      <c r="G35" s="161"/>
      <c r="H35" s="147"/>
      <c r="I35" s="133"/>
      <c r="J35" s="125"/>
      <c r="K35" s="161"/>
      <c r="L35" s="133"/>
      <c r="M35" s="133"/>
      <c r="N35" s="133"/>
      <c r="O35" s="133"/>
      <c r="P35" s="180">
        <f t="shared" si="0"/>
        <v>0</v>
      </c>
      <c r="Q35" s="161"/>
      <c r="R35" s="133"/>
      <c r="S35" s="133"/>
      <c r="T35" s="133"/>
      <c r="U35" s="133"/>
      <c r="V35" s="125"/>
      <c r="W35" s="125"/>
      <c r="X35" s="125"/>
      <c r="Y35" s="161"/>
      <c r="Z35" s="133"/>
      <c r="AA35" s="133"/>
      <c r="AB35" s="125"/>
      <c r="AC35" s="125"/>
      <c r="AD35" s="125"/>
      <c r="AE35" s="125"/>
      <c r="AF35" s="125"/>
    </row>
    <row r="36" spans="1:32">
      <c r="A36" s="130">
        <v>24</v>
      </c>
      <c r="B36" s="125"/>
      <c r="C36" s="161"/>
      <c r="D36" s="163"/>
      <c r="E36" s="163"/>
      <c r="F36" s="125"/>
      <c r="G36" s="161"/>
      <c r="H36" s="162"/>
      <c r="I36" s="163"/>
      <c r="J36" s="125"/>
      <c r="K36" s="161"/>
      <c r="L36" s="163"/>
      <c r="M36" s="163"/>
      <c r="N36" s="163"/>
      <c r="O36" s="163"/>
      <c r="P36" s="180">
        <f t="shared" si="0"/>
        <v>0</v>
      </c>
      <c r="Q36" s="161"/>
      <c r="R36" s="163"/>
      <c r="S36" s="163"/>
      <c r="T36" s="163"/>
      <c r="U36" s="163"/>
      <c r="V36" s="125"/>
      <c r="W36" s="125"/>
      <c r="X36" s="125"/>
      <c r="Y36" s="161"/>
      <c r="Z36" s="163"/>
      <c r="AA36" s="163"/>
      <c r="AB36" s="125"/>
      <c r="AC36" s="125"/>
      <c r="AD36" s="125"/>
      <c r="AE36" s="125"/>
      <c r="AF36" s="125"/>
    </row>
    <row r="37" spans="1:32">
      <c r="A37" s="130">
        <v>25</v>
      </c>
      <c r="B37" s="125"/>
      <c r="C37" s="161"/>
      <c r="D37" s="133"/>
      <c r="E37" s="133"/>
      <c r="F37" s="125"/>
      <c r="G37" s="161"/>
      <c r="H37" s="147"/>
      <c r="I37" s="133"/>
      <c r="J37" s="125"/>
      <c r="K37" s="161"/>
      <c r="L37" s="133"/>
      <c r="M37" s="133"/>
      <c r="N37" s="133"/>
      <c r="O37" s="133"/>
      <c r="P37" s="180"/>
      <c r="Q37" s="161"/>
      <c r="R37" s="133"/>
      <c r="S37" s="133"/>
      <c r="T37" s="133"/>
      <c r="U37" s="133"/>
      <c r="V37" s="125"/>
      <c r="W37" s="125"/>
      <c r="X37" s="125"/>
      <c r="Y37" s="161"/>
      <c r="Z37" s="133"/>
      <c r="AA37" s="133"/>
      <c r="AB37" s="125"/>
      <c r="AC37" s="125"/>
      <c r="AD37" s="125"/>
      <c r="AE37" s="125"/>
      <c r="AF37" s="125"/>
    </row>
    <row r="38" spans="1:32">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87"/>
      <c r="Z38" s="187"/>
      <c r="AA38" s="187"/>
      <c r="AB38" s="125"/>
      <c r="AC38" s="125"/>
      <c r="AD38" s="125"/>
      <c r="AE38" s="125"/>
      <c r="AF38" s="125"/>
    </row>
    <row r="39" spans="1:32">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row>
    <row r="40" spans="1:32">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row>
    <row r="41" spans="1:32">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row>
    <row r="42" spans="1:32">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row>
    <row r="43" spans="1:32">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row>
    <row r="44" spans="1:32">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row>
    <row r="45" spans="1:32">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row>
    <row r="46" spans="1:32">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row>
    <row r="47" spans="1:32">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row>
    <row r="48" spans="1:32">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row>
    <row r="49" spans="1:32">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row>
    <row r="50" spans="1:32">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row>
    <row r="51" spans="1:32">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row>
    <row r="52" spans="1:32">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row>
    <row r="53" spans="1:3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row>
    <row r="54" spans="1:32">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row>
    <row r="55" spans="1:32">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row>
    <row r="56" spans="1:32">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row>
    <row r="57" spans="1:32">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row>
  </sheetData>
  <sheetProtection selectLockedCells="1"/>
  <mergeCells count="28">
    <mergeCell ref="AC4:AE4"/>
    <mergeCell ref="AC5:AE5"/>
    <mergeCell ref="AC6:AE6"/>
    <mergeCell ref="C11:E11"/>
    <mergeCell ref="G11:I11"/>
    <mergeCell ref="K11:O11"/>
    <mergeCell ref="Y11:AA11"/>
    <mergeCell ref="C4:E4"/>
    <mergeCell ref="C6:E6"/>
    <mergeCell ref="G4:I4"/>
    <mergeCell ref="Y4:AA4"/>
    <mergeCell ref="Y6:AA6"/>
    <mergeCell ref="R6:S6"/>
    <mergeCell ref="G5:I5"/>
    <mergeCell ref="C5:E5"/>
    <mergeCell ref="Y5:AA5"/>
    <mergeCell ref="K4:O4"/>
    <mergeCell ref="Q4:W4"/>
    <mergeCell ref="Q5:W5"/>
    <mergeCell ref="V9:W9"/>
    <mergeCell ref="K7:O7"/>
    <mergeCell ref="Q7:W7"/>
    <mergeCell ref="Q11:U11"/>
    <mergeCell ref="Y7:AA7"/>
    <mergeCell ref="AC7:AE7"/>
    <mergeCell ref="K5:O5"/>
    <mergeCell ref="G6:I6"/>
    <mergeCell ref="T6:U6"/>
  </mergeCells>
  <hyperlinks>
    <hyperlink ref="A1" location="IGAP!A1" display="IGAP!A1"/>
  </hyperlink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7"/>
  <sheetViews>
    <sheetView topLeftCell="A10" workbookViewId="0">
      <selection activeCell="H11" sqref="H11"/>
    </sheetView>
  </sheetViews>
  <sheetFormatPr baseColWidth="10" defaultRowHeight="12.75"/>
  <cols>
    <col min="1" max="1" width="5.5703125" customWidth="1"/>
    <col min="5" max="5" width="11.5703125" bestFit="1" customWidth="1"/>
    <col min="8" max="8" width="10.85546875" customWidth="1"/>
  </cols>
  <sheetData>
    <row r="1" spans="1:13" ht="18">
      <c r="A1" s="1228" t="s">
        <v>1101</v>
      </c>
      <c r="B1" s="1228"/>
      <c r="C1" s="345"/>
      <c r="D1" s="345"/>
      <c r="E1" s="345"/>
      <c r="F1" s="345"/>
      <c r="G1" s="1320">
        <f>IF('Stipe=phyllotaxie&amp;croissance'!E9&gt;0,'Stipe=phyllotaxie&amp;croissance'!E9,"")</f>
        <v>40826</v>
      </c>
      <c r="H1" s="1320"/>
      <c r="I1" s="345"/>
      <c r="J1" s="345"/>
      <c r="K1" s="345"/>
      <c r="L1" s="345"/>
      <c r="M1" s="345"/>
    </row>
    <row r="2" spans="1:13" ht="18">
      <c r="A2" s="346"/>
      <c r="B2" s="346"/>
      <c r="C2" s="345"/>
      <c r="D2" s="345"/>
      <c r="E2" s="345"/>
      <c r="F2" s="345"/>
      <c r="G2" s="345"/>
      <c r="H2" s="345"/>
      <c r="I2" s="345"/>
      <c r="J2" s="345"/>
      <c r="K2" s="345"/>
      <c r="L2" s="345"/>
      <c r="M2" s="345"/>
    </row>
    <row r="3" spans="1:13" ht="15.75">
      <c r="A3" s="1321" t="s">
        <v>1102</v>
      </c>
      <c r="B3" s="1321"/>
      <c r="C3" s="1321"/>
      <c r="D3" s="1322" t="str">
        <f>IF('Stipe=phyllotaxie&amp;croissance'!E11&gt;0,'Stipe=phyllotaxie&amp;croissance'!E11,"")</f>
        <v>Rochdi</v>
      </c>
      <c r="E3" s="1322"/>
      <c r="F3" s="1323" t="s">
        <v>1103</v>
      </c>
      <c r="G3" s="1323"/>
      <c r="H3" s="376" t="str">
        <f>IF('Stipe=phyllotaxie&amp;croissance'!E10&gt;0,'Stipe=phyllotaxie&amp;croissance'!E10,"")</f>
        <v>01</v>
      </c>
      <c r="I3" s="345"/>
      <c r="J3" s="345"/>
      <c r="K3" s="345"/>
      <c r="L3" s="345"/>
      <c r="M3" s="345"/>
    </row>
    <row r="4" spans="1:13" ht="18">
      <c r="A4" s="346"/>
      <c r="B4" s="346"/>
      <c r="C4" s="345"/>
      <c r="D4" s="345"/>
      <c r="E4" s="345"/>
      <c r="F4" s="345"/>
      <c r="G4" s="345"/>
      <c r="H4" s="345"/>
      <c r="I4" s="345"/>
      <c r="J4" s="345"/>
      <c r="K4" s="345"/>
      <c r="L4" s="345"/>
      <c r="M4" s="345"/>
    </row>
    <row r="5" spans="1:13" ht="18">
      <c r="A5" s="345"/>
      <c r="B5" s="1319" t="s">
        <v>1180</v>
      </c>
      <c r="C5" s="1319"/>
      <c r="D5" s="1319"/>
      <c r="E5" s="1319"/>
      <c r="F5" s="1319"/>
      <c r="G5" s="1319"/>
      <c r="H5" s="345"/>
      <c r="I5" s="345"/>
      <c r="J5" s="345"/>
      <c r="K5" s="345"/>
      <c r="L5" s="345"/>
      <c r="M5" s="345"/>
    </row>
    <row r="6" spans="1:13">
      <c r="A6" s="345"/>
      <c r="B6" s="345"/>
      <c r="C6" s="345"/>
      <c r="D6" s="345"/>
      <c r="E6" s="345"/>
      <c r="F6" s="345"/>
      <c r="G6" s="345"/>
      <c r="H6" s="345"/>
      <c r="I6" s="345"/>
      <c r="J6" s="345"/>
      <c r="K6" s="345"/>
      <c r="L6" s="345"/>
      <c r="M6" s="345"/>
    </row>
    <row r="7" spans="1:13" ht="13.5" thickBot="1">
      <c r="A7" s="345"/>
      <c r="B7" s="345"/>
      <c r="C7" s="345"/>
      <c r="D7" s="345"/>
      <c r="E7" s="345"/>
      <c r="F7" s="345"/>
      <c r="G7" s="345"/>
      <c r="H7" s="345"/>
      <c r="I7" s="345"/>
      <c r="J7" s="345"/>
      <c r="K7" s="345"/>
      <c r="L7" s="345"/>
      <c r="M7" s="345"/>
    </row>
    <row r="8" spans="1:13" ht="15" thickBot="1">
      <c r="A8" s="345"/>
      <c r="B8" s="1373" t="s">
        <v>1156</v>
      </c>
      <c r="C8" s="1374"/>
      <c r="D8" s="1374"/>
      <c r="E8" s="394">
        <f>IF('Nervure=pétiole&amp;rachis'!F10=0,"",'Nervure=pétiole&amp;rachis'!F10)</f>
        <v>57</v>
      </c>
      <c r="F8" s="345"/>
      <c r="G8" s="345"/>
      <c r="H8" s="345"/>
      <c r="I8" s="345"/>
      <c r="J8" s="345"/>
      <c r="K8" s="345"/>
      <c r="L8" s="345"/>
      <c r="M8" s="345"/>
    </row>
    <row r="9" spans="1:13" ht="15.75" thickBot="1">
      <c r="A9" s="345"/>
      <c r="B9" s="420"/>
      <c r="C9" s="420"/>
      <c r="D9" s="345"/>
      <c r="E9" s="345"/>
      <c r="F9" s="345"/>
      <c r="G9" s="345"/>
      <c r="H9" s="345"/>
      <c r="I9" s="345"/>
      <c r="J9" s="345"/>
      <c r="K9" s="345"/>
      <c r="L9" s="345"/>
      <c r="M9" s="345"/>
    </row>
    <row r="10" spans="1:13" ht="14.25">
      <c r="A10" s="345"/>
      <c r="B10" s="1370" t="s">
        <v>1181</v>
      </c>
      <c r="C10" s="1371"/>
      <c r="D10" s="1371"/>
      <c r="E10" s="405">
        <f>IF(MIN('Folioles=disposition&amp;groupes'!D11,'Folioles=disposition&amp;groupes'!I11)=0,"",MIN('Folioles=disposition&amp;groupes'!D11,'Folioles=disposition&amp;groupes'!I11))</f>
        <v>21</v>
      </c>
      <c r="F10" s="421">
        <f>100*E10/E13</f>
        <v>5.15970515970516</v>
      </c>
      <c r="G10" s="345"/>
      <c r="H10" s="345"/>
      <c r="I10" s="345"/>
      <c r="J10" s="345"/>
      <c r="K10" s="345"/>
      <c r="L10" s="345"/>
      <c r="M10" s="345"/>
    </row>
    <row r="11" spans="1:13" ht="14.25">
      <c r="A11" s="345"/>
      <c r="B11" s="1375" t="s">
        <v>1182</v>
      </c>
      <c r="C11" s="1376"/>
      <c r="D11" s="1376"/>
      <c r="E11" s="422">
        <f>IF(E10="","",SUM('Folioles=disposition&amp;groupes'!C176,'Folioles=disposition&amp;groupes'!C177,'Folioles=disposition&amp;groupes'!H176,'Folioles=disposition&amp;groupes'!H177)/4-E10)</f>
        <v>95.524999999999991</v>
      </c>
      <c r="F11" s="345"/>
      <c r="G11" s="345"/>
      <c r="H11" s="345"/>
      <c r="I11" s="345"/>
      <c r="J11" s="345"/>
      <c r="K11" s="345"/>
      <c r="L11" s="345"/>
      <c r="M11" s="345"/>
    </row>
    <row r="12" spans="1:13" ht="14.25">
      <c r="A12" s="345"/>
      <c r="B12" s="1375" t="s">
        <v>1183</v>
      </c>
      <c r="C12" s="1376"/>
      <c r="D12" s="1376"/>
      <c r="E12" s="422">
        <f>IF(E10="","",E13-E11-E10)</f>
        <v>290.47500000000002</v>
      </c>
      <c r="F12" s="345"/>
      <c r="G12" s="345"/>
      <c r="H12" s="345"/>
      <c r="I12" s="345"/>
      <c r="J12" s="345"/>
      <c r="K12" s="345"/>
      <c r="L12" s="423"/>
      <c r="M12" s="345"/>
    </row>
    <row r="13" spans="1:13" ht="15" thickBot="1">
      <c r="A13" s="345"/>
      <c r="B13" s="1377" t="s">
        <v>1184</v>
      </c>
      <c r="C13" s="1378"/>
      <c r="D13" s="1378"/>
      <c r="E13" s="424">
        <f>IF(MAX('Folioles=disposition&amp;groupes'!D11:D170,'Folioles=disposition&amp;groupes'!I11:I170)=0,"",MAX('Folioles=disposition&amp;groupes'!D11:D170,'Folioles=disposition&amp;groupes'!I11:I170))</f>
        <v>407</v>
      </c>
      <c r="F13" s="345"/>
      <c r="G13" s="345"/>
      <c r="H13" s="345"/>
      <c r="I13" s="345"/>
      <c r="J13" s="345"/>
      <c r="K13" s="345"/>
      <c r="L13" s="345"/>
      <c r="M13" s="345"/>
    </row>
    <row r="14" spans="1:13" ht="15.75" thickBot="1">
      <c r="A14" s="345"/>
      <c r="B14" s="420"/>
      <c r="C14" s="420"/>
      <c r="D14" s="345"/>
      <c r="E14" s="345"/>
      <c r="F14" s="345"/>
      <c r="G14" s="345"/>
      <c r="H14" s="345"/>
      <c r="I14" s="345"/>
      <c r="J14" s="345"/>
      <c r="K14" s="345"/>
      <c r="L14" s="345"/>
      <c r="M14" s="345"/>
    </row>
    <row r="15" spans="1:13" ht="15.75" thickBot="1">
      <c r="A15" s="345"/>
      <c r="B15" s="420"/>
      <c r="C15" s="420"/>
      <c r="D15" s="345"/>
      <c r="E15" s="425" t="s">
        <v>1185</v>
      </c>
      <c r="F15" s="425" t="s">
        <v>1186</v>
      </c>
      <c r="G15" s="345"/>
      <c r="H15" s="345"/>
      <c r="I15" s="345"/>
      <c r="J15" s="345"/>
      <c r="K15" s="345"/>
      <c r="L15" s="345"/>
      <c r="M15" s="345"/>
    </row>
    <row r="16" spans="1:13" ht="14.25">
      <c r="A16" s="345"/>
      <c r="B16" s="1370" t="s">
        <v>1187</v>
      </c>
      <c r="C16" s="1371"/>
      <c r="D16" s="1372"/>
      <c r="E16" s="426">
        <f>IF(E17="",COUNTIF('Folioles=disposition&amp;groupes'!A11:A170,1),COUNTIF('Folioles=disposition&amp;groupes'!A11:A170,1)-E17)</f>
        <v>13</v>
      </c>
      <c r="F16" s="426">
        <f>IF(F17="",COUNTIF('Folioles=disposition&amp;groupes'!F11:F170,1),COUNTIF('Folioles=disposition&amp;groupes'!F11:F170,1)-F17)</f>
        <v>13</v>
      </c>
      <c r="G16" s="345"/>
      <c r="H16" s="345"/>
      <c r="I16" s="345"/>
      <c r="J16" s="345"/>
      <c r="K16" s="345"/>
      <c r="L16" s="345"/>
      <c r="M16" s="345"/>
    </row>
    <row r="17" spans="1:13" ht="14.25">
      <c r="A17" s="345"/>
      <c r="B17" s="1375" t="s">
        <v>1188</v>
      </c>
      <c r="C17" s="1376"/>
      <c r="D17" s="1380"/>
      <c r="E17" s="427" t="str">
        <f>IF(COUNTIF('Folioles=disposition&amp;groupes'!E11:E162,I)=0,"",COUNTIF('Folioles=disposition&amp;groupes'!E11:E62,I))</f>
        <v/>
      </c>
      <c r="F17" s="427" t="str">
        <f>IF(COUNTIF('Folioles=disposition&amp;groupes'!J11:J162,I)=0,"",COUNTIF('Folioles=disposition&amp;groupes'!J11:J62,I))</f>
        <v/>
      </c>
      <c r="G17" s="345"/>
      <c r="H17" s="345"/>
      <c r="I17" s="345"/>
      <c r="J17" s="345"/>
      <c r="K17" s="345"/>
      <c r="L17" s="345"/>
      <c r="M17" s="345"/>
    </row>
    <row r="18" spans="1:13" ht="14.25">
      <c r="A18" s="345"/>
      <c r="B18" s="1375" t="s">
        <v>1189</v>
      </c>
      <c r="C18" s="1376"/>
      <c r="D18" s="1380"/>
      <c r="E18" s="427">
        <f>IF(COUNTIF('Folioles=disposition&amp;groupes'!A11:A170,2)=0,"",COUNTIF('Folioles=disposition&amp;groupes'!A11:A170,2))</f>
        <v>86</v>
      </c>
      <c r="F18" s="427">
        <f>IF(COUNTIF('Folioles=disposition&amp;groupes'!F11:F170,2)=0,"",COUNTIF('Folioles=disposition&amp;groupes'!F11:F170,2))</f>
        <v>87</v>
      </c>
      <c r="G18" s="345"/>
      <c r="H18" s="345"/>
      <c r="I18" s="345"/>
      <c r="J18" s="345"/>
      <c r="K18" s="345"/>
      <c r="L18" s="345"/>
      <c r="M18" s="345"/>
    </row>
    <row r="19" spans="1:13" ht="14.25">
      <c r="A19" s="345"/>
      <c r="B19" s="1375" t="s">
        <v>1190</v>
      </c>
      <c r="C19" s="1376"/>
      <c r="D19" s="1380"/>
      <c r="E19" s="428">
        <f>IF(SUM(E16:E18)+COUNTIF('Folioles=disposition&amp;groupes'!A11:A170,3)=0,"",SUM(E16:E18)+COUNTIF('Folioles=disposition&amp;groupes'!A11:A170,3))</f>
        <v>100</v>
      </c>
      <c r="F19" s="428">
        <f>IF(SUM(F16:F18)+COUNTIF('Folioles=disposition&amp;groupes'!F11:F170,3)=0,"",SUM(F16:F18)+COUNTIF('Folioles=disposition&amp;groupes'!F11:F170,3))</f>
        <v>100</v>
      </c>
      <c r="G19" s="345"/>
      <c r="H19" s="345"/>
      <c r="I19" s="345"/>
      <c r="J19" s="345"/>
      <c r="K19" s="345"/>
      <c r="L19" s="345"/>
      <c r="M19" s="345"/>
    </row>
    <row r="20" spans="1:13" ht="15" thickBot="1">
      <c r="A20" s="345"/>
      <c r="B20" s="1381" t="s">
        <v>1191</v>
      </c>
      <c r="C20" s="1382"/>
      <c r="D20" s="1383"/>
      <c r="E20" s="429" t="str">
        <f>IF(COUNTIF('Folioles=disposition&amp;groupes'!A11:A170,3)=0,"","T")</f>
        <v>T</v>
      </c>
      <c r="F20" s="429" t="str">
        <f>IF(COUNTIF('Folioles=disposition&amp;groupes'!F11:F170,3)=0,"","T")</f>
        <v/>
      </c>
      <c r="G20" s="345"/>
      <c r="H20" s="345"/>
      <c r="I20" s="345"/>
      <c r="J20" s="345"/>
      <c r="K20" s="345"/>
      <c r="L20" s="345"/>
      <c r="M20" s="345"/>
    </row>
    <row r="21" spans="1:13" ht="13.5" thickBot="1">
      <c r="A21" s="345"/>
      <c r="B21" s="345"/>
      <c r="C21" s="345"/>
      <c r="D21" s="345"/>
      <c r="E21" s="345"/>
      <c r="F21" s="345"/>
      <c r="G21" s="345"/>
      <c r="H21" s="345"/>
      <c r="I21" s="345"/>
      <c r="J21" s="345"/>
      <c r="K21" s="345"/>
      <c r="L21" s="345"/>
      <c r="M21" s="345"/>
    </row>
    <row r="22" spans="1:13" ht="15" thickBot="1">
      <c r="A22" s="345"/>
      <c r="B22" s="1373" t="s">
        <v>1156</v>
      </c>
      <c r="C22" s="1374"/>
      <c r="D22" s="1374"/>
      <c r="E22" s="394">
        <f>IF('Nervure=pétiole&amp;rachis'!G10=0,"",'Nervure=pétiole&amp;rachis'!G10)</f>
        <v>83</v>
      </c>
      <c r="F22" s="345"/>
      <c r="G22" s="430"/>
      <c r="H22" s="430"/>
      <c r="I22" s="430"/>
      <c r="J22" s="430"/>
      <c r="K22" s="430"/>
      <c r="L22" s="430"/>
      <c r="M22" s="430"/>
    </row>
    <row r="23" spans="1:13" ht="15.75" thickBot="1">
      <c r="A23" s="345"/>
      <c r="B23" s="420"/>
      <c r="C23" s="420"/>
      <c r="D23" s="345"/>
      <c r="E23" s="345"/>
      <c r="F23" s="345"/>
      <c r="G23" s="430"/>
      <c r="H23" s="430"/>
      <c r="I23" s="430"/>
      <c r="J23" s="430"/>
      <c r="K23" s="430"/>
      <c r="L23" s="430"/>
      <c r="M23" s="430"/>
    </row>
    <row r="24" spans="1:13" ht="14.25">
      <c r="A24" s="345"/>
      <c r="B24" s="1370" t="s">
        <v>1181</v>
      </c>
      <c r="C24" s="1371"/>
      <c r="D24" s="1371"/>
      <c r="E24" s="405">
        <f>IF(('Folioles=disposition&amp;groupes'!P11+'Folioles=disposition&amp;groupes'!U11)=0,"",MIN('Folioles=disposition&amp;groupes'!P11,'Folioles=disposition&amp;groupes'!U11))</f>
        <v>23</v>
      </c>
      <c r="F24" s="421">
        <f>100*E24/E27</f>
        <v>5.3228419347373288</v>
      </c>
      <c r="G24" s="430"/>
      <c r="H24" s="1384" t="s">
        <v>1181</v>
      </c>
      <c r="I24" s="1385"/>
      <c r="J24" s="1386"/>
      <c r="K24" s="431">
        <f>IF(SUM(E10,E24)&gt;0,AVERAGE(E10,E24),"")</f>
        <v>22</v>
      </c>
      <c r="L24" s="432">
        <f>IF(SUM(E10,E24)&gt;0,STDEV(E10,E24),"")</f>
        <v>1.4142135623730951</v>
      </c>
      <c r="M24" s="430"/>
    </row>
    <row r="25" spans="1:13" ht="14.25">
      <c r="A25" s="345"/>
      <c r="B25" s="1375" t="s">
        <v>1182</v>
      </c>
      <c r="C25" s="1376"/>
      <c r="D25" s="1376"/>
      <c r="E25" s="422">
        <f>('Folioles=disposition&amp;groupes'!O176+'Folioles=disposition&amp;groupes'!O177+'Folioles=disposition&amp;groupes'!T176+'Folioles=disposition&amp;groupes'!T177)/4-'Feuilles=description générale'!E24</f>
        <v>92.35</v>
      </c>
      <c r="F25" s="345"/>
      <c r="G25" s="430"/>
      <c r="H25" s="1387" t="s">
        <v>1182</v>
      </c>
      <c r="I25" s="1388"/>
      <c r="J25" s="1389"/>
      <c r="K25" s="433">
        <f>IF(SUM(E11,E25)&gt;0,AVERAGE(E11,E25),"")</f>
        <v>93.9375</v>
      </c>
      <c r="L25" s="434">
        <f>IF(SUM(E11,E25)&gt;0,STDEV(E11,E25),"")</f>
        <v>2.2450640302672862</v>
      </c>
      <c r="M25" s="430"/>
    </row>
    <row r="26" spans="1:13" ht="14.25">
      <c r="A26" s="345"/>
      <c r="B26" s="1375" t="s">
        <v>1183</v>
      </c>
      <c r="C26" s="1376"/>
      <c r="D26" s="1376"/>
      <c r="E26" s="422">
        <f>E27-E25-E24</f>
        <v>316.75</v>
      </c>
      <c r="F26" s="345"/>
      <c r="G26" s="430"/>
      <c r="H26" s="1387" t="s">
        <v>1183</v>
      </c>
      <c r="I26" s="1388"/>
      <c r="J26" s="1389"/>
      <c r="K26" s="433">
        <f>IF(SUM(E12,E26)&gt;0,AVERAGE(E12,E26),"")</f>
        <v>303.61250000000001</v>
      </c>
      <c r="L26" s="434">
        <f>IF(SUM(E12,E26)&gt;0,STDEV(E12,E26),"")</f>
        <v>18.57923067567652</v>
      </c>
      <c r="M26" s="430"/>
    </row>
    <row r="27" spans="1:13" ht="15" thickBot="1">
      <c r="A27" s="345"/>
      <c r="B27" s="1377" t="s">
        <v>1184</v>
      </c>
      <c r="C27" s="1378"/>
      <c r="D27" s="1378"/>
      <c r="E27" s="424">
        <f>IF(MAX('Folioles=disposition&amp;groupes'!P11:P170,'Folioles=disposition&amp;groupes'!U11:U170)=0,"",MAX('Folioles=disposition&amp;groupes'!P11:P170,'Folioles=disposition&amp;groupes'!U11:U170))</f>
        <v>432.1</v>
      </c>
      <c r="F27" s="345"/>
      <c r="G27" s="430"/>
      <c r="H27" s="1377" t="s">
        <v>1184</v>
      </c>
      <c r="I27" s="1378"/>
      <c r="J27" s="1379"/>
      <c r="K27" s="435">
        <f>IF(SUM(E13,E27)&gt;0,AVERAGE(E13,E27),"")</f>
        <v>419.55</v>
      </c>
      <c r="L27" s="436">
        <f>IF(SUM(E13,E27)&gt;0,STDEV(E13,E27),"")</f>
        <v>17.748380207782358</v>
      </c>
      <c r="M27" s="430"/>
    </row>
    <row r="28" spans="1:13" ht="15.75" thickBot="1">
      <c r="A28" s="345"/>
      <c r="B28" s="420"/>
      <c r="C28" s="420"/>
      <c r="D28" s="345"/>
      <c r="E28" s="345"/>
      <c r="F28" s="345"/>
      <c r="G28" s="430"/>
      <c r="H28" s="437"/>
      <c r="I28" s="437"/>
      <c r="J28" s="438"/>
      <c r="K28" s="439">
        <f>100*AVERAGE(E10/E13,E24/E27)</f>
        <v>5.2412735472212439</v>
      </c>
      <c r="L28" s="439">
        <f>100*STDEV(E10/E13,E24/E27)</f>
        <v>0.11535511988615132</v>
      </c>
      <c r="M28" s="430"/>
    </row>
    <row r="29" spans="1:13" ht="15.75" thickBot="1">
      <c r="A29" s="345"/>
      <c r="B29" s="420"/>
      <c r="C29" s="420"/>
      <c r="D29" s="345"/>
      <c r="E29" s="425" t="s">
        <v>1185</v>
      </c>
      <c r="F29" s="425" t="s">
        <v>1186</v>
      </c>
      <c r="G29" s="430"/>
      <c r="H29" s="437"/>
      <c r="I29" s="437"/>
      <c r="J29" s="438"/>
      <c r="K29" s="440"/>
      <c r="L29" s="438"/>
      <c r="M29" s="430"/>
    </row>
    <row r="30" spans="1:13" ht="14.25">
      <c r="A30" s="345"/>
      <c r="B30" s="1370" t="s">
        <v>1187</v>
      </c>
      <c r="C30" s="1371"/>
      <c r="D30" s="1372"/>
      <c r="E30" s="426">
        <f>IF(E31="",COUNTIF('Folioles=disposition&amp;groupes'!M11:M170,1),COUNTIF('Folioles=disposition&amp;groupes'!M11:M170,1)-E31)</f>
        <v>14</v>
      </c>
      <c r="F30" s="426">
        <f>IF(F31="",COUNTIF('Folioles=disposition&amp;groupes'!R11:R170,1),COUNTIF('Folioles=disposition&amp;groupes'!R11:R170,1)-F31)</f>
        <v>15</v>
      </c>
      <c r="G30" s="430"/>
      <c r="H30" s="1384" t="s">
        <v>1187</v>
      </c>
      <c r="I30" s="1385"/>
      <c r="J30" s="1386"/>
      <c r="K30" s="441">
        <f>IF(SUM(E16,F16,E30,F30)&gt;0,ROUND(AVERAGE(E16,F16,E30,F30),0),"")</f>
        <v>14</v>
      </c>
      <c r="L30" s="432">
        <f>IF(SUM(E16,F16,E30,F30)&gt;0,STDEV(E16,F16,E30,F30),"")</f>
        <v>0.9574271077563381</v>
      </c>
      <c r="M30" s="430"/>
    </row>
    <row r="31" spans="1:13" ht="14.25">
      <c r="A31" s="345"/>
      <c r="B31" s="1375" t="s">
        <v>1188</v>
      </c>
      <c r="C31" s="1376"/>
      <c r="D31" s="1380"/>
      <c r="E31" s="442" t="str">
        <f>IF(COUNTIF('Folioles=disposition&amp;groupes'!Q11:Q162,I)=0,"",COUNTIF('Folioles=disposition&amp;groupes'!Q11:Q62,I))</f>
        <v/>
      </c>
      <c r="F31" s="442" t="str">
        <f>IF(COUNTIF('Folioles=disposition&amp;groupes'!V11:V162,I)=0,"",COUNTIF('Folioles=disposition&amp;groupes'!V11:V62,I))</f>
        <v/>
      </c>
      <c r="G31" s="430"/>
      <c r="H31" s="1387" t="s">
        <v>1188</v>
      </c>
      <c r="I31" s="1388"/>
      <c r="J31" s="1389"/>
      <c r="K31" s="443" t="str">
        <f>IF(SUM(E17,F17,E31,F31)&gt;0,ROUND(AVERAGE(E17,F17,E31,F31),0),"")</f>
        <v/>
      </c>
      <c r="L31" s="434" t="str">
        <f>IF(SUM(E17,F17,E31,F31)&gt;0,STDEV(E17,F17,E31,F31),"")</f>
        <v/>
      </c>
      <c r="M31" s="430"/>
    </row>
    <row r="32" spans="1:13" ht="14.25">
      <c r="A32" s="345"/>
      <c r="B32" s="1375" t="s">
        <v>1189</v>
      </c>
      <c r="C32" s="1376"/>
      <c r="D32" s="1380"/>
      <c r="E32" s="427">
        <f>COUNTIF('Folioles=disposition&amp;groupes'!M11:M170,2)</f>
        <v>97</v>
      </c>
      <c r="F32" s="427">
        <f>COUNTIF('Folioles=disposition&amp;groupes'!R11:R170,2)</f>
        <v>93</v>
      </c>
      <c r="G32" s="430"/>
      <c r="H32" s="1387" t="s">
        <v>1189</v>
      </c>
      <c r="I32" s="1388"/>
      <c r="J32" s="1389"/>
      <c r="K32" s="443">
        <f>IF(SUM(E18,F18,E32,F32)&gt;0,ROUND(AVERAGE(E18,F18,E32,F32),0),"")</f>
        <v>91</v>
      </c>
      <c r="L32" s="434">
        <f>IF(SUM(E18,F18,E32,F32)&gt;0,STDEV(E18,F18,E32,F32),"")</f>
        <v>5.1881274720911268</v>
      </c>
      <c r="M32" s="430"/>
    </row>
    <row r="33" spans="1:13" ht="15" thickBot="1">
      <c r="A33" s="345"/>
      <c r="B33" s="1375" t="s">
        <v>1190</v>
      </c>
      <c r="C33" s="1376"/>
      <c r="D33" s="1380"/>
      <c r="E33" s="428">
        <f>IF(SUM(E30:E32)+COUNTIF('Folioles=disposition&amp;groupes'!M11:M170,3)=0,"",SUM(E30:E32)+COUNTIF('Folioles=disposition&amp;groupes'!M11:M170,3))</f>
        <v>112</v>
      </c>
      <c r="F33" s="428">
        <f>IF(SUM(F30:F32)+COUNTIF('Folioles=disposition&amp;groupes'!R11:R170,3)=0,"",SUM(F30:F32)+COUNTIF('Folioles=disposition&amp;groupes'!R11:R170,3))</f>
        <v>108</v>
      </c>
      <c r="G33" s="430"/>
      <c r="H33" s="1377" t="s">
        <v>1190</v>
      </c>
      <c r="I33" s="1378"/>
      <c r="J33" s="1379"/>
      <c r="K33" s="444">
        <f>IF(SUM(E19,F19,E33,F33)&gt;0,ROUND(AVERAGE(E19,F19,E33,F33),0),"")</f>
        <v>105</v>
      </c>
      <c r="L33" s="436">
        <f>IF(SUM(E19,F19,E33,F33)&gt;0,STDEV(E19,F19,E33,F33),"")</f>
        <v>6</v>
      </c>
      <c r="M33" s="430"/>
    </row>
    <row r="34" spans="1:13" ht="15.75" thickBot="1">
      <c r="A34" s="345"/>
      <c r="B34" s="1381" t="s">
        <v>1191</v>
      </c>
      <c r="C34" s="1382"/>
      <c r="D34" s="1383"/>
      <c r="E34" s="429" t="str">
        <f>IF(COUNTIF('Folioles=disposition&amp;groupes'!M11:M170,3)=0,"","T")</f>
        <v>T</v>
      </c>
      <c r="F34" s="429" t="str">
        <f>IF(COUNTIF('Folioles=disposition&amp;groupes'!R11:R170,3)=0,"","T")</f>
        <v/>
      </c>
      <c r="G34" s="430"/>
      <c r="H34" s="1390"/>
      <c r="I34" s="1390"/>
      <c r="J34" s="1390"/>
      <c r="K34" s="445"/>
      <c r="L34" s="430"/>
      <c r="M34" s="430"/>
    </row>
    <row r="35" spans="1:13">
      <c r="A35" s="345"/>
      <c r="B35" s="345"/>
      <c r="C35" s="345"/>
      <c r="D35" s="345"/>
      <c r="E35" s="345"/>
      <c r="F35" s="345"/>
      <c r="G35" s="430"/>
      <c r="H35" s="430"/>
      <c r="I35" s="430"/>
      <c r="J35" s="430"/>
      <c r="K35" s="430"/>
      <c r="L35" s="430"/>
      <c r="M35" s="430"/>
    </row>
    <row r="36" spans="1:13">
      <c r="A36" s="345"/>
      <c r="B36" s="345"/>
      <c r="C36" s="345"/>
      <c r="D36" s="345"/>
      <c r="E36" s="345"/>
      <c r="F36" s="345"/>
      <c r="G36" s="430"/>
      <c r="H36" s="430"/>
      <c r="I36" s="430"/>
      <c r="J36" s="430"/>
      <c r="K36" s="430"/>
      <c r="L36" s="430"/>
      <c r="M36" s="430"/>
    </row>
    <row r="37" spans="1:13">
      <c r="A37" s="345"/>
      <c r="B37" s="345"/>
      <c r="C37" s="345"/>
      <c r="D37" s="345"/>
      <c r="E37" s="345"/>
      <c r="F37" s="345"/>
      <c r="G37" s="345"/>
      <c r="H37" s="345"/>
      <c r="I37" s="345"/>
      <c r="J37" s="345"/>
      <c r="K37" s="345"/>
      <c r="L37" s="345"/>
      <c r="M37" s="345"/>
    </row>
  </sheetData>
  <sheetProtection sheet="1" objects="1" scenarios="1"/>
  <mergeCells count="35">
    <mergeCell ref="B33:D33"/>
    <mergeCell ref="H33:J33"/>
    <mergeCell ref="B34:D34"/>
    <mergeCell ref="H34:J34"/>
    <mergeCell ref="B30:D30"/>
    <mergeCell ref="H30:J30"/>
    <mergeCell ref="B31:D31"/>
    <mergeCell ref="H31:J31"/>
    <mergeCell ref="B32:D32"/>
    <mergeCell ref="H32:J32"/>
    <mergeCell ref="B27:D27"/>
    <mergeCell ref="H27:J27"/>
    <mergeCell ref="B17:D17"/>
    <mergeCell ref="B18:D18"/>
    <mergeCell ref="B19:D19"/>
    <mergeCell ref="B20:D20"/>
    <mergeCell ref="B22:D22"/>
    <mergeCell ref="B24:D24"/>
    <mergeCell ref="H24:J24"/>
    <mergeCell ref="B25:D25"/>
    <mergeCell ref="H25:J25"/>
    <mergeCell ref="B26:D26"/>
    <mergeCell ref="H26:J26"/>
    <mergeCell ref="B16:D16"/>
    <mergeCell ref="A1:B1"/>
    <mergeCell ref="G1:H1"/>
    <mergeCell ref="A3:C3"/>
    <mergeCell ref="D3:E3"/>
    <mergeCell ref="F3:G3"/>
    <mergeCell ref="B5:G5"/>
    <mergeCell ref="B8:D8"/>
    <mergeCell ref="B10:D10"/>
    <mergeCell ref="B11:D11"/>
    <mergeCell ref="B12:D12"/>
    <mergeCell ref="B13:D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48"/>
  <sheetViews>
    <sheetView topLeftCell="A37" workbookViewId="0">
      <selection activeCell="K44" sqref="K44:L45"/>
    </sheetView>
  </sheetViews>
  <sheetFormatPr baseColWidth="10" defaultRowHeight="12.75"/>
  <cols>
    <col min="1" max="1" width="5.5703125" customWidth="1"/>
    <col min="8" max="8" width="10.85546875" customWidth="1"/>
    <col min="16" max="17" width="13.7109375" bestFit="1" customWidth="1"/>
  </cols>
  <sheetData>
    <row r="1" spans="1:19" ht="18">
      <c r="A1" s="1228" t="s">
        <v>1101</v>
      </c>
      <c r="B1" s="1228"/>
      <c r="C1" s="345"/>
      <c r="D1" s="345"/>
      <c r="E1" s="345"/>
      <c r="F1" s="345"/>
      <c r="G1" s="1320">
        <f>IF('Stipe=phyllotaxie&amp;croissance'!E9&gt;0,'Stipe=phyllotaxie&amp;croissance'!E9,"")</f>
        <v>40826</v>
      </c>
      <c r="H1" s="1320"/>
      <c r="I1" s="345"/>
      <c r="J1" s="345"/>
      <c r="K1" s="345"/>
      <c r="L1" s="345"/>
      <c r="M1" s="345"/>
      <c r="N1" s="345"/>
      <c r="O1" s="345"/>
      <c r="P1" s="345"/>
      <c r="Q1" s="345"/>
      <c r="R1" s="345"/>
      <c r="S1" s="345"/>
    </row>
    <row r="2" spans="1:19" ht="18">
      <c r="A2" s="346"/>
      <c r="B2" s="346"/>
      <c r="C2" s="345"/>
      <c r="D2" s="345"/>
      <c r="E2" s="345"/>
      <c r="F2" s="345"/>
      <c r="G2" s="345"/>
      <c r="H2" s="345"/>
      <c r="I2" s="345"/>
      <c r="J2" s="345"/>
      <c r="K2" s="345"/>
      <c r="L2" s="345"/>
      <c r="M2" s="345"/>
      <c r="N2" s="345"/>
      <c r="O2" s="345"/>
      <c r="P2" s="345"/>
      <c r="Q2" s="345"/>
      <c r="R2" s="345"/>
      <c r="S2" s="345"/>
    </row>
    <row r="3" spans="1:19" ht="15.75">
      <c r="A3" s="1321" t="s">
        <v>1102</v>
      </c>
      <c r="B3" s="1321"/>
      <c r="C3" s="1321"/>
      <c r="D3" s="1322" t="str">
        <f>IF('Stipe=phyllotaxie&amp;croissance'!E11&gt;0,'Stipe=phyllotaxie&amp;croissance'!E11,"")</f>
        <v>Rochdi</v>
      </c>
      <c r="E3" s="1322"/>
      <c r="F3" s="1323" t="s">
        <v>1103</v>
      </c>
      <c r="G3" s="1323"/>
      <c r="H3" s="376" t="str">
        <f>IF('Stipe=phyllotaxie&amp;croissance'!E10&gt;0,'Stipe=phyllotaxie&amp;croissance'!E10,"")</f>
        <v>01</v>
      </c>
      <c r="I3" s="345"/>
      <c r="J3" s="345"/>
      <c r="K3" s="345"/>
      <c r="L3" s="345"/>
      <c r="M3" s="345"/>
      <c r="N3" s="345"/>
      <c r="O3" s="345"/>
      <c r="P3" s="345"/>
      <c r="Q3" s="345"/>
      <c r="R3" s="345"/>
      <c r="S3" s="345"/>
    </row>
    <row r="4" spans="1:19" ht="18">
      <c r="A4" s="346"/>
      <c r="B4" s="346"/>
      <c r="C4" s="345"/>
      <c r="D4" s="345"/>
      <c r="E4" s="345"/>
      <c r="F4" s="345"/>
      <c r="G4" s="345"/>
      <c r="H4" s="345"/>
      <c r="I4" s="345"/>
      <c r="J4" s="345"/>
      <c r="K4" s="345"/>
      <c r="L4" s="345"/>
      <c r="M4" s="345"/>
      <c r="N4" s="345"/>
      <c r="O4" s="345"/>
      <c r="P4" s="345"/>
      <c r="Q4" s="345"/>
      <c r="R4" s="345"/>
      <c r="S4" s="345"/>
    </row>
    <row r="5" spans="1:19" ht="18">
      <c r="A5" s="345"/>
      <c r="B5" s="446" t="s">
        <v>1192</v>
      </c>
      <c r="C5" s="446"/>
      <c r="D5" s="446"/>
      <c r="E5" s="446"/>
      <c r="F5" s="446"/>
      <c r="G5" s="446"/>
      <c r="H5" s="345"/>
      <c r="I5" s="345"/>
      <c r="J5" s="345"/>
      <c r="K5" s="345"/>
      <c r="L5" s="345"/>
      <c r="M5" s="345"/>
      <c r="N5" s="345"/>
      <c r="O5" s="345"/>
      <c r="P5" s="345"/>
      <c r="Q5" s="345"/>
      <c r="R5" s="345"/>
      <c r="S5" s="345"/>
    </row>
    <row r="6" spans="1:19" ht="18">
      <c r="A6" s="345"/>
      <c r="B6" s="446"/>
      <c r="C6" s="446"/>
      <c r="D6" s="446"/>
      <c r="E6" s="446"/>
      <c r="F6" s="446"/>
      <c r="G6" s="446"/>
      <c r="H6" s="345"/>
      <c r="I6" s="345"/>
      <c r="J6" s="345"/>
      <c r="K6" s="345"/>
      <c r="L6" s="345"/>
      <c r="M6" s="345"/>
      <c r="N6" s="345"/>
      <c r="O6" s="345"/>
      <c r="P6" s="345"/>
      <c r="Q6" s="345"/>
      <c r="R6" s="345"/>
      <c r="S6" s="345"/>
    </row>
    <row r="7" spans="1:19" ht="15.75">
      <c r="A7" s="345"/>
      <c r="B7" s="447" t="s">
        <v>1193</v>
      </c>
      <c r="C7" s="447"/>
      <c r="D7" s="447"/>
      <c r="E7" s="447"/>
      <c r="F7" s="447"/>
      <c r="G7" s="447"/>
      <c r="H7" s="448"/>
      <c r="I7" s="345"/>
      <c r="J7" s="345"/>
      <c r="K7" s="345"/>
      <c r="L7" s="345"/>
      <c r="M7" s="345"/>
      <c r="N7" s="345"/>
      <c r="O7" s="345"/>
      <c r="P7" s="345"/>
      <c r="Q7" s="345"/>
      <c r="R7" s="345"/>
      <c r="S7" s="345"/>
    </row>
    <row r="8" spans="1:19" ht="13.5" thickBot="1">
      <c r="A8" s="345"/>
      <c r="B8" s="345"/>
      <c r="C8" s="345"/>
      <c r="D8" s="345"/>
      <c r="E8" s="345"/>
      <c r="F8" s="345"/>
      <c r="G8" s="345"/>
      <c r="H8" s="345"/>
      <c r="I8" s="345"/>
      <c r="J8" s="345"/>
      <c r="K8" s="345"/>
      <c r="L8" s="345"/>
      <c r="M8" s="345"/>
      <c r="N8" s="345"/>
      <c r="O8" s="345"/>
      <c r="P8" s="345"/>
      <c r="Q8" s="345"/>
      <c r="R8" s="345"/>
      <c r="S8" s="345"/>
    </row>
    <row r="9" spans="1:19" ht="30" customHeight="1">
      <c r="A9" s="345"/>
      <c r="B9" s="1391" t="s">
        <v>1194</v>
      </c>
      <c r="C9" s="1392"/>
      <c r="D9" s="1393"/>
      <c r="E9" s="449">
        <v>3</v>
      </c>
      <c r="F9" s="345"/>
      <c r="G9" s="345"/>
      <c r="H9" s="345"/>
      <c r="I9" s="345"/>
      <c r="J9" s="345"/>
      <c r="K9" s="345"/>
      <c r="L9" s="345"/>
      <c r="M9" s="345"/>
      <c r="N9" s="345"/>
      <c r="O9" s="345"/>
      <c r="P9" s="345"/>
      <c r="Q9" s="345"/>
      <c r="R9" s="345"/>
      <c r="S9" s="345"/>
    </row>
    <row r="10" spans="1:19" ht="30" customHeight="1">
      <c r="A10" s="345"/>
      <c r="B10" s="1394" t="s">
        <v>1135</v>
      </c>
      <c r="C10" s="1395"/>
      <c r="D10" s="1396"/>
      <c r="E10" s="450">
        <v>8</v>
      </c>
      <c r="F10" s="345"/>
      <c r="G10" s="345"/>
      <c r="H10" s="345"/>
      <c r="I10" s="345"/>
      <c r="J10" s="345"/>
      <c r="K10" s="345"/>
      <c r="L10" s="345"/>
      <c r="M10" s="345"/>
      <c r="N10" s="345"/>
      <c r="O10" s="345"/>
      <c r="P10" s="345"/>
      <c r="Q10" s="345"/>
      <c r="R10" s="345"/>
      <c r="S10" s="345"/>
    </row>
    <row r="11" spans="1:19" ht="30" customHeight="1" thickBot="1">
      <c r="A11" s="345"/>
      <c r="B11" s="1397" t="s">
        <v>1195</v>
      </c>
      <c r="C11" s="1398"/>
      <c r="D11" s="1399"/>
      <c r="E11" s="451">
        <v>3</v>
      </c>
      <c r="F11" s="345"/>
      <c r="G11" s="345"/>
      <c r="H11" s="345"/>
      <c r="I11" s="345"/>
      <c r="J11" s="345"/>
      <c r="K11" s="345"/>
      <c r="L11" s="345"/>
      <c r="M11" s="345"/>
      <c r="N11" s="345"/>
      <c r="O11" s="345"/>
      <c r="P11" s="345"/>
      <c r="Q11" s="345"/>
      <c r="R11" s="345"/>
      <c r="S11" s="345"/>
    </row>
    <row r="12" spans="1:19" ht="30" customHeight="1" thickBot="1">
      <c r="A12" s="345"/>
      <c r="B12" s="1400" t="s">
        <v>1156</v>
      </c>
      <c r="C12" s="1401"/>
      <c r="D12" s="1402"/>
      <c r="E12" s="452">
        <v>2</v>
      </c>
      <c r="F12" s="345"/>
      <c r="G12" s="345"/>
      <c r="H12" s="1400" t="s">
        <v>1156</v>
      </c>
      <c r="I12" s="1401"/>
      <c r="J12" s="1402"/>
      <c r="K12" s="452">
        <v>7</v>
      </c>
      <c r="L12" s="345"/>
      <c r="M12" s="345"/>
      <c r="N12" s="345"/>
      <c r="O12" s="345"/>
      <c r="P12" s="345"/>
      <c r="Q12" s="345"/>
      <c r="R12" s="345"/>
      <c r="S12" s="345"/>
    </row>
    <row r="13" spans="1:19" ht="15.75" thickBot="1">
      <c r="A13" s="345"/>
      <c r="B13" s="420"/>
      <c r="C13" s="420"/>
      <c r="D13" s="345"/>
      <c r="E13" s="453"/>
      <c r="F13" s="345"/>
      <c r="G13" s="345"/>
      <c r="H13" s="345"/>
      <c r="I13" s="345"/>
      <c r="J13" s="345"/>
      <c r="K13" s="453"/>
      <c r="L13" s="345"/>
      <c r="M13" s="345"/>
      <c r="N13" s="345"/>
      <c r="O13" s="345"/>
      <c r="P13" s="345"/>
      <c r="Q13" s="345"/>
      <c r="R13" s="345"/>
      <c r="S13" s="345"/>
    </row>
    <row r="14" spans="1:19" ht="30" customHeight="1">
      <c r="A14" s="345"/>
      <c r="B14" s="1338" t="s">
        <v>1181</v>
      </c>
      <c r="C14" s="1403"/>
      <c r="D14" s="1404"/>
      <c r="E14" s="454">
        <v>16</v>
      </c>
      <c r="F14" s="345"/>
      <c r="G14" s="345"/>
      <c r="H14" s="1338" t="s">
        <v>1181</v>
      </c>
      <c r="I14" s="1403"/>
      <c r="J14" s="1404"/>
      <c r="K14" s="454">
        <v>18</v>
      </c>
      <c r="L14" s="345"/>
      <c r="M14" s="345"/>
      <c r="N14" s="345"/>
      <c r="O14" s="345"/>
      <c r="P14" s="345"/>
      <c r="Q14" s="345"/>
      <c r="R14" s="345"/>
      <c r="S14" s="345"/>
    </row>
    <row r="15" spans="1:19" ht="30" customHeight="1">
      <c r="A15" s="345"/>
      <c r="B15" s="1341" t="s">
        <v>1182</v>
      </c>
      <c r="C15" s="1342"/>
      <c r="D15" s="1343"/>
      <c r="E15" s="455">
        <v>30</v>
      </c>
      <c r="F15" s="345"/>
      <c r="G15" s="345"/>
      <c r="H15" s="1341" t="s">
        <v>1182</v>
      </c>
      <c r="I15" s="1342"/>
      <c r="J15" s="1343"/>
      <c r="K15" s="455">
        <v>17</v>
      </c>
      <c r="L15" s="345"/>
      <c r="M15" s="345"/>
      <c r="N15" s="345"/>
      <c r="O15" s="345"/>
      <c r="P15" s="345"/>
      <c r="Q15" s="345"/>
      <c r="R15" s="345"/>
      <c r="S15" s="345"/>
    </row>
    <row r="16" spans="1:19" ht="30" customHeight="1" thickBot="1">
      <c r="A16" s="345"/>
      <c r="B16" s="1405" t="s">
        <v>1183</v>
      </c>
      <c r="C16" s="1406"/>
      <c r="D16" s="1407"/>
      <c r="E16" s="456">
        <v>103.5</v>
      </c>
      <c r="F16" s="345"/>
      <c r="G16" s="345"/>
      <c r="H16" s="1405" t="s">
        <v>1183</v>
      </c>
      <c r="I16" s="1406"/>
      <c r="J16" s="1407"/>
      <c r="K16" s="456">
        <v>86.5</v>
      </c>
      <c r="L16" s="345"/>
      <c r="M16" s="345"/>
      <c r="N16" s="345"/>
      <c r="O16" s="345"/>
      <c r="P16" s="345"/>
      <c r="Q16" s="345"/>
      <c r="R16" s="345"/>
      <c r="S16" s="345"/>
    </row>
    <row r="17" spans="1:19" ht="30" customHeight="1" thickBot="1">
      <c r="A17" s="345"/>
      <c r="B17" s="1408" t="s">
        <v>1184</v>
      </c>
      <c r="C17" s="1409"/>
      <c r="D17" s="1410"/>
      <c r="E17" s="457">
        <f>IF(SUM(E14:E16)=0,"",SUM(E14:E16))</f>
        <v>149.5</v>
      </c>
      <c r="F17" s="345"/>
      <c r="G17" s="345"/>
      <c r="H17" s="1408" t="s">
        <v>1184</v>
      </c>
      <c r="I17" s="1409"/>
      <c r="J17" s="1410"/>
      <c r="K17" s="457">
        <f>IF(SUM(K14:K16)=0,"",SUM(K14:K16))</f>
        <v>121.5</v>
      </c>
      <c r="L17" s="345"/>
      <c r="M17" s="345"/>
      <c r="N17" s="345"/>
      <c r="O17" s="345"/>
      <c r="P17" s="345"/>
      <c r="Q17" s="345"/>
      <c r="R17" s="345"/>
      <c r="S17" s="345"/>
    </row>
    <row r="18" spans="1:19" ht="15.75" thickBot="1">
      <c r="A18" s="345"/>
      <c r="B18" s="420"/>
      <c r="C18" s="420"/>
      <c r="D18" s="345"/>
      <c r="E18" s="345"/>
      <c r="F18" s="345"/>
      <c r="G18" s="345"/>
      <c r="H18" s="420"/>
      <c r="I18" s="420"/>
      <c r="J18" s="345"/>
      <c r="K18" s="345"/>
      <c r="L18" s="345"/>
      <c r="M18" s="345"/>
      <c r="N18" s="345"/>
      <c r="O18" s="345"/>
      <c r="P18" s="345"/>
      <c r="Q18" s="345"/>
      <c r="R18" s="345"/>
      <c r="S18" s="345"/>
    </row>
    <row r="19" spans="1:19" ht="30" customHeight="1" thickBot="1">
      <c r="A19" s="345"/>
      <c r="B19" s="420"/>
      <c r="C19" s="420"/>
      <c r="D19" s="345"/>
      <c r="E19" s="458" t="s">
        <v>1185</v>
      </c>
      <c r="F19" s="458" t="s">
        <v>1186</v>
      </c>
      <c r="G19" s="345"/>
      <c r="H19" s="420"/>
      <c r="I19" s="420"/>
      <c r="J19" s="345"/>
      <c r="K19" s="458" t="s">
        <v>1185</v>
      </c>
      <c r="L19" s="458" t="s">
        <v>1186</v>
      </c>
      <c r="M19" s="345"/>
      <c r="N19" s="345"/>
      <c r="O19" s="345"/>
      <c r="P19" s="345"/>
      <c r="Q19" s="345"/>
      <c r="R19" s="345"/>
      <c r="S19" s="345"/>
    </row>
    <row r="20" spans="1:19" ht="30" customHeight="1">
      <c r="A20" s="345"/>
      <c r="B20" s="1338" t="s">
        <v>1187</v>
      </c>
      <c r="C20" s="1403"/>
      <c r="D20" s="1404"/>
      <c r="E20" s="459">
        <v>6</v>
      </c>
      <c r="F20" s="459">
        <v>8</v>
      </c>
      <c r="G20" s="345"/>
      <c r="H20" s="1338" t="s">
        <v>1187</v>
      </c>
      <c r="I20" s="1403"/>
      <c r="J20" s="1404"/>
      <c r="K20" s="459">
        <v>9</v>
      </c>
      <c r="L20" s="459">
        <v>7</v>
      </c>
      <c r="M20" s="345"/>
      <c r="N20" s="345"/>
      <c r="O20" s="345"/>
      <c r="P20" s="345"/>
      <c r="Q20" s="345"/>
      <c r="R20" s="345"/>
      <c r="S20" s="345"/>
    </row>
    <row r="21" spans="1:19" ht="30" customHeight="1">
      <c r="A21" s="345"/>
      <c r="B21" s="1341" t="s">
        <v>1188</v>
      </c>
      <c r="C21" s="1342"/>
      <c r="D21" s="1343"/>
      <c r="E21" s="460">
        <v>2</v>
      </c>
      <c r="F21" s="460">
        <v>0</v>
      </c>
      <c r="G21" s="345"/>
      <c r="H21" s="1341" t="s">
        <v>1188</v>
      </c>
      <c r="I21" s="1342"/>
      <c r="J21" s="1343"/>
      <c r="K21" s="460">
        <v>1</v>
      </c>
      <c r="L21" s="460">
        <v>0</v>
      </c>
      <c r="M21" s="345"/>
      <c r="N21" s="345"/>
      <c r="O21" s="345"/>
      <c r="P21" s="345"/>
      <c r="Q21" s="345"/>
      <c r="R21" s="345"/>
      <c r="S21" s="345"/>
    </row>
    <row r="22" spans="1:19" ht="30" customHeight="1" thickBot="1">
      <c r="A22" s="345"/>
      <c r="B22" s="1341" t="s">
        <v>1189</v>
      </c>
      <c r="C22" s="1342"/>
      <c r="D22" s="1343"/>
      <c r="E22" s="460">
        <v>58</v>
      </c>
      <c r="F22" s="460">
        <v>51</v>
      </c>
      <c r="G22" s="345"/>
      <c r="H22" s="1341" t="s">
        <v>1189</v>
      </c>
      <c r="I22" s="1342"/>
      <c r="J22" s="1343"/>
      <c r="K22" s="460">
        <v>61</v>
      </c>
      <c r="L22" s="460">
        <v>54</v>
      </c>
      <c r="M22" s="345"/>
      <c r="N22" s="345"/>
      <c r="O22" s="345"/>
      <c r="P22" s="345"/>
      <c r="Q22" s="345"/>
      <c r="R22" s="345"/>
      <c r="S22" s="345"/>
    </row>
    <row r="23" spans="1:19" ht="30" customHeight="1" thickBot="1">
      <c r="A23" s="345"/>
      <c r="B23" s="1387" t="s">
        <v>1190</v>
      </c>
      <c r="C23" s="1388"/>
      <c r="D23" s="1389"/>
      <c r="E23" s="461">
        <f>IF(SUM(E20:E22)=0,"",SUM(E20:E22))</f>
        <v>66</v>
      </c>
      <c r="F23" s="461">
        <f>IF(SUM(F20:F22)=0,"",SUM(F20:F22))</f>
        <v>59</v>
      </c>
      <c r="G23" s="345"/>
      <c r="H23" s="1387" t="s">
        <v>1190</v>
      </c>
      <c r="I23" s="1388"/>
      <c r="J23" s="1389"/>
      <c r="K23" s="461">
        <f>IF(SUM(K20:K22)=0,"",SUM(K20:K22))</f>
        <v>71</v>
      </c>
      <c r="L23" s="461">
        <f>IF(SUM(L20:L22)=0,"",SUM(L20:L22))</f>
        <v>61</v>
      </c>
      <c r="M23" s="345"/>
      <c r="N23" s="345"/>
      <c r="O23" s="345"/>
      <c r="P23" s="345"/>
      <c r="Q23" s="345"/>
      <c r="R23" s="345"/>
      <c r="S23" s="345"/>
    </row>
    <row r="24" spans="1:19" ht="30" customHeight="1" thickBot="1">
      <c r="A24" s="345"/>
      <c r="B24" s="1344" t="s">
        <v>1196</v>
      </c>
      <c r="C24" s="1345"/>
      <c r="D24" s="1346"/>
      <c r="E24" s="1411">
        <v>32</v>
      </c>
      <c r="F24" s="1412"/>
      <c r="G24" s="345"/>
      <c r="H24" s="1344" t="s">
        <v>1196</v>
      </c>
      <c r="I24" s="1345"/>
      <c r="J24" s="1346"/>
      <c r="K24" s="1411">
        <v>25</v>
      </c>
      <c r="L24" s="1412"/>
      <c r="M24" s="345"/>
      <c r="N24" s="345"/>
      <c r="O24" s="345"/>
      <c r="P24" s="345"/>
      <c r="Q24" s="345"/>
      <c r="R24" s="345"/>
      <c r="S24" s="345"/>
    </row>
    <row r="25" spans="1:19" ht="30" customHeight="1" thickBot="1">
      <c r="A25" s="345"/>
      <c r="B25" s="1344" t="s">
        <v>1197</v>
      </c>
      <c r="C25" s="1345"/>
      <c r="D25" s="1346"/>
      <c r="E25" s="1413">
        <v>2.1</v>
      </c>
      <c r="F25" s="1414"/>
      <c r="G25" s="345"/>
      <c r="H25" s="1344" t="s">
        <v>1197</v>
      </c>
      <c r="I25" s="1345"/>
      <c r="J25" s="1346"/>
      <c r="K25" s="1413">
        <v>2.1</v>
      </c>
      <c r="L25" s="1414"/>
      <c r="M25" s="345"/>
      <c r="N25" s="345"/>
      <c r="O25" s="345"/>
      <c r="P25" s="345"/>
      <c r="Q25" s="345"/>
      <c r="R25" s="345"/>
      <c r="S25" s="345"/>
    </row>
    <row r="26" spans="1:19" ht="15">
      <c r="A26" s="345"/>
      <c r="B26" s="462"/>
      <c r="C26" s="462"/>
      <c r="D26" s="462"/>
      <c r="E26" s="463"/>
      <c r="F26" s="463"/>
      <c r="G26" s="345"/>
      <c r="H26" s="462"/>
      <c r="I26" s="462"/>
      <c r="J26" s="462"/>
      <c r="K26" s="463"/>
      <c r="L26" s="463"/>
      <c r="M26" s="345"/>
      <c r="N26" s="345"/>
      <c r="O26" s="345"/>
      <c r="P26" s="345"/>
      <c r="Q26" s="345"/>
      <c r="R26" s="345"/>
      <c r="S26" s="345"/>
    </row>
    <row r="27" spans="1:19" ht="15.75">
      <c r="A27" s="345"/>
      <c r="B27" s="447" t="s">
        <v>1198</v>
      </c>
      <c r="C27" s="447"/>
      <c r="D27" s="447"/>
      <c r="E27" s="447"/>
      <c r="F27" s="447"/>
      <c r="G27" s="447"/>
      <c r="H27" s="448"/>
      <c r="I27" s="345"/>
      <c r="J27" s="345"/>
      <c r="K27" s="345"/>
      <c r="L27" s="345"/>
      <c r="M27" s="345"/>
      <c r="N27" s="345"/>
      <c r="O27" s="345"/>
      <c r="P27" s="345"/>
      <c r="Q27" s="345"/>
      <c r="R27" s="345"/>
      <c r="S27" s="345"/>
    </row>
    <row r="28" spans="1:19" ht="13.5" thickBot="1">
      <c r="A28" s="345"/>
      <c r="B28" s="345"/>
      <c r="C28" s="345"/>
      <c r="D28" s="345"/>
      <c r="E28" s="345"/>
      <c r="F28" s="345"/>
      <c r="G28" s="345"/>
      <c r="H28" s="345"/>
      <c r="I28" s="345"/>
      <c r="J28" s="345"/>
      <c r="K28" s="345"/>
      <c r="L28" s="345"/>
      <c r="M28" s="345"/>
      <c r="N28" s="345"/>
      <c r="O28" s="345"/>
      <c r="P28" s="345"/>
      <c r="Q28" s="345"/>
      <c r="R28" s="345"/>
      <c r="S28" s="345"/>
    </row>
    <row r="29" spans="1:19" ht="30" customHeight="1">
      <c r="A29" s="345"/>
      <c r="B29" s="1391" t="s">
        <v>1194</v>
      </c>
      <c r="C29" s="1392"/>
      <c r="D29" s="1393"/>
      <c r="E29" s="449">
        <v>13</v>
      </c>
      <c r="F29" s="345"/>
      <c r="G29" s="345"/>
      <c r="H29" s="345"/>
      <c r="I29" s="345"/>
      <c r="J29" s="345"/>
      <c r="K29" s="345"/>
      <c r="L29" s="345"/>
      <c r="M29" s="345"/>
      <c r="N29" s="345"/>
      <c r="O29" s="345"/>
      <c r="P29" s="345"/>
      <c r="Q29" s="345"/>
      <c r="R29" s="345"/>
      <c r="S29" s="345"/>
    </row>
    <row r="30" spans="1:19" ht="30" customHeight="1">
      <c r="A30" s="345"/>
      <c r="B30" s="1394" t="s">
        <v>1135</v>
      </c>
      <c r="C30" s="1395"/>
      <c r="D30" s="1396"/>
      <c r="E30" s="450">
        <v>35</v>
      </c>
      <c r="F30" s="345"/>
      <c r="G30" s="345"/>
      <c r="H30" s="345"/>
      <c r="I30" s="345"/>
      <c r="J30" s="345"/>
      <c r="K30" s="345"/>
      <c r="L30" s="345"/>
      <c r="M30" s="345"/>
      <c r="N30" s="345"/>
      <c r="O30" s="345"/>
      <c r="P30" s="345"/>
      <c r="Q30" s="345"/>
      <c r="R30" s="345"/>
      <c r="S30" s="345"/>
    </row>
    <row r="31" spans="1:19" ht="30" customHeight="1" thickBot="1">
      <c r="A31" s="345"/>
      <c r="B31" s="1415" t="s">
        <v>1195</v>
      </c>
      <c r="C31" s="1416"/>
      <c r="D31" s="1417"/>
      <c r="E31" s="464">
        <v>2</v>
      </c>
      <c r="F31" s="345"/>
      <c r="G31" s="345"/>
      <c r="H31" s="345"/>
      <c r="I31" s="345"/>
      <c r="J31" s="345"/>
      <c r="K31" s="345"/>
      <c r="L31" s="345"/>
      <c r="M31" s="465"/>
      <c r="N31" s="465"/>
      <c r="O31" s="465"/>
      <c r="P31" s="465"/>
      <c r="Q31" s="465"/>
      <c r="R31" s="466"/>
      <c r="S31" s="345"/>
    </row>
    <row r="32" spans="1:19" ht="30" customHeight="1" thickBot="1">
      <c r="A32" s="345"/>
      <c r="B32" s="1400" t="s">
        <v>1156</v>
      </c>
      <c r="C32" s="1401"/>
      <c r="D32" s="1402"/>
      <c r="E32" s="452">
        <v>20</v>
      </c>
      <c r="F32" s="345"/>
      <c r="G32" s="345"/>
      <c r="H32" s="1400" t="s">
        <v>1156</v>
      </c>
      <c r="I32" s="1401"/>
      <c r="J32" s="1402"/>
      <c r="K32" s="452">
        <v>31</v>
      </c>
      <c r="L32" s="345"/>
      <c r="M32" s="465"/>
      <c r="N32" s="1418" t="s">
        <v>1147</v>
      </c>
      <c r="O32" s="1419"/>
      <c r="P32" s="467">
        <f>IF(E12="","",IF(K12="",8*E9+E10-E12,ROUND(8*E9+E10-(E12+K12)/2,0)))</f>
        <v>28</v>
      </c>
      <c r="Q32" s="467">
        <f>IF(E32="","",IF(K32="",8*E29+E30-E32,ROUND(8*E29+E30-(E32+K32)/2,0)))</f>
        <v>114</v>
      </c>
      <c r="R32" s="466"/>
      <c r="S32" s="345"/>
    </row>
    <row r="33" spans="1:19" ht="15.75" thickBot="1">
      <c r="A33" s="345"/>
      <c r="B33" s="420"/>
      <c r="C33" s="420"/>
      <c r="D33" s="345"/>
      <c r="E33" s="453"/>
      <c r="F33" s="345"/>
      <c r="G33" s="345"/>
      <c r="H33" s="345"/>
      <c r="I33" s="345"/>
      <c r="J33" s="345"/>
      <c r="K33" s="453"/>
      <c r="L33" s="345"/>
      <c r="M33" s="465"/>
      <c r="N33" s="378"/>
      <c r="O33" s="378"/>
      <c r="P33" s="468"/>
      <c r="Q33" s="378"/>
      <c r="R33" s="466"/>
      <c r="S33" s="345"/>
    </row>
    <row r="34" spans="1:19" ht="30" customHeight="1" thickBot="1">
      <c r="A34" s="345"/>
      <c r="B34" s="1338" t="s">
        <v>1181</v>
      </c>
      <c r="C34" s="1403"/>
      <c r="D34" s="1404"/>
      <c r="E34" s="454">
        <v>40.5</v>
      </c>
      <c r="F34" s="345"/>
      <c r="G34" s="345"/>
      <c r="H34" s="1338" t="s">
        <v>1181</v>
      </c>
      <c r="I34" s="1403"/>
      <c r="J34" s="1404"/>
      <c r="K34" s="454">
        <v>45.5</v>
      </c>
      <c r="L34" s="345"/>
      <c r="M34" s="465"/>
      <c r="N34" s="1418" t="s">
        <v>1147</v>
      </c>
      <c r="O34" s="1419"/>
      <c r="P34" s="467">
        <f>IF(E12="","",IF(K12="",8*E9+E10-E12,8*E9+E10))</f>
        <v>32</v>
      </c>
      <c r="Q34" s="467">
        <f>IF(E32="","",IF(K32="",8*E29+E30-E32,8*E29+E30))</f>
        <v>139</v>
      </c>
      <c r="R34" s="466"/>
      <c r="S34" s="345"/>
    </row>
    <row r="35" spans="1:19" ht="30" customHeight="1" thickBot="1">
      <c r="A35" s="345"/>
      <c r="B35" s="1341" t="s">
        <v>1182</v>
      </c>
      <c r="C35" s="1342"/>
      <c r="D35" s="1343"/>
      <c r="E35" s="455">
        <v>82</v>
      </c>
      <c r="F35" s="345"/>
      <c r="G35" s="345"/>
      <c r="H35" s="1341" t="s">
        <v>1182</v>
      </c>
      <c r="I35" s="1342"/>
      <c r="J35" s="1343"/>
      <c r="K35" s="455">
        <v>70</v>
      </c>
      <c r="L35" s="345"/>
      <c r="M35" s="465"/>
      <c r="N35" s="1418" t="s">
        <v>1199</v>
      </c>
      <c r="O35" s="1419"/>
      <c r="P35" s="1186">
        <f>IF(P32=0,"",IF(K15="",E15,ROUND((E15+K15)/2,0)))</f>
        <v>24</v>
      </c>
      <c r="Q35" s="469">
        <f>IF(Q30=2,"",IF(K35="",E35,ROUND((E35+K35)/2,0)))</f>
        <v>76</v>
      </c>
      <c r="R35" s="466"/>
      <c r="S35" s="345"/>
    </row>
    <row r="36" spans="1:19" ht="30" customHeight="1" thickBot="1">
      <c r="A36" s="345"/>
      <c r="B36" s="1405" t="s">
        <v>1183</v>
      </c>
      <c r="C36" s="1406"/>
      <c r="D36" s="1407"/>
      <c r="E36" s="456">
        <v>263.5</v>
      </c>
      <c r="F36" s="345"/>
      <c r="G36" s="345"/>
      <c r="H36" s="1405" t="s">
        <v>1183</v>
      </c>
      <c r="I36" s="1406"/>
      <c r="J36" s="1407"/>
      <c r="K36" s="456">
        <v>274</v>
      </c>
      <c r="L36" s="345"/>
      <c r="M36" s="465"/>
      <c r="N36" s="1418" t="s">
        <v>1200</v>
      </c>
      <c r="O36" s="1419"/>
      <c r="P36" s="469">
        <f>IF(P32=0,"",IF(K16="",E16,ROUND((E16+K16)/2,0)))</f>
        <v>95</v>
      </c>
      <c r="Q36" s="469">
        <f>IF(P32=0,"",IF(K36="",E36,ROUND((E36+K36)/2,0)))</f>
        <v>269</v>
      </c>
      <c r="R36" s="466"/>
      <c r="S36" s="345"/>
    </row>
    <row r="37" spans="1:19" ht="30" customHeight="1" thickBot="1">
      <c r="A37" s="345"/>
      <c r="B37" s="1408" t="s">
        <v>1184</v>
      </c>
      <c r="C37" s="1409"/>
      <c r="D37" s="1410"/>
      <c r="E37" s="457">
        <f>IF(SUM(E34:E36)=0,"",SUM(E34:E36))</f>
        <v>386</v>
      </c>
      <c r="F37" s="345"/>
      <c r="G37" s="345"/>
      <c r="H37" s="1408" t="s">
        <v>1184</v>
      </c>
      <c r="I37" s="1409"/>
      <c r="J37" s="1410"/>
      <c r="K37" s="457">
        <f>IF(SUM(K34:K36)=0,"",SUM(K34:K36))</f>
        <v>389.5</v>
      </c>
      <c r="L37" s="345"/>
      <c r="M37" s="465"/>
      <c r="N37" s="1418" t="s">
        <v>1184</v>
      </c>
      <c r="O37" s="1419"/>
      <c r="P37" s="469">
        <f>IF(P32=0,"",IF(K12="",E17,ROUND((E17+K17)/2,0)))</f>
        <v>136</v>
      </c>
      <c r="Q37" s="469">
        <f>IF(P32=0,"",IF(K32="",E37,ROUND((E37+K37)/2,0)))</f>
        <v>388</v>
      </c>
      <c r="R37" s="466"/>
      <c r="S37" s="345"/>
    </row>
    <row r="38" spans="1:19" ht="15.75" thickBot="1">
      <c r="A38" s="345"/>
      <c r="B38" s="420"/>
      <c r="C38" s="420"/>
      <c r="D38" s="345"/>
      <c r="E38" s="345"/>
      <c r="F38" s="345"/>
      <c r="G38" s="345"/>
      <c r="H38" s="420"/>
      <c r="I38" s="420"/>
      <c r="J38" s="345"/>
      <c r="K38" s="345"/>
      <c r="L38" s="345"/>
      <c r="M38" s="465"/>
      <c r="N38" s="1418" t="s">
        <v>1201</v>
      </c>
      <c r="O38" s="1419"/>
      <c r="P38" s="469">
        <f>IF(P32=0,"",IF(K14="",E14,ROUND((E14+K14)/2,0)))</f>
        <v>17</v>
      </c>
      <c r="Q38" s="469">
        <f>IF(P32=0,"",IF(K34="",E34,ROUND((E34+K34)/2,0)))</f>
        <v>43</v>
      </c>
      <c r="R38" s="466"/>
      <c r="S38" s="345"/>
    </row>
    <row r="39" spans="1:19" ht="30" customHeight="1" thickBot="1">
      <c r="A39" s="345"/>
      <c r="B39" s="420"/>
      <c r="C39" s="420"/>
      <c r="D39" s="345"/>
      <c r="E39" s="458" t="s">
        <v>1185</v>
      </c>
      <c r="F39" s="458" t="s">
        <v>1186</v>
      </c>
      <c r="G39" s="345"/>
      <c r="H39" s="420"/>
      <c r="I39" s="420"/>
      <c r="J39" s="345"/>
      <c r="K39" s="458" t="s">
        <v>1185</v>
      </c>
      <c r="L39" s="458" t="s">
        <v>1186</v>
      </c>
      <c r="M39" s="465"/>
      <c r="N39" s="378"/>
      <c r="O39" s="378"/>
      <c r="P39" s="470">
        <f>IF('Feuilles=description générale'!K27="","",IF(P37="","",P37/'Feuilles=description générale'!K27))</f>
        <v>0.32415683470384937</v>
      </c>
      <c r="Q39" s="470">
        <f>IF('Feuilles=description générale'!K27="","",IF(Q37="","",Q37/'Feuilles=description générale'!K27))</f>
        <v>0.92480038136098197</v>
      </c>
      <c r="R39" s="466"/>
      <c r="S39" s="345"/>
    </row>
    <row r="40" spans="1:19" ht="30" customHeight="1" thickBot="1">
      <c r="A40" s="345"/>
      <c r="B40" s="1338" t="s">
        <v>1187</v>
      </c>
      <c r="C40" s="1403"/>
      <c r="D40" s="1404"/>
      <c r="E40" s="459">
        <v>17</v>
      </c>
      <c r="F40" s="459">
        <v>16</v>
      </c>
      <c r="G40" s="345"/>
      <c r="H40" s="1338" t="s">
        <v>1187</v>
      </c>
      <c r="I40" s="1403"/>
      <c r="J40" s="1404"/>
      <c r="K40" s="459">
        <v>17</v>
      </c>
      <c r="L40" s="459">
        <v>16</v>
      </c>
      <c r="M40" s="465"/>
      <c r="N40" s="1420" t="s">
        <v>1187</v>
      </c>
      <c r="O40" s="1421"/>
      <c r="P40" s="471">
        <f>IF(P32="","",IF(K12="",ROUND((E20+F20)/2,0),ROUND((E20+F20+K20+L20)/4,0)))</f>
        <v>8</v>
      </c>
      <c r="Q40" s="471">
        <f>IF(P32="","",IF(K32="",ROUND((E40+F40)/2,0),ROUND((E40+F40+K40+L40)/4,0)))</f>
        <v>17</v>
      </c>
      <c r="R40" s="466"/>
      <c r="S40" s="345"/>
    </row>
    <row r="41" spans="1:19" ht="30" customHeight="1" thickBot="1">
      <c r="A41" s="345"/>
      <c r="B41" s="1341" t="s">
        <v>1188</v>
      </c>
      <c r="C41" s="1342"/>
      <c r="D41" s="1343"/>
      <c r="E41" s="460">
        <v>0</v>
      </c>
      <c r="F41" s="460">
        <v>1</v>
      </c>
      <c r="G41" s="345"/>
      <c r="H41" s="1341" t="s">
        <v>1188</v>
      </c>
      <c r="I41" s="1342"/>
      <c r="J41" s="1343"/>
      <c r="K41" s="460">
        <v>0</v>
      </c>
      <c r="L41" s="460">
        <v>0</v>
      </c>
      <c r="M41" s="465"/>
      <c r="N41" s="1420" t="s">
        <v>1188</v>
      </c>
      <c r="O41" s="1421"/>
      <c r="P41" s="471">
        <f>IF(P32="","",IF(K12="",ROUND((E21+F21)/2,0),ROUND((E21+F21+K21+L21)/4,0)))</f>
        <v>1</v>
      </c>
      <c r="Q41" s="471">
        <f>IF(P32="","",IF(K32="",ROUND((E41+F41)/2,0),ROUND((E41+F41+K41+L41)/4,0)))</f>
        <v>0</v>
      </c>
      <c r="R41" s="466"/>
      <c r="S41" s="345"/>
    </row>
    <row r="42" spans="1:19" ht="30" customHeight="1" thickBot="1">
      <c r="A42" s="345"/>
      <c r="B42" s="1341" t="s">
        <v>1189</v>
      </c>
      <c r="C42" s="1342"/>
      <c r="D42" s="1343"/>
      <c r="E42" s="460">
        <v>104</v>
      </c>
      <c r="F42" s="460">
        <v>101</v>
      </c>
      <c r="G42" s="345"/>
      <c r="H42" s="1341" t="s">
        <v>1189</v>
      </c>
      <c r="I42" s="1342"/>
      <c r="J42" s="1343"/>
      <c r="K42" s="460">
        <v>104</v>
      </c>
      <c r="L42" s="460">
        <v>97</v>
      </c>
      <c r="M42" s="465"/>
      <c r="N42" s="1420" t="s">
        <v>1189</v>
      </c>
      <c r="O42" s="1421"/>
      <c r="P42" s="471">
        <f>IF(P32="","",IF(K12="",ROUND((E22+F22)/2,0),ROUND((E22+F22+K22+L22)/4,0)))</f>
        <v>56</v>
      </c>
      <c r="Q42" s="471">
        <f>IF(P32="","",IF(K32="",ROUND((E42+F42)/2,0),ROUND((E42+F42+K42+L42)/4,0)))</f>
        <v>102</v>
      </c>
      <c r="R42" s="466"/>
      <c r="S42" s="345"/>
    </row>
    <row r="43" spans="1:19" ht="30" customHeight="1" thickBot="1">
      <c r="A43" s="345"/>
      <c r="B43" s="1387" t="s">
        <v>1190</v>
      </c>
      <c r="C43" s="1388"/>
      <c r="D43" s="1389"/>
      <c r="E43" s="461">
        <f>IF(SUM(E40:E42)=0,"",SUM(E40:E42))</f>
        <v>121</v>
      </c>
      <c r="F43" s="461">
        <f>IF(SUM(F40:F42)=0,"",SUM(F40:F42))</f>
        <v>118</v>
      </c>
      <c r="G43" s="345"/>
      <c r="H43" s="1387" t="s">
        <v>1190</v>
      </c>
      <c r="I43" s="1388"/>
      <c r="J43" s="1389"/>
      <c r="K43" s="461">
        <f>IF(SUM(K40:K42)=0,"",SUM(K40:K42))</f>
        <v>121</v>
      </c>
      <c r="L43" s="461">
        <f>IF(SUM(L40:L42)=0,"",SUM(L40:L42))</f>
        <v>113</v>
      </c>
      <c r="M43" s="465"/>
      <c r="N43" s="1420" t="s">
        <v>1190</v>
      </c>
      <c r="O43" s="1421"/>
      <c r="P43" s="469">
        <f>IF(P32="","",IF(K12="",ROUND((E23+F23)/2,0),ROUND((E23+F23+K23+L23)/4,0)))</f>
        <v>64</v>
      </c>
      <c r="Q43" s="469">
        <f>IF(P32="","",IF(K32="",ROUND((E43+F43)/2,0),ROUND((E43+F43+K43+L43)/4,0)))</f>
        <v>118</v>
      </c>
      <c r="R43" s="466"/>
      <c r="S43" s="345"/>
    </row>
    <row r="44" spans="1:19" ht="30" customHeight="1" thickBot="1">
      <c r="A44" s="345"/>
      <c r="B44" s="1344" t="s">
        <v>1196</v>
      </c>
      <c r="C44" s="1345"/>
      <c r="D44" s="1346"/>
      <c r="E44" s="1411">
        <v>55</v>
      </c>
      <c r="F44" s="1412"/>
      <c r="G44" s="345"/>
      <c r="H44" s="1344" t="s">
        <v>1196</v>
      </c>
      <c r="I44" s="1345"/>
      <c r="J44" s="1346"/>
      <c r="K44" s="1411">
        <v>53</v>
      </c>
      <c r="L44" s="1412"/>
      <c r="M44" s="465"/>
      <c r="N44" s="1420" t="s">
        <v>1196</v>
      </c>
      <c r="O44" s="1421"/>
      <c r="P44" s="472">
        <f>IF(P32="","",IF(K12="",E24,ROUND((E24+K24)/2,1)))</f>
        <v>28.5</v>
      </c>
      <c r="Q44" s="472">
        <f>IF(P32="","",IF(K32="",E44,ROUND((E44+K44)/2,1)))</f>
        <v>54</v>
      </c>
      <c r="R44" s="466"/>
      <c r="S44" s="345"/>
    </row>
    <row r="45" spans="1:19" ht="30" customHeight="1" thickBot="1">
      <c r="A45" s="345"/>
      <c r="B45" s="1344" t="s">
        <v>1197</v>
      </c>
      <c r="C45" s="1345"/>
      <c r="D45" s="1346"/>
      <c r="E45" s="1413">
        <v>2.2000000000000002</v>
      </c>
      <c r="F45" s="1414"/>
      <c r="G45" s="345"/>
      <c r="H45" s="1344" t="s">
        <v>1197</v>
      </c>
      <c r="I45" s="1345"/>
      <c r="J45" s="1346"/>
      <c r="K45" s="1413">
        <v>2.9</v>
      </c>
      <c r="L45" s="1414"/>
      <c r="M45" s="465"/>
      <c r="N45" s="1420" t="s">
        <v>1197</v>
      </c>
      <c r="O45" s="1421"/>
      <c r="P45" s="473">
        <f>IF(P32="","",IF(K12="",E25,ROUND((E25+K25)/2,1)))</f>
        <v>2.1</v>
      </c>
      <c r="Q45" s="473">
        <f>IF(P32="","",IF(K32="""",E45,ROUND((E45+K45)/2,1)))</f>
        <v>2.6</v>
      </c>
      <c r="R45" s="466"/>
      <c r="S45" s="345"/>
    </row>
    <row r="46" spans="1:19">
      <c r="A46" s="345"/>
      <c r="B46" s="345"/>
      <c r="C46" s="345"/>
      <c r="D46" s="345"/>
      <c r="E46" s="345"/>
      <c r="F46" s="345"/>
      <c r="G46" s="345"/>
      <c r="H46" s="345"/>
      <c r="I46" s="345"/>
      <c r="J46" s="345"/>
      <c r="K46" s="345"/>
      <c r="L46" s="345"/>
      <c r="M46" s="465"/>
      <c r="N46" s="465"/>
      <c r="O46" s="465"/>
      <c r="P46" s="465"/>
      <c r="Q46" s="465"/>
      <c r="R46" s="466"/>
      <c r="S46" s="345"/>
    </row>
    <row r="47" spans="1:19">
      <c r="A47" s="345"/>
      <c r="B47" s="345"/>
      <c r="C47" s="345"/>
      <c r="D47" s="345"/>
      <c r="E47" s="345"/>
      <c r="F47" s="345"/>
      <c r="G47" s="345"/>
      <c r="H47" s="345"/>
      <c r="I47" s="345"/>
      <c r="J47" s="345"/>
      <c r="K47" s="345"/>
      <c r="L47" s="345"/>
      <c r="M47" s="466"/>
      <c r="N47" s="466"/>
      <c r="O47" s="466"/>
      <c r="P47" s="466"/>
      <c r="Q47" s="466"/>
      <c r="R47" s="466"/>
      <c r="S47" s="345"/>
    </row>
    <row r="48" spans="1:19">
      <c r="A48" s="345"/>
      <c r="B48" s="345"/>
      <c r="C48" s="345"/>
      <c r="D48" s="345"/>
      <c r="E48" s="345"/>
      <c r="F48" s="345"/>
      <c r="G48" s="345"/>
      <c r="H48" s="345"/>
      <c r="I48" s="345"/>
      <c r="J48" s="345"/>
      <c r="K48" s="345"/>
      <c r="L48" s="345"/>
      <c r="M48" s="345"/>
      <c r="N48" s="345"/>
      <c r="O48" s="345"/>
      <c r="P48" s="345"/>
      <c r="Q48" s="345"/>
      <c r="R48" s="345"/>
      <c r="S48" s="345"/>
    </row>
  </sheetData>
  <sheetProtection sheet="1" objects="1" scenarios="1" selectLockedCells="1"/>
  <mergeCells count="75">
    <mergeCell ref="B45:D45"/>
    <mergeCell ref="E45:F45"/>
    <mergeCell ref="H45:J45"/>
    <mergeCell ref="K45:L45"/>
    <mergeCell ref="N45:O45"/>
    <mergeCell ref="B44:D44"/>
    <mergeCell ref="E44:F44"/>
    <mergeCell ref="H44:J44"/>
    <mergeCell ref="K44:L44"/>
    <mergeCell ref="N44:O44"/>
    <mergeCell ref="B42:D42"/>
    <mergeCell ref="H42:J42"/>
    <mergeCell ref="N42:O42"/>
    <mergeCell ref="B43:D43"/>
    <mergeCell ref="H43:J43"/>
    <mergeCell ref="N43:O43"/>
    <mergeCell ref="N38:O38"/>
    <mergeCell ref="B40:D40"/>
    <mergeCell ref="H40:J40"/>
    <mergeCell ref="N40:O40"/>
    <mergeCell ref="B41:D41"/>
    <mergeCell ref="H41:J41"/>
    <mergeCell ref="N41:O41"/>
    <mergeCell ref="B36:D36"/>
    <mergeCell ref="H36:J36"/>
    <mergeCell ref="N36:O36"/>
    <mergeCell ref="B37:D37"/>
    <mergeCell ref="H37:J37"/>
    <mergeCell ref="N37:O37"/>
    <mergeCell ref="N32:O32"/>
    <mergeCell ref="B34:D34"/>
    <mergeCell ref="H34:J34"/>
    <mergeCell ref="N34:O34"/>
    <mergeCell ref="B35:D35"/>
    <mergeCell ref="H35:J35"/>
    <mergeCell ref="N35:O35"/>
    <mergeCell ref="K25:L25"/>
    <mergeCell ref="B29:D29"/>
    <mergeCell ref="B31:D31"/>
    <mergeCell ref="B32:D32"/>
    <mergeCell ref="H32:J32"/>
    <mergeCell ref="B30:D30"/>
    <mergeCell ref="B25:D25"/>
    <mergeCell ref="E25:F25"/>
    <mergeCell ref="H25:J25"/>
    <mergeCell ref="K24:L24"/>
    <mergeCell ref="B20:D20"/>
    <mergeCell ref="H20:J20"/>
    <mergeCell ref="B21:D21"/>
    <mergeCell ref="H21:J21"/>
    <mergeCell ref="B22:D22"/>
    <mergeCell ref="H22:J22"/>
    <mergeCell ref="B23:D23"/>
    <mergeCell ref="H23:J23"/>
    <mergeCell ref="B24:D24"/>
    <mergeCell ref="E24:F24"/>
    <mergeCell ref="H24:J24"/>
    <mergeCell ref="B15:D15"/>
    <mergeCell ref="H15:J15"/>
    <mergeCell ref="B16:D16"/>
    <mergeCell ref="H16:J16"/>
    <mergeCell ref="B17:D17"/>
    <mergeCell ref="H17:J17"/>
    <mergeCell ref="B10:D10"/>
    <mergeCell ref="B11:D11"/>
    <mergeCell ref="B12:D12"/>
    <mergeCell ref="H12:J12"/>
    <mergeCell ref="B14:D14"/>
    <mergeCell ref="H14:J14"/>
    <mergeCell ref="B9:D9"/>
    <mergeCell ref="A1:B1"/>
    <mergeCell ref="G1:H1"/>
    <mergeCell ref="A3:C3"/>
    <mergeCell ref="D3:E3"/>
    <mergeCell ref="F3:G3"/>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U300"/>
  <sheetViews>
    <sheetView topLeftCell="B1" workbookViewId="0">
      <selection activeCell="V11" sqref="V11"/>
    </sheetView>
  </sheetViews>
  <sheetFormatPr baseColWidth="10" defaultRowHeight="12.75"/>
  <cols>
    <col min="89" max="89" width="13.140625" customWidth="1"/>
  </cols>
  <sheetData>
    <row r="1" spans="1:203" ht="18">
      <c r="A1" s="1228" t="s">
        <v>1101</v>
      </c>
      <c r="B1" s="1228"/>
      <c r="C1" s="345"/>
      <c r="D1" s="345"/>
      <c r="E1" s="345"/>
      <c r="F1" s="345"/>
      <c r="G1" s="345"/>
      <c r="H1" s="1320">
        <f>IF('Stipe=phyllotaxie&amp;croissance'!E9&gt;0,'Stipe=phyllotaxie&amp;croissance'!E9,"")</f>
        <v>40826</v>
      </c>
      <c r="I1" s="1320"/>
      <c r="J1" s="446"/>
      <c r="K1" s="345"/>
      <c r="L1" s="345"/>
      <c r="M1" s="1228" t="s">
        <v>1101</v>
      </c>
      <c r="N1" s="1228"/>
      <c r="O1" s="345"/>
      <c r="P1" s="345"/>
      <c r="Q1" s="345"/>
      <c r="R1" s="345"/>
      <c r="S1" s="345"/>
      <c r="T1" s="1249">
        <v>40238</v>
      </c>
      <c r="U1" s="1249"/>
      <c r="V1" s="446"/>
      <c r="W1" s="371"/>
      <c r="X1" s="1509" t="s">
        <v>1101</v>
      </c>
      <c r="Y1" s="1509"/>
      <c r="Z1" s="1509"/>
      <c r="AA1" s="1509"/>
      <c r="AB1" s="1509"/>
      <c r="AC1" s="474"/>
      <c r="AD1" s="474"/>
      <c r="AE1" s="474"/>
      <c r="AF1" s="474"/>
      <c r="AG1" s="474"/>
      <c r="AH1" s="474"/>
      <c r="AI1" s="474"/>
      <c r="AJ1" s="474"/>
      <c r="AK1" s="474"/>
      <c r="AL1" s="475" t="str">
        <f>IF('Stipe=phyllotaxie&amp;croissance'!AE9&gt;0,'Stipe=phyllotaxie&amp;croissance'!AE9,"")</f>
        <v/>
      </c>
      <c r="AM1" s="475"/>
      <c r="AN1" s="475"/>
      <c r="AO1" s="475"/>
      <c r="AP1" s="1509" t="s">
        <v>1101</v>
      </c>
      <c r="AQ1" s="1509"/>
      <c r="AR1" s="1509"/>
      <c r="AS1" s="1509"/>
      <c r="AT1" s="1509"/>
      <c r="AU1" s="474"/>
      <c r="AV1" s="474"/>
      <c r="AW1" s="474"/>
      <c r="AX1" s="474"/>
      <c r="AY1" s="474"/>
      <c r="AZ1" s="474"/>
      <c r="BA1" s="474"/>
      <c r="BB1" s="474"/>
      <c r="BC1" s="474"/>
      <c r="BD1" s="475" t="str">
        <f>IF('Stipe=phyllotaxie&amp;croissance'!AS9&gt;0,'Stipe=phyllotaxie&amp;croissance'!AS9,"")</f>
        <v/>
      </c>
      <c r="BE1" s="475"/>
      <c r="BF1" s="475"/>
      <c r="BG1" s="476"/>
      <c r="BH1" s="1510" t="s">
        <v>1101</v>
      </c>
      <c r="BI1" s="1510"/>
      <c r="BJ1" s="1510"/>
      <c r="BK1" s="1510"/>
      <c r="BL1" s="1510"/>
      <c r="BM1" s="477"/>
      <c r="BN1" s="477"/>
      <c r="BO1" s="477"/>
      <c r="BP1" s="477"/>
      <c r="BQ1" s="477"/>
      <c r="BR1" s="477"/>
      <c r="BS1" s="477"/>
      <c r="BT1" s="477"/>
      <c r="BU1" s="568"/>
      <c r="BV1" s="1511" t="s">
        <v>1101</v>
      </c>
      <c r="BW1" s="1511"/>
      <c r="BX1" s="1511"/>
      <c r="BY1" s="1511"/>
      <c r="BZ1" s="1511"/>
      <c r="CA1" s="477"/>
      <c r="CB1" s="477"/>
      <c r="CC1" s="477"/>
      <c r="CD1" s="477"/>
      <c r="CE1" s="568"/>
      <c r="CF1" s="1510" t="s">
        <v>1101</v>
      </c>
      <c r="CG1" s="1510"/>
      <c r="CH1" s="1510"/>
      <c r="CI1" s="1510"/>
      <c r="CJ1" s="1510"/>
      <c r="CK1" s="477"/>
      <c r="CL1" s="477"/>
      <c r="CM1" s="477"/>
      <c r="CN1" s="477"/>
      <c r="CO1" s="477"/>
      <c r="CP1" s="477"/>
      <c r="CQ1" s="477"/>
      <c r="CR1" s="477"/>
      <c r="CS1" s="477"/>
      <c r="CT1" s="477"/>
      <c r="CU1" s="477"/>
      <c r="CV1" s="476"/>
      <c r="CW1" s="345"/>
      <c r="CX1" s="345"/>
      <c r="CY1" s="345"/>
      <c r="CZ1" s="345"/>
      <c r="DA1" s="345"/>
      <c r="DB1" s="345"/>
      <c r="DC1" s="345"/>
      <c r="DD1" s="345"/>
      <c r="DE1" s="345"/>
      <c r="DF1" s="345"/>
      <c r="DG1" s="345"/>
      <c r="DH1" s="345"/>
      <c r="DI1" s="345"/>
      <c r="DJ1" s="345"/>
      <c r="DK1" s="345"/>
      <c r="DL1" s="345"/>
      <c r="DM1" s="345"/>
      <c r="DN1" s="345"/>
      <c r="DO1" s="345"/>
      <c r="DP1" s="345"/>
      <c r="DQ1" s="345"/>
      <c r="DR1" s="345"/>
      <c r="DS1" s="345"/>
      <c r="DT1" s="345"/>
      <c r="DU1" s="345"/>
      <c r="DV1" s="345"/>
      <c r="DW1" s="345"/>
      <c r="DX1" s="345"/>
      <c r="DY1" s="345"/>
      <c r="DZ1" s="345"/>
      <c r="EA1" s="345"/>
      <c r="EB1" s="345"/>
      <c r="EC1" s="345"/>
      <c r="ED1" s="345"/>
      <c r="EE1" s="345"/>
      <c r="EF1" s="345"/>
      <c r="EG1" s="345"/>
      <c r="EH1" s="345"/>
      <c r="EI1" s="345"/>
      <c r="EJ1" s="345"/>
      <c r="EK1" s="345"/>
      <c r="EL1" s="345"/>
      <c r="EM1" s="345"/>
      <c r="EN1" s="345"/>
      <c r="EO1" s="345"/>
      <c r="EP1" s="345"/>
      <c r="EQ1" s="345"/>
      <c r="ER1" s="345"/>
      <c r="ES1" s="345"/>
      <c r="ET1" s="345"/>
      <c r="EU1" s="345"/>
      <c r="EV1" s="345"/>
      <c r="EW1" s="345"/>
      <c r="EX1" s="345"/>
      <c r="EY1" s="345"/>
      <c r="EZ1" s="345"/>
      <c r="FA1" s="345"/>
      <c r="FB1" s="345"/>
      <c r="FC1" s="345"/>
      <c r="FD1" s="345"/>
      <c r="FE1" s="345"/>
      <c r="FF1" s="345"/>
      <c r="FG1" s="345"/>
      <c r="FH1" s="345"/>
      <c r="FI1" s="345"/>
      <c r="FJ1" s="345"/>
      <c r="FK1" s="345"/>
      <c r="FL1" s="345"/>
      <c r="FM1" s="345"/>
      <c r="FN1" s="345"/>
      <c r="FO1" s="345"/>
      <c r="FP1" s="345"/>
      <c r="FQ1" s="345"/>
      <c r="FR1" s="345"/>
      <c r="FS1" s="345"/>
      <c r="FT1" s="345"/>
      <c r="FU1" s="345"/>
      <c r="FV1" s="345"/>
      <c r="FW1" s="345"/>
      <c r="FX1" s="345"/>
      <c r="FY1" s="345"/>
      <c r="FZ1" s="345"/>
      <c r="GA1" s="345"/>
      <c r="GB1" s="345"/>
      <c r="GC1" s="345"/>
      <c r="GD1" s="345"/>
      <c r="GE1" s="345"/>
      <c r="GF1" s="345"/>
      <c r="GG1" s="345"/>
      <c r="GH1" s="345"/>
      <c r="GI1" s="345"/>
      <c r="GJ1" s="345"/>
      <c r="GK1" s="345"/>
      <c r="GL1" s="345"/>
      <c r="GM1" s="345"/>
      <c r="GN1" s="345"/>
      <c r="GO1" s="345"/>
      <c r="GP1" s="345"/>
      <c r="GQ1" s="345"/>
      <c r="GR1" s="345"/>
      <c r="GS1" s="345"/>
      <c r="GT1" s="345"/>
      <c r="GU1" s="345"/>
    </row>
    <row r="2" spans="1:203" ht="18">
      <c r="A2" s="974"/>
      <c r="B2" s="974"/>
      <c r="C2" s="345"/>
      <c r="D2" s="345"/>
      <c r="E2" s="345"/>
      <c r="F2" s="345"/>
      <c r="G2" s="345"/>
      <c r="H2" s="345"/>
      <c r="I2" s="974"/>
      <c r="J2" s="974"/>
      <c r="K2" s="345"/>
      <c r="L2" s="345"/>
      <c r="M2" s="974"/>
      <c r="N2" s="974"/>
      <c r="O2" s="345"/>
      <c r="P2" s="345"/>
      <c r="Q2" s="345"/>
      <c r="R2" s="345"/>
      <c r="S2" s="345"/>
      <c r="T2" s="345"/>
      <c r="U2" s="974"/>
      <c r="V2" s="974"/>
      <c r="W2" s="371"/>
      <c r="X2" s="979"/>
      <c r="Y2" s="979"/>
      <c r="Z2" s="979"/>
      <c r="AA2" s="979"/>
      <c r="AB2" s="979"/>
      <c r="AC2" s="474"/>
      <c r="AD2" s="474"/>
      <c r="AE2" s="474"/>
      <c r="AF2" s="474"/>
      <c r="AG2" s="474"/>
      <c r="AH2" s="474"/>
      <c r="AI2" s="474"/>
      <c r="AJ2" s="474"/>
      <c r="AK2" s="474"/>
      <c r="AL2" s="475"/>
      <c r="AM2" s="475"/>
      <c r="AN2" s="475"/>
      <c r="AO2" s="475"/>
      <c r="AP2" s="979"/>
      <c r="AQ2" s="979"/>
      <c r="AR2" s="979"/>
      <c r="AS2" s="979"/>
      <c r="AT2" s="979"/>
      <c r="AU2" s="474"/>
      <c r="AV2" s="474"/>
      <c r="AW2" s="474"/>
      <c r="AX2" s="474"/>
      <c r="AY2" s="474"/>
      <c r="AZ2" s="474"/>
      <c r="BA2" s="474"/>
      <c r="BB2" s="474"/>
      <c r="BC2" s="474"/>
      <c r="BD2" s="475"/>
      <c r="BE2" s="475"/>
      <c r="BF2" s="475"/>
      <c r="BG2" s="476"/>
      <c r="BH2" s="1510"/>
      <c r="BI2" s="1510"/>
      <c r="BJ2" s="1510"/>
      <c r="BK2" s="1510"/>
      <c r="BL2" s="1510"/>
      <c r="BM2" s="477"/>
      <c r="BN2" s="477"/>
      <c r="BO2" s="477"/>
      <c r="BP2" s="477"/>
      <c r="BQ2" s="477"/>
      <c r="BR2" s="477"/>
      <c r="BS2" s="477"/>
      <c r="BT2" s="477"/>
      <c r="BU2" s="568"/>
      <c r="BV2" s="1080"/>
      <c r="BW2" s="1080"/>
      <c r="BX2" s="1080"/>
      <c r="BY2" s="1080"/>
      <c r="BZ2" s="1080"/>
      <c r="CA2" s="477"/>
      <c r="CB2" s="477"/>
      <c r="CC2" s="477"/>
      <c r="CD2" s="477"/>
      <c r="CE2" s="568"/>
      <c r="CF2" s="1510"/>
      <c r="CG2" s="1510"/>
      <c r="CH2" s="1510"/>
      <c r="CI2" s="1510"/>
      <c r="CJ2" s="1510"/>
      <c r="CK2" s="477"/>
      <c r="CL2" s="477"/>
      <c r="CM2" s="477"/>
      <c r="CN2" s="477"/>
      <c r="CO2" s="477"/>
      <c r="CP2" s="477"/>
      <c r="CQ2" s="477"/>
      <c r="CR2" s="477"/>
      <c r="CS2" s="477"/>
      <c r="CT2" s="477"/>
      <c r="CU2" s="477"/>
      <c r="CV2" s="476"/>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row>
    <row r="3" spans="1:203" ht="15.75">
      <c r="A3" s="1321" t="s">
        <v>1102</v>
      </c>
      <c r="B3" s="1321"/>
      <c r="C3" s="1321"/>
      <c r="D3" s="1322" t="str">
        <f>IF('Stipe=phyllotaxie&amp;croissance'!$E$11&gt;0,'Stipe=phyllotaxie&amp;croissance'!$E$11,"")</f>
        <v>Rochdi</v>
      </c>
      <c r="E3" s="1322"/>
      <c r="F3" s="345"/>
      <c r="G3" s="1323" t="s">
        <v>1103</v>
      </c>
      <c r="H3" s="1323"/>
      <c r="I3" s="1322" t="str">
        <f>IF('Stipe=phyllotaxie&amp;croissance'!$E$10&gt;0,'Stipe=phyllotaxie&amp;croissance'!$E$10,"")</f>
        <v>01</v>
      </c>
      <c r="J3" s="1322"/>
      <c r="K3" s="345"/>
      <c r="L3" s="345"/>
      <c r="M3" s="1321" t="s">
        <v>1102</v>
      </c>
      <c r="N3" s="1321"/>
      <c r="O3" s="1321"/>
      <c r="P3" s="1322" t="str">
        <f>IF('Stipe=phyllotaxie&amp;croissance'!$E$11&gt;0,'Stipe=phyllotaxie&amp;croissance'!$E$11,"")</f>
        <v>Rochdi</v>
      </c>
      <c r="Q3" s="1322"/>
      <c r="R3" s="345"/>
      <c r="S3" s="1323" t="s">
        <v>1103</v>
      </c>
      <c r="T3" s="1323"/>
      <c r="U3" s="1322" t="str">
        <f>IF('Stipe=phyllotaxie&amp;croissance'!E10&gt;0,'Stipe=phyllotaxie&amp;croissance'!E10,"")</f>
        <v>01</v>
      </c>
      <c r="V3" s="1322"/>
      <c r="W3" s="371"/>
      <c r="X3" s="1081" t="s">
        <v>1102</v>
      </c>
      <c r="Y3" s="1081"/>
      <c r="Z3" s="1081"/>
      <c r="AA3" s="1322" t="str">
        <f>IF('Stipe=phyllotaxie&amp;croissance'!$E$11&gt;0,'Stipe=phyllotaxie&amp;croissance'!$E$11,"")</f>
        <v>Rochdi</v>
      </c>
      <c r="AB3" s="1322"/>
      <c r="AC3" s="371"/>
      <c r="AD3" s="371"/>
      <c r="AE3" s="1503" t="s">
        <v>1202</v>
      </c>
      <c r="AF3" s="1503"/>
      <c r="AG3" s="1503"/>
      <c r="AH3" s="1322" t="str">
        <f>IF('Stipe=phyllotaxie&amp;croissance'!$E$10&gt;0,'Stipe=phyllotaxie&amp;croissance'!$E$10,"")</f>
        <v>01</v>
      </c>
      <c r="AI3" s="1322"/>
      <c r="AJ3" s="371"/>
      <c r="AK3" s="371"/>
      <c r="AL3" s="475"/>
      <c r="AM3" s="475"/>
      <c r="AN3" s="475"/>
      <c r="AO3" s="475"/>
      <c r="AP3" s="1503" t="s">
        <v>1102</v>
      </c>
      <c r="AQ3" s="1503"/>
      <c r="AR3" s="1503"/>
      <c r="AS3" s="1322" t="str">
        <f>IF('Stipe=phyllotaxie&amp;croissance'!$E$11&gt;0,'Stipe=phyllotaxie&amp;croissance'!$E$11,"")</f>
        <v>Rochdi</v>
      </c>
      <c r="AT3" s="1322"/>
      <c r="AU3" s="371"/>
      <c r="AV3" s="371"/>
      <c r="AW3" s="1503" t="s">
        <v>1202</v>
      </c>
      <c r="AX3" s="1503"/>
      <c r="AY3" s="1503"/>
      <c r="AZ3" s="1322" t="str">
        <f>IF('Stipe=phyllotaxie&amp;croissance'!$E$10&gt;0,'Stipe=phyllotaxie&amp;croissance'!$E$10,"")</f>
        <v>01</v>
      </c>
      <c r="BA3" s="1322"/>
      <c r="BB3" s="475"/>
      <c r="BC3" s="475"/>
      <c r="BD3" s="475"/>
      <c r="BE3" s="371"/>
      <c r="BF3" s="371"/>
      <c r="BG3" s="476"/>
      <c r="BH3" s="1504" t="s">
        <v>1102</v>
      </c>
      <c r="BI3" s="1504"/>
      <c r="BJ3" s="1504"/>
      <c r="BK3" s="1505" t="str">
        <f>IF('Stipe=phyllotaxie&amp;croissance'!$E$11&gt;0,'Stipe=phyllotaxie&amp;croissance'!$E$11,"")</f>
        <v>Rochdi</v>
      </c>
      <c r="BL3" s="1505"/>
      <c r="BM3" s="1504" t="s">
        <v>1202</v>
      </c>
      <c r="BN3" s="1504"/>
      <c r="BO3" s="1504"/>
      <c r="BP3" s="1505" t="str">
        <f>IF('Stipe=phyllotaxie&amp;croissance'!$E$10&gt;0,'Stipe=phyllotaxie&amp;croissance'!$E$10,"")</f>
        <v>01</v>
      </c>
      <c r="BQ3" s="1505"/>
      <c r="BR3" s="477"/>
      <c r="BS3" s="477"/>
      <c r="BT3" s="477"/>
      <c r="BU3" s="568"/>
      <c r="BV3" s="1504" t="s">
        <v>1102</v>
      </c>
      <c r="BW3" s="1504"/>
      <c r="BX3" s="1504"/>
      <c r="BY3" s="1505" t="str">
        <f>IF('Stipe=phyllotaxie&amp;croissance'!$E$11&gt;0,'Stipe=phyllotaxie&amp;croissance'!$E$11,"")</f>
        <v>Rochdi</v>
      </c>
      <c r="BZ3" s="1505"/>
      <c r="CA3" s="1504" t="s">
        <v>1202</v>
      </c>
      <c r="CB3" s="1504"/>
      <c r="CC3" s="1505" t="str">
        <f>IF('Stipe=phyllotaxie&amp;croissance'!$E$10&gt;0,'Stipe=phyllotaxie&amp;croissance'!$E$10,"")</f>
        <v>01</v>
      </c>
      <c r="CD3" s="1505"/>
      <c r="CE3" s="568"/>
      <c r="CF3" s="1504" t="s">
        <v>1102</v>
      </c>
      <c r="CG3" s="1504"/>
      <c r="CH3" s="1504"/>
      <c r="CI3" s="1505" t="str">
        <f>IF('Stipe=phyllotaxie&amp;croissance'!$E$11&gt;0,'Stipe=phyllotaxie&amp;croissance'!$E$11,"")</f>
        <v>Rochdi</v>
      </c>
      <c r="CJ3" s="1505"/>
      <c r="CK3" s="1082"/>
      <c r="CL3" s="1504" t="s">
        <v>1202</v>
      </c>
      <c r="CM3" s="1504"/>
      <c r="CN3" s="1504"/>
      <c r="CO3" s="1505" t="str">
        <f>IF('Stipe=phyllotaxie&amp;croissance'!$E$10&gt;0,'Stipe=phyllotaxie&amp;croissance'!$E$10,"")</f>
        <v>01</v>
      </c>
      <c r="CP3" s="1505"/>
      <c r="CQ3" s="477"/>
      <c r="CR3" s="477"/>
      <c r="CS3" s="477"/>
      <c r="CT3" s="477"/>
      <c r="CU3" s="477"/>
      <c r="CV3" s="476"/>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row>
    <row r="4" spans="1:203" ht="18.75" thickBot="1">
      <c r="A4" s="974"/>
      <c r="B4" s="974"/>
      <c r="C4" s="345"/>
      <c r="D4" s="345"/>
      <c r="E4" s="345"/>
      <c r="F4" s="345"/>
      <c r="G4" s="345"/>
      <c r="H4" s="1083"/>
      <c r="I4" s="974"/>
      <c r="J4" s="974"/>
      <c r="K4" s="1502" t="s">
        <v>1361</v>
      </c>
      <c r="L4" s="1502"/>
      <c r="M4" s="1502"/>
      <c r="N4" s="974"/>
      <c r="O4" s="345"/>
      <c r="P4" s="345"/>
      <c r="Q4" s="345"/>
      <c r="R4" s="345"/>
      <c r="S4" s="345"/>
      <c r="T4" s="1083"/>
      <c r="U4" s="974"/>
      <c r="V4" s="974"/>
      <c r="W4" s="371"/>
      <c r="X4" s="979"/>
      <c r="Y4" s="979"/>
      <c r="Z4" s="979"/>
      <c r="AA4" s="979"/>
      <c r="AB4" s="979"/>
      <c r="AC4" s="474"/>
      <c r="AD4" s="474"/>
      <c r="AE4" s="474"/>
      <c r="AF4" s="474"/>
      <c r="AG4" s="474"/>
      <c r="AH4" s="474"/>
      <c r="AI4" s="474"/>
      <c r="AJ4" s="474"/>
      <c r="AK4" s="474"/>
      <c r="AL4" s="475"/>
      <c r="AM4" s="475"/>
      <c r="AN4" s="475"/>
      <c r="AO4" s="475"/>
      <c r="AP4" s="979"/>
      <c r="AQ4" s="979"/>
      <c r="AR4" s="979"/>
      <c r="AS4" s="979"/>
      <c r="AT4" s="979"/>
      <c r="AU4" s="474"/>
      <c r="AV4" s="474"/>
      <c r="AW4" s="474"/>
      <c r="AX4" s="474"/>
      <c r="AY4" s="474"/>
      <c r="AZ4" s="474"/>
      <c r="BA4" s="474"/>
      <c r="BB4" s="474"/>
      <c r="BC4" s="474"/>
      <c r="BD4" s="475"/>
      <c r="BE4" s="475"/>
      <c r="BF4" s="475"/>
      <c r="BG4" s="476"/>
      <c r="BH4" s="1506" t="s">
        <v>1203</v>
      </c>
      <c r="BI4" s="1506"/>
      <c r="BJ4" s="1506"/>
      <c r="BK4" s="1506"/>
      <c r="BL4" s="1506"/>
      <c r="BM4" s="1506"/>
      <c r="BN4" s="1506"/>
      <c r="BO4" s="1506"/>
      <c r="BP4" s="1506"/>
      <c r="BQ4" s="1506"/>
      <c r="BR4" s="1506"/>
      <c r="BS4" s="477"/>
      <c r="BT4" s="477"/>
      <c r="BU4" s="568"/>
      <c r="BV4" s="549"/>
      <c r="BW4" s="549"/>
      <c r="BX4" s="477"/>
      <c r="BY4" s="477"/>
      <c r="BZ4" s="477"/>
      <c r="CA4" s="477"/>
      <c r="CB4" s="477"/>
      <c r="CC4" s="477"/>
      <c r="CD4" s="477"/>
      <c r="CE4" s="568"/>
      <c r="CF4" s="1506" t="s">
        <v>1319</v>
      </c>
      <c r="CG4" s="1506"/>
      <c r="CH4" s="1506"/>
      <c r="CI4" s="1506"/>
      <c r="CJ4" s="1506"/>
      <c r="CK4" s="1506"/>
      <c r="CL4" s="1506"/>
      <c r="CM4" s="1506"/>
      <c r="CN4" s="1506"/>
      <c r="CO4" s="1506"/>
      <c r="CP4" s="1506"/>
      <c r="CQ4" s="477"/>
      <c r="CR4" s="477"/>
      <c r="CS4" s="477"/>
      <c r="CT4" s="477"/>
      <c r="CU4" s="477"/>
      <c r="CV4" s="476"/>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row>
    <row r="5" spans="1:203" ht="18">
      <c r="A5" s="345"/>
      <c r="B5" s="1319" t="s">
        <v>1320</v>
      </c>
      <c r="C5" s="1319"/>
      <c r="D5" s="1319"/>
      <c r="E5" s="1319"/>
      <c r="F5" s="1319"/>
      <c r="G5" s="1319"/>
      <c r="H5" s="1319"/>
      <c r="I5" s="345"/>
      <c r="J5" s="446"/>
      <c r="K5" s="1502"/>
      <c r="L5" s="1502"/>
      <c r="M5" s="1502"/>
      <c r="N5" s="1319" t="s">
        <v>1320</v>
      </c>
      <c r="O5" s="1319"/>
      <c r="P5" s="1319"/>
      <c r="Q5" s="1319"/>
      <c r="R5" s="1319"/>
      <c r="S5" s="1319"/>
      <c r="T5" s="1319"/>
      <c r="U5" s="345"/>
      <c r="V5" s="446"/>
      <c r="W5" s="371"/>
      <c r="X5" s="1501" t="s">
        <v>1204</v>
      </c>
      <c r="Y5" s="1501"/>
      <c r="Z5" s="1501"/>
      <c r="AA5" s="1501"/>
      <c r="AB5" s="1501"/>
      <c r="AC5" s="1501"/>
      <c r="AD5" s="1501"/>
      <c r="AE5" s="1501"/>
      <c r="AF5" s="1501"/>
      <c r="AG5" s="1501"/>
      <c r="AH5" s="1501"/>
      <c r="AI5" s="1501"/>
      <c r="AJ5" s="1501"/>
      <c r="AK5" s="1501"/>
      <c r="AL5" s="1501"/>
      <c r="AM5" s="1501"/>
      <c r="AN5" s="1501"/>
      <c r="AO5" s="1084"/>
      <c r="AP5" s="1501" t="s">
        <v>1204</v>
      </c>
      <c r="AQ5" s="1501"/>
      <c r="AR5" s="1501"/>
      <c r="AS5" s="1501"/>
      <c r="AT5" s="1501"/>
      <c r="AU5" s="1501"/>
      <c r="AV5" s="1501"/>
      <c r="AW5" s="1501"/>
      <c r="AX5" s="1501"/>
      <c r="AY5" s="1501"/>
      <c r="AZ5" s="1501"/>
      <c r="BA5" s="1501"/>
      <c r="BB5" s="1501"/>
      <c r="BC5" s="1501"/>
      <c r="BD5" s="1501"/>
      <c r="BE5" s="1501"/>
      <c r="BF5" s="1501"/>
      <c r="BG5" s="476"/>
      <c r="BH5" s="1506"/>
      <c r="BI5" s="1506"/>
      <c r="BJ5" s="1506"/>
      <c r="BK5" s="1506"/>
      <c r="BL5" s="1506"/>
      <c r="BM5" s="1506"/>
      <c r="BN5" s="1506"/>
      <c r="BO5" s="1506"/>
      <c r="BP5" s="1506"/>
      <c r="BQ5" s="1506"/>
      <c r="BR5" s="1506"/>
      <c r="BS5" s="478"/>
      <c r="BT5" s="478"/>
      <c r="BU5" s="1085"/>
      <c r="BV5" s="1461" t="s">
        <v>1156</v>
      </c>
      <c r="BW5" s="1457"/>
      <c r="BX5" s="1458"/>
      <c r="BY5" s="1507">
        <f>IF('Feuilles=description générale'!$E$8="","",'Feuilles=description générale'!$E$8)</f>
        <v>57</v>
      </c>
      <c r="BZ5" s="477"/>
      <c r="CA5" s="1461" t="s">
        <v>1156</v>
      </c>
      <c r="CB5" s="1457"/>
      <c r="CC5" s="1458"/>
      <c r="CD5" s="1507">
        <f>IF('Feuilles=description générale'!$E$22="","",'Feuilles=description générale'!$E$22)</f>
        <v>83</v>
      </c>
      <c r="CE5" s="568"/>
      <c r="CF5" s="1506"/>
      <c r="CG5" s="1506"/>
      <c r="CH5" s="1506"/>
      <c r="CI5" s="1506"/>
      <c r="CJ5" s="1506"/>
      <c r="CK5" s="1506"/>
      <c r="CL5" s="1506"/>
      <c r="CM5" s="1506"/>
      <c r="CN5" s="1506"/>
      <c r="CO5" s="1506"/>
      <c r="CP5" s="1506"/>
      <c r="CQ5" s="478"/>
      <c r="CR5" s="478"/>
      <c r="CS5" s="477"/>
      <c r="CT5" s="477"/>
      <c r="CU5" s="477"/>
      <c r="CV5" s="476"/>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row>
    <row r="6" spans="1:203" ht="13.5" thickBot="1">
      <c r="A6" s="345"/>
      <c r="B6" s="345"/>
      <c r="C6" s="345"/>
      <c r="D6" s="345"/>
      <c r="E6" s="345"/>
      <c r="F6" s="345"/>
      <c r="G6" s="345"/>
      <c r="H6" s="345"/>
      <c r="I6" s="345"/>
      <c r="J6" s="345"/>
      <c r="K6" s="1502"/>
      <c r="L6" s="1502"/>
      <c r="M6" s="1502"/>
      <c r="N6" s="345"/>
      <c r="O6" s="345"/>
      <c r="P6" s="345"/>
      <c r="Q6" s="345"/>
      <c r="R6" s="345"/>
      <c r="S6" s="345"/>
      <c r="T6" s="345"/>
      <c r="U6" s="345"/>
      <c r="V6" s="345"/>
      <c r="W6" s="371"/>
      <c r="X6" s="474"/>
      <c r="Y6" s="474"/>
      <c r="Z6" s="474"/>
      <c r="AA6" s="474"/>
      <c r="AB6" s="474"/>
      <c r="AC6" s="474"/>
      <c r="AD6" s="474"/>
      <c r="AE6" s="474"/>
      <c r="AF6" s="474"/>
      <c r="AG6" s="474"/>
      <c r="AH6" s="474"/>
      <c r="AI6" s="474"/>
      <c r="AJ6" s="474"/>
      <c r="AK6" s="474"/>
      <c r="AL6" s="474"/>
      <c r="AM6" s="474"/>
      <c r="AN6" s="474"/>
      <c r="AO6" s="474"/>
      <c r="AP6" s="474"/>
      <c r="AQ6" s="474"/>
      <c r="AR6" s="474"/>
      <c r="AS6" s="474"/>
      <c r="AT6" s="474"/>
      <c r="AU6" s="474"/>
      <c r="AV6" s="474"/>
      <c r="AW6" s="474"/>
      <c r="AX6" s="474"/>
      <c r="AY6" s="474"/>
      <c r="AZ6" s="474"/>
      <c r="BA6" s="474"/>
      <c r="BB6" s="474"/>
      <c r="BC6" s="474"/>
      <c r="BD6" s="474"/>
      <c r="BE6" s="474"/>
      <c r="BF6" s="474"/>
      <c r="BG6" s="476"/>
      <c r="BH6" s="1506"/>
      <c r="BI6" s="1506"/>
      <c r="BJ6" s="1506"/>
      <c r="BK6" s="1506"/>
      <c r="BL6" s="1506"/>
      <c r="BM6" s="1506"/>
      <c r="BN6" s="1506"/>
      <c r="BO6" s="1506"/>
      <c r="BP6" s="1506"/>
      <c r="BQ6" s="1506"/>
      <c r="BR6" s="1506"/>
      <c r="BS6" s="477"/>
      <c r="BT6" s="477"/>
      <c r="BU6" s="568"/>
      <c r="BV6" s="1462"/>
      <c r="BW6" s="1459"/>
      <c r="BX6" s="1460"/>
      <c r="BY6" s="1508"/>
      <c r="BZ6" s="477"/>
      <c r="CA6" s="1462"/>
      <c r="CB6" s="1459"/>
      <c r="CC6" s="1460"/>
      <c r="CD6" s="1508"/>
      <c r="CE6" s="568"/>
      <c r="CF6" s="1506"/>
      <c r="CG6" s="1506"/>
      <c r="CH6" s="1506"/>
      <c r="CI6" s="1506"/>
      <c r="CJ6" s="1506"/>
      <c r="CK6" s="1506"/>
      <c r="CL6" s="1506"/>
      <c r="CM6" s="1506"/>
      <c r="CN6" s="1506"/>
      <c r="CO6" s="1506"/>
      <c r="CP6" s="1506"/>
      <c r="CQ6" s="477"/>
      <c r="CR6" s="477"/>
      <c r="CS6" s="477"/>
      <c r="CT6" s="477"/>
      <c r="CU6" s="477"/>
      <c r="CV6" s="476"/>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row>
    <row r="7" spans="1:203" ht="18" customHeight="1" thickBot="1">
      <c r="A7" s="345"/>
      <c r="B7" s="1496" t="s">
        <v>1229</v>
      </c>
      <c r="C7" s="1497"/>
      <c r="D7" s="1086">
        <f>IF('Nervure=pétiole&amp;rachis'!F10="","",'Nervure=pétiole&amp;rachis'!F10)</f>
        <v>57</v>
      </c>
      <c r="E7" s="578"/>
      <c r="F7" s="1498" t="s">
        <v>1321</v>
      </c>
      <c r="G7" s="1499"/>
      <c r="H7" s="1499"/>
      <c r="I7" s="1500"/>
      <c r="J7" s="1087">
        <v>37</v>
      </c>
      <c r="K7" s="1502"/>
      <c r="L7" s="1502"/>
      <c r="M7" s="1502"/>
      <c r="N7" s="1496" t="s">
        <v>1229</v>
      </c>
      <c r="O7" s="1497"/>
      <c r="P7" s="1086">
        <f>IF('Nervure=pétiole&amp;rachis'!G10="","",'Nervure=pétiole&amp;rachis'!G10)</f>
        <v>83</v>
      </c>
      <c r="Q7" s="578"/>
      <c r="R7" s="1498" t="s">
        <v>1321</v>
      </c>
      <c r="S7" s="1499"/>
      <c r="T7" s="1499"/>
      <c r="U7" s="1500"/>
      <c r="V7" s="1087">
        <v>34</v>
      </c>
      <c r="W7" s="371"/>
      <c r="X7" s="1495" t="s">
        <v>1205</v>
      </c>
      <c r="Y7" s="1493"/>
      <c r="Z7" s="1493"/>
      <c r="AA7" s="1493" t="s">
        <v>1156</v>
      </c>
      <c r="AB7" s="1494"/>
      <c r="AC7" s="1086">
        <f>IF('Feuilles=description générale'!$E$8="","",'Feuilles=description générale'!$E$8)</f>
        <v>57</v>
      </c>
      <c r="AD7" s="480"/>
      <c r="AE7" s="480"/>
      <c r="AF7" s="474"/>
      <c r="AG7" s="1495" t="s">
        <v>1206</v>
      </c>
      <c r="AH7" s="1493"/>
      <c r="AI7" s="1493"/>
      <c r="AJ7" s="1493" t="s">
        <v>1156</v>
      </c>
      <c r="AK7" s="1494"/>
      <c r="AL7" s="1086">
        <f>AC7</f>
        <v>57</v>
      </c>
      <c r="AM7" s="480"/>
      <c r="AN7" s="480"/>
      <c r="AO7" s="474"/>
      <c r="AP7" s="1487" t="s">
        <v>1205</v>
      </c>
      <c r="AQ7" s="1488"/>
      <c r="AR7" s="1488"/>
      <c r="AS7" s="1488" t="s">
        <v>1156</v>
      </c>
      <c r="AT7" s="1489"/>
      <c r="AU7" s="479">
        <f>IF('Feuilles=description générale'!$E$22="","",'Feuilles=description générale'!$E$22)</f>
        <v>83</v>
      </c>
      <c r="AV7" s="480"/>
      <c r="AW7" s="480"/>
      <c r="AX7" s="474"/>
      <c r="AY7" s="1487" t="s">
        <v>1206</v>
      </c>
      <c r="AZ7" s="1488"/>
      <c r="BA7" s="1488"/>
      <c r="BB7" s="1488" t="s">
        <v>1156</v>
      </c>
      <c r="BC7" s="1489"/>
      <c r="BD7" s="479">
        <f>IF($AU$7="","",$AU$7)</f>
        <v>83</v>
      </c>
      <c r="BE7" s="480"/>
      <c r="BF7" s="480"/>
      <c r="BG7" s="481"/>
      <c r="BH7" s="477"/>
      <c r="BI7" s="1447" t="s">
        <v>1207</v>
      </c>
      <c r="BJ7" s="1448"/>
      <c r="BK7" s="1448"/>
      <c r="BL7" s="1448"/>
      <c r="BM7" s="1448"/>
      <c r="BN7" s="1448"/>
      <c r="BO7" s="1448"/>
      <c r="BP7" s="1448"/>
      <c r="BQ7" s="1448"/>
      <c r="BR7" s="1448"/>
      <c r="BS7" s="1448"/>
      <c r="BT7" s="1449"/>
      <c r="BU7" s="568"/>
      <c r="BV7" s="1490" t="s">
        <v>1322</v>
      </c>
      <c r="BW7" s="1491"/>
      <c r="BX7" s="1491"/>
      <c r="BY7" s="1492"/>
      <c r="BZ7" s="477"/>
      <c r="CA7" s="1490" t="s">
        <v>1322</v>
      </c>
      <c r="CB7" s="1491"/>
      <c r="CC7" s="1491"/>
      <c r="CD7" s="1492"/>
      <c r="CE7" s="568"/>
      <c r="CF7" s="477"/>
      <c r="CG7" s="1447" t="s">
        <v>1323</v>
      </c>
      <c r="CH7" s="1448"/>
      <c r="CI7" s="1448"/>
      <c r="CJ7" s="1448"/>
      <c r="CK7" s="1448"/>
      <c r="CL7" s="1448"/>
      <c r="CM7" s="1448"/>
      <c r="CN7" s="1448"/>
      <c r="CO7" s="1448"/>
      <c r="CP7" s="1448"/>
      <c r="CQ7" s="1448"/>
      <c r="CR7" s="1448"/>
      <c r="CS7" s="1448"/>
      <c r="CT7" s="1448"/>
      <c r="CU7" s="1449"/>
      <c r="CV7" s="476"/>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row>
    <row r="8" spans="1:203" ht="25.5" customHeight="1" thickBot="1">
      <c r="A8" s="345"/>
      <c r="B8" s="1480" t="s">
        <v>1205</v>
      </c>
      <c r="C8" s="1480"/>
      <c r="D8" s="1480"/>
      <c r="E8" s="345"/>
      <c r="F8" s="345"/>
      <c r="G8" s="1480" t="s">
        <v>1206</v>
      </c>
      <c r="H8" s="1480"/>
      <c r="I8" s="1480"/>
      <c r="J8" s="345"/>
      <c r="K8" s="1502"/>
      <c r="L8" s="1502"/>
      <c r="M8" s="1502"/>
      <c r="N8" s="1480" t="s">
        <v>1205</v>
      </c>
      <c r="O8" s="1480"/>
      <c r="P8" s="1480"/>
      <c r="Q8" s="345"/>
      <c r="R8" s="345"/>
      <c r="S8" s="1480" t="s">
        <v>1206</v>
      </c>
      <c r="T8" s="1480"/>
      <c r="U8" s="1480"/>
      <c r="V8" s="345"/>
      <c r="W8" s="371"/>
      <c r="X8" s="1481" t="s">
        <v>1208</v>
      </c>
      <c r="Y8" s="1482"/>
      <c r="Z8" s="1482"/>
      <c r="AA8" s="1483"/>
      <c r="AB8" s="1481" t="s">
        <v>1209</v>
      </c>
      <c r="AC8" s="1483"/>
      <c r="AD8" s="1484" t="s">
        <v>1210</v>
      </c>
      <c r="AE8" s="1485"/>
      <c r="AF8" s="474"/>
      <c r="AG8" s="1486" t="s">
        <v>1208</v>
      </c>
      <c r="AH8" s="1484"/>
      <c r="AI8" s="1484"/>
      <c r="AJ8" s="1485"/>
      <c r="AK8" s="1481" t="s">
        <v>1209</v>
      </c>
      <c r="AL8" s="1483"/>
      <c r="AM8" s="1486" t="s">
        <v>1210</v>
      </c>
      <c r="AN8" s="1485"/>
      <c r="AO8" s="474"/>
      <c r="AP8" s="1481" t="s">
        <v>1208</v>
      </c>
      <c r="AQ8" s="1482"/>
      <c r="AR8" s="1482"/>
      <c r="AS8" s="1483"/>
      <c r="AT8" s="1481" t="s">
        <v>1209</v>
      </c>
      <c r="AU8" s="1483"/>
      <c r="AV8" s="1484" t="s">
        <v>1210</v>
      </c>
      <c r="AW8" s="1485"/>
      <c r="AX8" s="474"/>
      <c r="AY8" s="1481" t="s">
        <v>1208</v>
      </c>
      <c r="AZ8" s="1482"/>
      <c r="BA8" s="1482"/>
      <c r="BB8" s="1483"/>
      <c r="BC8" s="1481" t="s">
        <v>1209</v>
      </c>
      <c r="BD8" s="1483"/>
      <c r="BE8" s="1484" t="s">
        <v>1210</v>
      </c>
      <c r="BF8" s="1485"/>
      <c r="BG8" s="476"/>
      <c r="BH8" s="482"/>
      <c r="BI8" s="1450"/>
      <c r="BJ8" s="1451"/>
      <c r="BK8" s="1451"/>
      <c r="BL8" s="1451"/>
      <c r="BM8" s="1451"/>
      <c r="BN8" s="1451"/>
      <c r="BO8" s="1451"/>
      <c r="BP8" s="1451"/>
      <c r="BQ8" s="1451"/>
      <c r="BR8" s="1451"/>
      <c r="BS8" s="1451"/>
      <c r="BT8" s="1452"/>
      <c r="BU8" s="568"/>
      <c r="BV8" s="1490" t="s">
        <v>1205</v>
      </c>
      <c r="BW8" s="1492"/>
      <c r="BX8" s="1490" t="s">
        <v>1206</v>
      </c>
      <c r="BY8" s="1492"/>
      <c r="BZ8" s="477"/>
      <c r="CA8" s="1490" t="s">
        <v>1205</v>
      </c>
      <c r="CB8" s="1492"/>
      <c r="CC8" s="1490" t="s">
        <v>1206</v>
      </c>
      <c r="CD8" s="1492"/>
      <c r="CE8" s="568"/>
      <c r="CF8" s="477"/>
      <c r="CG8" s="1450"/>
      <c r="CH8" s="1451"/>
      <c r="CI8" s="1451"/>
      <c r="CJ8" s="1451"/>
      <c r="CK8" s="1451"/>
      <c r="CL8" s="1451"/>
      <c r="CM8" s="1451"/>
      <c r="CN8" s="1451"/>
      <c r="CO8" s="1451"/>
      <c r="CP8" s="1451"/>
      <c r="CQ8" s="1451"/>
      <c r="CR8" s="1451"/>
      <c r="CS8" s="1451"/>
      <c r="CT8" s="1451"/>
      <c r="CU8" s="1452"/>
      <c r="CV8" s="476"/>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row>
    <row r="9" spans="1:203" ht="38.25" customHeight="1" thickBot="1">
      <c r="A9" s="345"/>
      <c r="B9" s="1088" t="s">
        <v>1324</v>
      </c>
      <c r="C9" s="1089" t="s">
        <v>1325</v>
      </c>
      <c r="D9" s="1090" t="s">
        <v>1326</v>
      </c>
      <c r="E9" s="1091" t="s">
        <v>1327</v>
      </c>
      <c r="F9" s="345"/>
      <c r="G9" s="1092" t="s">
        <v>1324</v>
      </c>
      <c r="H9" s="1089" t="s">
        <v>1325</v>
      </c>
      <c r="I9" s="1090" t="s">
        <v>1326</v>
      </c>
      <c r="J9" s="1091" t="s">
        <v>1327</v>
      </c>
      <c r="K9" s="1502"/>
      <c r="L9" s="1502"/>
      <c r="M9" s="1502"/>
      <c r="N9" s="1088" t="s">
        <v>1324</v>
      </c>
      <c r="O9" s="1089" t="s">
        <v>1325</v>
      </c>
      <c r="P9" s="1090" t="s">
        <v>1326</v>
      </c>
      <c r="Q9" s="1091" t="s">
        <v>1327</v>
      </c>
      <c r="R9" s="345"/>
      <c r="S9" s="1092" t="s">
        <v>1324</v>
      </c>
      <c r="T9" s="1089" t="s">
        <v>1325</v>
      </c>
      <c r="U9" s="1090" t="s">
        <v>1326</v>
      </c>
      <c r="V9" s="1091" t="s">
        <v>1327</v>
      </c>
      <c r="W9" s="371"/>
      <c r="X9" s="483" t="s">
        <v>1211</v>
      </c>
      <c r="Y9" s="484" t="s">
        <v>1212</v>
      </c>
      <c r="Z9" s="484" t="s">
        <v>1213</v>
      </c>
      <c r="AA9" s="485" t="s">
        <v>1214</v>
      </c>
      <c r="AB9" s="486" t="s">
        <v>1215</v>
      </c>
      <c r="AC9" s="1093" t="s">
        <v>1216</v>
      </c>
      <c r="AD9" s="483" t="s">
        <v>1217</v>
      </c>
      <c r="AE9" s="485" t="s">
        <v>1218</v>
      </c>
      <c r="AF9" s="474"/>
      <c r="AG9" s="483" t="s">
        <v>1211</v>
      </c>
      <c r="AH9" s="484" t="s">
        <v>1212</v>
      </c>
      <c r="AI9" s="484" t="s">
        <v>1213</v>
      </c>
      <c r="AJ9" s="485" t="s">
        <v>1214</v>
      </c>
      <c r="AK9" s="486" t="s">
        <v>1215</v>
      </c>
      <c r="AL9" s="485" t="s">
        <v>1216</v>
      </c>
      <c r="AM9" s="483" t="s">
        <v>1217</v>
      </c>
      <c r="AN9" s="485" t="s">
        <v>1218</v>
      </c>
      <c r="AO9" s="474"/>
      <c r="AP9" s="483" t="s">
        <v>1211</v>
      </c>
      <c r="AQ9" s="484" t="s">
        <v>1212</v>
      </c>
      <c r="AR9" s="484" t="s">
        <v>1213</v>
      </c>
      <c r="AS9" s="485" t="s">
        <v>1214</v>
      </c>
      <c r="AT9" s="483" t="s">
        <v>1215</v>
      </c>
      <c r="AU9" s="485" t="s">
        <v>1216</v>
      </c>
      <c r="AV9" s="486" t="s">
        <v>1217</v>
      </c>
      <c r="AW9" s="485" t="s">
        <v>1218</v>
      </c>
      <c r="AX9" s="474"/>
      <c r="AY9" s="483" t="s">
        <v>1211</v>
      </c>
      <c r="AZ9" s="484" t="s">
        <v>1212</v>
      </c>
      <c r="BA9" s="484" t="s">
        <v>1213</v>
      </c>
      <c r="BB9" s="485" t="s">
        <v>1214</v>
      </c>
      <c r="BC9" s="483" t="s">
        <v>1215</v>
      </c>
      <c r="BD9" s="485" t="s">
        <v>1216</v>
      </c>
      <c r="BE9" s="486" t="s">
        <v>1217</v>
      </c>
      <c r="BF9" s="485" t="s">
        <v>1218</v>
      </c>
      <c r="BG9" s="476"/>
      <c r="BH9" s="1453" t="s">
        <v>1219</v>
      </c>
      <c r="BI9" s="1447" t="s">
        <v>1220</v>
      </c>
      <c r="BJ9" s="1448"/>
      <c r="BK9" s="1448"/>
      <c r="BL9" s="1449"/>
      <c r="BM9" s="1447" t="s">
        <v>1221</v>
      </c>
      <c r="BN9" s="1448"/>
      <c r="BO9" s="1448"/>
      <c r="BP9" s="1449"/>
      <c r="BQ9" s="1447" t="s">
        <v>1139</v>
      </c>
      <c r="BR9" s="1448"/>
      <c r="BS9" s="1448"/>
      <c r="BT9" s="1449"/>
      <c r="BU9" s="568"/>
      <c r="BV9" s="1094" t="s">
        <v>1217</v>
      </c>
      <c r="BW9" s="1095" t="s">
        <v>1218</v>
      </c>
      <c r="BX9" s="1094" t="s">
        <v>1217</v>
      </c>
      <c r="BY9" s="1095" t="s">
        <v>1218</v>
      </c>
      <c r="BZ9" s="477"/>
      <c r="CA9" s="1094" t="s">
        <v>1217</v>
      </c>
      <c r="CB9" s="1095" t="s">
        <v>1218</v>
      </c>
      <c r="CC9" s="1094" t="s">
        <v>1217</v>
      </c>
      <c r="CD9" s="1095" t="s">
        <v>1218</v>
      </c>
      <c r="CE9" s="568"/>
      <c r="CF9" s="1453" t="s">
        <v>1328</v>
      </c>
      <c r="CG9" s="1457" t="s">
        <v>1220</v>
      </c>
      <c r="CH9" s="1457"/>
      <c r="CI9" s="1457"/>
      <c r="CJ9" s="1457"/>
      <c r="CK9" s="1458"/>
      <c r="CL9" s="1461" t="s">
        <v>1221</v>
      </c>
      <c r="CM9" s="1457"/>
      <c r="CN9" s="1457"/>
      <c r="CO9" s="1457"/>
      <c r="CP9" s="1458"/>
      <c r="CQ9" s="1461" t="s">
        <v>1139</v>
      </c>
      <c r="CR9" s="1457"/>
      <c r="CS9" s="1457"/>
      <c r="CT9" s="1457"/>
      <c r="CU9" s="1458"/>
      <c r="CV9" s="476"/>
      <c r="CW9" s="345"/>
      <c r="CX9" s="345"/>
      <c r="CY9" s="345"/>
      <c r="CZ9" s="345"/>
      <c r="DA9" s="345"/>
      <c r="DB9" s="345"/>
      <c r="DC9" s="345"/>
      <c r="DD9" s="345"/>
      <c r="DE9" s="345"/>
      <c r="DF9" s="345"/>
      <c r="DG9" s="345"/>
      <c r="DH9" s="345"/>
      <c r="DI9" s="345"/>
      <c r="DJ9" s="345"/>
      <c r="DK9" s="345"/>
      <c r="DL9" s="345"/>
      <c r="DM9" s="345"/>
      <c r="DN9" s="345"/>
      <c r="DO9" s="345"/>
      <c r="DP9" s="345"/>
      <c r="DQ9" s="345"/>
      <c r="DR9" s="345"/>
      <c r="DS9" s="345"/>
      <c r="DT9" s="345"/>
      <c r="DU9" s="345"/>
      <c r="DV9" s="345"/>
      <c r="DW9" s="345"/>
      <c r="DX9" s="345"/>
      <c r="DY9" s="345"/>
      <c r="DZ9" s="345"/>
      <c r="EA9" s="345"/>
      <c r="EB9" s="345"/>
      <c r="EC9" s="345"/>
      <c r="ED9" s="345"/>
      <c r="EE9" s="345"/>
      <c r="EF9" s="345"/>
      <c r="EG9" s="345"/>
      <c r="EH9" s="345"/>
      <c r="EI9" s="345"/>
      <c r="EJ9" s="345"/>
      <c r="EK9" s="345"/>
      <c r="EL9" s="345"/>
      <c r="EM9" s="345"/>
      <c r="EN9" s="345"/>
      <c r="EO9" s="345"/>
      <c r="EP9" s="345"/>
      <c r="EQ9" s="345"/>
      <c r="ER9" s="345"/>
      <c r="ES9" s="345"/>
      <c r="ET9" s="345"/>
      <c r="EU9" s="345"/>
      <c r="EV9" s="345"/>
      <c r="EW9" s="345"/>
      <c r="EX9" s="345"/>
      <c r="EY9" s="345"/>
      <c r="EZ9" s="345"/>
      <c r="FA9" s="345"/>
      <c r="FB9" s="345"/>
      <c r="FC9" s="345"/>
      <c r="FD9" s="345"/>
      <c r="FE9" s="345"/>
      <c r="FF9" s="345"/>
      <c r="FG9" s="345"/>
      <c r="FH9" s="345"/>
      <c r="FI9" s="345"/>
      <c r="FJ9" s="345"/>
      <c r="FK9" s="345"/>
      <c r="FL9" s="345"/>
      <c r="FM9" s="345"/>
      <c r="FN9" s="345"/>
      <c r="FO9" s="345"/>
      <c r="FP9" s="345"/>
      <c r="FQ9" s="345"/>
      <c r="FR9" s="345"/>
      <c r="FS9" s="345"/>
      <c r="FT9" s="345"/>
      <c r="FU9" s="345"/>
      <c r="FV9" s="345"/>
      <c r="FW9" s="345"/>
      <c r="FX9" s="345"/>
      <c r="FY9" s="345"/>
      <c r="FZ9" s="345"/>
      <c r="GA9" s="345"/>
      <c r="GB9" s="345"/>
      <c r="GC9" s="345"/>
      <c r="GD9" s="345"/>
      <c r="GE9" s="345"/>
      <c r="GF9" s="345"/>
      <c r="GG9" s="345"/>
      <c r="GH9" s="345"/>
      <c r="GI9" s="345"/>
      <c r="GJ9" s="345"/>
      <c r="GK9" s="345"/>
      <c r="GL9" s="345"/>
      <c r="GM9" s="345"/>
      <c r="GN9" s="345"/>
      <c r="GO9" s="345"/>
      <c r="GP9" s="345"/>
      <c r="GQ9" s="345"/>
      <c r="GR9" s="345"/>
      <c r="GS9" s="345"/>
      <c r="GT9" s="345"/>
      <c r="GU9" s="345"/>
    </row>
    <row r="10" spans="1:203" ht="12.75" customHeight="1" thickBot="1">
      <c r="A10" s="465">
        <v>0</v>
      </c>
      <c r="B10" s="1096"/>
      <c r="C10" s="1097"/>
      <c r="D10" s="1098"/>
      <c r="E10" s="1099" t="s">
        <v>1329</v>
      </c>
      <c r="F10" s="465">
        <v>0</v>
      </c>
      <c r="G10" s="1096"/>
      <c r="H10" s="1100"/>
      <c r="I10" s="1098"/>
      <c r="J10" s="1099" t="s">
        <v>1329</v>
      </c>
      <c r="K10" s="1101">
        <f>AVERAGE(D175,I175,P175,U175)</f>
        <v>5.3605555861977985</v>
      </c>
      <c r="L10" s="1101">
        <f>STDEV(D175,I175,P175,U175)</f>
        <v>0.16462070916000682</v>
      </c>
      <c r="M10" s="465">
        <v>0</v>
      </c>
      <c r="N10" s="1096"/>
      <c r="O10" s="1097"/>
      <c r="P10" s="1098"/>
      <c r="Q10" s="1099" t="s">
        <v>1329</v>
      </c>
      <c r="R10" s="465">
        <v>0</v>
      </c>
      <c r="S10" s="1096"/>
      <c r="T10" s="1097"/>
      <c r="U10" s="1098"/>
      <c r="V10" s="1099" t="s">
        <v>1329</v>
      </c>
      <c r="W10" s="371"/>
      <c r="X10" s="1102"/>
      <c r="Y10" s="1103"/>
      <c r="Z10" s="1103"/>
      <c r="AA10" s="1104"/>
      <c r="AB10" s="487"/>
      <c r="AC10" s="490"/>
      <c r="AD10" s="491"/>
      <c r="AE10" s="492"/>
      <c r="AF10" s="371"/>
      <c r="AG10" s="487"/>
      <c r="AH10" s="488"/>
      <c r="AI10" s="488"/>
      <c r="AJ10" s="489"/>
      <c r="AK10" s="1103"/>
      <c r="AL10" s="1105"/>
      <c r="AM10" s="487"/>
      <c r="AN10" s="493"/>
      <c r="AO10" s="371"/>
      <c r="AP10" s="487"/>
      <c r="AQ10" s="488"/>
      <c r="AR10" s="488"/>
      <c r="AS10" s="489"/>
      <c r="AT10" s="487"/>
      <c r="AU10" s="490"/>
      <c r="AV10" s="491"/>
      <c r="AW10" s="492"/>
      <c r="AX10" s="371"/>
      <c r="AY10" s="487"/>
      <c r="AZ10" s="488"/>
      <c r="BA10" s="488"/>
      <c r="BB10" s="489"/>
      <c r="BC10" s="487"/>
      <c r="BD10" s="493"/>
      <c r="BE10" s="487"/>
      <c r="BF10" s="493"/>
      <c r="BG10" s="476"/>
      <c r="BH10" s="1454"/>
      <c r="BI10" s="1477"/>
      <c r="BJ10" s="1478"/>
      <c r="BK10" s="1478"/>
      <c r="BL10" s="1479"/>
      <c r="BM10" s="1477"/>
      <c r="BN10" s="1478"/>
      <c r="BO10" s="1478"/>
      <c r="BP10" s="1479"/>
      <c r="BQ10" s="1477"/>
      <c r="BR10" s="1478"/>
      <c r="BS10" s="1478"/>
      <c r="BT10" s="1479"/>
      <c r="BU10" s="568"/>
      <c r="BV10" s="1106"/>
      <c r="BW10" s="1107"/>
      <c r="BX10" s="1106"/>
      <c r="BY10" s="1107"/>
      <c r="BZ10" s="477"/>
      <c r="CA10" s="1106"/>
      <c r="CB10" s="1107"/>
      <c r="CC10" s="1106"/>
      <c r="CD10" s="1107"/>
      <c r="CE10" s="568"/>
      <c r="CF10" s="1454"/>
      <c r="CG10" s="1459"/>
      <c r="CH10" s="1459"/>
      <c r="CI10" s="1459"/>
      <c r="CJ10" s="1459"/>
      <c r="CK10" s="1460"/>
      <c r="CL10" s="1462"/>
      <c r="CM10" s="1459"/>
      <c r="CN10" s="1459"/>
      <c r="CO10" s="1459"/>
      <c r="CP10" s="1460"/>
      <c r="CQ10" s="1462"/>
      <c r="CR10" s="1459"/>
      <c r="CS10" s="1459"/>
      <c r="CT10" s="1459"/>
      <c r="CU10" s="1460"/>
      <c r="CV10" s="476"/>
      <c r="CW10" s="345"/>
      <c r="CX10" s="345"/>
      <c r="CY10" s="345"/>
      <c r="CZ10" s="345"/>
      <c r="DA10" s="345"/>
      <c r="DB10" s="345"/>
      <c r="DC10" s="345"/>
      <c r="DD10" s="345"/>
      <c r="DE10" s="345"/>
      <c r="DF10" s="345"/>
      <c r="DG10" s="345"/>
      <c r="DH10" s="345"/>
      <c r="DI10" s="345"/>
      <c r="DJ10" s="345"/>
      <c r="DK10" s="345"/>
      <c r="DL10" s="345"/>
      <c r="DM10" s="345"/>
      <c r="DN10" s="345"/>
      <c r="DO10" s="345"/>
      <c r="DP10" s="345"/>
      <c r="DQ10" s="345"/>
      <c r="DR10" s="345"/>
      <c r="DS10" s="345"/>
      <c r="DT10" s="345"/>
      <c r="DU10" s="345"/>
      <c r="DV10" s="345"/>
      <c r="DW10" s="345"/>
      <c r="DX10" s="345"/>
      <c r="DY10" s="345"/>
      <c r="DZ10" s="345"/>
      <c r="EA10" s="345"/>
      <c r="EB10" s="345"/>
      <c r="EC10" s="345"/>
      <c r="ED10" s="345"/>
      <c r="EE10" s="345"/>
      <c r="EF10" s="345"/>
      <c r="EG10" s="345"/>
      <c r="EH10" s="345"/>
      <c r="EI10" s="345"/>
      <c r="EJ10" s="345"/>
      <c r="EK10" s="345"/>
      <c r="EL10" s="345"/>
      <c r="EM10" s="345"/>
      <c r="EN10" s="345"/>
      <c r="EO10" s="345"/>
      <c r="EP10" s="345"/>
      <c r="EQ10" s="345"/>
      <c r="ER10" s="345"/>
      <c r="ES10" s="345"/>
      <c r="ET10" s="345"/>
      <c r="EU10" s="345"/>
      <c r="EV10" s="345"/>
      <c r="EW10" s="345"/>
      <c r="EX10" s="345"/>
      <c r="EY10" s="345"/>
      <c r="EZ10" s="345"/>
      <c r="FA10" s="345"/>
      <c r="FB10" s="345"/>
      <c r="FC10" s="345"/>
      <c r="FD10" s="345"/>
      <c r="FE10" s="345"/>
      <c r="FF10" s="345"/>
      <c r="FG10" s="345"/>
      <c r="FH10" s="345"/>
      <c r="FI10" s="345"/>
      <c r="FJ10" s="345"/>
      <c r="FK10" s="345"/>
      <c r="FL10" s="345"/>
      <c r="FM10" s="345"/>
      <c r="FN10" s="345"/>
      <c r="FO10" s="345"/>
      <c r="FP10" s="345"/>
      <c r="FQ10" s="345"/>
      <c r="FR10" s="345"/>
      <c r="FS10" s="345"/>
      <c r="FT10" s="345"/>
      <c r="FU10" s="345"/>
      <c r="FV10" s="345"/>
      <c r="FW10" s="345"/>
      <c r="FX10" s="345"/>
      <c r="FY10" s="345"/>
      <c r="FZ10" s="345"/>
      <c r="GA10" s="345"/>
      <c r="GB10" s="345"/>
      <c r="GC10" s="345"/>
      <c r="GD10" s="345"/>
      <c r="GE10" s="345"/>
      <c r="GF10" s="345"/>
      <c r="GG10" s="345"/>
      <c r="GH10" s="345"/>
      <c r="GI10" s="345"/>
      <c r="GJ10" s="345"/>
      <c r="GK10" s="345"/>
      <c r="GL10" s="345"/>
      <c r="GM10" s="345"/>
      <c r="GN10" s="345"/>
      <c r="GO10" s="345"/>
      <c r="GP10" s="345"/>
      <c r="GQ10" s="345"/>
      <c r="GR10" s="345"/>
      <c r="GS10" s="345"/>
      <c r="GT10" s="345"/>
      <c r="GU10" s="345"/>
    </row>
    <row r="11" spans="1:203" ht="12.75" customHeight="1">
      <c r="A11" s="465">
        <v>1</v>
      </c>
      <c r="B11" s="1108">
        <v>1</v>
      </c>
      <c r="C11" s="1109">
        <v>-1</v>
      </c>
      <c r="D11" s="1110">
        <v>21</v>
      </c>
      <c r="E11" s="1111"/>
      <c r="F11" s="465">
        <v>1</v>
      </c>
      <c r="G11" s="1108">
        <v>1</v>
      </c>
      <c r="H11" s="1109">
        <v>-1</v>
      </c>
      <c r="I11" s="455">
        <v>22</v>
      </c>
      <c r="J11" s="1111"/>
      <c r="K11" s="1101">
        <f>AVERAGE(D12-D11,I12-I11,P12-P11,U12-U11)</f>
        <v>0.82500000000000018</v>
      </c>
      <c r="L11" s="1101">
        <f>STDEV(D12-D11,I12-I11,P12-P11,U12-U11)</f>
        <v>0.2362907813126304</v>
      </c>
      <c r="M11" s="465">
        <v>1</v>
      </c>
      <c r="N11" s="1108">
        <v>1</v>
      </c>
      <c r="O11" s="1109">
        <v>1</v>
      </c>
      <c r="P11" s="1110">
        <v>23</v>
      </c>
      <c r="Q11" s="1111"/>
      <c r="R11" s="465">
        <v>1</v>
      </c>
      <c r="S11" s="1108">
        <v>1</v>
      </c>
      <c r="T11" s="1109">
        <v>1</v>
      </c>
      <c r="U11" s="1110">
        <v>24</v>
      </c>
      <c r="V11" s="1111"/>
      <c r="W11" s="371"/>
      <c r="X11" s="494">
        <f>IF(D11="","",D11)</f>
        <v>21</v>
      </c>
      <c r="Y11" s="495">
        <f>IF('Feuilles=description générale'!$E$13="","",IF(X11="","",IF(X11&gt;('Feuilles=description générale'!$E$11+'Feuilles=description générale'!$E$10),"",100*(X11-'Feuilles=description générale'!$E$10)/('Feuilles=description générale'!$E$11))))</f>
        <v>0</v>
      </c>
      <c r="Z11" s="495" t="str">
        <f>IF('Feuilles=description générale'!$E$13="","",IF(X11="","",IF(X11&lt;=('Feuilles=description générale'!$E$11+'Feuilles=description générale'!$E$10),"",100*(X11-'Feuilles=description générale'!$E$11-'Feuilles=description générale'!$E$10)/('Feuilles=description générale'!$E$12))))</f>
        <v/>
      </c>
      <c r="AA11" s="1112">
        <f>IF('Feuilles=description générale'!$E$13="","",IF(X11="","",100*(X11-'Feuilles=description générale'!$E$10)/('Feuilles=description générale'!$E$13-'Feuilles=description générale'!$E$10)))</f>
        <v>0</v>
      </c>
      <c r="AB11" s="497">
        <f>IF(C11="","",IF(C11=0,IF(C10=-1,1,IF(C10=1,AB10+1,IF(AB10&gt;1,AB10+1,1))),IF(C11=-1,AB10+1,1)))</f>
        <v>1</v>
      </c>
      <c r="AC11" s="500" t="str">
        <f>IF(AB12="",AB11,IF(C11&lt;0,IF(AB11&gt;AB12,AB11,""),IF(C11=0,IF(AB11=1,1,""),IF(AB12=1,1,""))))</f>
        <v/>
      </c>
      <c r="AD11" s="494" t="str">
        <f>IF(X12&lt;&gt;"",IF(AC11&lt;&gt;"",X12-X11,""),"")</f>
        <v/>
      </c>
      <c r="AE11" s="499">
        <f>IF(X12&lt;&gt;"",IF(AC11="",X12-X11,""),"")</f>
        <v>1</v>
      </c>
      <c r="AF11" s="371"/>
      <c r="AG11" s="494">
        <f>IF(I11="","",I11)</f>
        <v>22</v>
      </c>
      <c r="AH11" s="495">
        <f>IF('Feuilles=description générale'!$E$13="","",IF(AG11="","",IF(AG11&gt;('Feuilles=description générale'!$E$11+'Feuilles=description générale'!$E$10),"",100*(AG11-'Feuilles=description générale'!$E$10)/('Feuilles=description générale'!$E$11))))</f>
        <v>1.0468463752944257</v>
      </c>
      <c r="AI11" s="495" t="str">
        <f>IF('Feuilles=description générale'!$E$13="","",IF(AG11="","",IF(AG11&lt;=('Feuilles=description générale'!$E$11+'Feuilles=description générale'!$E$10),"",100*(AG11-'Feuilles=description générale'!$E$11-'Feuilles=description générale'!$E$10)/('Feuilles=description générale'!$E$12))))</f>
        <v/>
      </c>
      <c r="AJ11" s="496">
        <f>IF('Feuilles=description générale'!$E$13="","",IF(AG11="","",100*(AG11-'Feuilles=description générale'!$E$10)/('Feuilles=description générale'!$E$13-'Feuilles=description générale'!$E$10)))</f>
        <v>0.25906735751295334</v>
      </c>
      <c r="AK11" s="1113">
        <f>IF(H11="","",IF(H11=0,IF(H10=-1,1,IF(H10=1,AK10+1,IF(AK10&gt;1,AK10+1,1))),IF(H11=-1,AK10+1,1)))</f>
        <v>1</v>
      </c>
      <c r="AL11" s="500" t="str">
        <f>IF(AK12="",AK11,IF(H11&lt;0,IF(AK11&gt;AK12,AK11,""),IF(H11=0,IF(AK11=1,1,""),IF(AK12=1,1,""))))</f>
        <v/>
      </c>
      <c r="AM11" s="494" t="str">
        <f>IF(AG12&lt;&gt;"",IF(AL11&lt;&gt;"",AG12-AG11,""),"")</f>
        <v/>
      </c>
      <c r="AN11" s="499">
        <f>IF(AG12&lt;&gt;"",IF(AL11="",AG12-AG11,""),"")</f>
        <v>0.5</v>
      </c>
      <c r="AO11" s="371"/>
      <c r="AP11" s="494">
        <f>IF(P11="","",P11)</f>
        <v>23</v>
      </c>
      <c r="AQ11" s="495">
        <f>IF('Feuilles=description générale'!$E$13="","",IF(AP11="","",IF(AP11&gt;('Feuilles=description générale'!$E$25+'Feuilles=description générale'!$E$24),"",100*(AP11-'Feuilles=description générale'!$E$24)/('Feuilles=description générale'!$E$25))))</f>
        <v>0</v>
      </c>
      <c r="AR11" s="495" t="str">
        <f>IF('Feuilles=description générale'!$E$27="","",IF(AP11="","",IF(AP11&lt;=('Feuilles=description générale'!$E$25+'Feuilles=description générale'!$E$24),"",100*(AP11-'Feuilles=description générale'!$E$25-'Feuilles=description générale'!$E$24)/('Feuilles=description générale'!$E$26))))</f>
        <v/>
      </c>
      <c r="AS11" s="496">
        <f>IF('Feuilles=description générale'!$E$27="","",IF(AP11="","",100*(AP11-'Feuilles=description générale'!$E$24)/('Feuilles=description générale'!$E$27-'Feuilles=description générale'!$E$24)))</f>
        <v>0</v>
      </c>
      <c r="AT11" s="497">
        <f>IF(O11="","",IF(O11=0,IF(O10=-1,1,IF(O10=1,AT10+1,IF(AT10&gt;1,AT10+1,1))),IF(O11=-1,AT10+1,1)))</f>
        <v>1</v>
      </c>
      <c r="AU11" s="498" t="str">
        <f>IF(AT12="",AT11,IF(O11&lt;0,IF(AT11&gt;AT12,AT11,""),IF(O11=0,IF(AT11=1,1,""),IF(AT12=1,1,""))))</f>
        <v/>
      </c>
      <c r="AV11" s="494" t="str">
        <f>IF(AP12&lt;&gt;"",IF(AU11&lt;&gt;"",AP12-AP11,""),"")</f>
        <v/>
      </c>
      <c r="AW11" s="499">
        <f>IF(AP12&lt;&gt;"",IF(AU11="",AP12-AP11,""),"")</f>
        <v>0.80000000000000071</v>
      </c>
      <c r="AX11" s="371"/>
      <c r="AY11" s="494">
        <f>IF(U11="","",U11)</f>
        <v>24</v>
      </c>
      <c r="AZ11" s="495">
        <f>IF('Feuilles=description générale'!$E$13="","",IF(AY11="","",IF(AY11&gt;('Feuilles=description générale'!$E$25+'Feuilles=description générale'!$E$24),"",100*(AY11-'Feuilles=description générale'!$E$24)/('Feuilles=description générale'!$E$25))))</f>
        <v>1.0828370330265296</v>
      </c>
      <c r="BA11" s="495" t="str">
        <f>IF('Feuilles=description générale'!$E$27="","",IF(AY11="","",IF(AY11&lt;=('Feuilles=description générale'!$E$25+'Feuilles=description générale'!$E$24),"",100*(AY11-'Feuilles=description générale'!$E$25-'Feuilles=description générale'!$E$24)/('Feuilles=description générale'!$E$26))))</f>
        <v/>
      </c>
      <c r="BB11" s="496">
        <f>IF('Feuilles=description générale'!$E$27="","",IF(AY11="","",100*(AY11-'Feuilles=description générale'!$E$24)/('Feuilles=description générale'!$E$27-'Feuilles=description générale'!$E$24)))</f>
        <v>0.24443901246638963</v>
      </c>
      <c r="BC11" s="497">
        <f>IF(T11="","",IF(T11=0,IF(T10=-1,1,IF(T10=1,BC10+1,IF(BC10&gt;1,BC10+1,1))),IF(T11=-1,BC10+1,1)))</f>
        <v>1</v>
      </c>
      <c r="BD11" s="498" t="str">
        <f>IF(BC12="",BC11,IF(T11&lt;0,IF(BC11&gt;BC12,BC11,""),IF(T11=0,IF(BC11=1,1,""),IF(BC12=1,1,""))))</f>
        <v/>
      </c>
      <c r="BE11" s="494" t="str">
        <f>IF(AY12&lt;&gt;"",IF(BD11&lt;&gt;"",AY12-AY11,""),"")</f>
        <v/>
      </c>
      <c r="BF11" s="499">
        <f>IF(AY12&lt;&gt;"",IF(BD11="",AY12-AY11,""),"")</f>
        <v>1</v>
      </c>
      <c r="BG11" s="476"/>
      <c r="BH11" s="1455"/>
      <c r="BI11" s="1470" t="s">
        <v>1222</v>
      </c>
      <c r="BJ11" s="1472" t="s">
        <v>1223</v>
      </c>
      <c r="BK11" s="1472" t="s">
        <v>1224</v>
      </c>
      <c r="BL11" s="1474" t="s">
        <v>1225</v>
      </c>
      <c r="BM11" s="1470" t="s">
        <v>1222</v>
      </c>
      <c r="BN11" s="1472" t="s">
        <v>1223</v>
      </c>
      <c r="BO11" s="1472" t="s">
        <v>1224</v>
      </c>
      <c r="BP11" s="1474" t="s">
        <v>1225</v>
      </c>
      <c r="BQ11" s="1470" t="s">
        <v>1222</v>
      </c>
      <c r="BR11" s="1472" t="s">
        <v>1223</v>
      </c>
      <c r="BS11" s="1472" t="s">
        <v>1224</v>
      </c>
      <c r="BT11" s="1474" t="s">
        <v>1225</v>
      </c>
      <c r="BU11" s="568"/>
      <c r="BV11" s="1114" t="str">
        <f>IF(AD11="","",AD11*AD11)</f>
        <v/>
      </c>
      <c r="BW11" s="1114">
        <f>IF(AE11="","",AE11*AE11)</f>
        <v>1</v>
      </c>
      <c r="BX11" s="1114" t="str">
        <f>IF(AM11="","",AM11*AM11)</f>
        <v/>
      </c>
      <c r="BY11" s="1115">
        <f>IF(AN11="","",AN11*AN11)</f>
        <v>0.25</v>
      </c>
      <c r="BZ11" s="477"/>
      <c r="CA11" s="1114" t="str">
        <f>IF(AV11="","",AV11*AV11)</f>
        <v/>
      </c>
      <c r="CB11" s="1114">
        <f>IF(AW11="","",AW11*AW11)</f>
        <v>0.64000000000000112</v>
      </c>
      <c r="CC11" s="1114" t="str">
        <f>IF(BE11="","",BE11*BE11)</f>
        <v/>
      </c>
      <c r="CD11" s="1115">
        <f>IF(BF11="","",BF11*BF11)</f>
        <v>1</v>
      </c>
      <c r="CE11" s="568"/>
      <c r="CF11" s="1455"/>
      <c r="CG11" s="1463" t="s">
        <v>1330</v>
      </c>
      <c r="CH11" s="1463" t="s">
        <v>1331</v>
      </c>
      <c r="CI11" s="1463" t="s">
        <v>1332</v>
      </c>
      <c r="CJ11" s="1463" t="s">
        <v>1283</v>
      </c>
      <c r="CK11" s="1463" t="s">
        <v>1333</v>
      </c>
      <c r="CL11" s="1463" t="s">
        <v>1330</v>
      </c>
      <c r="CM11" s="1463" t="s">
        <v>1331</v>
      </c>
      <c r="CN11" s="1463" t="s">
        <v>1332</v>
      </c>
      <c r="CO11" s="1463" t="s">
        <v>1283</v>
      </c>
      <c r="CP11" s="1463" t="s">
        <v>1333</v>
      </c>
      <c r="CQ11" s="1463" t="s">
        <v>1330</v>
      </c>
      <c r="CR11" s="1463" t="s">
        <v>1331</v>
      </c>
      <c r="CS11" s="1463" t="s">
        <v>1332</v>
      </c>
      <c r="CT11" s="1463" t="s">
        <v>1283</v>
      </c>
      <c r="CU11" s="1463" t="s">
        <v>1333</v>
      </c>
      <c r="CV11" s="476"/>
      <c r="CW11" s="345"/>
      <c r="CX11" s="345"/>
      <c r="CY11" s="345"/>
      <c r="CZ11" s="345"/>
      <c r="DA11" s="345"/>
      <c r="DB11" s="345"/>
      <c r="DC11" s="345"/>
      <c r="DD11" s="345"/>
      <c r="DE11" s="345"/>
      <c r="DF11" s="345"/>
      <c r="DG11" s="345"/>
      <c r="DH11" s="345"/>
      <c r="DI11" s="345"/>
      <c r="DJ11" s="345"/>
      <c r="DK11" s="345"/>
      <c r="DL11" s="345"/>
      <c r="DM11" s="345"/>
      <c r="DN11" s="345"/>
      <c r="DO11" s="345"/>
      <c r="DP11" s="345"/>
      <c r="DQ11" s="345"/>
      <c r="DR11" s="345"/>
      <c r="DS11" s="345"/>
      <c r="DT11" s="345"/>
      <c r="DU11" s="345"/>
      <c r="DV11" s="345"/>
      <c r="DW11" s="345"/>
      <c r="DX11" s="345"/>
      <c r="DY11" s="345"/>
      <c r="DZ11" s="345"/>
      <c r="EA11" s="345"/>
      <c r="EB11" s="345"/>
      <c r="EC11" s="345"/>
      <c r="ED11" s="345"/>
      <c r="EE11" s="345"/>
      <c r="EF11" s="345"/>
      <c r="EG11" s="345"/>
      <c r="EH11" s="345"/>
      <c r="EI11" s="345"/>
      <c r="EJ11" s="345"/>
      <c r="EK11" s="345"/>
      <c r="EL11" s="345"/>
      <c r="EM11" s="345"/>
      <c r="EN11" s="345"/>
      <c r="EO11" s="345"/>
      <c r="EP11" s="345"/>
      <c r="EQ11" s="345"/>
      <c r="ER11" s="345"/>
      <c r="ES11" s="345"/>
      <c r="ET11" s="345"/>
      <c r="EU11" s="345"/>
      <c r="EV11" s="345"/>
      <c r="EW11" s="345"/>
      <c r="EX11" s="345"/>
      <c r="EY11" s="345"/>
      <c r="EZ11" s="345"/>
      <c r="FA11" s="345"/>
      <c r="FB11" s="345"/>
      <c r="FC11" s="345"/>
      <c r="FD11" s="345"/>
      <c r="FE11" s="345"/>
      <c r="FF11" s="345"/>
      <c r="FG11" s="345"/>
      <c r="FH11" s="345"/>
      <c r="FI11" s="345"/>
      <c r="FJ11" s="345"/>
      <c r="FK11" s="345"/>
      <c r="FL11" s="345"/>
      <c r="FM11" s="345"/>
      <c r="FN11" s="345"/>
      <c r="FO11" s="345"/>
      <c r="FP11" s="345"/>
      <c r="FQ11" s="345"/>
      <c r="FR11" s="345"/>
      <c r="FS11" s="345"/>
      <c r="FT11" s="345"/>
      <c r="FU11" s="345"/>
      <c r="FV11" s="345"/>
      <c r="FW11" s="345"/>
      <c r="FX11" s="345"/>
      <c r="FY11" s="345"/>
      <c r="FZ11" s="345"/>
      <c r="GA11" s="345"/>
      <c r="GB11" s="345"/>
      <c r="GC11" s="345"/>
      <c r="GD11" s="345"/>
      <c r="GE11" s="345"/>
      <c r="GF11" s="345"/>
      <c r="GG11" s="345"/>
      <c r="GH11" s="345"/>
      <c r="GI11" s="345"/>
      <c r="GJ11" s="345"/>
      <c r="GK11" s="345"/>
      <c r="GL11" s="345"/>
      <c r="GM11" s="345"/>
      <c r="GN11" s="345"/>
      <c r="GO11" s="345"/>
      <c r="GP11" s="345"/>
      <c r="GQ11" s="345"/>
      <c r="GR11" s="345"/>
      <c r="GS11" s="345"/>
      <c r="GT11" s="345"/>
      <c r="GU11" s="345"/>
    </row>
    <row r="12" spans="1:203" ht="12.75" customHeight="1" thickBot="1">
      <c r="A12" s="465">
        <f>IF(D12="","",IF(E13="F",2,IF(C12="T",3,A11)))</f>
        <v>1</v>
      </c>
      <c r="B12" s="1108">
        <v>2</v>
      </c>
      <c r="C12" s="1109">
        <v>0</v>
      </c>
      <c r="D12" s="398">
        <v>22</v>
      </c>
      <c r="E12" s="1116"/>
      <c r="F12" s="465">
        <f>IF(I12="","",IF(J13="F",2,IF(H12="T",3,F11)))</f>
        <v>1</v>
      </c>
      <c r="G12" s="1108">
        <v>2</v>
      </c>
      <c r="H12" s="1109">
        <v>0</v>
      </c>
      <c r="I12" s="398">
        <v>22.5</v>
      </c>
      <c r="J12" s="1116"/>
      <c r="K12" s="465"/>
      <c r="L12" s="465"/>
      <c r="M12" s="465">
        <f>IF(P12="","",IF(Q12="F",2,IF(O12="T",3,M11)))</f>
        <v>1</v>
      </c>
      <c r="N12" s="1108">
        <v>2</v>
      </c>
      <c r="O12" s="1109">
        <v>-1</v>
      </c>
      <c r="P12" s="398">
        <v>23.8</v>
      </c>
      <c r="Q12" s="1116"/>
      <c r="R12" s="465">
        <f>IF(U12="","",IF(V12="F",2,IF(T12="T",3,R11)))</f>
        <v>1</v>
      </c>
      <c r="S12" s="1108">
        <v>2</v>
      </c>
      <c r="T12" s="1109">
        <v>-1</v>
      </c>
      <c r="U12" s="1110">
        <v>25</v>
      </c>
      <c r="V12" s="1116"/>
      <c r="W12" s="371"/>
      <c r="X12" s="494">
        <f t="shared" ref="X12:X75" si="0">IF(D12="","",D12)</f>
        <v>22</v>
      </c>
      <c r="Y12" s="495">
        <f>IF('Feuilles=description générale'!$E$13="","",IF(X12="","",IF(X12&gt;('Feuilles=description générale'!$E$11+'Feuilles=description générale'!$E$10),"",100*(X12-'Feuilles=description générale'!$E$10)/('Feuilles=description générale'!$E$11))))</f>
        <v>1.0468463752944257</v>
      </c>
      <c r="Z12" s="495" t="str">
        <f>IF('Feuilles=description générale'!$E$13="","",IF(X12="","",IF(X12&lt;=('Feuilles=description générale'!$E$11+'Feuilles=description générale'!$E$10),"",100*(X12-'Feuilles=description générale'!$E$11-'Feuilles=description générale'!$E$10)/('Feuilles=description générale'!$E$12))))</f>
        <v/>
      </c>
      <c r="AA12" s="1112">
        <f>IF('Feuilles=description générale'!$E$13="","",IF(X12="","",100*(X12-'Feuilles=description générale'!$E$10)/('Feuilles=description générale'!$E$13-'Feuilles=description générale'!$E$10)))</f>
        <v>0.25906735751295334</v>
      </c>
      <c r="AB12" s="497">
        <f t="shared" ref="AB12:AB75" si="1">IF(C12="","",IF(C12=0,IF(C11=-1,1,IF(C11=1,AB11+1,IF(AB11&gt;1,AB11+1,1))),IF(C12=-1,AB11+1,1)))</f>
        <v>1</v>
      </c>
      <c r="AC12" s="500">
        <f>IF(AB13="",AB12,IF(C12&lt;0,IF(AB12&gt;AB13,AB12,""),IF(C12=0,IF(AB12=1,1,""),IF(AB13=1,1,""))))</f>
        <v>1</v>
      </c>
      <c r="AD12" s="494">
        <f t="shared" ref="AD12:AD75" si="2">IF(X13&lt;&gt;"",IF(AC12&lt;&gt;"",X13-X12,""),"")</f>
        <v>3</v>
      </c>
      <c r="AE12" s="499" t="str">
        <f t="shared" ref="AE12:AE75" si="3">IF(X13&lt;&gt;"",IF(AC12="",X13-X12,""),"")</f>
        <v/>
      </c>
      <c r="AF12" s="371"/>
      <c r="AG12" s="494">
        <f t="shared" ref="AG12:AG75" si="4">IF(I12="","",I12)</f>
        <v>22.5</v>
      </c>
      <c r="AH12" s="495">
        <f>IF('Feuilles=description générale'!$E$13="","",IF(AG12="","",IF(AG12&gt;('Feuilles=description générale'!$E$11+'Feuilles=description générale'!$E$10),"",100*(AG12-'Feuilles=description générale'!$E$10)/('Feuilles=description générale'!$E$11))))</f>
        <v>1.5702695629416386</v>
      </c>
      <c r="AI12" s="495" t="str">
        <f>IF('Feuilles=description générale'!$E$13="","",IF(AG12="","",IF(AG12&lt;=('Feuilles=description générale'!$E$11+'Feuilles=description générale'!$E$10),"",100*(AG12-'Feuilles=description générale'!$E$11-'Feuilles=description générale'!$E$10)/('Feuilles=description générale'!$E$12))))</f>
        <v/>
      </c>
      <c r="AJ12" s="496">
        <f>IF('Feuilles=description générale'!$E$13="","",IF(AG12="","",100*(AG12-'Feuilles=description générale'!$E$10)/('Feuilles=description générale'!$E$13-'Feuilles=description générale'!$E$10)))</f>
        <v>0.38860103626943004</v>
      </c>
      <c r="AK12" s="1113">
        <f t="shared" ref="AK12:AK75" si="5">IF(H12="","",IF(H12=0,IF(H11=-1,1,IF(H11=1,AK11+1,IF(AK11&gt;1,AK11+1,1))),IF(H12=-1,AK11+1,1)))</f>
        <v>1</v>
      </c>
      <c r="AL12" s="498">
        <f t="shared" ref="AL12:AL75" si="6">IF(AK13="",AK12,IF(H12&lt;0,IF(AK12&gt;AK13,AK12,""),IF(H12=0,IF(AK12=1,1,""),IF(AK13=1,1,""))))</f>
        <v>1</v>
      </c>
      <c r="AM12" s="494">
        <f t="shared" ref="AM12:AM75" si="7">IF(AG13&lt;&gt;"",IF(AL12&lt;&gt;"",AG13-AG12,""),"")</f>
        <v>2</v>
      </c>
      <c r="AN12" s="499" t="str">
        <f t="shared" ref="AN12:AN75" si="8">IF(AG13&lt;&gt;"",IF(AL12="",AG13-AG12,""),"")</f>
        <v/>
      </c>
      <c r="AO12" s="371"/>
      <c r="AP12" s="494">
        <f t="shared" ref="AP12:AP75" si="9">IF(P12="","",P12)</f>
        <v>23.8</v>
      </c>
      <c r="AQ12" s="495">
        <f>IF('Feuilles=description générale'!$E$13="","",IF(AP12="","",IF(AP12&gt;('Feuilles=description générale'!$E$25+'Feuilles=description générale'!$E$24),"",100*(AP12-'Feuilles=description générale'!$E$24)/('Feuilles=description générale'!$E$25))))</f>
        <v>0.8662696264212244</v>
      </c>
      <c r="AR12" s="495" t="str">
        <f>IF('Feuilles=description générale'!$E$27="","",IF(AP12="","",IF(AP12&lt;=('Feuilles=description générale'!$E$25+'Feuilles=description générale'!$E$24),"",100*(AP12-'Feuilles=description générale'!$E$25-'Feuilles=description générale'!$E$24)/('Feuilles=description générale'!$E$26))))</f>
        <v/>
      </c>
      <c r="AS12" s="496">
        <f>IF('Feuilles=description générale'!$E$27="","",IF(AP12="","",100*(AP12-'Feuilles=description générale'!$E$24)/('Feuilles=description générale'!$E$27-'Feuilles=description générale'!$E$24)))</f>
        <v>0.19555120997311187</v>
      </c>
      <c r="AT12" s="497">
        <f t="shared" ref="AT12:AT75" si="10">IF(O12="","",IF(O12=0,IF(O11=-1,1,IF(O11=1,AT11+1,IF(AT11&gt;1,AT11+1,1))),IF(O12=-1,AT11+1,1)))</f>
        <v>2</v>
      </c>
      <c r="AU12" s="500">
        <f t="shared" ref="AU12:AU75" si="11">IF(AT13="",AT12,IF(O12&lt;0,IF(AT12&gt;AT13,AT12,""),IF(O12=0,IF(AT12=1,1,""),IF(AT13=1,1,""))))</f>
        <v>2</v>
      </c>
      <c r="AV12" s="494">
        <f t="shared" ref="AV12:AV75" si="12">IF(AP13&lt;&gt;"",IF(AU12&lt;&gt;"",AP13-AP12,""),"")</f>
        <v>3.3000000000000007</v>
      </c>
      <c r="AW12" s="499" t="str">
        <f t="shared" ref="AW12:AW75" si="13">IF(AP13&lt;&gt;"",IF(AU12="",AP13-AP12,""),"")</f>
        <v/>
      </c>
      <c r="AX12" s="371"/>
      <c r="AY12" s="494">
        <f t="shared" ref="AY12:AY75" si="14">IF(U12="","",U12)</f>
        <v>25</v>
      </c>
      <c r="AZ12" s="495">
        <f>IF('Feuilles=description générale'!$E$13="","",IF(AY12="","",IF(AY12&gt;('Feuilles=description générale'!$E$25+'Feuilles=description générale'!$E$24),"",100*(AY12-'Feuilles=description générale'!$E$24)/('Feuilles=description générale'!$E$25))))</f>
        <v>2.1656740660530591</v>
      </c>
      <c r="BA12" s="495" t="str">
        <f>IF('Feuilles=description générale'!$E$27="","",IF(AY12="","",IF(AY12&lt;=('Feuilles=description générale'!$E$25+'Feuilles=description générale'!$E$24),"",100*(AY12-'Feuilles=description générale'!$E$25-'Feuilles=description générale'!$E$24)/('Feuilles=description générale'!$E$26))))</f>
        <v/>
      </c>
      <c r="BB12" s="496">
        <f>IF('Feuilles=description générale'!$E$27="","",IF(AY12="","",100*(AY12-'Feuilles=description générale'!$E$24)/('Feuilles=description générale'!$E$27-'Feuilles=description générale'!$E$24)))</f>
        <v>0.48887802493277926</v>
      </c>
      <c r="BC12" s="497">
        <f t="shared" ref="BC12:BC75" si="15">IF(T12="","",IF(T12=0,IF(T11=-1,1,IF(T11=1,BC11+1,IF(BC11&gt;1,BC11+1,1))),IF(T12=-1,BC11+1,1)))</f>
        <v>2</v>
      </c>
      <c r="BD12" s="500">
        <f t="shared" ref="BD12:BD75" si="16">IF(BC13="",BC12,IF(T12&lt;0,IF(BC12&gt;BC13,BC12,""),IF(T12=0,IF(BC12=1,1,""),IF(BC13=1,1,""))))</f>
        <v>2</v>
      </c>
      <c r="BE12" s="494">
        <f t="shared" ref="BE12:BE75" si="17">IF(AY13&lt;&gt;"",IF(BD12&lt;&gt;"",AY13-AY12,""),"")</f>
        <v>3.1999999999999993</v>
      </c>
      <c r="BF12" s="499" t="str">
        <f t="shared" ref="BF12:BF75" si="18">IF(AY13&lt;&gt;"",IF(BD12="",AY13-AY12,""),"")</f>
        <v/>
      </c>
      <c r="BG12" s="476"/>
      <c r="BH12" s="1455"/>
      <c r="BI12" s="1471"/>
      <c r="BJ12" s="1473"/>
      <c r="BK12" s="1473"/>
      <c r="BL12" s="1475"/>
      <c r="BM12" s="1471"/>
      <c r="BN12" s="1473"/>
      <c r="BO12" s="1473"/>
      <c r="BP12" s="1475"/>
      <c r="BQ12" s="1471"/>
      <c r="BR12" s="1473"/>
      <c r="BS12" s="1473"/>
      <c r="BT12" s="1475"/>
      <c r="BU12" s="568"/>
      <c r="BV12" s="1114">
        <f t="shared" ref="BV12:BW75" si="19">IF(AD12="","",AD12*AD12)</f>
        <v>9</v>
      </c>
      <c r="BW12" s="1114" t="str">
        <f t="shared" si="19"/>
        <v/>
      </c>
      <c r="BX12" s="1114">
        <f t="shared" ref="BX12:BY75" si="20">IF(AM12="","",AM12*AM12)</f>
        <v>4</v>
      </c>
      <c r="BY12" s="1115" t="str">
        <f t="shared" si="20"/>
        <v/>
      </c>
      <c r="BZ12" s="477"/>
      <c r="CA12" s="1114">
        <f t="shared" ref="CA12:CB75" si="21">IF(AV12="","",AV12*AV12)</f>
        <v>10.890000000000004</v>
      </c>
      <c r="CB12" s="1114" t="str">
        <f t="shared" si="21"/>
        <v/>
      </c>
      <c r="CC12" s="1114">
        <f t="shared" ref="CC12:CD75" si="22">IF(BE12="","",BE12*BE12)</f>
        <v>10.239999999999995</v>
      </c>
      <c r="CD12" s="1115" t="str">
        <f t="shared" si="22"/>
        <v/>
      </c>
      <c r="CE12" s="568"/>
      <c r="CF12" s="1456"/>
      <c r="CG12" s="1476"/>
      <c r="CH12" s="1476"/>
      <c r="CI12" s="1476"/>
      <c r="CJ12" s="1476"/>
      <c r="CK12" s="1476"/>
      <c r="CL12" s="1476"/>
      <c r="CM12" s="1476"/>
      <c r="CN12" s="1476"/>
      <c r="CO12" s="1476"/>
      <c r="CP12" s="1476"/>
      <c r="CQ12" s="1476"/>
      <c r="CR12" s="1476"/>
      <c r="CS12" s="1476"/>
      <c r="CT12" s="1476"/>
      <c r="CU12" s="1476"/>
      <c r="CV12" s="476"/>
      <c r="CW12" s="345"/>
      <c r="CX12" s="345"/>
      <c r="CY12" s="345"/>
      <c r="CZ12" s="345"/>
      <c r="DA12" s="345"/>
      <c r="DB12" s="345"/>
      <c r="DC12" s="345"/>
      <c r="DD12" s="345"/>
      <c r="DE12" s="345"/>
      <c r="DF12" s="345"/>
      <c r="DG12" s="345"/>
      <c r="DH12" s="345"/>
      <c r="DI12" s="345"/>
      <c r="DJ12" s="345"/>
      <c r="DK12" s="345"/>
      <c r="DL12" s="345"/>
      <c r="DM12" s="345"/>
      <c r="DN12" s="345"/>
      <c r="DO12" s="345"/>
      <c r="DP12" s="345"/>
      <c r="DQ12" s="345"/>
      <c r="DR12" s="345"/>
      <c r="DS12" s="345"/>
      <c r="DT12" s="345"/>
      <c r="DU12" s="345"/>
      <c r="DV12" s="345"/>
      <c r="DW12" s="345"/>
      <c r="DX12" s="345"/>
      <c r="DY12" s="345"/>
      <c r="DZ12" s="345"/>
      <c r="EA12" s="345"/>
      <c r="EB12" s="345"/>
      <c r="EC12" s="345"/>
      <c r="ED12" s="345"/>
      <c r="EE12" s="345"/>
      <c r="EF12" s="345"/>
      <c r="EG12" s="345"/>
      <c r="EH12" s="345"/>
      <c r="EI12" s="345"/>
      <c r="EJ12" s="345"/>
      <c r="EK12" s="345"/>
      <c r="EL12" s="345"/>
      <c r="EM12" s="345"/>
      <c r="EN12" s="345"/>
      <c r="EO12" s="345"/>
      <c r="EP12" s="345"/>
      <c r="EQ12" s="345"/>
      <c r="ER12" s="345"/>
      <c r="ES12" s="345"/>
      <c r="ET12" s="345"/>
      <c r="EU12" s="345"/>
      <c r="EV12" s="345"/>
      <c r="EW12" s="345"/>
      <c r="EX12" s="345"/>
      <c r="EY12" s="345"/>
      <c r="EZ12" s="345"/>
      <c r="FA12" s="345"/>
      <c r="FB12" s="345"/>
      <c r="FC12" s="345"/>
      <c r="FD12" s="345"/>
      <c r="FE12" s="345"/>
      <c r="FF12" s="345"/>
      <c r="FG12" s="345"/>
      <c r="FH12" s="345"/>
      <c r="FI12" s="345"/>
      <c r="FJ12" s="345"/>
      <c r="FK12" s="345"/>
      <c r="FL12" s="345"/>
      <c r="FM12" s="345"/>
      <c r="FN12" s="345"/>
      <c r="FO12" s="345"/>
      <c r="FP12" s="345"/>
      <c r="FQ12" s="345"/>
      <c r="FR12" s="345"/>
      <c r="FS12" s="345"/>
      <c r="FT12" s="345"/>
      <c r="FU12" s="345"/>
      <c r="FV12" s="345"/>
      <c r="FW12" s="345"/>
      <c r="FX12" s="345"/>
      <c r="FY12" s="345"/>
      <c r="FZ12" s="345"/>
      <c r="GA12" s="345"/>
      <c r="GB12" s="345"/>
      <c r="GC12" s="345"/>
      <c r="GD12" s="345"/>
      <c r="GE12" s="345"/>
      <c r="GF12" s="345"/>
      <c r="GG12" s="345"/>
      <c r="GH12" s="345"/>
      <c r="GI12" s="345"/>
      <c r="GJ12" s="345"/>
      <c r="GK12" s="345"/>
      <c r="GL12" s="345"/>
      <c r="GM12" s="345"/>
      <c r="GN12" s="345"/>
      <c r="GO12" s="345"/>
      <c r="GP12" s="345"/>
      <c r="GQ12" s="345"/>
      <c r="GR12" s="345"/>
      <c r="GS12" s="345"/>
      <c r="GT12" s="345"/>
      <c r="GU12" s="345"/>
    </row>
    <row r="13" spans="1:203" ht="12.75" customHeight="1" thickBot="1">
      <c r="A13" s="465">
        <f>IF(D13="","",IF(E11="F",2,IF(C13="T",3,A12)))</f>
        <v>1</v>
      </c>
      <c r="B13" s="1108">
        <v>3</v>
      </c>
      <c r="C13" s="1109">
        <v>1</v>
      </c>
      <c r="D13" s="398">
        <v>25</v>
      </c>
      <c r="E13" s="1117"/>
      <c r="F13" s="465">
        <f>IF(I13="","",IF(J14="F",2,IF(H13="T",3,F12)))</f>
        <v>1</v>
      </c>
      <c r="G13" s="1108">
        <v>3</v>
      </c>
      <c r="H13" s="1109">
        <v>1</v>
      </c>
      <c r="I13" s="398">
        <v>24.5</v>
      </c>
      <c r="J13" s="1117"/>
      <c r="K13" s="465"/>
      <c r="L13" s="465"/>
      <c r="M13" s="465">
        <f t="shared" ref="M13:M76" si="23">IF(P13="","",IF(Q13="F",2,IF(O13="T",3,M12)))</f>
        <v>1</v>
      </c>
      <c r="N13" s="1108">
        <v>3</v>
      </c>
      <c r="O13" s="1109">
        <v>1</v>
      </c>
      <c r="P13" s="1110">
        <v>27.1</v>
      </c>
      <c r="Q13" s="1117"/>
      <c r="R13" s="465">
        <f t="shared" ref="R13:R76" si="24">IF(U13="","",IF(V13="F",2,IF(T13="T",3,R12)))</f>
        <v>1</v>
      </c>
      <c r="S13" s="1108">
        <v>3</v>
      </c>
      <c r="T13" s="1109">
        <v>0</v>
      </c>
      <c r="U13" s="1110">
        <v>28.2</v>
      </c>
      <c r="V13" s="1117"/>
      <c r="W13" s="371"/>
      <c r="X13" s="494">
        <f t="shared" si="0"/>
        <v>25</v>
      </c>
      <c r="Y13" s="495">
        <f>IF('Feuilles=description générale'!$E$13="","",IF(X13="","",IF(X13&gt;('Feuilles=description générale'!$E$11+'Feuilles=description générale'!$E$10),"",100*(X13-'Feuilles=description générale'!$E$10)/('Feuilles=description générale'!$E$11))))</f>
        <v>4.1873855011777028</v>
      </c>
      <c r="Z13" s="495" t="str">
        <f>IF('Feuilles=description générale'!$E$13="","",IF(X13="","",IF(X13&lt;=('Feuilles=description générale'!$E$11+'Feuilles=description générale'!$E$10),"",100*(X13-'Feuilles=description générale'!$E$11-'Feuilles=description générale'!$E$10)/('Feuilles=description générale'!$E$12))))</f>
        <v/>
      </c>
      <c r="AA13" s="1112">
        <f>IF('Feuilles=description générale'!$E$13="","",IF(X13="","",100*(X13-'Feuilles=description générale'!$E$10)/('Feuilles=description générale'!$E$13-'Feuilles=description générale'!$E$10)))</f>
        <v>1.0362694300518134</v>
      </c>
      <c r="AB13" s="497">
        <f t="shared" si="1"/>
        <v>1</v>
      </c>
      <c r="AC13" s="500" t="str">
        <f>IF(AB14="",AB13,IF(C13&lt;0,IF(AB13&gt;AB14,AB13,""),IF(C13=0,IF(AB13=1,1,""),IF(AB14=1,1,""))))</f>
        <v/>
      </c>
      <c r="AD13" s="494" t="str">
        <f t="shared" si="2"/>
        <v/>
      </c>
      <c r="AE13" s="499">
        <f t="shared" si="3"/>
        <v>7.7000000000000028</v>
      </c>
      <c r="AF13" s="371"/>
      <c r="AG13" s="494">
        <f t="shared" si="4"/>
        <v>24.5</v>
      </c>
      <c r="AH13" s="495">
        <f>IF('Feuilles=description générale'!$E$13="","",IF(AG13="","",IF(AG13&gt;('Feuilles=description générale'!$E$11+'Feuilles=description générale'!$E$10),"",100*(AG13-'Feuilles=description générale'!$E$10)/('Feuilles=description générale'!$E$11))))</f>
        <v>3.6639623135304897</v>
      </c>
      <c r="AI13" s="495" t="str">
        <f>IF('Feuilles=description générale'!$E$13="","",IF(AG13="","",IF(AG13&lt;=('Feuilles=description générale'!$E$11+'Feuilles=description générale'!$E$10),"",100*(AG13-'Feuilles=description générale'!$E$11-'Feuilles=description générale'!$E$10)/('Feuilles=description générale'!$E$12))))</f>
        <v/>
      </c>
      <c r="AJ13" s="496">
        <f>IF('Feuilles=description générale'!$E$13="","",IF(AG13="","",100*(AG13-'Feuilles=description générale'!$E$10)/('Feuilles=description générale'!$E$13-'Feuilles=description générale'!$E$10)))</f>
        <v>0.90673575129533679</v>
      </c>
      <c r="AK13" s="1113">
        <f t="shared" si="5"/>
        <v>1</v>
      </c>
      <c r="AL13" s="498" t="str">
        <f t="shared" si="6"/>
        <v/>
      </c>
      <c r="AM13" s="494" t="str">
        <f t="shared" si="7"/>
        <v/>
      </c>
      <c r="AN13" s="499">
        <f t="shared" si="8"/>
        <v>4.5</v>
      </c>
      <c r="AO13" s="371"/>
      <c r="AP13" s="494">
        <f t="shared" si="9"/>
        <v>27.1</v>
      </c>
      <c r="AQ13" s="495">
        <f>IF('Feuilles=description générale'!$E$13="","",IF(AP13="","",IF(AP13&gt;('Feuilles=description générale'!$E$25+'Feuilles=description générale'!$E$24),"",100*(AP13-'Feuilles=description générale'!$E$24)/('Feuilles=description générale'!$E$25))))</f>
        <v>4.4396318354087727</v>
      </c>
      <c r="AR13" s="495" t="str">
        <f>IF('Feuilles=description générale'!$E$27="","",IF(AP13="","",IF(AP13&lt;=('Feuilles=description générale'!$E$25+'Feuilles=description générale'!$E$24),"",100*(AP13-'Feuilles=description générale'!$E$25-'Feuilles=description générale'!$E$24)/('Feuilles=description générale'!$E$26))))</f>
        <v/>
      </c>
      <c r="AS13" s="496">
        <f>IF('Feuilles=description générale'!$E$27="","",IF(AP13="","",100*(AP13-'Feuilles=description générale'!$E$24)/('Feuilles=description générale'!$E$27-'Feuilles=description générale'!$E$24)))</f>
        <v>1.0021999511121977</v>
      </c>
      <c r="AT13" s="497">
        <f t="shared" si="10"/>
        <v>1</v>
      </c>
      <c r="AU13" s="500" t="str">
        <f t="shared" si="11"/>
        <v/>
      </c>
      <c r="AV13" s="494" t="str">
        <f t="shared" si="12"/>
        <v/>
      </c>
      <c r="AW13" s="499">
        <f t="shared" si="13"/>
        <v>1.0999999999999979</v>
      </c>
      <c r="AX13" s="371"/>
      <c r="AY13" s="494">
        <f t="shared" si="14"/>
        <v>28.2</v>
      </c>
      <c r="AZ13" s="495">
        <f>IF('Feuilles=description générale'!$E$13="","",IF(AY13="","",IF(AY13&gt;('Feuilles=description générale'!$E$25+'Feuilles=description générale'!$E$24),"",100*(AY13-'Feuilles=description générale'!$E$24)/('Feuilles=description générale'!$E$25))))</f>
        <v>5.6307525717379523</v>
      </c>
      <c r="BA13" s="495" t="str">
        <f>IF('Feuilles=description générale'!$E$27="","",IF(AY13="","",IF(AY13&lt;=('Feuilles=description générale'!$E$25+'Feuilles=description générale'!$E$24),"",100*(AY13-'Feuilles=description générale'!$E$25-'Feuilles=description générale'!$E$24)/('Feuilles=description générale'!$E$26))))</f>
        <v/>
      </c>
      <c r="BB13" s="496">
        <f>IF('Feuilles=description générale'!$E$27="","",IF(AY13="","",100*(AY13-'Feuilles=description générale'!$E$24)/('Feuilles=description générale'!$E$27-'Feuilles=description générale'!$E$24)))</f>
        <v>1.2710828648252257</v>
      </c>
      <c r="BC13" s="497">
        <f t="shared" si="15"/>
        <v>1</v>
      </c>
      <c r="BD13" s="500">
        <f t="shared" si="16"/>
        <v>1</v>
      </c>
      <c r="BE13" s="494">
        <f t="shared" si="17"/>
        <v>4.0999999999999979</v>
      </c>
      <c r="BF13" s="499" t="str">
        <f t="shared" si="18"/>
        <v/>
      </c>
      <c r="BG13" s="476"/>
      <c r="BH13" s="501">
        <f>K16-L16+0.0001</f>
        <v>1E-4</v>
      </c>
      <c r="BI13" s="502">
        <v>0</v>
      </c>
      <c r="BJ13" s="503">
        <v>0</v>
      </c>
      <c r="BK13" s="503">
        <v>0</v>
      </c>
      <c r="BL13" s="504">
        <v>0</v>
      </c>
      <c r="BM13" s="502">
        <v>0</v>
      </c>
      <c r="BN13" s="503">
        <v>0</v>
      </c>
      <c r="BO13" s="503">
        <v>0</v>
      </c>
      <c r="BP13" s="504">
        <v>0</v>
      </c>
      <c r="BQ13" s="502">
        <v>0</v>
      </c>
      <c r="BR13" s="503">
        <v>0</v>
      </c>
      <c r="BS13" s="503">
        <v>0</v>
      </c>
      <c r="BT13" s="504">
        <v>0</v>
      </c>
      <c r="BU13" s="568"/>
      <c r="BV13" s="1114" t="str">
        <f t="shared" si="19"/>
        <v/>
      </c>
      <c r="BW13" s="1114">
        <f t="shared" si="19"/>
        <v>59.290000000000042</v>
      </c>
      <c r="BX13" s="1114" t="str">
        <f t="shared" si="20"/>
        <v/>
      </c>
      <c r="BY13" s="1115">
        <f t="shared" si="20"/>
        <v>20.25</v>
      </c>
      <c r="BZ13" s="477"/>
      <c r="CA13" s="1114" t="str">
        <f t="shared" si="21"/>
        <v/>
      </c>
      <c r="CB13" s="1114">
        <f t="shared" si="21"/>
        <v>1.2099999999999953</v>
      </c>
      <c r="CC13" s="1114">
        <f t="shared" si="22"/>
        <v>16.809999999999981</v>
      </c>
      <c r="CD13" s="1115" t="str">
        <f t="shared" si="22"/>
        <v/>
      </c>
      <c r="CE13" s="568"/>
      <c r="CF13" s="501">
        <f>K16-L16+0.0001</f>
        <v>1E-4</v>
      </c>
      <c r="CG13" s="506">
        <f>SUMIF($AA$11:AA$170,"&lt;2",$AD$11:$AD$170)+SUMIF($AS$11:$AS$170,"&lt;2",$AV$11:$AV$170)</f>
        <v>12.600000000000001</v>
      </c>
      <c r="CH13" s="507">
        <f>SUMIF($AA$11:$AA$170,"&lt;2",$BV$11:$BV$170)+SUMIF($AS$11:$AS$170,"&lt;2",$CA$11:$CA$170)</f>
        <v>59.580000000000013</v>
      </c>
      <c r="CI13" s="507">
        <f>SUMPRODUCT(($AA$11:$AA$170&lt;2)*($AD$11:$AD$170&lt;&gt;""))+SUMPRODUCT(($AS$11:$AS$170&lt;2)*($AV$11:$AV$170&lt;&gt;""))</f>
        <v>3</v>
      </c>
      <c r="CJ13" s="507">
        <f t="shared" ref="CJ13:CJ14" si="25">IF(CI13=0,0,IF(CI13="","",CG13/CI13))</f>
        <v>4.2</v>
      </c>
      <c r="CK13" s="508">
        <f>IF(CI13&lt;2,0,IF((CH13/CI13-CJ13*CJ13)/(CI13-1)&lt;0,0,SQRT((CH13/CI13-CJ13*CJ13)/(CI13-1))))</f>
        <v>1.0535653752852745</v>
      </c>
      <c r="CL13" s="506">
        <f>SUMIF($AJ$11:$AJ$170,"&lt;2",$AM$11:$AM$170)+SUMIF($BB$11:$BB$170,"&lt;2",$BE$11:$BE$170)</f>
        <v>9.2999999999999972</v>
      </c>
      <c r="CM13" s="507">
        <f>SUMIF($AJ$11:$AJ$170,"&lt;2",$BX$11:$BX$170)+SUMIF($BB$11:$BB$170,"&lt;2",$CC$11:$CC$170)</f>
        <v>31.049999999999976</v>
      </c>
      <c r="CN13" s="507">
        <f>SUMPRODUCT(($AJ$11:$AJ$170&lt;2)*($AM$11:$AM$170&lt;&gt;""))+SUMPRODUCT(($BB$11:$BB$170&lt;2)*($BE$11:$BE$170&lt;&gt;""))</f>
        <v>3</v>
      </c>
      <c r="CO13" s="507">
        <f t="shared" ref="CO13:CO14" si="26">IF(CN13=0,0,IF(CN13="","",CL13/CN13))</f>
        <v>3.0999999999999992</v>
      </c>
      <c r="CP13" s="508">
        <f>IF(CN13&lt;2,0,IF((CM13/CN13-CO13*CO13)/(CN13-1)&lt;0,0,SQRT((CM13/CN13-CO13*CO13)/(CN13-1))))</f>
        <v>0.60827625302982058</v>
      </c>
      <c r="CQ13" s="1118">
        <f t="shared" ref="CQ13" si="27">CG13+CL13</f>
        <v>21.9</v>
      </c>
      <c r="CR13" s="1119">
        <f t="shared" ref="CR13" si="28">CH13+CM13</f>
        <v>90.63</v>
      </c>
      <c r="CS13" s="1119">
        <f t="shared" ref="CS13" si="29">CI13+CN13</f>
        <v>6</v>
      </c>
      <c r="CT13" s="1119">
        <f t="shared" ref="CT13" si="30">IF(CS13=0,0,IF(CS13="","",CQ13/CS13))</f>
        <v>3.65</v>
      </c>
      <c r="CU13" s="680">
        <f>IF(CS13&lt;2,0,IF((CR13/CS13-CT13*CT13)/(CS13-1)&lt;0,0,SQRT((CR13/CS13-CT13*CT13)/(CS13-1))))</f>
        <v>0.59707620954112695</v>
      </c>
      <c r="CV13" s="476"/>
      <c r="CW13" s="345"/>
      <c r="CX13" s="345"/>
      <c r="CY13" s="345"/>
      <c r="CZ13" s="345"/>
      <c r="DA13" s="345"/>
      <c r="DB13" s="345"/>
      <c r="DC13" s="345"/>
      <c r="DD13" s="345"/>
      <c r="DE13" s="345"/>
      <c r="DF13" s="345"/>
      <c r="DG13" s="345"/>
      <c r="DH13" s="345"/>
      <c r="DI13" s="345"/>
      <c r="DJ13" s="345"/>
      <c r="DK13" s="345"/>
      <c r="DL13" s="345"/>
      <c r="DM13" s="345"/>
      <c r="DN13" s="345"/>
      <c r="DO13" s="345"/>
      <c r="DP13" s="345"/>
      <c r="DQ13" s="345"/>
      <c r="DR13" s="345"/>
      <c r="DS13" s="345"/>
      <c r="DT13" s="345"/>
      <c r="DU13" s="345"/>
      <c r="DV13" s="345"/>
      <c r="DW13" s="345"/>
      <c r="DX13" s="345"/>
      <c r="DY13" s="345"/>
      <c r="DZ13" s="345"/>
      <c r="EA13" s="345"/>
      <c r="EB13" s="345"/>
      <c r="EC13" s="345"/>
      <c r="ED13" s="345"/>
      <c r="EE13" s="345"/>
      <c r="EF13" s="345"/>
      <c r="EG13" s="345"/>
      <c r="EH13" s="345"/>
      <c r="EI13" s="345"/>
      <c r="EJ13" s="345"/>
      <c r="EK13" s="345"/>
      <c r="EL13" s="345"/>
      <c r="EM13" s="345"/>
      <c r="EN13" s="345"/>
      <c r="EO13" s="345"/>
      <c r="EP13" s="345"/>
      <c r="EQ13" s="345"/>
      <c r="ER13" s="345"/>
      <c r="ES13" s="345"/>
      <c r="ET13" s="345"/>
      <c r="EU13" s="345"/>
      <c r="EV13" s="345"/>
      <c r="EW13" s="345"/>
      <c r="EX13" s="345"/>
      <c r="EY13" s="345"/>
      <c r="EZ13" s="345"/>
      <c r="FA13" s="345"/>
      <c r="FB13" s="345"/>
      <c r="FC13" s="345"/>
      <c r="FD13" s="345"/>
      <c r="FE13" s="345"/>
      <c r="FF13" s="345"/>
      <c r="FG13" s="345"/>
      <c r="FH13" s="345"/>
      <c r="FI13" s="345"/>
      <c r="FJ13" s="345"/>
      <c r="FK13" s="345"/>
      <c r="FL13" s="345"/>
      <c r="FM13" s="345"/>
      <c r="FN13" s="345"/>
      <c r="FO13" s="345"/>
      <c r="FP13" s="345"/>
      <c r="FQ13" s="345"/>
      <c r="FR13" s="345"/>
      <c r="FS13" s="345"/>
      <c r="FT13" s="345"/>
      <c r="FU13" s="345"/>
      <c r="FV13" s="345"/>
      <c r="FW13" s="345"/>
      <c r="FX13" s="345"/>
      <c r="FY13" s="345"/>
      <c r="FZ13" s="345"/>
      <c r="GA13" s="345"/>
      <c r="GB13" s="345"/>
      <c r="GC13" s="345"/>
      <c r="GD13" s="345"/>
      <c r="GE13" s="345"/>
      <c r="GF13" s="345"/>
      <c r="GG13" s="345"/>
      <c r="GH13" s="345"/>
      <c r="GI13" s="345"/>
      <c r="GJ13" s="345"/>
      <c r="GK13" s="345"/>
      <c r="GL13" s="345"/>
      <c r="GM13" s="345"/>
      <c r="GN13" s="345"/>
      <c r="GO13" s="345"/>
      <c r="GP13" s="345"/>
      <c r="GQ13" s="345"/>
      <c r="GR13" s="345"/>
      <c r="GS13" s="345"/>
      <c r="GT13" s="345"/>
      <c r="GU13" s="345"/>
    </row>
    <row r="14" spans="1:203" ht="12.75" customHeight="1">
      <c r="A14" s="465">
        <f t="shared" ref="A14:A77" si="31">IF(D14="","",IF(E14="F",2,IF(C14="T",3,A13)))</f>
        <v>1</v>
      </c>
      <c r="B14" s="1108">
        <v>4</v>
      </c>
      <c r="C14" s="1109">
        <v>0</v>
      </c>
      <c r="D14" s="398">
        <v>32.700000000000003</v>
      </c>
      <c r="E14" s="1120"/>
      <c r="F14" s="465">
        <f>IF(I14="","",IF(J15="F",2,IF(H14="T",3,F13)))</f>
        <v>1</v>
      </c>
      <c r="G14" s="1108">
        <v>4</v>
      </c>
      <c r="H14" s="1121">
        <v>0</v>
      </c>
      <c r="I14" s="398">
        <v>29</v>
      </c>
      <c r="J14" s="1120"/>
      <c r="K14" s="465"/>
      <c r="L14" s="465"/>
      <c r="M14" s="465">
        <f t="shared" si="23"/>
        <v>1</v>
      </c>
      <c r="N14" s="1108">
        <v>4</v>
      </c>
      <c r="O14" s="1121">
        <v>-1</v>
      </c>
      <c r="P14" s="1110">
        <v>28.2</v>
      </c>
      <c r="Q14" s="1120"/>
      <c r="R14" s="465">
        <f t="shared" si="24"/>
        <v>1</v>
      </c>
      <c r="S14" s="1108">
        <v>4</v>
      </c>
      <c r="T14" s="1121">
        <v>0</v>
      </c>
      <c r="U14" s="1110">
        <v>32.299999999999997</v>
      </c>
      <c r="V14" s="1120"/>
      <c r="W14" s="371"/>
      <c r="X14" s="494">
        <f t="shared" si="0"/>
        <v>32.700000000000003</v>
      </c>
      <c r="Y14" s="495">
        <f>IF('Feuilles=description générale'!$E$13="","",IF(X14="","",IF(X14&gt;('Feuilles=description générale'!$E$11+'Feuilles=description générale'!$E$10),"",100*(X14-'Feuilles=description générale'!$E$10)/('Feuilles=description générale'!$E$11))))</f>
        <v>12.248102590944782</v>
      </c>
      <c r="Z14" s="495" t="str">
        <f>IF('Feuilles=description générale'!$E$13="","",IF(X14="","",IF(X14&lt;=('Feuilles=description générale'!$E$11+'Feuilles=description générale'!$E$10),"",100*(X14-'Feuilles=description générale'!$E$11-'Feuilles=description générale'!$E$10)/('Feuilles=description générale'!$E$12))))</f>
        <v/>
      </c>
      <c r="AA14" s="1112">
        <f>IF('Feuilles=description générale'!$E$13="","",IF(X14="","",100*(X14-'Feuilles=description générale'!$E$10)/('Feuilles=description générale'!$E$13-'Feuilles=description générale'!$E$10)))</f>
        <v>3.031088082901555</v>
      </c>
      <c r="AB14" s="497">
        <f t="shared" si="1"/>
        <v>2</v>
      </c>
      <c r="AC14" s="500" t="str">
        <f t="shared" ref="AC14:AC77" si="32">IF(AB15="",AB14,IF(C14&lt;0,IF(AB14&gt;AB15,AB14,""),IF(C14=0,IF(AB14=1,1,""),IF(AB15=1,1,""))))</f>
        <v/>
      </c>
      <c r="AD14" s="494" t="str">
        <f t="shared" si="2"/>
        <v/>
      </c>
      <c r="AE14" s="499">
        <f t="shared" si="3"/>
        <v>6.6999999999999957</v>
      </c>
      <c r="AF14" s="371"/>
      <c r="AG14" s="494">
        <f t="shared" si="4"/>
        <v>29</v>
      </c>
      <c r="AH14" s="495">
        <f>IF('Feuilles=description générale'!$E$13="","",IF(AG14="","",IF(AG14&gt;('Feuilles=description générale'!$E$11+'Feuilles=description générale'!$E$10),"",100*(AG14-'Feuilles=description générale'!$E$10)/('Feuilles=description générale'!$E$11))))</f>
        <v>8.3747710023554056</v>
      </c>
      <c r="AI14" s="495" t="str">
        <f>IF('Feuilles=description générale'!$E$13="","",IF(AG14="","",IF(AG14&lt;=('Feuilles=description générale'!$E$11+'Feuilles=description générale'!$E$10),"",100*(AG14-'Feuilles=description générale'!$E$11-'Feuilles=description générale'!$E$10)/('Feuilles=description générale'!$E$12))))</f>
        <v/>
      </c>
      <c r="AJ14" s="496">
        <f>IF('Feuilles=description générale'!$E$13="","",IF(AG14="","",100*(AG14-'Feuilles=description générale'!$E$10)/('Feuilles=description générale'!$E$13-'Feuilles=description générale'!$E$10)))</f>
        <v>2.0725388601036268</v>
      </c>
      <c r="AK14" s="1113">
        <f t="shared" si="5"/>
        <v>2</v>
      </c>
      <c r="AL14" s="498" t="str">
        <f t="shared" si="6"/>
        <v/>
      </c>
      <c r="AM14" s="494" t="str">
        <f t="shared" si="7"/>
        <v/>
      </c>
      <c r="AN14" s="499">
        <f t="shared" si="8"/>
        <v>8.5</v>
      </c>
      <c r="AO14" s="371"/>
      <c r="AP14" s="494">
        <f t="shared" si="9"/>
        <v>28.2</v>
      </c>
      <c r="AQ14" s="495">
        <f>IF('Feuilles=description générale'!$E$13="","",IF(AP14="","",IF(AP14&gt;('Feuilles=description générale'!$E$25+'Feuilles=description générale'!$E$24),"",100*(AP14-'Feuilles=description générale'!$E$24)/('Feuilles=description générale'!$E$25))))</f>
        <v>5.6307525717379523</v>
      </c>
      <c r="AR14" s="495" t="str">
        <f>IF('Feuilles=description générale'!$E$27="","",IF(AP14="","",IF(AP14&lt;=('Feuilles=description générale'!$E$25+'Feuilles=description générale'!$E$24),"",100*(AP14-'Feuilles=description générale'!$E$25-'Feuilles=description générale'!$E$24)/('Feuilles=description générale'!$E$26))))</f>
        <v/>
      </c>
      <c r="AS14" s="496">
        <f>IF('Feuilles=description générale'!$E$27="","",IF(AP14="","",100*(AP14-'Feuilles=description générale'!$E$24)/('Feuilles=description générale'!$E$27-'Feuilles=description générale'!$E$24)))</f>
        <v>1.2710828648252257</v>
      </c>
      <c r="AT14" s="497">
        <f t="shared" si="10"/>
        <v>2</v>
      </c>
      <c r="AU14" s="500">
        <f t="shared" si="11"/>
        <v>2</v>
      </c>
      <c r="AV14" s="494">
        <f t="shared" si="12"/>
        <v>6.3000000000000007</v>
      </c>
      <c r="AW14" s="499" t="str">
        <f t="shared" si="13"/>
        <v/>
      </c>
      <c r="AX14" s="371"/>
      <c r="AY14" s="494">
        <f t="shared" si="14"/>
        <v>32.299999999999997</v>
      </c>
      <c r="AZ14" s="495">
        <f>IF('Feuilles=description générale'!$E$13="","",IF(AY14="","",IF(AY14&gt;('Feuilles=description générale'!$E$25+'Feuilles=description générale'!$E$24),"",100*(AY14-'Feuilles=description générale'!$E$24)/('Feuilles=description générale'!$E$25))))</f>
        <v>10.070384407146722</v>
      </c>
      <c r="BA14" s="495" t="str">
        <f>IF('Feuilles=description générale'!$E$27="","",IF(AY14="","",IF(AY14&lt;=('Feuilles=description générale'!$E$25+'Feuilles=description générale'!$E$24),"",100*(AY14-'Feuilles=description générale'!$E$25-'Feuilles=description générale'!$E$24)/('Feuilles=description générale'!$E$26))))</f>
        <v/>
      </c>
      <c r="BB14" s="496">
        <f>IF('Feuilles=description générale'!$E$27="","",IF(AY14="","",100*(AY14-'Feuilles=description générale'!$E$24)/('Feuilles=description générale'!$E$27-'Feuilles=description générale'!$E$24)))</f>
        <v>2.273282815937423</v>
      </c>
      <c r="BC14" s="497">
        <f t="shared" si="15"/>
        <v>1</v>
      </c>
      <c r="BD14" s="500">
        <f t="shared" si="16"/>
        <v>1</v>
      </c>
      <c r="BE14" s="494">
        <f t="shared" si="17"/>
        <v>5.9000000000000057</v>
      </c>
      <c r="BF14" s="499" t="str">
        <f t="shared" si="18"/>
        <v/>
      </c>
      <c r="BG14" s="476"/>
      <c r="BH14" s="505">
        <v>3.5</v>
      </c>
      <c r="BI14" s="510">
        <f>SUMPRODUCT(($AA$11:$AA$170&gt;=2)*($AA$11:$AA$170&lt;5)*($AC$11:$AC$170=1))+SUMPRODUCT(($AS$11:$AS$170&gt;=2)*($AS$11:$AS$170&lt;5)*($AU$11:$AU$170=1))</f>
        <v>1</v>
      </c>
      <c r="BJ14" s="507">
        <f>SUMPRODUCT(($AA$11:$AA$170&gt;=2)*($AA$11:$AA$170&lt;5)*($AC$11:$AC$170=2))+SUMPRODUCT(($AS$11:$AS$170&gt;=2)*($AS$11:$AS$170&lt;5)*($AU$11:$AU$170=2))</f>
        <v>0</v>
      </c>
      <c r="BK14" s="507">
        <f>SUMPRODUCT(($AA$11:$AA$170&gt;=2)*($AA$11:$AA$170&lt;5)*($AC$11:$AC$170=3))+SUMPRODUCT(($AS$11:$AS$170&gt;=2)*($AS$11:$AS$170&lt;5)*($AU$11:$AU$170=3))</f>
        <v>0</v>
      </c>
      <c r="BL14" s="508">
        <f>SUMPRODUCT(($AA$11:$AA$170&gt;=2)*($AA$11:$AA$170&lt;5)*($AC$11:$AC$170=4))+SUMPRODUCT(($AS$11:$AS$170&gt;=2)*($AS$11:$AS$170&lt;5)*($AU$11:$AU$170=4))+SUMPRODUCT(($AA$11:$AA$170&gt;=2)*($AA$11:$AA$170&lt;5)*($AC$11:$AC$170=5))+SUMPRODUCT(($AS$11:$AS$170&gt;=2)*($AS$11:$AS$170&lt;5)*($AU$11:$AU$170=5))</f>
        <v>0</v>
      </c>
      <c r="BM14" s="506">
        <f>SUMPRODUCT(($AJ$11:$AJ$170&gt;=2)*($AJ$11:$AJ$170&lt;5)*($AL$11:$AL$170=1))+SUMPRODUCT(($BB$11:$BB$170&gt;=2)*($BB$11:$BB$170&lt;5)*($BD$11:$BD$170=1))</f>
        <v>1</v>
      </c>
      <c r="BN14" s="507">
        <f>SUMPRODUCT(($AJ$11:$AJ$170&gt;=2)*($AJ$11:$AJ$170&lt;5)*($AL$11:$AL$170=2))+SUMPRODUCT(($BB$11:$BB$170&gt;=2)*($BB$11:$BB$170&lt;5)*($BD$11:$BD$170=2))</f>
        <v>2</v>
      </c>
      <c r="BO14" s="507">
        <f>SUMPRODUCT(($AJ$11:$AJ$170&gt;=2)*($AJ$11:$AJ$170&lt;5)*($AL$11:$AL$170=3))+SUMPRODUCT(($BB$11:$BB$170&gt;=2)*($BB$11:$BB$170&lt;5)*($BD$11:$BD$170=3))</f>
        <v>0</v>
      </c>
      <c r="BP14" s="508">
        <f>SUMPRODUCT(($AJ$11:$AJ$170&gt;=2)*($AJ$11:$AJ$170&lt;5)*($AL$11:$AL$170=4))+SUMPRODUCT(($BB$11:$BB$170&gt;=2)*($BB$11:$BB$170&lt;5)*($BD$11:$BD$170=4))+SUMPRODUCT(($AJ$11:$AJ$170&gt;=2)*($AJ$11:$AJ$170&lt;5)*($AL$11:$AL$170=5))+SUMPRODUCT(($BB$11:$BB$170&gt;=2)*($BB$11:$BB$170&lt;5)*($BD$11:$BD$170=5))</f>
        <v>0</v>
      </c>
      <c r="BQ14" s="506">
        <f t="shared" ref="BQ14:BT24" si="33">BI14+BM14</f>
        <v>2</v>
      </c>
      <c r="BR14" s="507">
        <f t="shared" si="33"/>
        <v>2</v>
      </c>
      <c r="BS14" s="507">
        <f t="shared" si="33"/>
        <v>0</v>
      </c>
      <c r="BT14" s="508">
        <f t="shared" si="33"/>
        <v>0</v>
      </c>
      <c r="BU14" s="568"/>
      <c r="BV14" s="1114" t="str">
        <f t="shared" si="19"/>
        <v/>
      </c>
      <c r="BW14" s="1114">
        <f t="shared" si="19"/>
        <v>44.889999999999944</v>
      </c>
      <c r="BX14" s="1114" t="str">
        <f t="shared" si="20"/>
        <v/>
      </c>
      <c r="BY14" s="1115">
        <f t="shared" si="20"/>
        <v>72.25</v>
      </c>
      <c r="BZ14" s="477"/>
      <c r="CA14" s="1114">
        <f t="shared" si="21"/>
        <v>39.690000000000012</v>
      </c>
      <c r="CB14" s="1114" t="str">
        <f t="shared" si="21"/>
        <v/>
      </c>
      <c r="CC14" s="1114">
        <f t="shared" si="22"/>
        <v>34.810000000000066</v>
      </c>
      <c r="CD14" s="1115" t="str">
        <f t="shared" si="22"/>
        <v/>
      </c>
      <c r="CE14" s="568"/>
      <c r="CF14" s="505">
        <v>3.5</v>
      </c>
      <c r="CG14" s="510">
        <f>SUMIF($AA$11:$AA$170,"&lt;5",$AD$11:$AD$170)+SUMIF($AS$11:$AS$170,"&lt;5",$AV$11:$AV$170)-SUMIF($AA$11:$AA$170,"&lt;2",$AD$11:$AD$170)-SUMIF($AS$11:$AS$170,"&lt;2",$AV$11:$AV$170)</f>
        <v>9.7000000000000028</v>
      </c>
      <c r="CH14" s="511">
        <f>SUMIF($AA$11:$AA$170,"&lt;5",$BV$11:$BV$170)+SUMIF($AS$11:$AS$170,"&lt;5",$CA$11:$CA$170)-SUMIF($AA$11:$AA$170,"&lt;2",$BV$11:$BV$170)-SUMIF($AS$11:$AS$170,"&lt;2",$CA$11:$CA$170)</f>
        <v>94.09000000000006</v>
      </c>
      <c r="CI14" s="511">
        <f>SUMPRODUCT(($AA$11:$AA$170&lt;5)*($AD$11:$AD$170&lt;&gt;""))+SUMPRODUCT(($AS$11:$AS$170&lt;5)*($AV$11:$AV$170&lt;&gt;""))-SUMPRODUCT(($AA$11:$AA$170&lt;2)*($AD$11:$AD$170&lt;&gt;""))-SUMPRODUCT(($AS$11:$AS$170&lt;2)*($AV$11:$AV$170&lt;&gt;""))</f>
        <v>1</v>
      </c>
      <c r="CJ14" s="511">
        <f t="shared" si="25"/>
        <v>9.7000000000000028</v>
      </c>
      <c r="CK14" s="512">
        <f>IF(CI14&lt;2,0,IF((CH14/CI14-CJ14*CJ14)/(CI14-1)&lt;0,0,SQRT((CH14/CI14-CJ14*CJ14)/(CI14-1))))</f>
        <v>0</v>
      </c>
      <c r="CL14" s="510">
        <f>SUMIF($AJ$11:$AJ$170,"&lt;5",$AM$11:$AM$170)+SUMIF($BB$11:$BB$170,"&lt;5",$BE$11:$BE$170)-SUMIF($AJ$11:$AJ$170,"&lt;2",$AM$11:$AM$170)-SUMIF($BB$11:$BB$170,"&lt;2",$BE$11:$BE$170)</f>
        <v>30.100000000000009</v>
      </c>
      <c r="CM14" s="511">
        <f>SUMIF($AJ$11:$AJ$170,"&lt;5",$BX$11:$BX$170)+SUMIF($BB$11:$BB$170,"&lt;5",$CC$11:$CC$170)-SUMIF($AJ$11:$AJ$170,"&lt;2",$BX$11:$BX$170)-SUMIF($BB$11:$BB$170,"&lt;2",$CC$11:$CC$170)</f>
        <v>331.55000000000018</v>
      </c>
      <c r="CN14" s="511">
        <f>SUMPRODUCT(($AJ$11:$AJ$170&lt;5)*($AM$11:$AM$170&lt;&gt;""))+SUMPRODUCT(($BB$11:$BB$170&lt;5)*($BE$11:$BE$170&lt;&gt;""))-SUMPRODUCT(($AJ$11:$AJ$170&lt;2)*($AM$11:$AM$170&lt;&gt;""))-SUMPRODUCT(($BB$11:$BB$170&lt;2)*($BE$11:$BE$170&lt;&gt;""))</f>
        <v>3</v>
      </c>
      <c r="CO14" s="511">
        <f t="shared" si="26"/>
        <v>10.033333333333337</v>
      </c>
      <c r="CP14" s="512">
        <f>IF(CN14&lt;2,0,IF((CM14/CN14-CO14*CO14)/(CN14-1)&lt;0,0,SQRT((CM14/CN14-CO14*CO14)/(CN14-1))))</f>
        <v>2.2191089302790972</v>
      </c>
      <c r="CQ14" s="506">
        <f t="shared" ref="CQ14:CS24" si="34">CG14+CL14</f>
        <v>39.800000000000011</v>
      </c>
      <c r="CR14" s="507">
        <f t="shared" si="34"/>
        <v>425.64000000000021</v>
      </c>
      <c r="CS14" s="507">
        <f t="shared" si="34"/>
        <v>4</v>
      </c>
      <c r="CT14" s="507">
        <f t="shared" ref="CT14:CT24" si="35">IF(CS14=0,0,IF(CS14="","",CQ14/CS14))</f>
        <v>9.9500000000000028</v>
      </c>
      <c r="CU14" s="508">
        <f>IF(CS14&lt;2,0,IF((CR14/CS14-CT14*CT14)/(CS14-1)&lt;0,0,SQRT((CR14/CS14-CT14*CT14)/(CS14-1))))</f>
        <v>1.5713582235335983</v>
      </c>
      <c r="CV14" s="476"/>
      <c r="CW14" s="345"/>
      <c r="CX14" s="345"/>
      <c r="CY14" s="345"/>
      <c r="CZ14" s="345"/>
      <c r="DA14" s="345"/>
      <c r="DB14" s="345"/>
      <c r="DC14" s="345"/>
      <c r="DD14" s="345"/>
      <c r="DE14" s="345"/>
      <c r="DF14" s="345"/>
      <c r="DG14" s="345"/>
      <c r="DH14" s="345"/>
      <c r="DI14" s="345"/>
      <c r="DJ14" s="345"/>
      <c r="DK14" s="345"/>
      <c r="DL14" s="345"/>
      <c r="DM14" s="345"/>
      <c r="DN14" s="345"/>
      <c r="DO14" s="345"/>
      <c r="DP14" s="345"/>
      <c r="DQ14" s="345"/>
      <c r="DR14" s="345"/>
      <c r="DS14" s="345"/>
      <c r="DT14" s="345"/>
      <c r="DU14" s="345"/>
      <c r="DV14" s="345"/>
      <c r="DW14" s="345"/>
      <c r="DX14" s="345"/>
      <c r="DY14" s="345"/>
      <c r="DZ14" s="345"/>
      <c r="EA14" s="345"/>
      <c r="EB14" s="345"/>
      <c r="EC14" s="345"/>
      <c r="ED14" s="345"/>
      <c r="EE14" s="345"/>
      <c r="EF14" s="345"/>
      <c r="EG14" s="345"/>
      <c r="EH14" s="345"/>
      <c r="EI14" s="345"/>
      <c r="EJ14" s="345"/>
      <c r="EK14" s="345"/>
      <c r="EL14" s="345"/>
      <c r="EM14" s="345"/>
      <c r="EN14" s="345"/>
      <c r="EO14" s="345"/>
      <c r="EP14" s="345"/>
      <c r="EQ14" s="345"/>
      <c r="ER14" s="345"/>
      <c r="ES14" s="345"/>
      <c r="ET14" s="345"/>
      <c r="EU14" s="345"/>
      <c r="EV14" s="345"/>
      <c r="EW14" s="345"/>
      <c r="EX14" s="345"/>
      <c r="EY14" s="345"/>
      <c r="EZ14" s="345"/>
      <c r="FA14" s="345"/>
      <c r="FB14" s="345"/>
      <c r="FC14" s="345"/>
      <c r="FD14" s="345"/>
      <c r="FE14" s="345"/>
      <c r="FF14" s="345"/>
      <c r="FG14" s="345"/>
      <c r="FH14" s="345"/>
      <c r="FI14" s="345"/>
      <c r="FJ14" s="345"/>
      <c r="FK14" s="345"/>
      <c r="FL14" s="345"/>
      <c r="FM14" s="345"/>
      <c r="FN14" s="345"/>
      <c r="FO14" s="345"/>
      <c r="FP14" s="345"/>
      <c r="FQ14" s="345"/>
      <c r="FR14" s="345"/>
      <c r="FS14" s="345"/>
      <c r="FT14" s="345"/>
      <c r="FU14" s="345"/>
      <c r="FV14" s="345"/>
      <c r="FW14" s="345"/>
      <c r="FX14" s="345"/>
      <c r="FY14" s="345"/>
      <c r="FZ14" s="345"/>
      <c r="GA14" s="345"/>
      <c r="GB14" s="345"/>
      <c r="GC14" s="345"/>
      <c r="GD14" s="345"/>
      <c r="GE14" s="345"/>
      <c r="GF14" s="345"/>
      <c r="GG14" s="345"/>
      <c r="GH14" s="345"/>
      <c r="GI14" s="345"/>
      <c r="GJ14" s="345"/>
      <c r="GK14" s="345"/>
      <c r="GL14" s="345"/>
      <c r="GM14" s="345"/>
      <c r="GN14" s="345"/>
      <c r="GO14" s="345"/>
      <c r="GP14" s="345"/>
      <c r="GQ14" s="345"/>
      <c r="GR14" s="345"/>
      <c r="GS14" s="345"/>
      <c r="GT14" s="345"/>
      <c r="GU14" s="345"/>
    </row>
    <row r="15" spans="1:203" ht="12.75" customHeight="1">
      <c r="A15" s="465">
        <f t="shared" si="31"/>
        <v>1</v>
      </c>
      <c r="B15" s="1108">
        <v>5</v>
      </c>
      <c r="C15" s="1109">
        <v>1</v>
      </c>
      <c r="D15" s="398">
        <v>39.4</v>
      </c>
      <c r="E15" s="1120"/>
      <c r="F15" s="465">
        <f t="shared" ref="F15:F78" si="36">IF(I15="","",IF(J15="F",2,IF(H15="T",3,F14)))</f>
        <v>1</v>
      </c>
      <c r="G15" s="1108">
        <v>5</v>
      </c>
      <c r="H15" s="1109">
        <v>1</v>
      </c>
      <c r="I15" s="398">
        <v>37.5</v>
      </c>
      <c r="J15" s="1120"/>
      <c r="K15" s="465"/>
      <c r="L15" s="465"/>
      <c r="M15" s="465">
        <f t="shared" si="23"/>
        <v>1</v>
      </c>
      <c r="N15" s="1108">
        <v>5</v>
      </c>
      <c r="O15" s="1109">
        <v>0</v>
      </c>
      <c r="P15" s="1110">
        <v>34.5</v>
      </c>
      <c r="Q15" s="1120"/>
      <c r="R15" s="465">
        <f t="shared" si="24"/>
        <v>1</v>
      </c>
      <c r="S15" s="1108">
        <v>5</v>
      </c>
      <c r="T15" s="1109">
        <v>1</v>
      </c>
      <c r="U15" s="1110">
        <v>38.200000000000003</v>
      </c>
      <c r="V15" s="1120"/>
      <c r="W15" s="371"/>
      <c r="X15" s="494">
        <f t="shared" si="0"/>
        <v>39.4</v>
      </c>
      <c r="Y15" s="495">
        <f>IF('Feuilles=description générale'!$E$13="","",IF(X15="","",IF(X15&gt;('Feuilles=description générale'!$E$11+'Feuilles=description générale'!$E$10),"",100*(X15-'Feuilles=description générale'!$E$10)/('Feuilles=description générale'!$E$11))))</f>
        <v>19.261973305417428</v>
      </c>
      <c r="Z15" s="495" t="str">
        <f>IF('Feuilles=description générale'!$E$13="","",IF(X15="","",IF(X15&lt;=('Feuilles=description générale'!$E$11+'Feuilles=description générale'!$E$10),"",100*(X15-'Feuilles=description générale'!$E$11-'Feuilles=description générale'!$E$10)/('Feuilles=description générale'!$E$12))))</f>
        <v/>
      </c>
      <c r="AA15" s="1112">
        <f>IF('Feuilles=description générale'!$E$13="","",IF(X15="","",100*(X15-'Feuilles=description générale'!$E$10)/('Feuilles=description générale'!$E$13-'Feuilles=description générale'!$E$10)))</f>
        <v>4.7668393782383411</v>
      </c>
      <c r="AB15" s="497">
        <f t="shared" si="1"/>
        <v>1</v>
      </c>
      <c r="AC15" s="500" t="str">
        <f t="shared" si="32"/>
        <v/>
      </c>
      <c r="AD15" s="494" t="str">
        <f t="shared" si="2"/>
        <v/>
      </c>
      <c r="AE15" s="499">
        <f t="shared" si="3"/>
        <v>2.8000000000000043</v>
      </c>
      <c r="AF15" s="371"/>
      <c r="AG15" s="494">
        <f t="shared" si="4"/>
        <v>37.5</v>
      </c>
      <c r="AH15" s="495">
        <f>IF('Feuilles=description générale'!$E$13="","",IF(AG15="","",IF(AG15&gt;('Feuilles=description générale'!$E$11+'Feuilles=description générale'!$E$10),"",100*(AG15-'Feuilles=description générale'!$E$10)/('Feuilles=description générale'!$E$11))))</f>
        <v>17.272965192358022</v>
      </c>
      <c r="AI15" s="495" t="str">
        <f>IF('Feuilles=description générale'!$E$13="","",IF(AG15="","",IF(AG15&lt;=('Feuilles=description générale'!$E$11+'Feuilles=description générale'!$E$10),"",100*(AG15-'Feuilles=description générale'!$E$11-'Feuilles=description générale'!$E$10)/('Feuilles=description générale'!$E$12))))</f>
        <v/>
      </c>
      <c r="AJ15" s="496">
        <f>IF('Feuilles=description générale'!$E$13="","",IF(AG15="","",100*(AG15-'Feuilles=description générale'!$E$10)/('Feuilles=description générale'!$E$13-'Feuilles=description générale'!$E$10)))</f>
        <v>4.2746113989637307</v>
      </c>
      <c r="AK15" s="1113">
        <f t="shared" si="5"/>
        <v>1</v>
      </c>
      <c r="AL15" s="498" t="str">
        <f t="shared" si="6"/>
        <v/>
      </c>
      <c r="AM15" s="494" t="str">
        <f t="shared" si="7"/>
        <v/>
      </c>
      <c r="AN15" s="499">
        <f t="shared" si="8"/>
        <v>2.5</v>
      </c>
      <c r="AO15" s="371"/>
      <c r="AP15" s="494">
        <f t="shared" si="9"/>
        <v>34.5</v>
      </c>
      <c r="AQ15" s="495">
        <f>IF('Feuilles=description générale'!$E$13="","",IF(AP15="","",IF(AP15&gt;('Feuilles=description générale'!$E$25+'Feuilles=description générale'!$E$24),"",100*(AP15-'Feuilles=description générale'!$E$24)/('Feuilles=description générale'!$E$25))))</f>
        <v>12.45262587980509</v>
      </c>
      <c r="AR15" s="495" t="str">
        <f>IF('Feuilles=description générale'!$E$27="","",IF(AP15="","",IF(AP15&lt;=('Feuilles=description générale'!$E$25+'Feuilles=description générale'!$E$24),"",100*(AP15-'Feuilles=description générale'!$E$25-'Feuilles=description générale'!$E$24)/('Feuilles=description générale'!$E$26))))</f>
        <v/>
      </c>
      <c r="AS15" s="496">
        <f>IF('Feuilles=description générale'!$E$27="","",IF(AP15="","",100*(AP15-'Feuilles=description générale'!$E$24)/('Feuilles=description générale'!$E$27-'Feuilles=description générale'!$E$24)))</f>
        <v>2.8110486433634807</v>
      </c>
      <c r="AT15" s="497">
        <f t="shared" si="10"/>
        <v>1</v>
      </c>
      <c r="AU15" s="500">
        <f t="shared" si="11"/>
        <v>1</v>
      </c>
      <c r="AV15" s="494">
        <f t="shared" si="12"/>
        <v>9.7000000000000028</v>
      </c>
      <c r="AW15" s="499" t="str">
        <f t="shared" si="13"/>
        <v/>
      </c>
      <c r="AX15" s="371"/>
      <c r="AY15" s="494">
        <f t="shared" si="14"/>
        <v>38.200000000000003</v>
      </c>
      <c r="AZ15" s="495">
        <f>IF('Feuilles=description générale'!$E$13="","",IF(AY15="","",IF(AY15&gt;('Feuilles=description générale'!$E$25+'Feuilles=description générale'!$E$24),"",100*(AY15-'Feuilles=description générale'!$E$24)/('Feuilles=description générale'!$E$25))))</f>
        <v>16.459122902003251</v>
      </c>
      <c r="BA15" s="495" t="str">
        <f>IF('Feuilles=description générale'!$E$27="","",IF(AY15="","",IF(AY15&lt;=('Feuilles=description générale'!$E$25+'Feuilles=description générale'!$E$24),"",100*(AY15-'Feuilles=description générale'!$E$25-'Feuilles=description générale'!$E$24)/('Feuilles=description générale'!$E$26))))</f>
        <v/>
      </c>
      <c r="BB15" s="496">
        <f>IF('Feuilles=description générale'!$E$27="","",IF(AY15="","",100*(AY15-'Feuilles=description générale'!$E$24)/('Feuilles=description générale'!$E$27-'Feuilles=description générale'!$E$24)))</f>
        <v>3.7154729894891227</v>
      </c>
      <c r="BC15" s="497">
        <f t="shared" si="15"/>
        <v>1</v>
      </c>
      <c r="BD15" s="500" t="str">
        <f t="shared" si="16"/>
        <v/>
      </c>
      <c r="BE15" s="494" t="str">
        <f t="shared" si="17"/>
        <v/>
      </c>
      <c r="BF15" s="499">
        <f t="shared" si="18"/>
        <v>2.2999999999999972</v>
      </c>
      <c r="BG15" s="476"/>
      <c r="BH15" s="509">
        <v>7</v>
      </c>
      <c r="BI15" s="510">
        <f>SUMPRODUCT(($AA$11:$AA$170&gt;=5)*($AA$11:$AA$170&lt;9)*($AC$11:$AC$170=1))+SUMPRODUCT(($AS$11:$AS$170&gt;=5)*($AS$11:$AS$170&lt;9)*($AU$11:$AU$170=1))</f>
        <v>2</v>
      </c>
      <c r="BJ15" s="511">
        <f>SUMPRODUCT(($AA$11:$AA$170&gt;=5)*($AA$11:$AA$170&lt;9)*($AC$11:$AC$170=2))+SUMPRODUCT(($AS$11:$AS$170&gt;=5)*($AS$11:$AS$170&lt;9)*($AU$11:$AU$170=2))</f>
        <v>2</v>
      </c>
      <c r="BK15" s="511">
        <f>SUMPRODUCT(($AA$11:$AA$170&gt;=5)*($AA$11:$AA$170&lt;9)*($AC$11:$AC$170=3))+SUMPRODUCT(($AS$11:$AS$170&gt;=5)*($AS$11:$AS$170&lt;9)*($AU$11:$AU$170=3))</f>
        <v>0</v>
      </c>
      <c r="BL15" s="512">
        <f>SUMPRODUCT(($AA$11:$AA$170&gt;=5)*($AA$11:$AA$170&lt;9)*($AC$11:$AC$170=4))+SUMPRODUCT(($AS$11:$AS$170&gt;=5)*($AS$11:$AS$170&lt;9)*($AU$11:$AU$170=4))+SUMPRODUCT(($AA$11:$AA$170&gt;=5)*($AA$11:$AA$170&lt;9)*($AC$11:$AC$170=5))+SUMPRODUCT(($AS$11:$AS$170&gt;=5)*($AS$11:$AS$170&lt;9)*($AU$11:$AU$170=5))</f>
        <v>0</v>
      </c>
      <c r="BM15" s="510">
        <f>SUMPRODUCT(($AJ$11:$AJ$170&gt;=5)*($AJ$11:$AJ$170&lt;9)*($AL$11:$AL$170=1))+SUMPRODUCT(($BB$11:$BB$170&gt;=5)*($BB$11:$BB$170&lt;9)*($BD$11:$BD$170=1))</f>
        <v>1</v>
      </c>
      <c r="BN15" s="511">
        <f>SUMPRODUCT(($AJ$11:$AJ$170&gt;=5)*($AJ$11:$AJ$170&lt;9)*($AL$11:$AL$170=2))+SUMPRODUCT(($BB$11:$BB$170&gt;=5)*($BB$11:$BB$170&lt;9)*($BD$11:$BD$170=2))</f>
        <v>0</v>
      </c>
      <c r="BO15" s="511">
        <f>SUMPRODUCT(($AJ$11:$AJ$170&gt;=5)*($AJ$11:$AJ$170&lt;9)*($AL$11:$AL$170=3))+SUMPRODUCT(($BB$11:$BB$170&gt;=5)*($BB$11:$BB$170&lt;9)*($BD$11:$BD$170=3))</f>
        <v>0</v>
      </c>
      <c r="BP15" s="512">
        <f>SUMPRODUCT(($AJ$11:$AJ$170&gt;=5)*($AJ$11:$AJ$170&lt;9)*($AL$11:$AL$170=4))+SUMPRODUCT(($BB$11:$BB$170&gt;=5)*($BB$11:$BB$170&lt;9)*($BD$11:$BD$170=4))+SUMPRODUCT(($AJ$11:$AJ$170&gt;=5)*($AJ$11:$AJ$170&lt;9)*($AL$11:$AL$170=5))+SUMPRODUCT(($BB$11:$BB$170&gt;=5)*($BB$11:$BB$170&lt;9)*($BD$11:$BD$170=5))</f>
        <v>0</v>
      </c>
      <c r="BQ15" s="510">
        <f t="shared" si="33"/>
        <v>3</v>
      </c>
      <c r="BR15" s="511">
        <f t="shared" si="33"/>
        <v>2</v>
      </c>
      <c r="BS15" s="511">
        <f t="shared" si="33"/>
        <v>0</v>
      </c>
      <c r="BT15" s="512">
        <f t="shared" si="33"/>
        <v>0</v>
      </c>
      <c r="BU15" s="568"/>
      <c r="BV15" s="1114" t="str">
        <f t="shared" si="19"/>
        <v/>
      </c>
      <c r="BW15" s="1114">
        <f t="shared" si="19"/>
        <v>7.8400000000000238</v>
      </c>
      <c r="BX15" s="1114" t="str">
        <f t="shared" si="20"/>
        <v/>
      </c>
      <c r="BY15" s="1115">
        <f t="shared" si="20"/>
        <v>6.25</v>
      </c>
      <c r="BZ15" s="477"/>
      <c r="CA15" s="1114">
        <f t="shared" si="21"/>
        <v>94.09000000000006</v>
      </c>
      <c r="CB15" s="1114" t="str">
        <f t="shared" si="21"/>
        <v/>
      </c>
      <c r="CC15" s="1114" t="str">
        <f t="shared" si="22"/>
        <v/>
      </c>
      <c r="CD15" s="1115">
        <f t="shared" si="22"/>
        <v>5.2899999999999867</v>
      </c>
      <c r="CE15" s="568"/>
      <c r="CF15" s="509">
        <v>7</v>
      </c>
      <c r="CG15" s="510">
        <f>SUMIF($AA$11:$AA$170,"&lt;9",$AD$11:$AD$170)+SUMIF($AS$11:$AS$170,"&lt;9",$AV$11:$AV$170)-SUMIF($AA$11:$AA$170,"&lt;5",$AD$11:$AD$170)-SUMIF($AS$11:$AS$170,"&lt;5",$AV$11:$AV$170)</f>
        <v>47.000000000000007</v>
      </c>
      <c r="CH15" s="511">
        <f>SUMIF($AA$11:$AA$170,"&lt;9",$BV$11:$BV$170)+SUMIF($AS$11:$AS$170,"&lt;9",$CA$11:$CA$170)-SUMIF($AA$11:$AA$170,"&lt;5",$BV$11:$BV$170)-SUMIF($AS$11:$AS$170,"&lt;5",$CA$11:$CA$170)</f>
        <v>568.1</v>
      </c>
      <c r="CI15" s="511">
        <f>SUMPRODUCT(($AA$11:$AA$170&lt;9)*($AD$11:$AD$170&lt;&gt;""))+SUMPRODUCT(($AS$11:$AS$170&lt;9)*($AV$11:$AV$170&lt;&gt;""))-SUMPRODUCT(($AA$11:$AA$170&lt;5)*($AD$11:$AD$170&lt;&gt;""))-SUMPRODUCT(($AS$11:$AS$170&lt;5)*($AV$11:$AV$170&lt;&gt;""))</f>
        <v>4</v>
      </c>
      <c r="CJ15" s="511">
        <f t="shared" ref="CJ15:CJ24" si="37">IF(CI15=0,0,IF(CI15="","",CG15/CI15))</f>
        <v>11.750000000000002</v>
      </c>
      <c r="CK15" s="512">
        <f>IF(CI15&lt;2,0,IF((CH15/CI15-CJ15*CJ15)/(CI15-1)&lt;0,0,SQRT((CH15/CI15-CJ15*CJ15)/(CI15-1))))</f>
        <v>1.1492751338706175</v>
      </c>
      <c r="CL15" s="510">
        <f>SUMIF($AJ$11:$AJ$170,"&lt;9",$AM$11:$AM$170)+SUMIF($BB$11:$BB$170,"&lt;9",$BE$11:$BE$170)-SUMIF($AJ$11:$AJ$170,"&lt;5",$AM$11:$AM$170)-SUMIF($BB$11:$BB$170,"&lt;5",$BE$11:$BE$170)</f>
        <v>10.5</v>
      </c>
      <c r="CM15" s="511">
        <f>SUMIF($AJ$11:$AJ$170,"&lt;9",$BX$11:$BX$170)+SUMIF($BB$11:$BB$170,"&lt;9",$CC$11:$CC$170)-SUMIF($AJ$11:$AJ$170,"&lt;5",$BX$11:$BX$170)-SUMIF($BB$11:$BB$170,"&lt;5",$CC$11:$CC$170)</f>
        <v>110.25000000000003</v>
      </c>
      <c r="CN15" s="511">
        <f>SUMPRODUCT(($AJ$11:$AJ$170&lt;9)*($AM$11:$AM$170&lt;&gt;""))+SUMPRODUCT(($BB$11:$BB$170&lt;59)*($BE$11:$BE$170&lt;&gt;""))-SUMPRODUCT(($AJ$11:$AJ$170&lt;5)*($AM$11:$AM$170&lt;&gt;""))-SUMPRODUCT(($BB$11:$BB$170&lt;5)*($BE$11:$BE$170&lt;&gt;""))</f>
        <v>17</v>
      </c>
      <c r="CO15" s="511">
        <f t="shared" ref="CO15:CO24" si="38">IF(CN15=0,0,IF(CN15="","",CL15/CN15))</f>
        <v>0.61764705882352944</v>
      </c>
      <c r="CP15" s="512">
        <f>IF(CN15&lt;2,0,IF((CM15/CN15-CO15*CO15)/(CN15-1)&lt;0,0,SQRT((CM15/CN15-CO15*CO15)/(CN15-1))))</f>
        <v>0.61764705882352955</v>
      </c>
      <c r="CQ15" s="510">
        <f t="shared" si="34"/>
        <v>57.500000000000007</v>
      </c>
      <c r="CR15" s="511">
        <f t="shared" si="34"/>
        <v>678.35</v>
      </c>
      <c r="CS15" s="511">
        <f t="shared" si="34"/>
        <v>21</v>
      </c>
      <c r="CT15" s="511">
        <f t="shared" si="35"/>
        <v>2.7380952380952386</v>
      </c>
      <c r="CU15" s="512">
        <f>IF(CS15&lt;2,0,IF((CR15/CS15-CT15*CT15)/(CS15-1)&lt;0,0,SQRT((CR15/CS15-CT15*CT15)/(CS15-1))))</f>
        <v>1.1136699560350258</v>
      </c>
      <c r="CV15" s="476"/>
      <c r="CW15" s="345"/>
      <c r="CX15" s="345"/>
      <c r="CY15" s="345"/>
      <c r="CZ15" s="345"/>
      <c r="DA15" s="345"/>
      <c r="DB15" s="345"/>
      <c r="DC15" s="345"/>
      <c r="DD15" s="345"/>
      <c r="DE15" s="345"/>
      <c r="DF15" s="345"/>
      <c r="DG15" s="345"/>
      <c r="DH15" s="345"/>
      <c r="DI15" s="345"/>
      <c r="DJ15" s="345"/>
      <c r="DK15" s="345"/>
      <c r="DL15" s="345"/>
      <c r="DM15" s="345"/>
      <c r="DN15" s="345"/>
      <c r="DO15" s="345"/>
      <c r="DP15" s="345"/>
      <c r="DQ15" s="345"/>
      <c r="DR15" s="345"/>
      <c r="DS15" s="345"/>
      <c r="DT15" s="345"/>
      <c r="DU15" s="345"/>
      <c r="DV15" s="345"/>
      <c r="DW15" s="345"/>
      <c r="DX15" s="345"/>
      <c r="DY15" s="345"/>
      <c r="DZ15" s="345"/>
      <c r="EA15" s="345"/>
      <c r="EB15" s="345"/>
      <c r="EC15" s="345"/>
      <c r="ED15" s="345"/>
      <c r="EE15" s="345"/>
      <c r="EF15" s="345"/>
      <c r="EG15" s="345"/>
      <c r="EH15" s="345"/>
      <c r="EI15" s="345"/>
      <c r="EJ15" s="345"/>
      <c r="EK15" s="345"/>
      <c r="EL15" s="345"/>
      <c r="EM15" s="345"/>
      <c r="EN15" s="345"/>
      <c r="EO15" s="345"/>
      <c r="EP15" s="345"/>
      <c r="EQ15" s="345"/>
      <c r="ER15" s="345"/>
      <c r="ES15" s="345"/>
      <c r="ET15" s="345"/>
      <c r="EU15" s="345"/>
      <c r="EV15" s="345"/>
      <c r="EW15" s="345"/>
      <c r="EX15" s="345"/>
      <c r="EY15" s="345"/>
      <c r="EZ15" s="345"/>
      <c r="FA15" s="345"/>
      <c r="FB15" s="345"/>
      <c r="FC15" s="345"/>
      <c r="FD15" s="345"/>
      <c r="FE15" s="345"/>
      <c r="FF15" s="345"/>
      <c r="FG15" s="345"/>
      <c r="FH15" s="345"/>
      <c r="FI15" s="345"/>
      <c r="FJ15" s="345"/>
      <c r="FK15" s="345"/>
      <c r="FL15" s="345"/>
      <c r="FM15" s="345"/>
      <c r="FN15" s="345"/>
      <c r="FO15" s="345"/>
      <c r="FP15" s="345"/>
      <c r="FQ15" s="345"/>
      <c r="FR15" s="345"/>
      <c r="FS15" s="345"/>
      <c r="FT15" s="345"/>
      <c r="FU15" s="345"/>
      <c r="FV15" s="345"/>
      <c r="FW15" s="345"/>
      <c r="FX15" s="345"/>
      <c r="FY15" s="345"/>
      <c r="FZ15" s="345"/>
      <c r="GA15" s="345"/>
      <c r="GB15" s="345"/>
      <c r="GC15" s="345"/>
      <c r="GD15" s="345"/>
      <c r="GE15" s="345"/>
      <c r="GF15" s="345"/>
      <c r="GG15" s="345"/>
      <c r="GH15" s="345"/>
      <c r="GI15" s="345"/>
      <c r="GJ15" s="345"/>
      <c r="GK15" s="345"/>
      <c r="GL15" s="345"/>
      <c r="GM15" s="345"/>
      <c r="GN15" s="345"/>
      <c r="GO15" s="345"/>
      <c r="GP15" s="345"/>
      <c r="GQ15" s="345"/>
      <c r="GR15" s="345"/>
      <c r="GS15" s="345"/>
      <c r="GT15" s="345"/>
      <c r="GU15" s="345"/>
    </row>
    <row r="16" spans="1:203" ht="12.75" customHeight="1">
      <c r="A16" s="465">
        <f t="shared" si="31"/>
        <v>1</v>
      </c>
      <c r="B16" s="1108">
        <v>6</v>
      </c>
      <c r="C16" s="1109">
        <v>-1</v>
      </c>
      <c r="D16" s="398">
        <v>42.2</v>
      </c>
      <c r="E16" s="1120"/>
      <c r="F16" s="465">
        <f t="shared" si="36"/>
        <v>1</v>
      </c>
      <c r="G16" s="1108">
        <v>6</v>
      </c>
      <c r="H16" s="1109">
        <v>-1</v>
      </c>
      <c r="I16" s="398">
        <v>40</v>
      </c>
      <c r="J16" s="1120"/>
      <c r="K16" s="465"/>
      <c r="L16" s="465"/>
      <c r="M16" s="465">
        <f t="shared" si="23"/>
        <v>1</v>
      </c>
      <c r="N16" s="1108">
        <v>6</v>
      </c>
      <c r="O16" s="1109">
        <v>0</v>
      </c>
      <c r="P16" s="1110">
        <v>44.2</v>
      </c>
      <c r="Q16" s="1120"/>
      <c r="R16" s="465">
        <f t="shared" si="24"/>
        <v>1</v>
      </c>
      <c r="S16" s="1108">
        <v>6</v>
      </c>
      <c r="T16" s="1109">
        <v>-1</v>
      </c>
      <c r="U16" s="1110">
        <v>40.5</v>
      </c>
      <c r="V16" s="1120"/>
      <c r="W16" s="371"/>
      <c r="X16" s="494">
        <f t="shared" si="0"/>
        <v>42.2</v>
      </c>
      <c r="Y16" s="495">
        <f>IF('Feuilles=description générale'!$E$13="","",IF(X16="","",IF(X16&gt;('Feuilles=description générale'!$E$11+'Feuilles=description générale'!$E$10),"",100*(X16-'Feuilles=description générale'!$E$10)/('Feuilles=description générale'!$E$11))))</f>
        <v>22.193143156241828</v>
      </c>
      <c r="Z16" s="495" t="str">
        <f>IF('Feuilles=description générale'!$E$13="","",IF(X16="","",IF(X16&lt;=('Feuilles=description générale'!$E$11+'Feuilles=description générale'!$E$10),"",100*(X16-'Feuilles=description générale'!$E$11-'Feuilles=description générale'!$E$10)/('Feuilles=description générale'!$E$12))))</f>
        <v/>
      </c>
      <c r="AA16" s="1112">
        <f>IF('Feuilles=description générale'!$E$13="","",IF(X16="","",100*(X16-'Feuilles=description générale'!$E$10)/('Feuilles=description générale'!$E$13-'Feuilles=description générale'!$E$10)))</f>
        <v>5.4922279792746123</v>
      </c>
      <c r="AB16" s="497">
        <f t="shared" si="1"/>
        <v>2</v>
      </c>
      <c r="AC16" s="500">
        <f t="shared" si="32"/>
        <v>2</v>
      </c>
      <c r="AD16" s="494">
        <f t="shared" si="2"/>
        <v>11.099999999999994</v>
      </c>
      <c r="AE16" s="499" t="str">
        <f t="shared" si="3"/>
        <v/>
      </c>
      <c r="AF16" s="371"/>
      <c r="AG16" s="494">
        <f t="shared" si="4"/>
        <v>40</v>
      </c>
      <c r="AH16" s="495">
        <f>IF('Feuilles=description générale'!$E$13="","",IF(AG16="","",IF(AG16&gt;('Feuilles=description générale'!$E$11+'Feuilles=description générale'!$E$10),"",100*(AG16-'Feuilles=description générale'!$E$10)/('Feuilles=description générale'!$E$11))))</f>
        <v>19.890081130594087</v>
      </c>
      <c r="AI16" s="495" t="str">
        <f>IF('Feuilles=description générale'!$E$13="","",IF(AG16="","",IF(AG16&lt;=('Feuilles=description générale'!$E$11+'Feuilles=description générale'!$E$10),"",100*(AG16-'Feuilles=description générale'!$E$11-'Feuilles=description générale'!$E$10)/('Feuilles=description générale'!$E$12))))</f>
        <v/>
      </c>
      <c r="AJ16" s="496">
        <f>IF('Feuilles=description générale'!$E$13="","",IF(AG16="","",100*(AG16-'Feuilles=description générale'!$E$10)/('Feuilles=description générale'!$E$13-'Feuilles=description générale'!$E$10)))</f>
        <v>4.9222797927461137</v>
      </c>
      <c r="AK16" s="1113">
        <f t="shared" si="5"/>
        <v>2</v>
      </c>
      <c r="AL16" s="498">
        <f t="shared" si="6"/>
        <v>2</v>
      </c>
      <c r="AM16" s="494">
        <f t="shared" si="7"/>
        <v>13.5</v>
      </c>
      <c r="AN16" s="499" t="str">
        <f t="shared" si="8"/>
        <v/>
      </c>
      <c r="AO16" s="371"/>
      <c r="AP16" s="494">
        <f t="shared" si="9"/>
        <v>44.2</v>
      </c>
      <c r="AQ16" s="495">
        <f>IF('Feuilles=description générale'!$E$13="","",IF(AP16="","",IF(AP16&gt;('Feuilles=description générale'!$E$25+'Feuilles=description générale'!$E$24),"",100*(AP16-'Feuilles=description générale'!$E$24)/('Feuilles=description générale'!$E$25))))</f>
        <v>22.956145100162431</v>
      </c>
      <c r="AR16" s="495" t="str">
        <f>IF('Feuilles=description générale'!$E$27="","",IF(AP16="","",IF(AP16&lt;=('Feuilles=description générale'!$E$25+'Feuilles=description générale'!$E$24),"",100*(AP16-'Feuilles=description générale'!$E$25-'Feuilles=description générale'!$E$24)/('Feuilles=description générale'!$E$26))))</f>
        <v/>
      </c>
      <c r="AS16" s="496">
        <f>IF('Feuilles=description générale'!$E$27="","",IF(AP16="","",100*(AP16-'Feuilles=description générale'!$E$24)/('Feuilles=description générale'!$E$27-'Feuilles=description générale'!$E$24)))</f>
        <v>5.1821070642874609</v>
      </c>
      <c r="AT16" s="497">
        <f t="shared" si="10"/>
        <v>1</v>
      </c>
      <c r="AU16" s="500">
        <f t="shared" si="11"/>
        <v>1</v>
      </c>
      <c r="AV16" s="494">
        <f t="shared" si="12"/>
        <v>8.7999999999999972</v>
      </c>
      <c r="AW16" s="499" t="str">
        <f t="shared" si="13"/>
        <v/>
      </c>
      <c r="AX16" s="371"/>
      <c r="AY16" s="494">
        <f t="shared" si="14"/>
        <v>40.5</v>
      </c>
      <c r="AZ16" s="495">
        <f>IF('Feuilles=description générale'!$E$13="","",IF(AY16="","",IF(AY16&gt;('Feuilles=description générale'!$E$25+'Feuilles=description générale'!$E$24),"",100*(AY16-'Feuilles=description générale'!$E$24)/('Feuilles=description générale'!$E$25))))</f>
        <v>18.949648077964266</v>
      </c>
      <c r="BA16" s="495" t="str">
        <f>IF('Feuilles=description générale'!$E$27="","",IF(AY16="","",IF(AY16&lt;=('Feuilles=description générale'!$E$25+'Feuilles=description générale'!$E$24),"",100*(AY16-'Feuilles=description générale'!$E$25-'Feuilles=description générale'!$E$24)/('Feuilles=description générale'!$E$26))))</f>
        <v/>
      </c>
      <c r="BB16" s="496">
        <f>IF('Feuilles=description générale'!$E$27="","",IF(AY16="","",100*(AY16-'Feuilles=description générale'!$E$24)/('Feuilles=description générale'!$E$27-'Feuilles=description générale'!$E$24)))</f>
        <v>4.2776827181618184</v>
      </c>
      <c r="BC16" s="497">
        <f t="shared" si="15"/>
        <v>2</v>
      </c>
      <c r="BD16" s="500">
        <f t="shared" si="16"/>
        <v>2</v>
      </c>
      <c r="BE16" s="494">
        <f t="shared" si="17"/>
        <v>10.700000000000003</v>
      </c>
      <c r="BF16" s="499" t="str">
        <f t="shared" si="18"/>
        <v/>
      </c>
      <c r="BG16" s="476"/>
      <c r="BH16" s="509">
        <v>11.5</v>
      </c>
      <c r="BI16" s="510">
        <f>SUMPRODUCT(($AA$11:$AA$170&gt;=9)*($AA$11:$AA$170&lt;14)*($AC$11:$AC$170=1))+SUMPRODUCT(($AS$11:$AS$170&gt;=9)*($AS$11:$AS$170&lt;14)*($AU$11:$AU$170=1))</f>
        <v>1</v>
      </c>
      <c r="BJ16" s="511">
        <f>SUMPRODUCT(($AA$11:$AA$170&gt;=9)*($AA$11:$AA$170&lt;14)*($AC$11:$AC$170=2))+SUMPRODUCT(($AS$11:$AS$170&gt;=9)*($AS$11:$AS$170&lt;14)*($AU$11:$AU$170=2))</f>
        <v>1</v>
      </c>
      <c r="BK16" s="511">
        <f>SUMPRODUCT(($AA$11:$AA$170&gt;=9)*($AA$11:$AA$170&lt;14)*($AC$11:$AC$170=3))+SUMPRODUCT(($AS$11:$AS$170&gt;=9)*($AS$11:$AS$170&lt;14)*($AU$11:$AU$170=3))</f>
        <v>0</v>
      </c>
      <c r="BL16" s="512">
        <f>SUMPRODUCT(($AA$11:$AA$170&gt;=9)*($AA$11:$AA$170&lt;14)*($AC$11:$AC$170=4))+SUMPRODUCT(($AS$11:$AS$170&gt;=9)*($AS$11:$AS$170&lt;14)*($AU$11:$AU$170=4))+SUMPRODUCT(($AA$11:$AA$170&gt;=9)*($AA$11:$AA$170&lt;14)*($AC$11:$AC$170=5))+SUMPRODUCT(($AS$11:$AS$170&gt;=9)*($AS$11:$AS$170&lt;14)*($AU$11:$AU$170=5))</f>
        <v>0</v>
      </c>
      <c r="BM16" s="510">
        <f>SUMPRODUCT(($AJ$11:$AJ$170&gt;=9)*($AJ$11:$AJ$170&lt;14)*($AL$11:$AL$170=1))+SUMPRODUCT(($BB$11:$BB$170&gt;=9)*($BB$11:$BB$170&lt;14)*($BD$11:$BD$170=1))</f>
        <v>0</v>
      </c>
      <c r="BN16" s="511">
        <f>SUMPRODUCT(($AJ$11:$AJ$170&gt;=9)*($AJ$11:$AJ$170&lt;14)*($AL$11:$AL$170=2))+SUMPRODUCT(($BB$11:$BB$170&gt;=9)*($BB$11:$BB$170&lt;14)*($BD$11:$BD$170=2))</f>
        <v>3</v>
      </c>
      <c r="BO16" s="511">
        <f>SUMPRODUCT(($AJ$11:$AJ$170&gt;=9)*($AJ$11:$AJ$170&lt;14)*($AL$11:$AL$170=3))+SUMPRODUCT(($BB$11:$BB$170&gt;=9)*($BB$11:$BB$170&lt;14)*($BD$11:$BD$170=3))</f>
        <v>0</v>
      </c>
      <c r="BP16" s="512">
        <f>SUMPRODUCT(($AJ$11:$AJ$170&gt;=9)*($AJ$11:$AJ$170&lt;14)*($AL$11:$AL$170=4))+SUMPRODUCT(($BB$11:$BB$170&gt;=9)*($BB$11:$BB$170&lt;14)*($BD$11:$BD$170=4))+SUMPRODUCT(($AJ$11:$AJ$170&gt;=9)*($AJ$11:$AJ$170&lt;14)*($AL$11:$AL$170=5))+SUMPRODUCT(($BB$11:$BB$170&gt;=9)*($BB$11:$BB$170&lt;14)*($BD$11:$BD$170=5))</f>
        <v>0</v>
      </c>
      <c r="BQ16" s="510">
        <f t="shared" si="33"/>
        <v>1</v>
      </c>
      <c r="BR16" s="511">
        <f t="shared" si="33"/>
        <v>4</v>
      </c>
      <c r="BS16" s="511">
        <f t="shared" si="33"/>
        <v>0</v>
      </c>
      <c r="BT16" s="512">
        <f t="shared" si="33"/>
        <v>0</v>
      </c>
      <c r="BU16" s="568"/>
      <c r="BV16" s="1114">
        <f t="shared" si="19"/>
        <v>123.20999999999988</v>
      </c>
      <c r="BW16" s="1114" t="str">
        <f t="shared" si="19"/>
        <v/>
      </c>
      <c r="BX16" s="1114">
        <f t="shared" si="20"/>
        <v>182.25</v>
      </c>
      <c r="BY16" s="1115" t="str">
        <f t="shared" si="20"/>
        <v/>
      </c>
      <c r="BZ16" s="477"/>
      <c r="CA16" s="1114">
        <f t="shared" si="21"/>
        <v>77.439999999999955</v>
      </c>
      <c r="CB16" s="1114" t="str">
        <f t="shared" si="21"/>
        <v/>
      </c>
      <c r="CC16" s="1114">
        <f t="shared" si="22"/>
        <v>114.49000000000007</v>
      </c>
      <c r="CD16" s="1115" t="str">
        <f t="shared" si="22"/>
        <v/>
      </c>
      <c r="CE16" s="568"/>
      <c r="CF16" s="509">
        <v>11.5</v>
      </c>
      <c r="CG16" s="510">
        <f>SUMIF($AA$11:$AA$170,"&lt;14",$AD$11:$AD$170)+SUMIF($AS$11:$AS$170,"&lt;14",$AV$11:$AV$170)-SUMIF($AA$11:$AA$170,"&lt;9",$AD$11:$AD$170)-SUMIF($AS$11:$AS$170,"&lt;9",$AV$11:$AV$170)</f>
        <v>33.6</v>
      </c>
      <c r="CH16" s="511">
        <f>SUMIF($AA$11:$AA$170,"&lt;14",$BV$11:$BV$170)+SUMIF($AS$11:$AS$170,"&lt;14",$CA$11:$CA$170)-SUMIF($AA$11:$AA$170,"&lt;9",$BV$11:$BV$170)-SUMIF($AS$11:$AS$170,"&lt;9",$CA$11:$CA$170)</f>
        <v>576.97999999999979</v>
      </c>
      <c r="CI16" s="511">
        <f>SUMPRODUCT(($AA$11:$AA$170&lt;14)*($AD$11:$AD$170&lt;&gt;""))+SUMPRODUCT(($AS$11:$AS$170&lt;14)*($AV$11:$AV$170&lt;&gt;""))-SUMPRODUCT(($AA$11:$AA$170&lt;9)*($AD$11:$AD$170&lt;&gt;""))-SUMPRODUCT(($AS$11:$AS$170&lt;9)*($AV$11:$AV$170&lt;&gt;""))</f>
        <v>2</v>
      </c>
      <c r="CJ16" s="511">
        <f t="shared" si="37"/>
        <v>16.8</v>
      </c>
      <c r="CK16" s="512">
        <f>IF(CI16&lt;2,0,IF((CH16/CI16-CJ16*CJ16)/(CI16-1)&lt;0,0,SQRT((CH16/CI16-CJ16*CJ16)/(CI16-1))))</f>
        <v>2.4999999999999774</v>
      </c>
      <c r="CL16" s="510">
        <f>SUMIF($AJ$11:$AJ$170,"&lt;14",$AM$11:$AM$170)+SUMIF($BB$11:$BB$170,"&lt;14",$BE$11:$BE$170)-SUMIF($AJ$11:$AJ$170,"&lt;9",$AM$11:$AM$170)-SUMIF($BB$11:$BB$170,"&lt;9",$BE$11:$BE$170)</f>
        <v>40.600000000000009</v>
      </c>
      <c r="CM16" s="511">
        <f>SUMIF($AJ$11:$AJ$170,"&lt;14",$BX$11:$BX$170)+SUMIF($BB$11:$BB$170,"&lt;14",$CC$11:$CC$170)-SUMIF($AJ$11:$AJ$170,"&lt;9",$BX$11:$BX$170)-SUMIF($BB$11:$BB$170,"&lt;9",$CC$11:$CC$170)</f>
        <v>582.26000000000022</v>
      </c>
      <c r="CN16" s="511">
        <f>SUMPRODUCT(($AJ$11:$AJ$170&lt;14)*($AM$11:$AM$170&lt;&gt;""))+SUMPRODUCT(($BB$11:$BB$170&lt;14)*($BE$11:$BE$170&lt;&gt;""))-SUMPRODUCT(($AJ$11:$AJ$170&lt;9)*($AM$11:$AM$170&lt;&gt;""))-SUMPRODUCT(($BB$11:$BB$170&lt;9)*($BE$11:$BE$170&lt;&gt;""))</f>
        <v>3</v>
      </c>
      <c r="CO16" s="511">
        <f t="shared" si="38"/>
        <v>13.533333333333337</v>
      </c>
      <c r="CP16" s="512">
        <f>IF(CN16&lt;2,0,IF((CM16/CN16-CO16*CO16)/(CN16-1)&lt;0,0,SQRT((CM16/CN16-CO16*CO16)/(CN16-1))))</f>
        <v>2.3383279876394094</v>
      </c>
      <c r="CQ16" s="510">
        <f t="shared" si="34"/>
        <v>74.200000000000017</v>
      </c>
      <c r="CR16" s="511">
        <f t="shared" si="34"/>
        <v>1159.24</v>
      </c>
      <c r="CS16" s="511">
        <f t="shared" si="34"/>
        <v>5</v>
      </c>
      <c r="CT16" s="511">
        <f t="shared" si="35"/>
        <v>14.840000000000003</v>
      </c>
      <c r="CU16" s="512">
        <f>IF(CS16&lt;2,0,IF((CR16/CS16-CT16*CT16)/(CS16-1)&lt;0,0,SQRT((CR16/CS16-CT16*CT16)/(CS16-1))))</f>
        <v>1.7045820602129951</v>
      </c>
      <c r="CV16" s="476"/>
      <c r="CW16" s="345"/>
      <c r="CX16" s="345"/>
      <c r="CY16" s="345"/>
      <c r="CZ16" s="345"/>
      <c r="DA16" s="345"/>
      <c r="DB16" s="345"/>
      <c r="DC16" s="345"/>
      <c r="DD16" s="345"/>
      <c r="DE16" s="345"/>
      <c r="DF16" s="345"/>
      <c r="DG16" s="345"/>
      <c r="DH16" s="345"/>
      <c r="DI16" s="345"/>
      <c r="DJ16" s="345"/>
      <c r="DK16" s="345"/>
      <c r="DL16" s="345"/>
      <c r="DM16" s="345"/>
      <c r="DN16" s="345"/>
      <c r="DO16" s="345"/>
      <c r="DP16" s="345"/>
      <c r="DQ16" s="345"/>
      <c r="DR16" s="345"/>
      <c r="DS16" s="345"/>
      <c r="DT16" s="345"/>
      <c r="DU16" s="345"/>
      <c r="DV16" s="345"/>
      <c r="DW16" s="345"/>
      <c r="DX16" s="345"/>
      <c r="DY16" s="345"/>
      <c r="DZ16" s="345"/>
      <c r="EA16" s="345"/>
      <c r="EB16" s="345"/>
      <c r="EC16" s="345"/>
      <c r="ED16" s="345"/>
      <c r="EE16" s="345"/>
      <c r="EF16" s="345"/>
      <c r="EG16" s="345"/>
      <c r="EH16" s="345"/>
      <c r="EI16" s="345"/>
      <c r="EJ16" s="345"/>
      <c r="EK16" s="345"/>
      <c r="EL16" s="345"/>
      <c r="EM16" s="345"/>
      <c r="EN16" s="345"/>
      <c r="EO16" s="345"/>
      <c r="EP16" s="345"/>
      <c r="EQ16" s="345"/>
      <c r="ER16" s="345"/>
      <c r="ES16" s="345"/>
      <c r="ET16" s="345"/>
      <c r="EU16" s="345"/>
      <c r="EV16" s="345"/>
      <c r="EW16" s="345"/>
      <c r="EX16" s="345"/>
      <c r="EY16" s="345"/>
      <c r="EZ16" s="345"/>
      <c r="FA16" s="345"/>
      <c r="FB16" s="345"/>
      <c r="FC16" s="345"/>
      <c r="FD16" s="345"/>
      <c r="FE16" s="345"/>
      <c r="FF16" s="345"/>
      <c r="FG16" s="345"/>
      <c r="FH16" s="345"/>
      <c r="FI16" s="345"/>
      <c r="FJ16" s="345"/>
      <c r="FK16" s="345"/>
      <c r="FL16" s="345"/>
      <c r="FM16" s="345"/>
      <c r="FN16" s="345"/>
      <c r="FO16" s="345"/>
      <c r="FP16" s="345"/>
      <c r="FQ16" s="345"/>
      <c r="FR16" s="345"/>
      <c r="FS16" s="345"/>
      <c r="FT16" s="345"/>
      <c r="FU16" s="345"/>
      <c r="FV16" s="345"/>
      <c r="FW16" s="345"/>
      <c r="FX16" s="345"/>
      <c r="FY16" s="345"/>
      <c r="FZ16" s="345"/>
      <c r="GA16" s="345"/>
      <c r="GB16" s="345"/>
      <c r="GC16" s="345"/>
      <c r="GD16" s="345"/>
      <c r="GE16" s="345"/>
      <c r="GF16" s="345"/>
      <c r="GG16" s="345"/>
      <c r="GH16" s="345"/>
      <c r="GI16" s="345"/>
      <c r="GJ16" s="345"/>
      <c r="GK16" s="345"/>
      <c r="GL16" s="345"/>
      <c r="GM16" s="345"/>
      <c r="GN16" s="345"/>
      <c r="GO16" s="345"/>
      <c r="GP16" s="345"/>
      <c r="GQ16" s="345"/>
      <c r="GR16" s="345"/>
      <c r="GS16" s="345"/>
      <c r="GT16" s="345"/>
      <c r="GU16" s="345"/>
    </row>
    <row r="17" spans="1:203" ht="12.75" customHeight="1">
      <c r="A17" s="465">
        <f t="shared" si="31"/>
        <v>1</v>
      </c>
      <c r="B17" s="1108">
        <v>7</v>
      </c>
      <c r="C17" s="1109">
        <v>0</v>
      </c>
      <c r="D17" s="398">
        <v>53.3</v>
      </c>
      <c r="E17" s="1120"/>
      <c r="F17" s="465">
        <f t="shared" si="36"/>
        <v>1</v>
      </c>
      <c r="G17" s="1108">
        <v>7</v>
      </c>
      <c r="H17" s="1109">
        <v>1</v>
      </c>
      <c r="I17" s="398">
        <v>53.5</v>
      </c>
      <c r="J17" s="1120"/>
      <c r="K17" s="465"/>
      <c r="L17" s="465"/>
      <c r="M17" s="465">
        <f t="shared" si="23"/>
        <v>1</v>
      </c>
      <c r="N17" s="1108">
        <v>7</v>
      </c>
      <c r="O17" s="1109">
        <v>1</v>
      </c>
      <c r="P17" s="1110">
        <v>53</v>
      </c>
      <c r="Q17" s="1120"/>
      <c r="R17" s="465">
        <f t="shared" si="24"/>
        <v>1</v>
      </c>
      <c r="S17" s="1108">
        <v>7</v>
      </c>
      <c r="T17" s="1109">
        <v>0</v>
      </c>
      <c r="U17" s="1110">
        <v>51.2</v>
      </c>
      <c r="V17" s="1120"/>
      <c r="W17" s="371"/>
      <c r="X17" s="494">
        <f t="shared" si="0"/>
        <v>53.3</v>
      </c>
      <c r="Y17" s="495">
        <f>IF('Feuilles=description générale'!$E$13="","",IF(X17="","",IF(X17&gt;('Feuilles=description générale'!$E$11+'Feuilles=description générale'!$E$10),"",100*(X17-'Feuilles=description générale'!$E$10)/('Feuilles=description générale'!$E$11))))</f>
        <v>33.813137922009943</v>
      </c>
      <c r="Z17" s="495" t="str">
        <f>IF('Feuilles=description générale'!$E$13="","",IF(X17="","",IF(X17&lt;=('Feuilles=description générale'!$E$11+'Feuilles=description générale'!$E$10),"",100*(X17-'Feuilles=description générale'!$E$11-'Feuilles=description générale'!$E$10)/('Feuilles=description générale'!$E$12))))</f>
        <v/>
      </c>
      <c r="AA17" s="1112">
        <f>IF('Feuilles=description générale'!$E$13="","",IF(X17="","",100*(X17-'Feuilles=description générale'!$E$10)/('Feuilles=description générale'!$E$13-'Feuilles=description générale'!$E$10)))</f>
        <v>8.3678756476683933</v>
      </c>
      <c r="AB17" s="497">
        <f t="shared" si="1"/>
        <v>1</v>
      </c>
      <c r="AC17" s="500">
        <f t="shared" si="32"/>
        <v>1</v>
      </c>
      <c r="AD17" s="494">
        <f t="shared" si="2"/>
        <v>13.900000000000006</v>
      </c>
      <c r="AE17" s="499" t="str">
        <f t="shared" si="3"/>
        <v/>
      </c>
      <c r="AF17" s="371"/>
      <c r="AG17" s="494">
        <f t="shared" si="4"/>
        <v>53.5</v>
      </c>
      <c r="AH17" s="495">
        <f>IF('Feuilles=description générale'!$E$13="","",IF(AG17="","",IF(AG17&gt;('Feuilles=description générale'!$E$11+'Feuilles=description générale'!$E$10),"",100*(AG17-'Feuilles=description générale'!$E$10)/('Feuilles=description générale'!$E$11))))</f>
        <v>34.022507197068833</v>
      </c>
      <c r="AI17" s="495" t="str">
        <f>IF('Feuilles=description générale'!$E$13="","",IF(AG17="","",IF(AG17&lt;=('Feuilles=description générale'!$E$11+'Feuilles=description générale'!$E$10),"",100*(AG17-'Feuilles=description générale'!$E$11-'Feuilles=description générale'!$E$10)/('Feuilles=description générale'!$E$12))))</f>
        <v/>
      </c>
      <c r="AJ17" s="496">
        <f>IF('Feuilles=description générale'!$E$13="","",IF(AG17="","",100*(AG17-'Feuilles=description générale'!$E$10)/('Feuilles=description générale'!$E$13-'Feuilles=description générale'!$E$10)))</f>
        <v>8.4196891191709842</v>
      </c>
      <c r="AK17" s="1113">
        <f t="shared" si="5"/>
        <v>1</v>
      </c>
      <c r="AL17" s="498" t="str">
        <f t="shared" si="6"/>
        <v/>
      </c>
      <c r="AM17" s="494" t="str">
        <f t="shared" si="7"/>
        <v/>
      </c>
      <c r="AN17" s="499">
        <f t="shared" si="8"/>
        <v>3.2999999999999972</v>
      </c>
      <c r="AO17" s="371"/>
      <c r="AP17" s="494">
        <f t="shared" si="9"/>
        <v>53</v>
      </c>
      <c r="AQ17" s="495">
        <f>IF('Feuilles=description générale'!$E$13="","",IF(AP17="","",IF(AP17&gt;('Feuilles=description générale'!$E$25+'Feuilles=description générale'!$E$24),"",100*(AP17-'Feuilles=description générale'!$E$24)/('Feuilles=description générale'!$E$25))))</f>
        <v>32.485110990795889</v>
      </c>
      <c r="AR17" s="495" t="str">
        <f>IF('Feuilles=description générale'!$E$27="","",IF(AP17="","",IF(AP17&lt;=('Feuilles=description générale'!$E$25+'Feuilles=description générale'!$E$24),"",100*(AP17-'Feuilles=description générale'!$E$25-'Feuilles=description générale'!$E$24)/('Feuilles=description générale'!$E$26))))</f>
        <v/>
      </c>
      <c r="AS17" s="496">
        <f>IF('Feuilles=description générale'!$E$27="","",IF(AP17="","",100*(AP17-'Feuilles=description générale'!$E$24)/('Feuilles=description générale'!$E$27-'Feuilles=description générale'!$E$24)))</f>
        <v>7.3331703739916883</v>
      </c>
      <c r="AT17" s="497">
        <f t="shared" si="10"/>
        <v>1</v>
      </c>
      <c r="AU17" s="500" t="str">
        <f t="shared" si="11"/>
        <v/>
      </c>
      <c r="AV17" s="494" t="str">
        <f t="shared" si="12"/>
        <v/>
      </c>
      <c r="AW17" s="499">
        <f t="shared" si="13"/>
        <v>2.7999999999999972</v>
      </c>
      <c r="AX17" s="371"/>
      <c r="AY17" s="494">
        <f t="shared" si="14"/>
        <v>51.2</v>
      </c>
      <c r="AZ17" s="495">
        <f>IF('Feuilles=description générale'!$E$13="","",IF(AY17="","",IF(AY17&gt;('Feuilles=description générale'!$E$25+'Feuilles=description générale'!$E$24),"",100*(AY17-'Feuilles=description générale'!$E$24)/('Feuilles=description générale'!$E$25))))</f>
        <v>30.536004331348138</v>
      </c>
      <c r="BA17" s="495" t="str">
        <f>IF('Feuilles=description générale'!$E$27="","",IF(AY17="","",IF(AY17&lt;=('Feuilles=description générale'!$E$25+'Feuilles=description générale'!$E$24),"",100*(AY17-'Feuilles=description générale'!$E$25-'Feuilles=description générale'!$E$24)/('Feuilles=description générale'!$E$26))))</f>
        <v/>
      </c>
      <c r="BB17" s="496">
        <f>IF('Feuilles=description générale'!$E$27="","",IF(AY17="","",100*(AY17-'Feuilles=description générale'!$E$24)/('Feuilles=description générale'!$E$27-'Feuilles=description générale'!$E$24)))</f>
        <v>6.8931801515521887</v>
      </c>
      <c r="BC17" s="497">
        <f t="shared" si="15"/>
        <v>1</v>
      </c>
      <c r="BD17" s="500">
        <f t="shared" si="16"/>
        <v>1</v>
      </c>
      <c r="BE17" s="494">
        <f t="shared" si="17"/>
        <v>10.5</v>
      </c>
      <c r="BF17" s="499" t="str">
        <f t="shared" si="18"/>
        <v/>
      </c>
      <c r="BG17" s="476"/>
      <c r="BH17" s="509">
        <v>17</v>
      </c>
      <c r="BI17" s="510">
        <f>SUMPRODUCT(($AA$11:$AA$170&gt;=14)*($AA$11:$AA$170&lt;20)*($AC$11:$AC$170=1))+SUMPRODUCT(($AS$11:$AS$170&gt;=14)*($AS$11:$AS$170&lt;20)*($AU$11:$AU$170=1))</f>
        <v>0</v>
      </c>
      <c r="BJ17" s="511">
        <f>SUMPRODUCT(($AA$11:$AA$170&gt;=14)*($AA$11:$AA$170&lt;20)*($AC$11:$AC$170=2))+SUMPRODUCT(($AS$11:$AS$170&gt;=14)*($AS$11:$AS$170&lt;20)*($AU$11:$AU$170=2))</f>
        <v>3</v>
      </c>
      <c r="BK17" s="511">
        <f>SUMPRODUCT(($AA$11:$AA$170&gt;=14)*($AA$11:$AA$170&lt;20)*($AC$11:$AC$170=3))+SUMPRODUCT(($AS$11:$AS$170&gt;=14)*($AS$11:$AS$170&lt;20)*($AU$11:$AU$170=3))</f>
        <v>0</v>
      </c>
      <c r="BL17" s="512">
        <f>SUMPRODUCT(($AA$11:$AA$170&gt;=14)*($AA$11:$AA$170&lt;20)*($AC$11:$AC$170=4))+SUMPRODUCT(($AS$11:$AS$170&gt;=14)*($AS$11:$AS$170&lt;20)*($AU$11:$AU$170=4))+SUMPRODUCT(($AA$11:$AA$170&gt;=14)*($AA$11:$AA$170&lt;20)*($AC$11:$AC$170=5))+SUMPRODUCT(($AS$11:$AS$170&gt;=2)*($AS$11:$AS$170&lt;20)*($AU$11:$AU$170=5))</f>
        <v>0</v>
      </c>
      <c r="BM17" s="510">
        <f>SUMPRODUCT(($AJ$11:$AJ$170&gt;=14)*($AJ$11:$AJ$170&lt;20)*($AL$11:$AL$170=1))+SUMPRODUCT(($BB$11:$BB$170&gt;=14)*($BB$11:$BB$170&lt;20)*($BD$11:$BD$170=1))</f>
        <v>0</v>
      </c>
      <c r="BN17" s="511">
        <f>SUMPRODUCT(($AJ$11:$AJ$170&gt;=14)*($AJ$11:$AJ$170&lt;20)*($AL$11:$AL$170=2))+SUMPRODUCT(($BB$11:$BB$170&gt;=14)*($BB$11:$BB$170&lt;20)*($BD$11:$BD$170=2))</f>
        <v>3</v>
      </c>
      <c r="BO17" s="511">
        <f>SUMPRODUCT(($AJ$11:$AJ$170&gt;=14)*($AJ$11:$AJ$170&lt;20)*($AL$11:$AL$170=3))+SUMPRODUCT(($BB$11:$BB$170&gt;=14)*($BB$11:$BB$170&lt;20)*($BD$11:$BD$170=3))</f>
        <v>0</v>
      </c>
      <c r="BP17" s="512">
        <f>SUMPRODUCT(($AJ$11:$AJ$170&gt;=14)*($AJ$11:$AJ$170&lt;20)*($AL$11:$AL$170=4))+SUMPRODUCT(($BB$11:$BB$170&gt;=14)*($BB$11:$BB$170&lt;20)*($BD$11:$BD$170=4))+SUMPRODUCT(($AJ$11:$AJ$170&gt;=14)*($AJ$11:$AJ$170&lt;20)*($AL$11:$AL$170=5))+SUMPRODUCT(($BB$11:$BB$170&gt;=14)*($BB$11:$BB$170&lt;20)*($BD$11:$BD$170=5))</f>
        <v>0</v>
      </c>
      <c r="BQ17" s="510">
        <f t="shared" si="33"/>
        <v>0</v>
      </c>
      <c r="BR17" s="511">
        <f t="shared" si="33"/>
        <v>6</v>
      </c>
      <c r="BS17" s="511">
        <f t="shared" si="33"/>
        <v>0</v>
      </c>
      <c r="BT17" s="512">
        <f t="shared" si="33"/>
        <v>0</v>
      </c>
      <c r="BU17" s="568"/>
      <c r="BV17" s="1114">
        <f t="shared" si="19"/>
        <v>193.21000000000015</v>
      </c>
      <c r="BW17" s="1114" t="str">
        <f t="shared" si="19"/>
        <v/>
      </c>
      <c r="BX17" s="1114" t="str">
        <f t="shared" si="20"/>
        <v/>
      </c>
      <c r="BY17" s="1115">
        <f t="shared" si="20"/>
        <v>10.889999999999981</v>
      </c>
      <c r="BZ17" s="477"/>
      <c r="CA17" s="1114" t="str">
        <f t="shared" si="21"/>
        <v/>
      </c>
      <c r="CB17" s="1114">
        <f t="shared" si="21"/>
        <v>7.8399999999999839</v>
      </c>
      <c r="CC17" s="1114">
        <f t="shared" si="22"/>
        <v>110.25</v>
      </c>
      <c r="CD17" s="1115" t="str">
        <f t="shared" si="22"/>
        <v/>
      </c>
      <c r="CE17" s="568"/>
      <c r="CF17" s="509">
        <v>17</v>
      </c>
      <c r="CG17" s="510">
        <f>SUMIF($AA$11:$AA$170,"&lt;20",$AD$11:$AD$170)+SUMIF($AS$11:$AS$170,"&lt;20",$AV$11:$AV$170)-SUMIF($AA$11:$AA$170,"&lt;14",$AD$11:$AD$170)-SUMIF($AS$11:$AS$170,"&lt;14",$AV$11:$AV$170)</f>
        <v>47.699999999999996</v>
      </c>
      <c r="CH17" s="511">
        <f>SUMIF($AA$11:$AA$170,"&lt;20",$BV$11:$BV$170)+SUMIF($AS$11:$AS$170,"&lt;20",$CA$11:$CA$170)-SUMIF($AA$11:$AA$170,"&lt;14",$BV$11:$BV$170)-SUMIF($AS$11:$AS$170,"&lt;14",$CA$11:$CA$170)</f>
        <v>793.25000000000011</v>
      </c>
      <c r="CI17" s="511">
        <f>SUMPRODUCT(($AA$11:$AA$170&lt;20)*($AD$11:$AD$170&lt;&gt;""))+SUMPRODUCT(($AS$11:$AS$170&lt;20)*($AV$11:$AV$170&lt;&gt;""))-SUMPRODUCT(($AA$11:$AA$170&lt;14)*($AD$11:$AD$170&lt;&gt;""))-SUMPRODUCT(($AS$11:$AS$170&lt;14)*($AV$11:$AV$170&lt;&gt;""))</f>
        <v>3</v>
      </c>
      <c r="CJ17" s="511">
        <f t="shared" si="37"/>
        <v>15.899999999999999</v>
      </c>
      <c r="CK17" s="512">
        <f>IF(CI17&lt;2,0,IF((CH17/CI17-CJ17*CJ17)/(CI17-1)&lt;0,0,SQRT((CH17/CI17-CJ17*CJ17)/(CI17-1))))</f>
        <v>2.4090108620206281</v>
      </c>
      <c r="CL17" s="510">
        <f>SUMIF($AJ$11:$AJ$170,"&lt;20",$AM$11:$AM$170)+SUMIF($BB$11:$BB$170,"&lt;20",$BE$11:$BE$170)-SUMIF($AJ$11:$AJ$170,"&lt;14",$AM$11:$AM$170)-SUMIF($BB$11:$BB$170,"&lt;14",$BE$11:$BE$170)</f>
        <v>52.600000000000009</v>
      </c>
      <c r="CM17" s="511">
        <f>SUMIF($AJ$11:$AJ$170,"&lt;20",$BX$11:$BX$170)+SUMIF($BB$11:$BB$170,"&lt;20",$CC$11:$CC$170)-SUMIF($AJ$11:$AJ$170,"&lt;14",$BX$11:$BX$170)-SUMIF($BB$11:$BB$170,"&lt;14",$CC$11:$CC$170)</f>
        <v>924.41999999999973</v>
      </c>
      <c r="CN17" s="511">
        <f>SUMPRODUCT(($AJ$11:$AJ$170&lt;20)*($AM$11:$AM$170&lt;&gt;""))+SUMPRODUCT(($BB$11:$BB$170&lt;20)*($BE$11:$BE$170&lt;&gt;""))-SUMPRODUCT(($AJ$11:$AJ$170&lt;14)*($AM$11:$AM$170&lt;&gt;""))-SUMPRODUCT(($BB$11:$BB$170&lt;14)*($BE$11:$BE$170&lt;&gt;""))</f>
        <v>3</v>
      </c>
      <c r="CO17" s="511">
        <f t="shared" si="38"/>
        <v>17.533333333333335</v>
      </c>
      <c r="CP17" s="512">
        <f>IF(CN17&lt;2,0,IF((CM17/CN17-CO17*CO17)/(CN17-1)&lt;0,0,SQRT((CM17/CN17-CO17*CO17)/(CN17-1))))</f>
        <v>0.60092521257728693</v>
      </c>
      <c r="CQ17" s="510">
        <f t="shared" si="34"/>
        <v>100.30000000000001</v>
      </c>
      <c r="CR17" s="511">
        <f t="shared" si="34"/>
        <v>1717.6699999999998</v>
      </c>
      <c r="CS17" s="511">
        <f t="shared" si="34"/>
        <v>6</v>
      </c>
      <c r="CT17" s="511">
        <f t="shared" si="35"/>
        <v>16.716666666666669</v>
      </c>
      <c r="CU17" s="512">
        <f>IF(CS17&lt;2,0,IF((CR17/CS17-CT17*CT17)/(CS17-1)&lt;0,0,SQRT((CR17/CS17-CT17*CT17)/(CS17-1))))</f>
        <v>1.1688788550477587</v>
      </c>
      <c r="CV17" s="476"/>
      <c r="CW17" s="345"/>
      <c r="CX17" s="345"/>
      <c r="CY17" s="345"/>
      <c r="CZ17" s="345"/>
      <c r="DA17" s="345"/>
      <c r="DB17" s="345"/>
      <c r="DC17" s="345"/>
      <c r="DD17" s="345"/>
      <c r="DE17" s="345"/>
      <c r="DF17" s="345"/>
      <c r="DG17" s="345"/>
      <c r="DH17" s="345"/>
      <c r="DI17" s="345"/>
      <c r="DJ17" s="345"/>
      <c r="DK17" s="345"/>
      <c r="DL17" s="345"/>
      <c r="DM17" s="345"/>
      <c r="DN17" s="345"/>
      <c r="DO17" s="345"/>
      <c r="DP17" s="345"/>
      <c r="DQ17" s="345"/>
      <c r="DR17" s="345"/>
      <c r="DS17" s="345"/>
      <c r="DT17" s="345"/>
      <c r="DU17" s="345"/>
      <c r="DV17" s="345"/>
      <c r="DW17" s="345"/>
      <c r="DX17" s="345"/>
      <c r="DY17" s="345"/>
      <c r="DZ17" s="345"/>
      <c r="EA17" s="345"/>
      <c r="EB17" s="345"/>
      <c r="EC17" s="345"/>
      <c r="ED17" s="345"/>
      <c r="EE17" s="345"/>
      <c r="EF17" s="345"/>
      <c r="EG17" s="345"/>
      <c r="EH17" s="345"/>
      <c r="EI17" s="345"/>
      <c r="EJ17" s="345"/>
      <c r="EK17" s="345"/>
      <c r="EL17" s="345"/>
      <c r="EM17" s="345"/>
      <c r="EN17" s="345"/>
      <c r="EO17" s="345"/>
      <c r="EP17" s="345"/>
      <c r="EQ17" s="345"/>
      <c r="ER17" s="345"/>
      <c r="ES17" s="345"/>
      <c r="ET17" s="345"/>
      <c r="EU17" s="345"/>
      <c r="EV17" s="345"/>
      <c r="EW17" s="345"/>
      <c r="EX17" s="345"/>
      <c r="EY17" s="345"/>
      <c r="EZ17" s="345"/>
      <c r="FA17" s="345"/>
      <c r="FB17" s="345"/>
      <c r="FC17" s="345"/>
      <c r="FD17" s="345"/>
      <c r="FE17" s="345"/>
      <c r="FF17" s="345"/>
      <c r="FG17" s="345"/>
      <c r="FH17" s="345"/>
      <c r="FI17" s="345"/>
      <c r="FJ17" s="345"/>
      <c r="FK17" s="345"/>
      <c r="FL17" s="345"/>
      <c r="FM17" s="345"/>
      <c r="FN17" s="345"/>
      <c r="FO17" s="345"/>
      <c r="FP17" s="345"/>
      <c r="FQ17" s="345"/>
      <c r="FR17" s="345"/>
      <c r="FS17" s="345"/>
      <c r="FT17" s="345"/>
      <c r="FU17" s="345"/>
      <c r="FV17" s="345"/>
      <c r="FW17" s="345"/>
      <c r="FX17" s="345"/>
      <c r="FY17" s="345"/>
      <c r="FZ17" s="345"/>
      <c r="GA17" s="345"/>
      <c r="GB17" s="345"/>
      <c r="GC17" s="345"/>
      <c r="GD17" s="345"/>
      <c r="GE17" s="345"/>
      <c r="GF17" s="345"/>
      <c r="GG17" s="345"/>
      <c r="GH17" s="345"/>
      <c r="GI17" s="345"/>
      <c r="GJ17" s="345"/>
      <c r="GK17" s="345"/>
      <c r="GL17" s="345"/>
      <c r="GM17" s="345"/>
      <c r="GN17" s="345"/>
      <c r="GO17" s="345"/>
      <c r="GP17" s="345"/>
      <c r="GQ17" s="345"/>
      <c r="GR17" s="345"/>
      <c r="GS17" s="345"/>
      <c r="GT17" s="345"/>
      <c r="GU17" s="345"/>
    </row>
    <row r="18" spans="1:203" ht="12.75" customHeight="1">
      <c r="A18" s="465">
        <f t="shared" si="31"/>
        <v>1</v>
      </c>
      <c r="B18" s="1108">
        <v>8</v>
      </c>
      <c r="C18" s="1109">
        <v>1</v>
      </c>
      <c r="D18" s="398">
        <v>67.2</v>
      </c>
      <c r="E18" s="1120"/>
      <c r="F18" s="465">
        <f t="shared" si="36"/>
        <v>1</v>
      </c>
      <c r="G18" s="1108">
        <v>8</v>
      </c>
      <c r="H18" s="1109">
        <v>-1</v>
      </c>
      <c r="I18" s="398">
        <v>56.8</v>
      </c>
      <c r="J18" s="1120"/>
      <c r="K18" s="465"/>
      <c r="L18" s="465"/>
      <c r="M18" s="465">
        <f t="shared" si="23"/>
        <v>1</v>
      </c>
      <c r="N18" s="1108">
        <v>8</v>
      </c>
      <c r="O18" s="1109">
        <v>-1</v>
      </c>
      <c r="P18" s="1110">
        <v>55.8</v>
      </c>
      <c r="Q18" s="1120"/>
      <c r="R18" s="465">
        <f t="shared" si="24"/>
        <v>1</v>
      </c>
      <c r="S18" s="1108">
        <v>8</v>
      </c>
      <c r="T18" s="1109">
        <v>1</v>
      </c>
      <c r="U18" s="1110">
        <v>61.7</v>
      </c>
      <c r="V18" s="1120"/>
      <c r="W18" s="371"/>
      <c r="X18" s="494">
        <f t="shared" si="0"/>
        <v>67.2</v>
      </c>
      <c r="Y18" s="495">
        <f>IF('Feuilles=description générale'!$E$13="","",IF(X18="","",IF(X18&gt;('Feuilles=description générale'!$E$11+'Feuilles=description générale'!$E$10),"",100*(X18-'Feuilles=description générale'!$E$10)/('Feuilles=description générale'!$E$11))))</f>
        <v>48.364302538602466</v>
      </c>
      <c r="Z18" s="495" t="str">
        <f>IF('Feuilles=description générale'!$E$13="","",IF(X18="","",IF(X18&lt;=('Feuilles=description générale'!$E$11+'Feuilles=description générale'!$E$10),"",100*(X18-'Feuilles=description générale'!$E$11-'Feuilles=description générale'!$E$10)/('Feuilles=description générale'!$E$12))))</f>
        <v/>
      </c>
      <c r="AA18" s="1112">
        <f>IF('Feuilles=description générale'!$E$13="","",IF(X18="","",100*(X18-'Feuilles=description générale'!$E$10)/('Feuilles=description générale'!$E$13-'Feuilles=description générale'!$E$10)))</f>
        <v>11.968911917098445</v>
      </c>
      <c r="AB18" s="497">
        <f t="shared" si="1"/>
        <v>1</v>
      </c>
      <c r="AC18" s="500" t="str">
        <f t="shared" si="32"/>
        <v/>
      </c>
      <c r="AD18" s="494" t="str">
        <f t="shared" si="2"/>
        <v/>
      </c>
      <c r="AE18" s="499">
        <f t="shared" si="3"/>
        <v>1.7999999999999972</v>
      </c>
      <c r="AF18" s="371"/>
      <c r="AG18" s="494">
        <f t="shared" si="4"/>
        <v>56.8</v>
      </c>
      <c r="AH18" s="495">
        <f>IF('Feuilles=description générale'!$E$13="","",IF(AG18="","",IF(AG18&gt;('Feuilles=description générale'!$E$11+'Feuilles=description générale'!$E$10),"",100*(AG18-'Feuilles=description générale'!$E$10)/('Feuilles=description générale'!$E$11))))</f>
        <v>37.477100235540433</v>
      </c>
      <c r="AI18" s="495" t="str">
        <f>IF('Feuilles=description générale'!$E$13="","",IF(AG18="","",IF(AG18&lt;=('Feuilles=description générale'!$E$11+'Feuilles=description générale'!$E$10),"",100*(AG18-'Feuilles=description générale'!$E$11-'Feuilles=description générale'!$E$10)/('Feuilles=description générale'!$E$12))))</f>
        <v/>
      </c>
      <c r="AJ18" s="496">
        <f>IF('Feuilles=description générale'!$E$13="","",IF(AG18="","",100*(AG18-'Feuilles=description générale'!$E$10)/('Feuilles=description générale'!$E$13-'Feuilles=description générale'!$E$10)))</f>
        <v>9.2746113989637298</v>
      </c>
      <c r="AK18" s="1113">
        <f t="shared" si="5"/>
        <v>2</v>
      </c>
      <c r="AL18" s="498">
        <f t="shared" si="6"/>
        <v>2</v>
      </c>
      <c r="AM18" s="494">
        <f t="shared" si="7"/>
        <v>17.900000000000006</v>
      </c>
      <c r="AN18" s="499" t="str">
        <f t="shared" si="8"/>
        <v/>
      </c>
      <c r="AO18" s="371"/>
      <c r="AP18" s="494">
        <f t="shared" si="9"/>
        <v>55.8</v>
      </c>
      <c r="AQ18" s="495">
        <f>IF('Feuilles=description générale'!$E$13="","",IF(AP18="","",IF(AP18&gt;('Feuilles=description générale'!$E$25+'Feuilles=description générale'!$E$24),"",100*(AP18-'Feuilles=description générale'!$E$24)/('Feuilles=description générale'!$E$25))))</f>
        <v>35.517054683270167</v>
      </c>
      <c r="AR18" s="495" t="str">
        <f>IF('Feuilles=description générale'!$E$27="","",IF(AP18="","",IF(AP18&lt;=('Feuilles=description générale'!$E$25+'Feuilles=description générale'!$E$24),"",100*(AP18-'Feuilles=description générale'!$E$25-'Feuilles=description générale'!$E$24)/('Feuilles=description générale'!$E$26))))</f>
        <v/>
      </c>
      <c r="AS18" s="496">
        <f>IF('Feuilles=description générale'!$E$27="","",IF(AP18="","",100*(AP18-'Feuilles=description générale'!$E$24)/('Feuilles=description générale'!$E$27-'Feuilles=description générale'!$E$24)))</f>
        <v>8.0175996088975783</v>
      </c>
      <c r="AT18" s="497">
        <f t="shared" si="10"/>
        <v>2</v>
      </c>
      <c r="AU18" s="500">
        <f t="shared" si="11"/>
        <v>2</v>
      </c>
      <c r="AV18" s="494">
        <f t="shared" si="12"/>
        <v>13.200000000000003</v>
      </c>
      <c r="AW18" s="499" t="str">
        <f t="shared" si="13"/>
        <v/>
      </c>
      <c r="AX18" s="371"/>
      <c r="AY18" s="494">
        <f t="shared" si="14"/>
        <v>61.7</v>
      </c>
      <c r="AZ18" s="495">
        <f>IF('Feuilles=description générale'!$E$13="","",IF(AY18="","",IF(AY18&gt;('Feuilles=description générale'!$E$25+'Feuilles=description générale'!$E$24),"",100*(AY18-'Feuilles=description générale'!$E$24)/('Feuilles=description générale'!$E$25))))</f>
        <v>41.9057931781267</v>
      </c>
      <c r="BA18" s="495" t="str">
        <f>IF('Feuilles=description générale'!$E$27="","",IF(AY18="","",IF(AY18&lt;=('Feuilles=description générale'!$E$25+'Feuilles=description générale'!$E$24),"",100*(AY18-'Feuilles=description générale'!$E$25-'Feuilles=description générale'!$E$24)/('Feuilles=description générale'!$E$26))))</f>
        <v/>
      </c>
      <c r="BB18" s="496">
        <f>IF('Feuilles=description générale'!$E$27="","",IF(AY18="","",100*(AY18-'Feuilles=description générale'!$E$24)/('Feuilles=description générale'!$E$27-'Feuilles=description générale'!$E$24)))</f>
        <v>9.4597897824492794</v>
      </c>
      <c r="BC18" s="497">
        <f t="shared" si="15"/>
        <v>1</v>
      </c>
      <c r="BD18" s="500" t="str">
        <f t="shared" si="16"/>
        <v/>
      </c>
      <c r="BE18" s="494" t="str">
        <f t="shared" si="17"/>
        <v/>
      </c>
      <c r="BF18" s="499">
        <f t="shared" si="18"/>
        <v>1.5999999999999943</v>
      </c>
      <c r="BG18" s="476"/>
      <c r="BH18" s="509">
        <v>24</v>
      </c>
      <c r="BI18" s="510">
        <f>SUMPRODUCT(($AA$11:$AA$170&gt;=20)*($AA$11:$AA$170&lt;28)*($AC$11:$AC$170=1))+SUMPRODUCT(($AS$11:$AS$170&gt;=20)*($AS$11:$AS$170&lt;28)*($AU$11:$AU$170=1))</f>
        <v>0</v>
      </c>
      <c r="BJ18" s="511">
        <f>SUMPRODUCT(($AA$11:$AA$170&gt;=20)*($AA$11:$AA$170&lt;28)*($AC$11:$AC$170=2))+SUMPRODUCT(($AS$11:$AS$170&gt;=20)*($AS$11:$AS$170&lt;28)*($AU$11:$AU$170=2))</f>
        <v>4</v>
      </c>
      <c r="BK18" s="511">
        <f>SUMPRODUCT(($AA$11:$AA$170&gt;=20)*($AA$11:$AA$170&lt;28)*($AC$11:$AC$170=3))+SUMPRODUCT(($AS$11:$AS$170&gt;=20)*($AS$11:$AS$170&lt;28)*($AU$11:$AU$170=3))</f>
        <v>0</v>
      </c>
      <c r="BL18" s="512">
        <f>SUMPRODUCT(($AA$11:$AA$170&gt;=20)*($AA$11:$AA$170&lt;28)*($AC$11:$AC$170=4))+SUMPRODUCT(($AS$11:$AS$170&gt;=20)*($AS$11:$AS$170&lt;28)*($AU$11:$AU$170=4))+SUMPRODUCT(($AA$11:$AA$170&gt;=20)*($AA$11:$AA$170&lt;28)*($AC$11:$AC$170=5))+SUMPRODUCT(($AS$11:$AS$170&gt;=20)*($AS$11:$AS$170&lt;28)*($AU$11:$AU$170=5))</f>
        <v>0</v>
      </c>
      <c r="BM18" s="510">
        <f>SUMPRODUCT(($AJ$11:$AJ$170&gt;=20)*($AJ$11:$AJ$170&lt;28)*($AL$11:$AL$170=1))+SUMPRODUCT(($BB$11:$BB$170&gt;=20)*($BB$11:$BB$170&lt;28)*($BD$11:$BD$170=1))</f>
        <v>0</v>
      </c>
      <c r="BN18" s="511">
        <f>SUMPRODUCT(($AJ$11:$AJ$170&gt;=20)*($AJ$11:$AJ$170&lt;28)*($AL$11:$AL$170=2))+SUMPRODUCT(($BB$11:$BB$170&gt;=20)*($BB$11:$BB$170&lt;28)*($BD$11:$BD$170=2))</f>
        <v>3</v>
      </c>
      <c r="BO18" s="511">
        <f>SUMPRODUCT(($AJ$11:$AJ$170&gt;=20)*($AJ$11:$AJ$170&lt;28)*($AL$11:$AL$170=3))+SUMPRODUCT(($BB$11:$BB$170&gt;=20)*($BB$11:$BB$170&lt;28)*($BD$11:$BD$170=3))</f>
        <v>0</v>
      </c>
      <c r="BP18" s="512">
        <f>SUMPRODUCT(($AJ$11:$AJ$170&gt;=20)*($AJ$11:$AJ$170&lt;28)*($AL$11:$AL$170=4))+SUMPRODUCT(($BB$11:$BB$170&gt;=20)*($BB$11:$BB$170&lt;28)*($BD$11:$BD$170=4))+SUMPRODUCT(($AJ$11:$AJ$170&gt;=20)*($AJ$11:$AJ$170&lt;28)*($AL$11:$AL$170=5))+SUMPRODUCT(($BB$11:$BB$170&gt;=20)*($BB$11:$BB$170&lt;28)*($BD$11:$BD$170=5))</f>
        <v>0</v>
      </c>
      <c r="BQ18" s="510">
        <f t="shared" si="33"/>
        <v>0</v>
      </c>
      <c r="BR18" s="511">
        <f t="shared" si="33"/>
        <v>7</v>
      </c>
      <c r="BS18" s="511">
        <f t="shared" si="33"/>
        <v>0</v>
      </c>
      <c r="BT18" s="512">
        <f t="shared" si="33"/>
        <v>0</v>
      </c>
      <c r="BU18" s="568"/>
      <c r="BV18" s="1114" t="str">
        <f t="shared" si="19"/>
        <v/>
      </c>
      <c r="BW18" s="1114">
        <f t="shared" si="19"/>
        <v>3.2399999999999896</v>
      </c>
      <c r="BX18" s="1114">
        <f t="shared" si="20"/>
        <v>320.4100000000002</v>
      </c>
      <c r="BY18" s="1115" t="str">
        <f t="shared" si="20"/>
        <v/>
      </c>
      <c r="BZ18" s="477"/>
      <c r="CA18" s="1114">
        <f t="shared" si="21"/>
        <v>174.24000000000007</v>
      </c>
      <c r="CB18" s="1114" t="str">
        <f t="shared" si="21"/>
        <v/>
      </c>
      <c r="CC18" s="1114" t="str">
        <f t="shared" si="22"/>
        <v/>
      </c>
      <c r="CD18" s="1115">
        <f t="shared" si="22"/>
        <v>2.5599999999999818</v>
      </c>
      <c r="CE18" s="568"/>
      <c r="CF18" s="509">
        <v>24</v>
      </c>
      <c r="CG18" s="510">
        <f>SUMIF($AA$11:$AA$170,"&lt;28",$AD$11:$AD$170)+SUMIF($AS$11:$AS$170,"&lt;28",$AV$11:$AV$170)-SUMIF($AA$11:$AA$170,"&lt;20",$AD$11:$AD$170)-SUMIF($AS$11:$AS$170,"&lt;20",$AV$11:$AV$170)</f>
        <v>60.799999999999983</v>
      </c>
      <c r="CH18" s="511">
        <f>SUMIF($AA$11:$AA$170,"&lt;28",$BV$11:$BV$170)+SUMIF($AS$11:$AS$170,"&lt;28",$CA$11:$CA$170)-SUMIF($AA$11:$AA$170,"&lt;20",$BV$11:$BV$170)-SUMIF($AS$11:$AS$170,"&lt;20",$CA$11:$CA$170)</f>
        <v>941.47999999999956</v>
      </c>
      <c r="CI18" s="511">
        <f>SUMPRODUCT(($AA$11:$AA$170&lt;28)*($AD$11:$AD$170&lt;&gt;""))+SUMPRODUCT(($AS$11:$AS$170&lt;28)*($AV$11:$AV$170&lt;&gt;""))-SUMPRODUCT(($AA$11:$AA$170&lt;20)*($AD$11:$AD$170&lt;&gt;""))-SUMPRODUCT(($AS$11:$AS$170&lt;20)*($AV$11:$AV$170&lt;&gt;""))</f>
        <v>4</v>
      </c>
      <c r="CJ18" s="511">
        <f t="shared" si="37"/>
        <v>15.199999999999996</v>
      </c>
      <c r="CK18" s="512">
        <f t="shared" ref="CK18:CK24" si="39">IF(CI18&lt;2,0,IF((CH18/CI18-CJ18*CJ18)/(CI18-1)&lt;0,0,SQRT((CH18/CI18-CJ18*CJ18)/(CI18-1))))</f>
        <v>1.2013880860626751</v>
      </c>
      <c r="CL18" s="510">
        <f>SUMIF($AJ$11:$AJ$170,"&lt;28",$AM$11:$AM$170)+SUMIF($BB$11:$BB$170,"&lt;28",$BE$11:$BE$170)-SUMIF($AJ$11:$AJ$170,"&lt;20",$AM$11:$AM$170)-SUMIF($BB$11:$BB$170,"&lt;20",$BE$11:$BE$170)</f>
        <v>40.999999999999986</v>
      </c>
      <c r="CM18" s="511">
        <f>SUMIF($AJ$11:$AJ$170,"&lt;28",$BX$11:$BX$170)+SUMIF($BB$11:$BB$170,"&lt;28",$CC$11:$CC$170)-SUMIF($AJ$11:$AJ$170,"&lt;20",$BX$11:$BX$170)-SUMIF($BB$11:$BB$170,"&lt;20",$CC$11:$CC$170)</f>
        <v>598.2799999999994</v>
      </c>
      <c r="CN18" s="511">
        <f>SUMPRODUCT(($AJ$11:$AJ$170&lt;28)*($AM$11:$AM$170&lt;&gt;""))+SUMPRODUCT(($BB$11:$BB$170&lt;28)*($BE$11:$BE$170&lt;&gt;""))-SUMPRODUCT(($AJ$11:$AJ$170&lt;20)*($AM$11:$AM$170&lt;&gt;""))-SUMPRODUCT(($BB$11:$BB$170&lt;20)*($BE$11:$BE$170&lt;&gt;""))</f>
        <v>3</v>
      </c>
      <c r="CO18" s="511">
        <f t="shared" si="38"/>
        <v>13.666666666666663</v>
      </c>
      <c r="CP18" s="512">
        <f t="shared" ref="CP18:CP24" si="40">IF(CN18&lt;2,0,IF((CM18/CN18-CO18*CO18)/(CN18-1)&lt;0,0,SQRT((CM18/CN18-CO18*CO18)/(CN18-1))))</f>
        <v>2.5148448151813283</v>
      </c>
      <c r="CQ18" s="510">
        <f t="shared" si="34"/>
        <v>101.79999999999997</v>
      </c>
      <c r="CR18" s="511">
        <f t="shared" si="34"/>
        <v>1539.7599999999989</v>
      </c>
      <c r="CS18" s="511">
        <f t="shared" si="34"/>
        <v>7</v>
      </c>
      <c r="CT18" s="511">
        <f t="shared" si="35"/>
        <v>14.542857142857139</v>
      </c>
      <c r="CU18" s="512">
        <f t="shared" ref="CU18:CU24" si="41">IF(CS18&lt;2,0,IF((CR18/CS18-CT18*CT18)/(CS18-1)&lt;0,0,SQRT((CR18/CS18-CT18*CT18)/(CS18-1))))</f>
        <v>1.1882073618244708</v>
      </c>
      <c r="CV18" s="476"/>
      <c r="CW18" s="345"/>
      <c r="CX18" s="345"/>
      <c r="CY18" s="345"/>
      <c r="CZ18" s="345"/>
      <c r="DA18" s="345"/>
      <c r="DB18" s="345"/>
      <c r="DC18" s="345"/>
      <c r="DD18" s="345"/>
      <c r="DE18" s="345"/>
      <c r="DF18" s="345"/>
      <c r="DG18" s="345"/>
      <c r="DH18" s="345"/>
      <c r="DI18" s="345"/>
      <c r="DJ18" s="345"/>
      <c r="DK18" s="345"/>
      <c r="DL18" s="345"/>
      <c r="DM18" s="345"/>
      <c r="DN18" s="345"/>
      <c r="DO18" s="345"/>
      <c r="DP18" s="345"/>
      <c r="DQ18" s="345"/>
      <c r="DR18" s="345"/>
      <c r="DS18" s="345"/>
      <c r="DT18" s="345"/>
      <c r="DU18" s="345"/>
      <c r="DV18" s="345"/>
      <c r="DW18" s="345"/>
      <c r="DX18" s="345"/>
      <c r="DY18" s="345"/>
      <c r="DZ18" s="345"/>
      <c r="EA18" s="345"/>
      <c r="EB18" s="345"/>
      <c r="EC18" s="345"/>
      <c r="ED18" s="345"/>
      <c r="EE18" s="345"/>
      <c r="EF18" s="345"/>
      <c r="EG18" s="345"/>
      <c r="EH18" s="345"/>
      <c r="EI18" s="345"/>
      <c r="EJ18" s="345"/>
      <c r="EK18" s="345"/>
      <c r="EL18" s="345"/>
      <c r="EM18" s="345"/>
      <c r="EN18" s="345"/>
      <c r="EO18" s="345"/>
      <c r="EP18" s="345"/>
      <c r="EQ18" s="345"/>
      <c r="ER18" s="345"/>
      <c r="ES18" s="345"/>
      <c r="ET18" s="345"/>
      <c r="EU18" s="345"/>
      <c r="EV18" s="345"/>
      <c r="EW18" s="345"/>
      <c r="EX18" s="345"/>
      <c r="EY18" s="345"/>
      <c r="EZ18" s="345"/>
      <c r="FA18" s="345"/>
      <c r="FB18" s="345"/>
      <c r="FC18" s="345"/>
      <c r="FD18" s="345"/>
      <c r="FE18" s="345"/>
      <c r="FF18" s="345"/>
      <c r="FG18" s="345"/>
      <c r="FH18" s="345"/>
      <c r="FI18" s="345"/>
      <c r="FJ18" s="345"/>
      <c r="FK18" s="345"/>
      <c r="FL18" s="345"/>
      <c r="FM18" s="345"/>
      <c r="FN18" s="345"/>
      <c r="FO18" s="345"/>
      <c r="FP18" s="345"/>
      <c r="FQ18" s="345"/>
      <c r="FR18" s="345"/>
      <c r="FS18" s="345"/>
      <c r="FT18" s="345"/>
      <c r="FU18" s="345"/>
      <c r="FV18" s="345"/>
      <c r="FW18" s="345"/>
      <c r="FX18" s="345"/>
      <c r="FY18" s="345"/>
      <c r="FZ18" s="345"/>
      <c r="GA18" s="345"/>
      <c r="GB18" s="345"/>
      <c r="GC18" s="345"/>
      <c r="GD18" s="345"/>
      <c r="GE18" s="345"/>
      <c r="GF18" s="345"/>
      <c r="GG18" s="345"/>
      <c r="GH18" s="345"/>
      <c r="GI18" s="345"/>
      <c r="GJ18" s="345"/>
      <c r="GK18" s="345"/>
      <c r="GL18" s="345"/>
      <c r="GM18" s="345"/>
      <c r="GN18" s="345"/>
      <c r="GO18" s="345"/>
      <c r="GP18" s="345"/>
      <c r="GQ18" s="345"/>
      <c r="GR18" s="345"/>
      <c r="GS18" s="345"/>
      <c r="GT18" s="345"/>
      <c r="GU18" s="345"/>
    </row>
    <row r="19" spans="1:203" ht="12.75" customHeight="1">
      <c r="A19" s="465">
        <f t="shared" si="31"/>
        <v>1</v>
      </c>
      <c r="B19" s="1108">
        <v>9</v>
      </c>
      <c r="C19" s="1109">
        <v>-1</v>
      </c>
      <c r="D19" s="398">
        <v>69</v>
      </c>
      <c r="E19" s="1120"/>
      <c r="F19" s="465">
        <f t="shared" si="36"/>
        <v>1</v>
      </c>
      <c r="G19" s="1108">
        <v>9</v>
      </c>
      <c r="H19" s="1109">
        <v>1</v>
      </c>
      <c r="I19" s="398">
        <v>74.7</v>
      </c>
      <c r="J19" s="1120"/>
      <c r="K19" s="465"/>
      <c r="L19" s="465"/>
      <c r="M19" s="465">
        <f t="shared" si="23"/>
        <v>1</v>
      </c>
      <c r="N19" s="1108">
        <v>9</v>
      </c>
      <c r="O19" s="1109">
        <v>0</v>
      </c>
      <c r="P19" s="1110">
        <v>69</v>
      </c>
      <c r="Q19" s="1120"/>
      <c r="R19" s="465">
        <f t="shared" si="24"/>
        <v>1</v>
      </c>
      <c r="S19" s="1108">
        <v>9</v>
      </c>
      <c r="T19" s="1109">
        <v>-1</v>
      </c>
      <c r="U19" s="1110">
        <v>63.3</v>
      </c>
      <c r="V19" s="1120"/>
      <c r="W19" s="371"/>
      <c r="X19" s="494">
        <f t="shared" si="0"/>
        <v>69</v>
      </c>
      <c r="Y19" s="495">
        <f>IF('Feuilles=description générale'!$E$13="","",IF(X19="","",IF(X19&gt;('Feuilles=description générale'!$E$11+'Feuilles=description générale'!$E$10),"",100*(X19-'Feuilles=description générale'!$E$10)/('Feuilles=description générale'!$E$11))))</f>
        <v>50.248626014132434</v>
      </c>
      <c r="Z19" s="495" t="str">
        <f>IF('Feuilles=description générale'!$E$13="","",IF(X19="","",IF(X19&lt;=('Feuilles=description générale'!$E$11+'Feuilles=description générale'!$E$10),"",100*(X19-'Feuilles=description générale'!$E$11-'Feuilles=description générale'!$E$10)/('Feuilles=description générale'!$E$12))))</f>
        <v/>
      </c>
      <c r="AA19" s="1112">
        <f>IF('Feuilles=description générale'!$E$13="","",IF(X19="","",100*(X19-'Feuilles=description générale'!$E$10)/('Feuilles=description générale'!$E$13-'Feuilles=description générale'!$E$10)))</f>
        <v>12.435233160621761</v>
      </c>
      <c r="AB19" s="497">
        <f t="shared" si="1"/>
        <v>2</v>
      </c>
      <c r="AC19" s="500">
        <f t="shared" si="32"/>
        <v>2</v>
      </c>
      <c r="AD19" s="494">
        <f t="shared" si="2"/>
        <v>19.299999999999997</v>
      </c>
      <c r="AE19" s="499" t="str">
        <f t="shared" si="3"/>
        <v/>
      </c>
      <c r="AF19" s="371"/>
      <c r="AG19" s="494">
        <f t="shared" si="4"/>
        <v>74.7</v>
      </c>
      <c r="AH19" s="495">
        <f>IF('Feuilles=description générale'!$E$13="","",IF(AG19="","",IF(AG19&gt;('Feuilles=description générale'!$E$11+'Feuilles=description générale'!$E$10),"",100*(AG19-'Feuilles=description générale'!$E$10)/('Feuilles=description générale'!$E$11))))</f>
        <v>56.215650353310657</v>
      </c>
      <c r="AI19" s="495" t="str">
        <f>IF('Feuilles=description générale'!$E$13="","",IF(AG19="","",IF(AG19&lt;=('Feuilles=description générale'!$E$11+'Feuilles=description générale'!$E$10),"",100*(AG19-'Feuilles=description générale'!$E$11-'Feuilles=description générale'!$E$10)/('Feuilles=description générale'!$E$12))))</f>
        <v/>
      </c>
      <c r="AJ19" s="496">
        <f>IF('Feuilles=description générale'!$E$13="","",IF(AG19="","",100*(AG19-'Feuilles=description générale'!$E$10)/('Feuilles=description générale'!$E$13-'Feuilles=description générale'!$E$10)))</f>
        <v>13.911917098445596</v>
      </c>
      <c r="AK19" s="1113">
        <f t="shared" si="5"/>
        <v>1</v>
      </c>
      <c r="AL19" s="498" t="str">
        <f t="shared" si="6"/>
        <v/>
      </c>
      <c r="AM19" s="494" t="str">
        <f t="shared" si="7"/>
        <v/>
      </c>
      <c r="AN19" s="499">
        <f t="shared" si="8"/>
        <v>2</v>
      </c>
      <c r="AO19" s="371"/>
      <c r="AP19" s="494">
        <f t="shared" si="9"/>
        <v>69</v>
      </c>
      <c r="AQ19" s="495">
        <f>IF('Feuilles=description générale'!$E$13="","",IF(AP19="","",IF(AP19&gt;('Feuilles=description générale'!$E$25+'Feuilles=description générale'!$E$24),"",100*(AP19-'Feuilles=description générale'!$E$24)/('Feuilles=description générale'!$E$25))))</f>
        <v>49.810503519220362</v>
      </c>
      <c r="AR19" s="495" t="str">
        <f>IF('Feuilles=description générale'!$E$27="","",IF(AP19="","",IF(AP19&lt;=('Feuilles=description générale'!$E$25+'Feuilles=description générale'!$E$24),"",100*(AP19-'Feuilles=description générale'!$E$25-'Feuilles=description générale'!$E$24)/('Feuilles=description générale'!$E$26))))</f>
        <v/>
      </c>
      <c r="AS19" s="496">
        <f>IF('Feuilles=description générale'!$E$27="","",IF(AP19="","",100*(AP19-'Feuilles=description générale'!$E$24)/('Feuilles=description générale'!$E$27-'Feuilles=description générale'!$E$24)))</f>
        <v>11.244194573453923</v>
      </c>
      <c r="AT19" s="497">
        <f t="shared" si="10"/>
        <v>1</v>
      </c>
      <c r="AU19" s="500">
        <f t="shared" si="11"/>
        <v>1</v>
      </c>
      <c r="AV19" s="494">
        <f t="shared" si="12"/>
        <v>14.299999999999997</v>
      </c>
      <c r="AW19" s="499" t="str">
        <f t="shared" si="13"/>
        <v/>
      </c>
      <c r="AX19" s="371"/>
      <c r="AY19" s="494">
        <f t="shared" si="14"/>
        <v>63.3</v>
      </c>
      <c r="AZ19" s="495">
        <f>IF('Feuilles=description générale'!$E$13="","",IF(AY19="","",IF(AY19&gt;('Feuilles=description générale'!$E$25+'Feuilles=description générale'!$E$24),"",100*(AY19-'Feuilles=description générale'!$E$24)/('Feuilles=description générale'!$E$25))))</f>
        <v>43.638332430969136</v>
      </c>
      <c r="BA19" s="495" t="str">
        <f>IF('Feuilles=description générale'!$E$27="","",IF(AY19="","",IF(AY19&lt;=('Feuilles=description générale'!$E$25+'Feuilles=description générale'!$E$24),"",100*(AY19-'Feuilles=description générale'!$E$25-'Feuilles=description générale'!$E$24)/('Feuilles=description générale'!$E$26))))</f>
        <v/>
      </c>
      <c r="BB19" s="496">
        <f>IF('Feuilles=description générale'!$E$27="","",IF(AY19="","",100*(AY19-'Feuilles=description générale'!$E$24)/('Feuilles=description générale'!$E$27-'Feuilles=description générale'!$E$24)))</f>
        <v>9.8508922023955012</v>
      </c>
      <c r="BC19" s="497">
        <f t="shared" si="15"/>
        <v>2</v>
      </c>
      <c r="BD19" s="500">
        <f t="shared" si="16"/>
        <v>2</v>
      </c>
      <c r="BE19" s="494">
        <f t="shared" si="17"/>
        <v>9.9000000000000057</v>
      </c>
      <c r="BF19" s="499" t="str">
        <f t="shared" si="18"/>
        <v/>
      </c>
      <c r="BG19" s="476"/>
      <c r="BH19" s="509">
        <v>32</v>
      </c>
      <c r="BI19" s="510">
        <f>SUMPRODUCT(($AA$11:$AA$170&gt;=28)*($AA$11:$AA$170&lt;36)*($AC$11:$AC$170=1))+SUMPRODUCT(($AS$11:$AS$170&gt;=28)*($AS$11:$AS$170&lt;36)*($AU$11:$AU$170=1))</f>
        <v>0</v>
      </c>
      <c r="BJ19" s="511">
        <f>SUMPRODUCT(($AA$11:$AA$170&gt;=28)*($AA$11:$AA$170&lt;36)*($AC$11:$AC$170=2))+SUMPRODUCT(($AS$11:$AS$170&gt;=28)*($AS$11:$AS$170&lt;36)*($AU$11:$AU$170=2))</f>
        <v>2</v>
      </c>
      <c r="BK19" s="511">
        <f>SUMPRODUCT(($AA$11:$AA$170&gt;=28)*($AA$11:$AA$170&lt;36)*($AC$11:$AC$170=3))+SUMPRODUCT(($AS$11:$AS$170&gt;=28)*($AS$11:$AS$170&lt;36)*($AU$11:$AU$170=3))</f>
        <v>1</v>
      </c>
      <c r="BL19" s="512">
        <f>SUMPRODUCT(($AA$11:$AA$170&gt;=28)*($AA$11:$AA$170&lt;36)*($AC$11:$AC$170=4))+SUMPRODUCT(($AS$11:$AS$170&gt;=28)*($AS$11:$AS$170&lt;36)*($AU$11:$AU$170=4))+SUMPRODUCT(($AA$11:$AA$170&gt;=28)*($AA$11:$AA$170&lt;36)*($AC$11:$AC$170=5))+SUMPRODUCT(($AS$11:$AS$170&gt;=28)*($AS$11:$AS$170&lt;36)*($AU$11:$AU$170=5))</f>
        <v>0</v>
      </c>
      <c r="BM19" s="510">
        <f>SUMPRODUCT(($AJ$11:$AJ$170&gt;=28)*($AJ$11:$AJ$170&lt;36)*($AL$11:$AL$170=1))+SUMPRODUCT(($BB$11:$BB$170&gt;=28)*($BB$11:$BB$170&lt;36)*($BD$11:$BD$170=1))</f>
        <v>0</v>
      </c>
      <c r="BN19" s="511">
        <f>SUMPRODUCT(($AJ$11:$AJ$170&gt;=28)*($AJ$11:$AJ$170&lt;36)*($AL$11:$AL$170=2))+SUMPRODUCT(($BB$11:$BB$170&gt;=28)*($BB$11:$BB$170&lt;36)*($BD$11:$BD$170=2))</f>
        <v>5</v>
      </c>
      <c r="BO19" s="511">
        <f>SUMPRODUCT(($AJ$11:$AJ$170&gt;=28)*($AJ$11:$AJ$170&lt;36)*($AL$11:$AL$170=3))+SUMPRODUCT(($BB$11:$BB$170&gt;=28)*($BB$11:$BB$170&lt;36)*($BD$11:$BD$170=3))</f>
        <v>0</v>
      </c>
      <c r="BP19" s="512">
        <f>SUMPRODUCT(($AJ$11:$AJ$170&gt;=28)*($AJ$11:$AJ$170&lt;36)*($AL$11:$AL$170=4))+SUMPRODUCT(($BB$11:$BB$170&gt;=28)*($BB$11:$BB$170&lt;36)*($BD$11:$BD$170=4))+SUMPRODUCT(($AJ$11:$AJ$170&gt;=28)*($AJ$11:$AJ$170&lt;36)*($AL$11:$AL$170=5))+SUMPRODUCT(($BB$11:$BB$170&gt;=28)*($BB$11:$BB$170&lt;36)*($BD$11:$BD$170=5))</f>
        <v>0</v>
      </c>
      <c r="BQ19" s="510">
        <f t="shared" si="33"/>
        <v>0</v>
      </c>
      <c r="BR19" s="511">
        <f t="shared" si="33"/>
        <v>7</v>
      </c>
      <c r="BS19" s="511">
        <f t="shared" si="33"/>
        <v>1</v>
      </c>
      <c r="BT19" s="512">
        <f t="shared" si="33"/>
        <v>0</v>
      </c>
      <c r="BU19" s="568"/>
      <c r="BV19" s="1114">
        <f t="shared" si="19"/>
        <v>372.4899999999999</v>
      </c>
      <c r="BW19" s="1114" t="str">
        <f t="shared" si="19"/>
        <v/>
      </c>
      <c r="BX19" s="1114" t="str">
        <f t="shared" si="20"/>
        <v/>
      </c>
      <c r="BY19" s="1115">
        <f t="shared" si="20"/>
        <v>4</v>
      </c>
      <c r="BZ19" s="477"/>
      <c r="CA19" s="1114">
        <f t="shared" si="21"/>
        <v>204.48999999999992</v>
      </c>
      <c r="CB19" s="1114" t="str">
        <f t="shared" si="21"/>
        <v/>
      </c>
      <c r="CC19" s="1114">
        <f t="shared" si="22"/>
        <v>98.010000000000119</v>
      </c>
      <c r="CD19" s="1115" t="str">
        <f t="shared" si="22"/>
        <v/>
      </c>
      <c r="CE19" s="568"/>
      <c r="CF19" s="509">
        <v>32</v>
      </c>
      <c r="CG19" s="510">
        <f>SUMIF($AA$11:$AA$170,"&lt;36",$AD$11:$AD$170)+SUMIF($AS$11:$AS$170,"&lt;36",$AV$11:$AV$170)-SUMIF($AA$11:$AA$170,"&lt;28",$AD$11:$AD$170)-SUMIF($AS$11:$AS$170,"&lt;28",$AV$11:$AV$170)</f>
        <v>34.700000000000003</v>
      </c>
      <c r="CH19" s="511">
        <f>SUMIF($AA$11:$AA$170,"&lt;36",$BV$11:$BV$170)+SUMIF($AS$11:$AS$170,"&lt;36",$CA$11:$CA$170)-SUMIF($AA$11:$AA$170,"&lt;28",$BV$11:$BV$170)-SUMIF($AS$11:$AS$170,"&lt;28",$CA$11:$CA$170)</f>
        <v>413.65000000000055</v>
      </c>
      <c r="CI19" s="511">
        <f>SUMPRODUCT(($AA$11:$AA$170&lt;36)*($AD$11:$AD$170&lt;&gt;""))+SUMPRODUCT(($AS$11:$AS$170&lt;36)*($AV$11:$AV$170&lt;&gt;""))-SUMPRODUCT(($AA$11:$AA$170&lt;28)*($AD$11:$AD$170&lt;&gt;""))-SUMPRODUCT(($AS$11:$AS$170&lt;28)*($AV$11:$AV$170&lt;&gt;""))</f>
        <v>3</v>
      </c>
      <c r="CJ19" s="511">
        <f t="shared" si="37"/>
        <v>11.566666666666668</v>
      </c>
      <c r="CK19" s="512">
        <f t="shared" si="39"/>
        <v>1.4310058622444048</v>
      </c>
      <c r="CL19" s="510">
        <f>SUMIF($AJ$11:$AJ$170,"&lt;36",$AM$11:$AM$170)+SUMIF($BB$11:$BB$170,"&lt;36",$BE$11:$BE$170)-SUMIF($AJ$11:$AJ$170,"&lt;28",$AM$11:$AM$170)-SUMIF($BB$11:$BB$170,"&lt;28",$BE$11:$BE$170)</f>
        <v>60.319999999999993</v>
      </c>
      <c r="CM19" s="511">
        <f>SUMIF($AJ$11:$AJ$170,"&lt;36",$BX$11:$BX$170)+SUMIF($BB$11:$BB$170,"&lt;36",$CC$11:$CC$170)-SUMIF($AJ$11:$AJ$170,"&lt;28",$BX$11:$BX$170)-SUMIF($BB$11:$BB$170,"&lt;28",$CC$11:$CC$170)</f>
        <v>773.08639999999991</v>
      </c>
      <c r="CN19" s="511">
        <f>SUMPRODUCT(($AJ$11:$AJ$170&lt;36)*($AM$11:$AM$170&lt;&gt;""))+SUMPRODUCT(($BB$11:$BB$170&lt;36)*($BE$11:$BE$170&lt;&gt;""))-SUMPRODUCT(($AJ$11:$AJ$170&lt;28)*($AM$11:$AM$170&lt;&gt;""))-SUMPRODUCT(($BB$11:$BB$170&lt;28)*($BE$11:$BE$170&lt;&gt;""))</f>
        <v>5</v>
      </c>
      <c r="CO19" s="511">
        <f t="shared" si="38"/>
        <v>12.063999999999998</v>
      </c>
      <c r="CP19" s="512">
        <f t="shared" si="40"/>
        <v>1.5064182686093566</v>
      </c>
      <c r="CQ19" s="510">
        <f t="shared" si="34"/>
        <v>95.02</v>
      </c>
      <c r="CR19" s="511">
        <f t="shared" si="34"/>
        <v>1186.7364000000005</v>
      </c>
      <c r="CS19" s="511">
        <f t="shared" si="34"/>
        <v>8</v>
      </c>
      <c r="CT19" s="511">
        <f t="shared" si="35"/>
        <v>11.8775</v>
      </c>
      <c r="CU19" s="512">
        <f t="shared" si="41"/>
        <v>1.018896023715308</v>
      </c>
      <c r="CV19" s="476"/>
      <c r="CW19" s="345"/>
      <c r="CX19" s="345"/>
      <c r="CY19" s="345"/>
      <c r="CZ19" s="345"/>
      <c r="DA19" s="345"/>
      <c r="DB19" s="345"/>
      <c r="DC19" s="345"/>
      <c r="DD19" s="345"/>
      <c r="DE19" s="345"/>
      <c r="DF19" s="345"/>
      <c r="DG19" s="345"/>
      <c r="DH19" s="345"/>
      <c r="DI19" s="345"/>
      <c r="DJ19" s="345"/>
      <c r="DK19" s="345"/>
      <c r="DL19" s="345"/>
      <c r="DM19" s="345"/>
      <c r="DN19" s="345"/>
      <c r="DO19" s="345"/>
      <c r="DP19" s="345"/>
      <c r="DQ19" s="345"/>
      <c r="DR19" s="345"/>
      <c r="DS19" s="345"/>
      <c r="DT19" s="345"/>
      <c r="DU19" s="345"/>
      <c r="DV19" s="345"/>
      <c r="DW19" s="345"/>
      <c r="DX19" s="345"/>
      <c r="DY19" s="345"/>
      <c r="DZ19" s="345"/>
      <c r="EA19" s="345"/>
      <c r="EB19" s="345"/>
      <c r="EC19" s="345"/>
      <c r="ED19" s="345"/>
      <c r="EE19" s="345"/>
      <c r="EF19" s="345"/>
      <c r="EG19" s="345"/>
      <c r="EH19" s="345"/>
      <c r="EI19" s="345"/>
      <c r="EJ19" s="345"/>
      <c r="EK19" s="345"/>
      <c r="EL19" s="345"/>
      <c r="EM19" s="345"/>
      <c r="EN19" s="345"/>
      <c r="EO19" s="345"/>
      <c r="EP19" s="345"/>
      <c r="EQ19" s="345"/>
      <c r="ER19" s="345"/>
      <c r="ES19" s="345"/>
      <c r="ET19" s="345"/>
      <c r="EU19" s="345"/>
      <c r="EV19" s="345"/>
      <c r="EW19" s="345"/>
      <c r="EX19" s="345"/>
      <c r="EY19" s="345"/>
      <c r="EZ19" s="345"/>
      <c r="FA19" s="345"/>
      <c r="FB19" s="345"/>
      <c r="FC19" s="345"/>
      <c r="FD19" s="345"/>
      <c r="FE19" s="345"/>
      <c r="FF19" s="345"/>
      <c r="FG19" s="345"/>
      <c r="FH19" s="345"/>
      <c r="FI19" s="345"/>
      <c r="FJ19" s="345"/>
      <c r="FK19" s="345"/>
      <c r="FL19" s="345"/>
      <c r="FM19" s="345"/>
      <c r="FN19" s="345"/>
      <c r="FO19" s="345"/>
      <c r="FP19" s="345"/>
      <c r="FQ19" s="345"/>
      <c r="FR19" s="345"/>
      <c r="FS19" s="345"/>
      <c r="FT19" s="345"/>
      <c r="FU19" s="345"/>
      <c r="FV19" s="345"/>
      <c r="FW19" s="345"/>
      <c r="FX19" s="345"/>
      <c r="FY19" s="345"/>
      <c r="FZ19" s="345"/>
      <c r="GA19" s="345"/>
      <c r="GB19" s="345"/>
      <c r="GC19" s="345"/>
      <c r="GD19" s="345"/>
      <c r="GE19" s="345"/>
      <c r="GF19" s="345"/>
      <c r="GG19" s="345"/>
      <c r="GH19" s="345"/>
      <c r="GI19" s="345"/>
      <c r="GJ19" s="345"/>
      <c r="GK19" s="345"/>
      <c r="GL19" s="345"/>
      <c r="GM19" s="345"/>
      <c r="GN19" s="345"/>
      <c r="GO19" s="345"/>
      <c r="GP19" s="345"/>
      <c r="GQ19" s="345"/>
      <c r="GR19" s="345"/>
      <c r="GS19" s="345"/>
      <c r="GT19" s="345"/>
      <c r="GU19" s="345"/>
    </row>
    <row r="20" spans="1:203" ht="12.75" customHeight="1">
      <c r="A20" s="465">
        <f t="shared" si="31"/>
        <v>1</v>
      </c>
      <c r="B20" s="1108">
        <v>10</v>
      </c>
      <c r="C20" s="1109">
        <v>1</v>
      </c>
      <c r="D20" s="398">
        <v>88.3</v>
      </c>
      <c r="E20" s="1120"/>
      <c r="F20" s="465">
        <f t="shared" si="36"/>
        <v>1</v>
      </c>
      <c r="G20" s="1108">
        <v>10</v>
      </c>
      <c r="H20" s="1109">
        <v>-1</v>
      </c>
      <c r="I20" s="398">
        <v>76.7</v>
      </c>
      <c r="J20" s="1120"/>
      <c r="K20" s="465"/>
      <c r="L20" s="465"/>
      <c r="M20" s="465">
        <f t="shared" si="23"/>
        <v>1</v>
      </c>
      <c r="N20" s="1108">
        <v>10</v>
      </c>
      <c r="O20" s="1109">
        <v>1</v>
      </c>
      <c r="P20" s="1110">
        <v>83.3</v>
      </c>
      <c r="Q20" s="1120"/>
      <c r="R20" s="465">
        <f t="shared" si="24"/>
        <v>1</v>
      </c>
      <c r="S20" s="1108">
        <v>10</v>
      </c>
      <c r="T20" s="1109">
        <v>1</v>
      </c>
      <c r="U20" s="1110">
        <v>73.2</v>
      </c>
      <c r="V20" s="1120"/>
      <c r="W20" s="371"/>
      <c r="X20" s="494">
        <f t="shared" si="0"/>
        <v>88.3</v>
      </c>
      <c r="Y20" s="495">
        <f>IF('Feuilles=description générale'!$E$13="","",IF(X20="","",IF(X20&gt;('Feuilles=description générale'!$E$11+'Feuilles=description générale'!$E$10),"",100*(X20-'Feuilles=description générale'!$E$10)/('Feuilles=description générale'!$E$11))))</f>
        <v>70.452761057314845</v>
      </c>
      <c r="Z20" s="495" t="str">
        <f>IF('Feuilles=description générale'!$E$13="","",IF(X20="","",IF(X20&lt;=('Feuilles=description générale'!$E$11+'Feuilles=description générale'!$E$10),"",100*(X20-'Feuilles=description générale'!$E$11-'Feuilles=description générale'!$E$10)/('Feuilles=description générale'!$E$12))))</f>
        <v/>
      </c>
      <c r="AA20" s="1112">
        <f>IF('Feuilles=description générale'!$E$13="","",IF(X20="","",100*(X20-'Feuilles=description générale'!$E$10)/('Feuilles=description générale'!$E$13-'Feuilles=description générale'!$E$10)))</f>
        <v>17.435233160621763</v>
      </c>
      <c r="AB20" s="497">
        <f t="shared" si="1"/>
        <v>1</v>
      </c>
      <c r="AC20" s="500" t="str">
        <f t="shared" si="32"/>
        <v/>
      </c>
      <c r="AD20" s="494" t="str">
        <f t="shared" si="2"/>
        <v/>
      </c>
      <c r="AE20" s="499">
        <f t="shared" si="3"/>
        <v>1.7000000000000028</v>
      </c>
      <c r="AF20" s="371"/>
      <c r="AG20" s="494">
        <f t="shared" si="4"/>
        <v>76.7</v>
      </c>
      <c r="AH20" s="495">
        <f>IF('Feuilles=description générale'!$E$13="","",IF(AG20="","",IF(AG20&gt;('Feuilles=description générale'!$E$11+'Feuilles=description générale'!$E$10),"",100*(AG20-'Feuilles=description générale'!$E$10)/('Feuilles=description générale'!$E$11))))</f>
        <v>58.309343103899508</v>
      </c>
      <c r="AI20" s="495" t="str">
        <f>IF('Feuilles=description générale'!$E$13="","",IF(AG20="","",IF(AG20&lt;=('Feuilles=description générale'!$E$11+'Feuilles=description générale'!$E$10),"",100*(AG20-'Feuilles=description générale'!$E$11-'Feuilles=description générale'!$E$10)/('Feuilles=description générale'!$E$12))))</f>
        <v/>
      </c>
      <c r="AJ20" s="496">
        <f>IF('Feuilles=description générale'!$E$13="","",IF(AG20="","",100*(AG20-'Feuilles=description générale'!$E$10)/('Feuilles=description générale'!$E$13-'Feuilles=description générale'!$E$10)))</f>
        <v>14.430051813471502</v>
      </c>
      <c r="AK20" s="1113">
        <f t="shared" si="5"/>
        <v>2</v>
      </c>
      <c r="AL20" s="498">
        <f t="shared" si="6"/>
        <v>2</v>
      </c>
      <c r="AM20" s="494">
        <f t="shared" si="7"/>
        <v>17.200000000000003</v>
      </c>
      <c r="AN20" s="499" t="str">
        <f t="shared" si="8"/>
        <v/>
      </c>
      <c r="AO20" s="371"/>
      <c r="AP20" s="494">
        <f t="shared" si="9"/>
        <v>83.3</v>
      </c>
      <c r="AQ20" s="495">
        <f>IF('Feuilles=description générale'!$E$13="","",IF(AP20="","",IF(AP20&gt;('Feuilles=description générale'!$E$25+'Feuilles=description générale'!$E$24),"",100*(AP20-'Feuilles=description générale'!$E$24)/('Feuilles=description générale'!$E$25))))</f>
        <v>65.295073091499731</v>
      </c>
      <c r="AR20" s="495" t="str">
        <f>IF('Feuilles=description générale'!$E$27="","",IF(AP20="","",IF(AP20&lt;=('Feuilles=description générale'!$E$25+'Feuilles=description générale'!$E$24),"",100*(AP20-'Feuilles=description générale'!$E$25-'Feuilles=description générale'!$E$24)/('Feuilles=description générale'!$E$26))))</f>
        <v/>
      </c>
      <c r="AS20" s="496">
        <f>IF('Feuilles=description générale'!$E$27="","",IF(AP20="","",100*(AP20-'Feuilles=description générale'!$E$24)/('Feuilles=description générale'!$E$27-'Feuilles=description générale'!$E$24)))</f>
        <v>14.739672451723294</v>
      </c>
      <c r="AT20" s="497">
        <f t="shared" si="10"/>
        <v>1</v>
      </c>
      <c r="AU20" s="500" t="str">
        <f t="shared" si="11"/>
        <v/>
      </c>
      <c r="AV20" s="494" t="str">
        <f t="shared" si="12"/>
        <v/>
      </c>
      <c r="AW20" s="499">
        <f t="shared" si="13"/>
        <v>1.7000000000000028</v>
      </c>
      <c r="AX20" s="371"/>
      <c r="AY20" s="494">
        <f t="shared" si="14"/>
        <v>73.2</v>
      </c>
      <c r="AZ20" s="495">
        <f>IF('Feuilles=description générale'!$E$13="","",IF(AY20="","",IF(AY20&gt;('Feuilles=description générale'!$E$25+'Feuilles=description générale'!$E$24),"",100*(AY20-'Feuilles=description générale'!$E$24)/('Feuilles=description générale'!$E$25))))</f>
        <v>54.358419057931783</v>
      </c>
      <c r="BA20" s="495" t="str">
        <f>IF('Feuilles=description générale'!$E$27="","",IF(AY20="","",IF(AY20&lt;=('Feuilles=description générale'!$E$25+'Feuilles=description générale'!$E$24),"",100*(AY20-'Feuilles=description générale'!$E$25-'Feuilles=description générale'!$E$24)/('Feuilles=description générale'!$E$26))))</f>
        <v/>
      </c>
      <c r="BB20" s="496">
        <f>IF('Feuilles=description générale'!$E$27="","",IF(AY20="","",100*(AY20-'Feuilles=description générale'!$E$24)/('Feuilles=description générale'!$E$27-'Feuilles=description générale'!$E$24)))</f>
        <v>12.270838425812759</v>
      </c>
      <c r="BC20" s="497">
        <f t="shared" si="15"/>
        <v>1</v>
      </c>
      <c r="BD20" s="500" t="str">
        <f t="shared" si="16"/>
        <v/>
      </c>
      <c r="BE20" s="494" t="str">
        <f t="shared" si="17"/>
        <v/>
      </c>
      <c r="BF20" s="499">
        <f t="shared" si="18"/>
        <v>5.2000000000000028</v>
      </c>
      <c r="BG20" s="476"/>
      <c r="BH20" s="509">
        <v>44</v>
      </c>
      <c r="BI20" s="510">
        <f>SUMPRODUCT(($AA$11:$AA$170&gt;=36)*($AA$11:$AA$170&lt;52)*($AC$11:$AC$170=1))+SUMPRODUCT(($AS$11:$AS$170&gt;=36)*($AS$11:$AS$170&lt;52)*($AU$11:$AU$170=1))</f>
        <v>0</v>
      </c>
      <c r="BJ20" s="511">
        <f>SUMPRODUCT(($AA$11:$AA$170&gt;=36)*($AA$11:$AA$170&lt;52)*($AC$11:$AC$170=2))+SUMPRODUCT(($AS$11:$AS$170&gt;=36)*($AS$11:$AS$170&lt;52)*($AU$11:$AU$170=2))</f>
        <v>9</v>
      </c>
      <c r="BK20" s="511">
        <f>SUMPRODUCT(($AA$11:$AA$170&gt;=36)*($AA$11:$AA$170&lt;52)*($AC$11:$AC$170=3))+SUMPRODUCT(($AS$11:$AS$170&gt;=36)*($AS$11:$AS$170&lt;52)*($AU$11:$AU$170=3))</f>
        <v>4</v>
      </c>
      <c r="BL20" s="512">
        <f>SUMPRODUCT(($AA$11:$AA$170&gt;=36)*($AA$11:$AA$170&lt;52)*($AC$11:$AC$170=4))+SUMPRODUCT(($AS$11:$AS$170&gt;=36)*($AS$11:$AS$170&lt;52)*($AU$11:$AU$170=4))+SUMPRODUCT(($AA$11:$AA$170&gt;=36)*($AA$11:$AA$170&lt;52)*($AC$11:$AC$170=5))+SUMPRODUCT(($AS$11:$AS$170&gt;=36)*($AS$11:$AS$170&lt;52)*($AU$11:$AU$170=5))</f>
        <v>0</v>
      </c>
      <c r="BM20" s="510">
        <f>SUMPRODUCT(($AJ$11:$AJ$170&gt;=36)*($AJ$11:$AJ$170&lt;52)*($AL$11:$AL$170=1))+SUMPRODUCT(($BB$11:$BB$170&gt;=36)*($BB$11:$BB$170&lt;52)*($BD$11:$BD$170=1))</f>
        <v>0</v>
      </c>
      <c r="BN20" s="511">
        <f>SUMPRODUCT(($AJ$11:$AJ$170&gt;=36)*($AJ$11:$AJ$170&lt;52)*($AL$11:$AL$170=2))+SUMPRODUCT(($BB$11:$BB$170&gt;=36)*($BB$11:$BB$170&lt;52)*($BD$11:$BD$170=2))</f>
        <v>9</v>
      </c>
      <c r="BO20" s="511">
        <f>SUMPRODUCT(($AJ$11:$AJ$170&gt;=36)*($AJ$11:$AJ$170&lt;52)*($AL$11:$AL$170=3))+SUMPRODUCT(($BB$11:$BB$170&gt;=36)*($BB$11:$BB$170&lt;52)*($BD$11:$BD$170=3))</f>
        <v>4</v>
      </c>
      <c r="BP20" s="512">
        <f>SUMPRODUCT(($AJ$11:$AJ$170&gt;=36)*($AJ$11:$AJ$170&lt;52)*($AL$11:$AL$170=4))+SUMPRODUCT(($BB$11:$BB$170&gt;=36)*($BB$11:$BB$170&lt;52)*($BD$11:$BD$170=4))+SUMPRODUCT(($AJ$11:$AJ$170&gt;=36)*($AJ$11:$AJ$170&lt;52)*($AL$11:$AL$170=5))+SUMPRODUCT(($BB$11:$BB$170&gt;=36)*($BB$11:$BB$170&lt;52)*($BD$11:$BD$170=5))</f>
        <v>0</v>
      </c>
      <c r="BQ20" s="510">
        <f t="shared" si="33"/>
        <v>0</v>
      </c>
      <c r="BR20" s="511">
        <f t="shared" si="33"/>
        <v>18</v>
      </c>
      <c r="BS20" s="511">
        <f t="shared" si="33"/>
        <v>8</v>
      </c>
      <c r="BT20" s="512">
        <f t="shared" si="33"/>
        <v>0</v>
      </c>
      <c r="BU20" s="568"/>
      <c r="BV20" s="1114" t="str">
        <f t="shared" si="19"/>
        <v/>
      </c>
      <c r="BW20" s="1114">
        <f t="shared" si="19"/>
        <v>2.8900000000000095</v>
      </c>
      <c r="BX20" s="1114">
        <f t="shared" si="20"/>
        <v>295.84000000000009</v>
      </c>
      <c r="BY20" s="1115" t="str">
        <f t="shared" si="20"/>
        <v/>
      </c>
      <c r="BZ20" s="477"/>
      <c r="CA20" s="1114" t="str">
        <f t="shared" si="21"/>
        <v/>
      </c>
      <c r="CB20" s="1114">
        <f t="shared" si="21"/>
        <v>2.8900000000000095</v>
      </c>
      <c r="CC20" s="1114" t="str">
        <f t="shared" si="22"/>
        <v/>
      </c>
      <c r="CD20" s="1115">
        <f t="shared" si="22"/>
        <v>27.040000000000031</v>
      </c>
      <c r="CE20" s="568"/>
      <c r="CF20" s="509">
        <v>44</v>
      </c>
      <c r="CG20" s="510">
        <f>SUMIF($AA$11:$AA$170,"&lt;52",$AD$11:$AD$170)+SUMIF($AS$11:$AS$170,"&lt;52",$AV$11:$AV$170)-SUMIF($AA$11:$AA$170,"&lt;36",$AD$11:$AD$170)-SUMIF($AS$11:$AS$170,"&lt;36",$AV$11:$AV$170)</f>
        <v>141.39999999999998</v>
      </c>
      <c r="CH20" s="511">
        <f>SUMIF($AA$11:$AA$170,"&lt;52",$BV$11:$BV$170)+SUMIF($AS$11:$AS$170,"&lt;52",$CA$11:$CA$170)-SUMIF($AA$11:$AA$170,"&lt;36",$BV$11:$BV$170)-SUMIF($AS$11:$AS$170,"&lt;36",$CA$11:$CA$170)</f>
        <v>3360.0200000000004</v>
      </c>
      <c r="CI20" s="511">
        <f>SUMPRODUCT(($AA$11:$AA$170&lt;52)*($AD$11:$AD$170&lt;&gt;""))+SUMPRODUCT(($AS$11:$AS$170&lt;52)*($AV$11:$AV$170&lt;&gt;""))-SUMPRODUCT(($AA$11:$AA$170&lt;36)*($AD$11:$AD$170&lt;&gt;""))-SUMPRODUCT(($AS$11:$AS$170&lt;36)*($AV$11:$AV$170&lt;&gt;""))</f>
        <v>13</v>
      </c>
      <c r="CJ20" s="511">
        <f t="shared" si="37"/>
        <v>10.876923076923076</v>
      </c>
      <c r="CK20" s="512">
        <f t="shared" si="39"/>
        <v>3.4175481135576233</v>
      </c>
      <c r="CL20" s="510">
        <f>SUMIF($AJ$11:$AJ$170,"&lt;52",$AM$11:$AM$170)+SUMIF($BB$11:$BB$170,"&lt;52",$BE$11:$BE$170)-SUMIF($AJ$11:$AJ$170,"&lt;36",$AM$11:$AM$170)-SUMIF($BB$11:$BB$170,"&lt;36",$BE$11:$BE$170)</f>
        <v>94.1</v>
      </c>
      <c r="CM20" s="511">
        <f>SUMIF($AJ$11:$AJ$170,"&lt;52",$BX$11:$BX$170)+SUMIF($BB$11:$BB$170,"&lt;52",$CC$11:$CC$170)-SUMIF($AJ$11:$AJ$170,"&lt;36",$BX$11:$BX$170)-SUMIF($BB$11:$BB$170,"&lt;36",$CC$11:$CC$170)</f>
        <v>758.13000000000011</v>
      </c>
      <c r="CN20" s="511">
        <f>SUMPRODUCT(($AJ$11:$AJ$170&lt;52)*($AM$11:$AM$170&lt;&gt;""))+SUMPRODUCT(($BB$11:$BB$170&lt;52)*($BE$11:$BE$170&lt;&gt;""))-SUMPRODUCT(($AJ$11:$AJ$170&lt;36)*($AM$11:$AM$170&lt;&gt;""))-SUMPRODUCT(($BB$11:$BB$170&lt;36)*($BE$11:$BE$170&lt;&gt;""))</f>
        <v>13</v>
      </c>
      <c r="CO20" s="511">
        <f t="shared" si="38"/>
        <v>7.2384615384615376</v>
      </c>
      <c r="CP20" s="512">
        <f t="shared" si="40"/>
        <v>0.70251731081313018</v>
      </c>
      <c r="CQ20" s="510">
        <f t="shared" si="34"/>
        <v>235.49999999999997</v>
      </c>
      <c r="CR20" s="511">
        <f t="shared" si="34"/>
        <v>4118.1500000000005</v>
      </c>
      <c r="CS20" s="511">
        <f t="shared" si="34"/>
        <v>26</v>
      </c>
      <c r="CT20" s="511">
        <f t="shared" si="35"/>
        <v>9.0576923076923066</v>
      </c>
      <c r="CU20" s="512">
        <f t="shared" si="41"/>
        <v>1.7475536578263486</v>
      </c>
      <c r="CV20" s="476"/>
      <c r="CW20" s="345"/>
      <c r="CX20" s="345"/>
      <c r="CY20" s="345"/>
      <c r="CZ20" s="345"/>
      <c r="DA20" s="345"/>
      <c r="DB20" s="345"/>
      <c r="DC20" s="345"/>
      <c r="DD20" s="345"/>
      <c r="DE20" s="345"/>
      <c r="DF20" s="345"/>
      <c r="DG20" s="345"/>
      <c r="DH20" s="345"/>
      <c r="DI20" s="345"/>
      <c r="DJ20" s="345"/>
      <c r="DK20" s="345"/>
      <c r="DL20" s="345"/>
      <c r="DM20" s="345"/>
      <c r="DN20" s="345"/>
      <c r="DO20" s="345"/>
      <c r="DP20" s="345"/>
      <c r="DQ20" s="345"/>
      <c r="DR20" s="345"/>
      <c r="DS20" s="345"/>
      <c r="DT20" s="345"/>
      <c r="DU20" s="345"/>
      <c r="DV20" s="345"/>
      <c r="DW20" s="345"/>
      <c r="DX20" s="345"/>
      <c r="DY20" s="345"/>
      <c r="DZ20" s="345"/>
      <c r="EA20" s="345"/>
      <c r="EB20" s="345"/>
      <c r="EC20" s="345"/>
      <c r="ED20" s="345"/>
      <c r="EE20" s="345"/>
      <c r="EF20" s="345"/>
      <c r="EG20" s="345"/>
      <c r="EH20" s="345"/>
      <c r="EI20" s="345"/>
      <c r="EJ20" s="345"/>
      <c r="EK20" s="345"/>
      <c r="EL20" s="345"/>
      <c r="EM20" s="345"/>
      <c r="EN20" s="345"/>
      <c r="EO20" s="345"/>
      <c r="EP20" s="345"/>
      <c r="EQ20" s="345"/>
      <c r="ER20" s="345"/>
      <c r="ES20" s="345"/>
      <c r="ET20" s="345"/>
      <c r="EU20" s="345"/>
      <c r="EV20" s="345"/>
      <c r="EW20" s="345"/>
      <c r="EX20" s="345"/>
      <c r="EY20" s="345"/>
      <c r="EZ20" s="345"/>
      <c r="FA20" s="345"/>
      <c r="FB20" s="345"/>
      <c r="FC20" s="345"/>
      <c r="FD20" s="345"/>
      <c r="FE20" s="345"/>
      <c r="FF20" s="345"/>
      <c r="FG20" s="345"/>
      <c r="FH20" s="345"/>
      <c r="FI20" s="345"/>
      <c r="FJ20" s="345"/>
      <c r="FK20" s="345"/>
      <c r="FL20" s="345"/>
      <c r="FM20" s="345"/>
      <c r="FN20" s="345"/>
      <c r="FO20" s="345"/>
      <c r="FP20" s="345"/>
      <c r="FQ20" s="345"/>
      <c r="FR20" s="345"/>
      <c r="FS20" s="345"/>
      <c r="FT20" s="345"/>
      <c r="FU20" s="345"/>
      <c r="FV20" s="345"/>
      <c r="FW20" s="345"/>
      <c r="FX20" s="345"/>
      <c r="FY20" s="345"/>
      <c r="FZ20" s="345"/>
      <c r="GA20" s="345"/>
      <c r="GB20" s="345"/>
      <c r="GC20" s="345"/>
      <c r="GD20" s="345"/>
      <c r="GE20" s="345"/>
      <c r="GF20" s="345"/>
      <c r="GG20" s="345"/>
      <c r="GH20" s="345"/>
      <c r="GI20" s="345"/>
      <c r="GJ20" s="345"/>
      <c r="GK20" s="345"/>
      <c r="GL20" s="345"/>
      <c r="GM20" s="345"/>
      <c r="GN20" s="345"/>
      <c r="GO20" s="345"/>
      <c r="GP20" s="345"/>
      <c r="GQ20" s="345"/>
      <c r="GR20" s="345"/>
      <c r="GS20" s="345"/>
      <c r="GT20" s="345"/>
      <c r="GU20" s="345"/>
    </row>
    <row r="21" spans="1:203" ht="12.75" customHeight="1">
      <c r="A21" s="465">
        <f t="shared" si="31"/>
        <v>1</v>
      </c>
      <c r="B21" s="1108">
        <v>11</v>
      </c>
      <c r="C21" s="1109">
        <v>-1</v>
      </c>
      <c r="D21" s="398">
        <v>90</v>
      </c>
      <c r="E21" s="1120"/>
      <c r="F21" s="465">
        <f t="shared" si="36"/>
        <v>1</v>
      </c>
      <c r="G21" s="1108">
        <v>11</v>
      </c>
      <c r="H21" s="1109">
        <v>1</v>
      </c>
      <c r="I21" s="398">
        <v>93.9</v>
      </c>
      <c r="J21" s="1120"/>
      <c r="K21" s="465"/>
      <c r="L21" s="465"/>
      <c r="M21" s="465">
        <f t="shared" si="23"/>
        <v>1</v>
      </c>
      <c r="N21" s="1108">
        <v>11</v>
      </c>
      <c r="O21" s="1109">
        <v>-1</v>
      </c>
      <c r="P21" s="1110">
        <v>85</v>
      </c>
      <c r="Q21" s="1120"/>
      <c r="R21" s="465">
        <f t="shared" si="24"/>
        <v>1</v>
      </c>
      <c r="S21" s="1108">
        <v>11</v>
      </c>
      <c r="T21" s="1109">
        <v>-1</v>
      </c>
      <c r="U21" s="1110">
        <v>78.400000000000006</v>
      </c>
      <c r="V21" s="1120"/>
      <c r="W21" s="371"/>
      <c r="X21" s="494">
        <f t="shared" si="0"/>
        <v>90</v>
      </c>
      <c r="Y21" s="495">
        <f>IF('Feuilles=description générale'!$E$13="","",IF(X21="","",IF(X21&gt;('Feuilles=description générale'!$E$11+'Feuilles=description générale'!$E$10),"",100*(X21-'Feuilles=description générale'!$E$10)/('Feuilles=description générale'!$E$11))))</f>
        <v>72.232399895315368</v>
      </c>
      <c r="Z21" s="495" t="str">
        <f>IF('Feuilles=description générale'!$E$13="","",IF(X21="","",IF(X21&lt;=('Feuilles=description générale'!$E$11+'Feuilles=description générale'!$E$10),"",100*(X21-'Feuilles=description générale'!$E$11-'Feuilles=description générale'!$E$10)/('Feuilles=description générale'!$E$12))))</f>
        <v/>
      </c>
      <c r="AA21" s="1112">
        <f>IF('Feuilles=description générale'!$E$13="","",IF(X21="","",100*(X21-'Feuilles=description générale'!$E$10)/('Feuilles=description générale'!$E$13-'Feuilles=description générale'!$E$10)))</f>
        <v>17.875647668393782</v>
      </c>
      <c r="AB21" s="497">
        <f t="shared" si="1"/>
        <v>2</v>
      </c>
      <c r="AC21" s="500">
        <f t="shared" si="32"/>
        <v>2</v>
      </c>
      <c r="AD21" s="494">
        <f t="shared" si="2"/>
        <v>19.799999999999997</v>
      </c>
      <c r="AE21" s="499" t="str">
        <f t="shared" si="3"/>
        <v/>
      </c>
      <c r="AF21" s="371"/>
      <c r="AG21" s="494">
        <f t="shared" si="4"/>
        <v>93.9</v>
      </c>
      <c r="AH21" s="495">
        <f>IF('Feuilles=description générale'!$E$13="","",IF(AG21="","",IF(AG21&gt;('Feuilles=description générale'!$E$11+'Feuilles=description générale'!$E$10),"",100*(AG21-'Feuilles=description générale'!$E$10)/('Feuilles=description générale'!$E$11))))</f>
        <v>76.315100758963638</v>
      </c>
      <c r="AI21" s="495" t="str">
        <f>IF('Feuilles=description générale'!$E$13="","",IF(AG21="","",IF(AG21&lt;=('Feuilles=description générale'!$E$11+'Feuilles=description générale'!$E$10),"",100*(AG21-'Feuilles=description générale'!$E$11-'Feuilles=description générale'!$E$10)/('Feuilles=description générale'!$E$12))))</f>
        <v/>
      </c>
      <c r="AJ21" s="496">
        <f>IF('Feuilles=description générale'!$E$13="","",IF(AG21="","",100*(AG21-'Feuilles=description générale'!$E$10)/('Feuilles=description générale'!$E$13-'Feuilles=description générale'!$E$10)))</f>
        <v>18.886010362694304</v>
      </c>
      <c r="AK21" s="1113">
        <f t="shared" si="5"/>
        <v>1</v>
      </c>
      <c r="AL21" s="498" t="str">
        <f t="shared" si="6"/>
        <v/>
      </c>
      <c r="AM21" s="494" t="str">
        <f t="shared" si="7"/>
        <v/>
      </c>
      <c r="AN21" s="499">
        <f t="shared" si="8"/>
        <v>2</v>
      </c>
      <c r="AO21" s="371"/>
      <c r="AP21" s="494">
        <f t="shared" si="9"/>
        <v>85</v>
      </c>
      <c r="AQ21" s="495">
        <f>IF('Feuilles=description générale'!$E$13="","",IF(AP21="","",IF(AP21&gt;('Feuilles=description générale'!$E$25+'Feuilles=description générale'!$E$24),"",100*(AP21-'Feuilles=description générale'!$E$24)/('Feuilles=description générale'!$E$25))))</f>
        <v>67.135896047644835</v>
      </c>
      <c r="AR21" s="495" t="str">
        <f>IF('Feuilles=description générale'!$E$27="","",IF(AP21="","",IF(AP21&lt;=('Feuilles=description générale'!$E$25+'Feuilles=description générale'!$E$24),"",100*(AP21-'Feuilles=description générale'!$E$25-'Feuilles=description générale'!$E$24)/('Feuilles=description générale'!$E$26))))</f>
        <v/>
      </c>
      <c r="AS21" s="496">
        <f>IF('Feuilles=description générale'!$E$27="","",IF(AP21="","",100*(AP21-'Feuilles=description générale'!$E$24)/('Feuilles=description générale'!$E$27-'Feuilles=description générale'!$E$24)))</f>
        <v>15.155218772916157</v>
      </c>
      <c r="AT21" s="497">
        <f t="shared" si="10"/>
        <v>2</v>
      </c>
      <c r="AU21" s="500">
        <f t="shared" si="11"/>
        <v>2</v>
      </c>
      <c r="AV21" s="494">
        <f t="shared" si="12"/>
        <v>16.400000000000006</v>
      </c>
      <c r="AW21" s="499" t="str">
        <f t="shared" si="13"/>
        <v/>
      </c>
      <c r="AX21" s="371"/>
      <c r="AY21" s="494">
        <f t="shared" si="14"/>
        <v>78.400000000000006</v>
      </c>
      <c r="AZ21" s="495">
        <f>IF('Feuilles=description générale'!$E$13="","",IF(AY21="","",IF(AY21&gt;('Feuilles=description générale'!$E$25+'Feuilles=description générale'!$E$24),"",100*(AY21-'Feuilles=description générale'!$E$24)/('Feuilles=description générale'!$E$25))))</f>
        <v>59.989171629669748</v>
      </c>
      <c r="BA21" s="495" t="str">
        <f>IF('Feuilles=description générale'!$E$27="","",IF(AY21="","",IF(AY21&lt;=('Feuilles=description générale'!$E$25+'Feuilles=description générale'!$E$24),"",100*(AY21-'Feuilles=description générale'!$E$25-'Feuilles=description générale'!$E$24)/('Feuilles=description générale'!$E$26))))</f>
        <v/>
      </c>
      <c r="BB21" s="496">
        <f>IF('Feuilles=description générale'!$E$27="","",IF(AY21="","",100*(AY21-'Feuilles=description générale'!$E$24)/('Feuilles=description générale'!$E$27-'Feuilles=description générale'!$E$24)))</f>
        <v>13.541921290637987</v>
      </c>
      <c r="BC21" s="497">
        <f t="shared" si="15"/>
        <v>2</v>
      </c>
      <c r="BD21" s="500">
        <f t="shared" si="16"/>
        <v>2</v>
      </c>
      <c r="BE21" s="494">
        <f t="shared" si="17"/>
        <v>12.799999999999997</v>
      </c>
      <c r="BF21" s="499" t="str">
        <f t="shared" si="18"/>
        <v/>
      </c>
      <c r="BG21" s="476"/>
      <c r="BH21" s="509">
        <v>60</v>
      </c>
      <c r="BI21" s="510">
        <f>SUMPRODUCT(($AA$11:$AA$170&gt;=52)*($AA$11:$AA$170&lt;68)*($AC$11:$AC$170=1))+SUMPRODUCT(($AS$11:$AS$170&gt;=52)*($AS$11:$AS$170&lt;68)*($AU$11:$AU$170=1))</f>
        <v>0</v>
      </c>
      <c r="BJ21" s="511">
        <f>SUMPRODUCT(($AA$11:$AA$170&gt;=52)*($AA$11:$AA$170&lt;68)*($AC$11:$AC$170=2))+SUMPRODUCT(($AS$11:$AS$170&gt;=52)*($AS$11:$AS$170&lt;68)*($AU$11:$AU$170=2))</f>
        <v>12</v>
      </c>
      <c r="BK21" s="511">
        <f>SUMPRODUCT(($AA$11:$AA$170&gt;=52)*($AA$11:$AA$170&lt;68)*($AC$11:$AC$170=3))+SUMPRODUCT(($AS$11:$AS$170&gt;=52)*($AS$11:$AS$170&lt;68)*($AU$11:$AU$170=3))</f>
        <v>6</v>
      </c>
      <c r="BL21" s="512">
        <f>SUMPRODUCT(($AA$11:$AA$170&gt;=52)*($AA$11:$AA$170&lt;68)*($AC$11:$AC$170=4))+SUMPRODUCT(($AS$11:$AS$170&gt;=52)*($AS$11:$AS$170&lt;68)*($AU$11:$AU$170=4))+SUMPRODUCT(($AA$11:$AA$170&gt;=52)*($AA$11:$AA$170&lt;68)*($AC$11:$AC$170=5))+SUMPRODUCT(($AS$11:$AS$170&gt;=52)*($AS$11:$AS$170&lt;68)*($AU$11:$AU$170=5))</f>
        <v>0</v>
      </c>
      <c r="BM21" s="510">
        <f>SUMPRODUCT(($AJ$11:$AJ$170&gt;=52)*($AJ$11:$AJ$170&lt;68)*($AL$11:$AL$170=1))+SUMPRODUCT(($BB$11:$BB$170&gt;=52)*($BB$11:$BB$170&lt;68)*($BD$11:$BD$170=1))</f>
        <v>0</v>
      </c>
      <c r="BN21" s="511">
        <f>SUMPRODUCT(($AJ$11:$AJ$170&gt;=52)*($AJ$11:$AJ$170&lt;68)*($AL$11:$AL$170=2))+SUMPRODUCT(($BB$11:$BB$170&gt;=52)*($BB$11:$BB$170&lt;68)*($BD$11:$BD$170=2))</f>
        <v>7</v>
      </c>
      <c r="BO21" s="511">
        <f>SUMPRODUCT(($AJ$11:$AJ$170&gt;=52)*($AJ$11:$AJ$170&lt;68)*($AL$11:$AL$170=3))+SUMPRODUCT(($BB$11:$BB$170&gt;=52)*($BB$11:$BB$170&lt;68)*($BD$11:$BD$170=3))</f>
        <v>9</v>
      </c>
      <c r="BP21" s="512">
        <f>SUMPRODUCT(($AJ$11:$AJ$170&gt;=52)*($AJ$11:$AJ$170&lt;68)*($AL$11:$AL$170=4))+SUMPRODUCT(($BB$11:$BB$170&gt;=52)*($BB$11:$BB$170&lt;68)*($BD$11:$BD$170=4))+SUMPRODUCT(($AJ$11:$AJ$170&gt;=52)*($AJ$11:$AJ$170&lt;68)*($AL$11:$AL$170=5))+SUMPRODUCT(($BB$11:$BB$170&gt;=52)*($BB$11:$BB$170&lt;68)*($BD$11:$BD$170=5))</f>
        <v>0</v>
      </c>
      <c r="BQ21" s="510">
        <f t="shared" si="33"/>
        <v>0</v>
      </c>
      <c r="BR21" s="511">
        <f t="shared" si="33"/>
        <v>19</v>
      </c>
      <c r="BS21" s="511">
        <f t="shared" si="33"/>
        <v>15</v>
      </c>
      <c r="BT21" s="512">
        <f t="shared" si="33"/>
        <v>0</v>
      </c>
      <c r="BU21" s="568"/>
      <c r="BV21" s="1114">
        <f t="shared" si="19"/>
        <v>392.03999999999991</v>
      </c>
      <c r="BW21" s="1114" t="str">
        <f t="shared" si="19"/>
        <v/>
      </c>
      <c r="BX21" s="1114" t="str">
        <f t="shared" si="20"/>
        <v/>
      </c>
      <c r="BY21" s="1115">
        <f t="shared" si="20"/>
        <v>4</v>
      </c>
      <c r="BZ21" s="477"/>
      <c r="CA21" s="1114">
        <f t="shared" si="21"/>
        <v>268.96000000000021</v>
      </c>
      <c r="CB21" s="1114" t="str">
        <f t="shared" si="21"/>
        <v/>
      </c>
      <c r="CC21" s="1114">
        <f t="shared" si="22"/>
        <v>163.83999999999992</v>
      </c>
      <c r="CD21" s="1115" t="str">
        <f t="shared" si="22"/>
        <v/>
      </c>
      <c r="CE21" s="568"/>
      <c r="CF21" s="509">
        <v>60</v>
      </c>
      <c r="CG21" s="510">
        <f>SUMIF($AA$11:$AA$170,"&lt;68",$AD$11:$AD$170)+SUMIF($AS$11:$AS$170,"&lt;68",$AV$11:$AV$170)-SUMIF($AA$11:$AA$170,"&lt;52",$AD$11:$AD$170)-SUMIF($AS$11:$AS$170,"&lt;52",$AV$11:$AV$170)</f>
        <v>82.099999999999937</v>
      </c>
      <c r="CH21" s="511">
        <f>SUMIF($AA$11:$AA$170,"&lt;68",$BV$11:$BV$170)+SUMIF($AS$11:$AS$170,"&lt;68",$CA$11:$CA$170)-SUMIF($AA$11:$AA$170,"&lt;52",$BV$11:$BV$170)-SUMIF($AS$11:$AS$170,"&lt;52",$CA$11:$CA$170)</f>
        <v>393.26999999999816</v>
      </c>
      <c r="CI21" s="511">
        <f>SUMPRODUCT(($AA$11:$AA$170&lt;68)*($AD$11:$AD$170&lt;&gt;""))+SUMPRODUCT(($AS$11:$AS$170&lt;68)*($AV$11:$AV$170&lt;&gt;""))-SUMPRODUCT(($AA$11:$AA$170&lt;52)*($AD$11:$AD$170&lt;&gt;""))-SUMPRODUCT(($AS$11:$AS$170&lt;52)*($AV$11:$AV$170&lt;&gt;""))</f>
        <v>18</v>
      </c>
      <c r="CJ21" s="511">
        <f t="shared" si="37"/>
        <v>4.5611111111111073</v>
      </c>
      <c r="CK21" s="512">
        <f t="shared" si="39"/>
        <v>0.24788502617520927</v>
      </c>
      <c r="CL21" s="510">
        <f>SUMIF($AJ$11:$AJ$170,"&lt;68",$AM$11:$AM$170)+SUMIF($BB$11:$BB$170,"&lt;68",$BE$11:$BE$170)-SUMIF($AJ$11:$AJ$170,"&lt;52",$AM$11:$AM$170)-SUMIF($BB$11:$BB$170,"&lt;52",$BE$11:$BE$170)</f>
        <v>77.350000000000023</v>
      </c>
      <c r="CM21" s="511">
        <f>SUMIF($AJ$11:$AJ$170,"&lt;68",$BX$11:$BX$170)+SUMIF($BB$11:$BB$170,"&lt;68",$CC$11:$CC$170)-SUMIF($AJ$11:$AJ$170,"&lt;52",$BX$11:$BX$170)-SUMIF($BB$11:$BB$170,"&lt;52",$CC$11:$CC$170)</f>
        <v>386.72249999999985</v>
      </c>
      <c r="CN21" s="511">
        <f>SUMPRODUCT(($AJ$11:$AJ$170&lt;68)*($AM$11:$AM$170&lt;&gt;""))+SUMPRODUCT(($BB$11:$BB$170&lt;68)*($BE$11:$BE$170&lt;&gt;""))-SUMPRODUCT(($AJ$11:$AJ$170&lt;52)*($AM$11:$AM$170&lt;&gt;""))-SUMPRODUCT(($BB$11:$BB$170&lt;52)*($BE$11:$BE$170&lt;&gt;""))</f>
        <v>16</v>
      </c>
      <c r="CO21" s="511">
        <f t="shared" si="38"/>
        <v>4.8343750000000014</v>
      </c>
      <c r="CP21" s="512">
        <f t="shared" si="40"/>
        <v>0.23079205783200549</v>
      </c>
      <c r="CQ21" s="510">
        <f t="shared" si="34"/>
        <v>159.44999999999996</v>
      </c>
      <c r="CR21" s="511">
        <f t="shared" si="34"/>
        <v>779.99249999999802</v>
      </c>
      <c r="CS21" s="511">
        <f t="shared" si="34"/>
        <v>34</v>
      </c>
      <c r="CT21" s="511">
        <f t="shared" si="35"/>
        <v>4.6897058823529401</v>
      </c>
      <c r="CU21" s="512">
        <f t="shared" si="41"/>
        <v>0.16945676300041607</v>
      </c>
      <c r="CV21" s="476"/>
      <c r="CW21" s="345"/>
      <c r="CX21" s="345"/>
      <c r="CY21" s="345"/>
      <c r="CZ21" s="345"/>
      <c r="DA21" s="345"/>
      <c r="DB21" s="345"/>
      <c r="DC21" s="345"/>
      <c r="DD21" s="345"/>
      <c r="DE21" s="345"/>
      <c r="DF21" s="345"/>
      <c r="DG21" s="345"/>
      <c r="DH21" s="345"/>
      <c r="DI21" s="345"/>
      <c r="DJ21" s="345"/>
      <c r="DK21" s="345"/>
      <c r="DL21" s="345"/>
      <c r="DM21" s="345"/>
      <c r="DN21" s="345"/>
      <c r="DO21" s="345"/>
      <c r="DP21" s="345"/>
      <c r="DQ21" s="345"/>
      <c r="DR21" s="345"/>
      <c r="DS21" s="345"/>
      <c r="DT21" s="345"/>
      <c r="DU21" s="345"/>
      <c r="DV21" s="345"/>
      <c r="DW21" s="345"/>
      <c r="DX21" s="345"/>
      <c r="DY21" s="345"/>
      <c r="DZ21" s="345"/>
      <c r="EA21" s="345"/>
      <c r="EB21" s="345"/>
      <c r="EC21" s="345"/>
      <c r="ED21" s="345"/>
      <c r="EE21" s="345"/>
      <c r="EF21" s="345"/>
      <c r="EG21" s="345"/>
      <c r="EH21" s="345"/>
      <c r="EI21" s="345"/>
      <c r="EJ21" s="345"/>
      <c r="EK21" s="345"/>
      <c r="EL21" s="345"/>
      <c r="EM21" s="345"/>
      <c r="EN21" s="345"/>
      <c r="EO21" s="345"/>
      <c r="EP21" s="345"/>
      <c r="EQ21" s="345"/>
      <c r="ER21" s="345"/>
      <c r="ES21" s="345"/>
      <c r="ET21" s="345"/>
      <c r="EU21" s="345"/>
      <c r="EV21" s="345"/>
      <c r="EW21" s="345"/>
      <c r="EX21" s="345"/>
      <c r="EY21" s="345"/>
      <c r="EZ21" s="345"/>
      <c r="FA21" s="345"/>
      <c r="FB21" s="345"/>
      <c r="FC21" s="345"/>
      <c r="FD21" s="345"/>
      <c r="FE21" s="345"/>
      <c r="FF21" s="345"/>
      <c r="FG21" s="345"/>
      <c r="FH21" s="345"/>
      <c r="FI21" s="345"/>
      <c r="FJ21" s="345"/>
      <c r="FK21" s="345"/>
      <c r="FL21" s="345"/>
      <c r="FM21" s="345"/>
      <c r="FN21" s="345"/>
      <c r="FO21" s="345"/>
      <c r="FP21" s="345"/>
      <c r="FQ21" s="345"/>
      <c r="FR21" s="345"/>
      <c r="FS21" s="345"/>
      <c r="FT21" s="345"/>
      <c r="FU21" s="345"/>
      <c r="FV21" s="345"/>
      <c r="FW21" s="345"/>
      <c r="FX21" s="345"/>
      <c r="FY21" s="345"/>
      <c r="FZ21" s="345"/>
      <c r="GA21" s="345"/>
      <c r="GB21" s="345"/>
      <c r="GC21" s="345"/>
      <c r="GD21" s="345"/>
      <c r="GE21" s="345"/>
      <c r="GF21" s="345"/>
      <c r="GG21" s="345"/>
      <c r="GH21" s="345"/>
      <c r="GI21" s="345"/>
      <c r="GJ21" s="345"/>
      <c r="GK21" s="345"/>
      <c r="GL21" s="345"/>
      <c r="GM21" s="345"/>
      <c r="GN21" s="345"/>
      <c r="GO21" s="345"/>
      <c r="GP21" s="345"/>
      <c r="GQ21" s="345"/>
      <c r="GR21" s="345"/>
      <c r="GS21" s="345"/>
      <c r="GT21" s="345"/>
      <c r="GU21" s="345"/>
    </row>
    <row r="22" spans="1:203" ht="12.75" customHeight="1">
      <c r="A22" s="465">
        <f t="shared" si="31"/>
        <v>1</v>
      </c>
      <c r="B22" s="1108">
        <v>12</v>
      </c>
      <c r="C22" s="1109">
        <v>1</v>
      </c>
      <c r="D22" s="398">
        <v>109.8</v>
      </c>
      <c r="E22" s="1120"/>
      <c r="F22" s="465">
        <f t="shared" si="36"/>
        <v>1</v>
      </c>
      <c r="G22" s="1108">
        <v>12</v>
      </c>
      <c r="H22" s="1109">
        <v>-1</v>
      </c>
      <c r="I22" s="398">
        <v>95.9</v>
      </c>
      <c r="J22" s="1120"/>
      <c r="K22" s="465"/>
      <c r="L22" s="465"/>
      <c r="M22" s="465">
        <f t="shared" si="23"/>
        <v>1</v>
      </c>
      <c r="N22" s="1108">
        <v>12</v>
      </c>
      <c r="O22" s="1109">
        <v>1</v>
      </c>
      <c r="P22" s="1110">
        <v>101.4</v>
      </c>
      <c r="Q22" s="1120"/>
      <c r="R22" s="465">
        <f t="shared" si="24"/>
        <v>1</v>
      </c>
      <c r="S22" s="1108">
        <v>12</v>
      </c>
      <c r="T22" s="1109">
        <v>1</v>
      </c>
      <c r="U22" s="1110">
        <v>91.2</v>
      </c>
      <c r="V22" s="1120"/>
      <c r="W22" s="371"/>
      <c r="X22" s="494">
        <f t="shared" si="0"/>
        <v>109.8</v>
      </c>
      <c r="Y22" s="495">
        <f>IF('Feuilles=description générale'!$E$13="","",IF(X22="","",IF(X22&gt;('Feuilles=description générale'!$E$11+'Feuilles=description générale'!$E$10),"",100*(X22-'Feuilles=description générale'!$E$10)/('Feuilles=description générale'!$E$11))))</f>
        <v>92.959958126144997</v>
      </c>
      <c r="Z22" s="495" t="str">
        <f>IF('Feuilles=description générale'!$E$13="","",IF(X22="","",IF(X22&lt;=('Feuilles=description générale'!$E$11+'Feuilles=description générale'!$E$10),"",100*(X22-'Feuilles=description générale'!$E$11-'Feuilles=description générale'!$E$10)/('Feuilles=description générale'!$E$12))))</f>
        <v/>
      </c>
      <c r="AA22" s="1112">
        <f>IF('Feuilles=description générale'!$E$13="","",IF(X22="","",100*(X22-'Feuilles=description générale'!$E$10)/('Feuilles=description générale'!$E$13-'Feuilles=description générale'!$E$10)))</f>
        <v>23.005181347150259</v>
      </c>
      <c r="AB22" s="497">
        <f t="shared" si="1"/>
        <v>1</v>
      </c>
      <c r="AC22" s="500" t="str">
        <f t="shared" si="32"/>
        <v/>
      </c>
      <c r="AD22" s="494" t="str">
        <f t="shared" si="2"/>
        <v/>
      </c>
      <c r="AE22" s="499">
        <f t="shared" si="3"/>
        <v>1.5</v>
      </c>
      <c r="AF22" s="371"/>
      <c r="AG22" s="494">
        <f t="shared" si="4"/>
        <v>95.9</v>
      </c>
      <c r="AH22" s="495">
        <f>IF('Feuilles=description générale'!$E$13="","",IF(AG22="","",IF(AG22&gt;('Feuilles=description générale'!$E$11+'Feuilles=description générale'!$E$10),"",100*(AG22-'Feuilles=description générale'!$E$10)/('Feuilles=description générale'!$E$11))))</f>
        <v>78.408793509552495</v>
      </c>
      <c r="AI22" s="495" t="str">
        <f>IF('Feuilles=description générale'!$E$13="","",IF(AG22="","",IF(AG22&lt;=('Feuilles=description générale'!$E$11+'Feuilles=description générale'!$E$10),"",100*(AG22-'Feuilles=description générale'!$E$11-'Feuilles=description générale'!$E$10)/('Feuilles=description générale'!$E$12))))</f>
        <v/>
      </c>
      <c r="AJ22" s="496">
        <f>IF('Feuilles=description générale'!$E$13="","",IF(AG22="","",100*(AG22-'Feuilles=description générale'!$E$10)/('Feuilles=description générale'!$E$13-'Feuilles=description générale'!$E$10)))</f>
        <v>19.404145077720209</v>
      </c>
      <c r="AK22" s="1113">
        <f t="shared" si="5"/>
        <v>2</v>
      </c>
      <c r="AL22" s="498">
        <f t="shared" si="6"/>
        <v>2</v>
      </c>
      <c r="AM22" s="494">
        <f t="shared" si="7"/>
        <v>18.699999999999989</v>
      </c>
      <c r="AN22" s="499" t="str">
        <f t="shared" si="8"/>
        <v/>
      </c>
      <c r="AO22" s="371"/>
      <c r="AP22" s="494">
        <f t="shared" si="9"/>
        <v>101.4</v>
      </c>
      <c r="AQ22" s="495">
        <f>IF('Feuilles=description générale'!$E$13="","",IF(AP22="","",IF(AP22&gt;('Feuilles=description générale'!$E$25+'Feuilles=description générale'!$E$24),"",100*(AP22-'Feuilles=description générale'!$E$24)/('Feuilles=description générale'!$E$25))))</f>
        <v>84.894423389279922</v>
      </c>
      <c r="AR22" s="495" t="str">
        <f>IF('Feuilles=description générale'!$E$27="","",IF(AP22="","",IF(AP22&lt;=('Feuilles=description générale'!$E$25+'Feuilles=description générale'!$E$24),"",100*(AP22-'Feuilles=description générale'!$E$25-'Feuilles=description générale'!$E$24)/('Feuilles=description générale'!$E$26))))</f>
        <v/>
      </c>
      <c r="AS22" s="496">
        <f>IF('Feuilles=description générale'!$E$27="","",IF(AP22="","",100*(AP22-'Feuilles=description générale'!$E$24)/('Feuilles=description générale'!$E$27-'Feuilles=description générale'!$E$24)))</f>
        <v>19.164018577364949</v>
      </c>
      <c r="AT22" s="497">
        <f t="shared" si="10"/>
        <v>1</v>
      </c>
      <c r="AU22" s="500" t="str">
        <f t="shared" si="11"/>
        <v/>
      </c>
      <c r="AV22" s="494" t="str">
        <f t="shared" si="12"/>
        <v/>
      </c>
      <c r="AW22" s="499">
        <f t="shared" si="13"/>
        <v>1.2999999999999972</v>
      </c>
      <c r="AX22" s="371"/>
      <c r="AY22" s="494">
        <f t="shared" si="14"/>
        <v>91.2</v>
      </c>
      <c r="AZ22" s="495">
        <f>IF('Feuilles=description générale'!$E$13="","",IF(AY22="","",IF(AY22&gt;('Feuilles=description générale'!$E$25+'Feuilles=description générale'!$E$24),"",100*(AY22-'Feuilles=description générale'!$E$24)/('Feuilles=description générale'!$E$25))))</f>
        <v>73.849485652409314</v>
      </c>
      <c r="BA22" s="495" t="str">
        <f>IF('Feuilles=description générale'!$E$27="","",IF(AY22="","",IF(AY22&lt;=('Feuilles=description générale'!$E$25+'Feuilles=description générale'!$E$24),"",100*(AY22-'Feuilles=description générale'!$E$25-'Feuilles=description générale'!$E$24)/('Feuilles=description générale'!$E$26))))</f>
        <v/>
      </c>
      <c r="BB22" s="496">
        <f>IF('Feuilles=description générale'!$E$27="","",IF(AY22="","",100*(AY22-'Feuilles=description générale'!$E$24)/('Feuilles=description générale'!$E$27-'Feuilles=description générale'!$E$24)))</f>
        <v>16.670740650207772</v>
      </c>
      <c r="BC22" s="497">
        <f t="shared" si="15"/>
        <v>1</v>
      </c>
      <c r="BD22" s="500" t="str">
        <f t="shared" si="16"/>
        <v/>
      </c>
      <c r="BE22" s="494" t="str">
        <f t="shared" si="17"/>
        <v/>
      </c>
      <c r="BF22" s="499">
        <f t="shared" si="18"/>
        <v>1.7999999999999972</v>
      </c>
      <c r="BG22" s="476"/>
      <c r="BH22" s="509">
        <v>76</v>
      </c>
      <c r="BI22" s="510">
        <f>SUMPRODUCT(($AA$11:$AA$170&gt;=68)*($AA$11:$AA$170&lt;84)*($AC$11:$AC$170=1))+SUMPRODUCT(($AS$11:$AS$170&gt;=68)*($AS$11:$AS$170&lt;84)*($AU$11:$AU$170=1))</f>
        <v>2</v>
      </c>
      <c r="BJ22" s="511">
        <f>SUMPRODUCT(($AA$11:$AA$170&gt;=68)*($AA$11:$AA$170&lt;84)*($AC$11:$AC$170=2))+SUMPRODUCT(($AS$11:$AS$170&gt;=68)*($AS$11:$AS$170&lt;84)*($AU$11:$AU$170=2))</f>
        <v>14</v>
      </c>
      <c r="BK22" s="511">
        <f>SUMPRODUCT(($AA$11:$AA$170&gt;=68)*($AA$11:$AA$170&lt;84)*($AC$11:$AC$170=3))+SUMPRODUCT(($AS$11:$AS$170&gt;=68)*($AS$11:$AS$170&lt;84)*($AU$11:$AU$170=3))</f>
        <v>7</v>
      </c>
      <c r="BL22" s="512">
        <f>SUMPRODUCT(($AA$11:$AA$170&gt;=68)*($AA$11:$AA$170&lt;84)*($AC$11:$AC$170=4))+SUMPRODUCT(($AS$11:$AS$170&gt;=68)*($AS$11:$AS$170&lt;84)*($AU$11:$AU$170=4))+SUMPRODUCT(($AA$11:$AA$170&gt;=68)*($AA$11:$AA$170&lt;84)*($AC$11:$AC$170=5))+SUMPRODUCT(($AS$11:$AS$170&gt;=68)*($AS$11:$AS$170&lt;84)*($AU$11:$AU$170=5))</f>
        <v>0</v>
      </c>
      <c r="BM22" s="510">
        <f>SUMPRODUCT(($AJ$11:$AJ$170&gt;=68)*($AJ$11:$AJ$170&lt;84)*($AL$11:$AL$170=1))+SUMPRODUCT(($BB$11:$BB$170&gt;=68)*($BB$11:$BB$170&lt;84)*($BD$11:$BD$170=1))</f>
        <v>0</v>
      </c>
      <c r="BN22" s="511">
        <f>SUMPRODUCT(($AJ$11:$AJ$170&gt;=68)*($AJ$11:$AJ$170&lt;84)*($AL$11:$AL$170=2))+SUMPRODUCT(($BB$11:$BB$170&gt;=68)*($BB$11:$BB$170&lt;84)*($BD$11:$BD$170=2))</f>
        <v>15</v>
      </c>
      <c r="BO22" s="511">
        <f>SUMPRODUCT(($AJ$11:$AJ$170&gt;=68)*($AJ$11:$AJ$170&lt;84)*($AL$11:$AL$170=3))+SUMPRODUCT(($BB$11:$BB$170&gt;=68)*($BB$11:$BB$170&lt;84)*($BD$11:$BD$170=3))</f>
        <v>7</v>
      </c>
      <c r="BP22" s="512">
        <f>SUMPRODUCT(($AJ$11:$AJ$170&gt;=68)*($AJ$11:$AJ$170&lt;84)*($AL$11:$AL$170=4))+SUMPRODUCT(($BB$11:$BB$170&gt;=68)*($BB$11:$BB$170&lt;84)*($BD$11:$BD$170=4))+SUMPRODUCT(($AJ$11:$AJ$170&gt;=68)*($AJ$11:$AJ$170&lt;84)*($AL$11:$AL$170=5))+SUMPRODUCT(($BB$11:$BB$170&gt;=68)*($BB$11:$BB$170&lt;84)*($BD$11:$BD$170=5))</f>
        <v>0</v>
      </c>
      <c r="BQ22" s="510">
        <f t="shared" si="33"/>
        <v>2</v>
      </c>
      <c r="BR22" s="511">
        <f t="shared" si="33"/>
        <v>29</v>
      </c>
      <c r="BS22" s="511">
        <f t="shared" si="33"/>
        <v>14</v>
      </c>
      <c r="BT22" s="512">
        <f t="shared" si="33"/>
        <v>0</v>
      </c>
      <c r="BU22" s="568"/>
      <c r="BV22" s="1114" t="str">
        <f t="shared" si="19"/>
        <v/>
      </c>
      <c r="BW22" s="1114">
        <f t="shared" si="19"/>
        <v>2.25</v>
      </c>
      <c r="BX22" s="1114">
        <f t="shared" si="20"/>
        <v>349.6899999999996</v>
      </c>
      <c r="BY22" s="1115" t="str">
        <f t="shared" si="20"/>
        <v/>
      </c>
      <c r="BZ22" s="477"/>
      <c r="CA22" s="1114" t="str">
        <f t="shared" si="21"/>
        <v/>
      </c>
      <c r="CB22" s="1114">
        <f t="shared" si="21"/>
        <v>1.6899999999999926</v>
      </c>
      <c r="CC22" s="1114" t="str">
        <f t="shared" si="22"/>
        <v/>
      </c>
      <c r="CD22" s="1115">
        <f t="shared" si="22"/>
        <v>3.2399999999999896</v>
      </c>
      <c r="CE22" s="568"/>
      <c r="CF22" s="509">
        <v>76</v>
      </c>
      <c r="CG22" s="510">
        <f>SUMIF($AA$11:$AA$170,"&lt;84",$AD$11:$AD$170)+SUMIF($AS$11:$AS$170,"&lt;84",$AV$11:$AV$170)-SUMIF($AA$11:$AA$170,"&lt;68",$AD$11:$AD$170)-SUMIF($AS$11:$AS$170,"&lt;68",$AV$11:$AV$170)</f>
        <v>23.11000000000007</v>
      </c>
      <c r="CH22" s="511">
        <f>SUMIF($AA$11:$AA$170,"&lt;84",$BV$11:$BV$170)+SUMIF($AS$11:$AS$170,"&lt;84",$CA$11:$CA$170)-SUMIF($AA$11:$AA$170,"&lt;68",$BV$11:$BV$170)-SUMIF($AS$11:$AS$170,"&lt;68",$CA$11:$CA$170)</f>
        <v>3413.6520999999984</v>
      </c>
      <c r="CI22" s="511">
        <f>SUMPRODUCT(($AA$11:$AA$170&lt;84)*($AD$11:$AD$170&lt;&gt;""))+SUMPRODUCT(($AS$11:$AS$170&lt;84)*($AV$11:$AV$170&lt;&gt;""))-SUMPRODUCT(($AA$11:$AA$170&lt;68)*($AD$11:$AD$170&lt;&gt;""))-SUMPRODUCT(($AS$11:$AS$170&lt;68)*($AV$11:$AV$170&lt;&gt;""))</f>
        <v>23</v>
      </c>
      <c r="CJ22" s="511">
        <f t="shared" si="37"/>
        <v>1.0047826086956553</v>
      </c>
      <c r="CK22" s="512">
        <f t="shared" si="39"/>
        <v>2.5885242235595607</v>
      </c>
      <c r="CL22" s="510">
        <f>SUMIF($AJ$11:$AJ$170,"&lt;84",$AM$11:$AM$170)+SUMIF($BB$11:$BB$170,"&lt;84",$BE$11:$BE$170)-SUMIF($AJ$11:$AJ$170,"&lt;68",$AM$11:$AM$170)-SUMIF($BB$11:$BB$170,"&lt;68",$BE$11:$BE$170)</f>
        <v>86.490000000000009</v>
      </c>
      <c r="CM22" s="511">
        <f>SUMIF($AJ$11:$AJ$170,"&lt;84",$BX$11:$BX$170)+SUMIF($BB$11:$BB$170,"&lt;84",$CC$11:$CC$170)-SUMIF($AJ$11:$AJ$170,"&lt;68",$BX$11:$BX$170)-SUMIF($BB$11:$BB$170,"&lt;68",$CC$11:$CC$170)</f>
        <v>350.93010000000049</v>
      </c>
      <c r="CN22" s="511">
        <f>SUMPRODUCT(($AJ$11:$AJ$170&lt;84)*($AM$11:$AM$170&lt;&gt;""))+SUMPRODUCT(($BB$11:$BB$170&lt;84)*($BE$11:$BE$170&lt;&gt;""))-SUMPRODUCT(($AJ$11:$AJ$170&lt;68)*($AM$11:$AM$170&lt;&gt;""))-SUMPRODUCT(($BB$11:$BB$170&lt;68)*($BE$11:$BE$170&lt;&gt;""))</f>
        <v>22</v>
      </c>
      <c r="CO22" s="511">
        <f t="shared" si="38"/>
        <v>3.9313636363636366</v>
      </c>
      <c r="CP22" s="512">
        <f t="shared" si="40"/>
        <v>0.15364587306311869</v>
      </c>
      <c r="CQ22" s="510">
        <f t="shared" si="34"/>
        <v>109.60000000000008</v>
      </c>
      <c r="CR22" s="511">
        <f t="shared" si="34"/>
        <v>3764.5821999999989</v>
      </c>
      <c r="CS22" s="511">
        <f t="shared" si="34"/>
        <v>45</v>
      </c>
      <c r="CT22" s="511">
        <f t="shared" si="35"/>
        <v>2.4355555555555575</v>
      </c>
      <c r="CU22" s="512">
        <f t="shared" si="41"/>
        <v>1.3290927472769523</v>
      </c>
      <c r="CV22" s="476"/>
      <c r="CW22" s="345"/>
      <c r="CX22" s="345"/>
      <c r="CY22" s="345"/>
      <c r="CZ22" s="345"/>
      <c r="DA22" s="345"/>
      <c r="DB22" s="345"/>
      <c r="DC22" s="345"/>
      <c r="DD22" s="345"/>
      <c r="DE22" s="345"/>
      <c r="DF22" s="345"/>
      <c r="DG22" s="345"/>
      <c r="DH22" s="345"/>
      <c r="DI22" s="345"/>
      <c r="DJ22" s="345"/>
      <c r="DK22" s="345"/>
      <c r="DL22" s="345"/>
      <c r="DM22" s="345"/>
      <c r="DN22" s="345"/>
      <c r="DO22" s="345"/>
      <c r="DP22" s="345"/>
      <c r="DQ22" s="345"/>
      <c r="DR22" s="345"/>
      <c r="DS22" s="345"/>
      <c r="DT22" s="345"/>
      <c r="DU22" s="345"/>
      <c r="DV22" s="345"/>
      <c r="DW22" s="345"/>
      <c r="DX22" s="345"/>
      <c r="DY22" s="345"/>
      <c r="DZ22" s="345"/>
      <c r="EA22" s="345"/>
      <c r="EB22" s="345"/>
      <c r="EC22" s="345"/>
      <c r="ED22" s="345"/>
      <c r="EE22" s="345"/>
      <c r="EF22" s="345"/>
      <c r="EG22" s="345"/>
      <c r="EH22" s="345"/>
      <c r="EI22" s="345"/>
      <c r="EJ22" s="345"/>
      <c r="EK22" s="345"/>
      <c r="EL22" s="345"/>
      <c r="EM22" s="345"/>
      <c r="EN22" s="345"/>
      <c r="EO22" s="345"/>
      <c r="EP22" s="345"/>
      <c r="EQ22" s="345"/>
      <c r="ER22" s="345"/>
      <c r="ES22" s="345"/>
      <c r="ET22" s="345"/>
      <c r="EU22" s="345"/>
      <c r="EV22" s="345"/>
      <c r="EW22" s="345"/>
      <c r="EX22" s="345"/>
      <c r="EY22" s="345"/>
      <c r="EZ22" s="345"/>
      <c r="FA22" s="345"/>
      <c r="FB22" s="345"/>
      <c r="FC22" s="345"/>
      <c r="FD22" s="345"/>
      <c r="FE22" s="345"/>
      <c r="FF22" s="345"/>
      <c r="FG22" s="345"/>
      <c r="FH22" s="345"/>
      <c r="FI22" s="345"/>
      <c r="FJ22" s="345"/>
      <c r="FK22" s="345"/>
      <c r="FL22" s="345"/>
      <c r="FM22" s="345"/>
      <c r="FN22" s="345"/>
      <c r="FO22" s="345"/>
      <c r="FP22" s="345"/>
      <c r="FQ22" s="345"/>
      <c r="FR22" s="345"/>
      <c r="FS22" s="345"/>
      <c r="FT22" s="345"/>
      <c r="FU22" s="345"/>
      <c r="FV22" s="345"/>
      <c r="FW22" s="345"/>
      <c r="FX22" s="345"/>
      <c r="FY22" s="345"/>
      <c r="FZ22" s="345"/>
      <c r="GA22" s="345"/>
      <c r="GB22" s="345"/>
      <c r="GC22" s="345"/>
      <c r="GD22" s="345"/>
      <c r="GE22" s="345"/>
      <c r="GF22" s="345"/>
      <c r="GG22" s="345"/>
      <c r="GH22" s="345"/>
      <c r="GI22" s="345"/>
      <c r="GJ22" s="345"/>
      <c r="GK22" s="345"/>
      <c r="GL22" s="345"/>
      <c r="GM22" s="345"/>
      <c r="GN22" s="345"/>
      <c r="GO22" s="345"/>
      <c r="GP22" s="345"/>
      <c r="GQ22" s="345"/>
      <c r="GR22" s="345"/>
      <c r="GS22" s="345"/>
      <c r="GT22" s="345"/>
      <c r="GU22" s="345"/>
    </row>
    <row r="23" spans="1:203" ht="12.75" customHeight="1">
      <c r="A23" s="465">
        <f t="shared" si="31"/>
        <v>1</v>
      </c>
      <c r="B23" s="1108">
        <v>13</v>
      </c>
      <c r="C23" s="1109">
        <v>-1</v>
      </c>
      <c r="D23" s="398">
        <v>111.3</v>
      </c>
      <c r="E23" s="1120"/>
      <c r="F23" s="465">
        <f t="shared" si="36"/>
        <v>1</v>
      </c>
      <c r="G23" s="1108">
        <v>13</v>
      </c>
      <c r="H23" s="1109">
        <v>1</v>
      </c>
      <c r="I23" s="398">
        <v>114.6</v>
      </c>
      <c r="J23" s="1120"/>
      <c r="K23" s="465"/>
      <c r="L23" s="465"/>
      <c r="M23" s="465">
        <f t="shared" si="23"/>
        <v>1</v>
      </c>
      <c r="N23" s="1108">
        <v>13</v>
      </c>
      <c r="O23" s="1109">
        <v>-1</v>
      </c>
      <c r="P23" s="1110">
        <v>102.7</v>
      </c>
      <c r="Q23" s="1120"/>
      <c r="R23" s="465">
        <f t="shared" si="24"/>
        <v>1</v>
      </c>
      <c r="S23" s="1108">
        <v>13</v>
      </c>
      <c r="T23" s="1109">
        <v>-1</v>
      </c>
      <c r="U23" s="1110">
        <v>93</v>
      </c>
      <c r="V23" s="1120"/>
      <c r="W23" s="371"/>
      <c r="X23" s="494">
        <f t="shared" si="0"/>
        <v>111.3</v>
      </c>
      <c r="Y23" s="495">
        <f>IF('Feuilles=description générale'!$E$13="","",IF(X23="","",IF(X23&gt;('Feuilles=description générale'!$E$11+'Feuilles=description générale'!$E$10),"",100*(X23-'Feuilles=description générale'!$E$10)/('Feuilles=description générale'!$E$11))))</f>
        <v>94.53022768908663</v>
      </c>
      <c r="Z23" s="495" t="str">
        <f>IF('Feuilles=description générale'!$E$13="","",IF(X23="","",IF(X23&lt;=('Feuilles=description générale'!$E$11+'Feuilles=description générale'!$E$10),"",100*(X23-'Feuilles=description générale'!$E$11-'Feuilles=description générale'!$E$10)/('Feuilles=description générale'!$E$12))))</f>
        <v/>
      </c>
      <c r="AA23" s="1112">
        <f>IF('Feuilles=description générale'!$E$13="","",IF(X23="","",100*(X23-'Feuilles=description générale'!$E$10)/('Feuilles=description générale'!$E$13-'Feuilles=description générale'!$E$10)))</f>
        <v>23.393782383419691</v>
      </c>
      <c r="AB23" s="497">
        <f t="shared" si="1"/>
        <v>2</v>
      </c>
      <c r="AC23" s="500">
        <f t="shared" si="32"/>
        <v>2</v>
      </c>
      <c r="AD23" s="494">
        <f t="shared" si="2"/>
        <v>12.700000000000003</v>
      </c>
      <c r="AE23" s="499" t="str">
        <f t="shared" si="3"/>
        <v/>
      </c>
      <c r="AF23" s="371"/>
      <c r="AG23" s="494">
        <f t="shared" si="4"/>
        <v>114.6</v>
      </c>
      <c r="AH23" s="495">
        <f>IF('Feuilles=description générale'!$E$13="","",IF(AG23="","",IF(AG23&gt;('Feuilles=description générale'!$E$11+'Feuilles=description générale'!$E$10),"",100*(AG23-'Feuilles=description générale'!$E$10)/('Feuilles=description générale'!$E$11))))</f>
        <v>97.984820727558244</v>
      </c>
      <c r="AI23" s="495" t="str">
        <f>IF('Feuilles=description générale'!$E$13="","",IF(AG23="","",IF(AG23&lt;=('Feuilles=description générale'!$E$11+'Feuilles=description générale'!$E$10),"",100*(AG23-'Feuilles=description générale'!$E$11-'Feuilles=description générale'!$E$10)/('Feuilles=description générale'!$E$12))))</f>
        <v/>
      </c>
      <c r="AJ23" s="496">
        <f>IF('Feuilles=description générale'!$E$13="","",IF(AG23="","",100*(AG23-'Feuilles=description générale'!$E$10)/('Feuilles=description générale'!$E$13-'Feuilles=description générale'!$E$10)))</f>
        <v>24.248704663212436</v>
      </c>
      <c r="AK23" s="1113">
        <f t="shared" si="5"/>
        <v>1</v>
      </c>
      <c r="AL23" s="498" t="str">
        <f t="shared" si="6"/>
        <v/>
      </c>
      <c r="AM23" s="494" t="str">
        <f t="shared" si="7"/>
        <v/>
      </c>
      <c r="AN23" s="499">
        <f t="shared" si="8"/>
        <v>1.6000000000000085</v>
      </c>
      <c r="AO23" s="371"/>
      <c r="AP23" s="494">
        <f t="shared" si="9"/>
        <v>102.7</v>
      </c>
      <c r="AQ23" s="495">
        <f>IF('Feuilles=description générale'!$E$13="","",IF(AP23="","",IF(AP23&gt;('Feuilles=description générale'!$E$25+'Feuilles=description générale'!$E$24),"",100*(AP23-'Feuilles=description générale'!$E$24)/('Feuilles=description générale'!$E$25))))</f>
        <v>86.302111532214411</v>
      </c>
      <c r="AR23" s="495" t="str">
        <f>IF('Feuilles=description générale'!$E$27="","",IF(AP23="","",IF(AP23&lt;=('Feuilles=description générale'!$E$25+'Feuilles=description générale'!$E$24),"",100*(AP23-'Feuilles=description générale'!$E$25-'Feuilles=description générale'!$E$24)/('Feuilles=description générale'!$E$26))))</f>
        <v/>
      </c>
      <c r="AS23" s="496">
        <f>IF('Feuilles=description générale'!$E$27="","",IF(AP23="","",100*(AP23-'Feuilles=description générale'!$E$24)/('Feuilles=description générale'!$E$27-'Feuilles=description générale'!$E$24)))</f>
        <v>19.481789293571254</v>
      </c>
      <c r="AT23" s="497">
        <f t="shared" si="10"/>
        <v>2</v>
      </c>
      <c r="AU23" s="500">
        <f t="shared" si="11"/>
        <v>2</v>
      </c>
      <c r="AV23" s="494">
        <f t="shared" si="12"/>
        <v>11.5</v>
      </c>
      <c r="AW23" s="499" t="str">
        <f t="shared" si="13"/>
        <v/>
      </c>
      <c r="AX23" s="371"/>
      <c r="AY23" s="494">
        <f t="shared" si="14"/>
        <v>93</v>
      </c>
      <c r="AZ23" s="495">
        <f>IF('Feuilles=description générale'!$E$13="","",IF(AY23="","",IF(AY23&gt;('Feuilles=description générale'!$E$25+'Feuilles=description générale'!$E$24),"",100*(AY23-'Feuilles=description générale'!$E$24)/('Feuilles=description générale'!$E$25))))</f>
        <v>75.798592311857064</v>
      </c>
      <c r="BA23" s="495" t="str">
        <f>IF('Feuilles=description générale'!$E$27="","",IF(AY23="","",IF(AY23&lt;=('Feuilles=description générale'!$E$25+'Feuilles=description générale'!$E$24),"",100*(AY23-'Feuilles=description générale'!$E$25-'Feuilles=description générale'!$E$24)/('Feuilles=description générale'!$E$26))))</f>
        <v/>
      </c>
      <c r="BB23" s="496">
        <f>IF('Feuilles=description générale'!$E$27="","",IF(AY23="","",100*(AY23-'Feuilles=description générale'!$E$24)/('Feuilles=description générale'!$E$27-'Feuilles=description générale'!$E$24)))</f>
        <v>17.110730872647274</v>
      </c>
      <c r="BC23" s="497">
        <f t="shared" si="15"/>
        <v>2</v>
      </c>
      <c r="BD23" s="500">
        <f t="shared" si="16"/>
        <v>2</v>
      </c>
      <c r="BE23" s="494">
        <f t="shared" si="17"/>
        <v>16.700000000000003</v>
      </c>
      <c r="BF23" s="499" t="str">
        <f t="shared" si="18"/>
        <v/>
      </c>
      <c r="BG23" s="476"/>
      <c r="BH23" s="509">
        <v>88</v>
      </c>
      <c r="BI23" s="510">
        <f>SUMPRODUCT(($AA$11:$AA$170&gt;=84)*($AA$11:$AA$170&lt;92)*($AC$11:$AC$170=1))+SUMPRODUCT(($AS$11:$AS$170&gt;=84)*($AS$11:$AS$170&lt;92)*($AU$11:$AU$170=1))</f>
        <v>1</v>
      </c>
      <c r="BJ23" s="511">
        <f>SUMPRODUCT(($AA$11:$AA$170&gt;=84)*($AA$11:$AA$170&lt;92)*($AC$11:$AC$170=2))+SUMPRODUCT(($AS$11:$AS$170&gt;=84)*($AS$11:$AS$170&lt;92)*($AU$11:$AU$170=2))</f>
        <v>5</v>
      </c>
      <c r="BK23" s="511">
        <f>SUMPRODUCT(($AA$11:$AA$170&gt;=84)*($AA$11:$AA$170&lt;92)*($AC$11:$AC$170=3))+SUMPRODUCT(($AS$11:$AS$170&gt;=84)*($AS$11:$AS$170&lt;92)*($AU$11:$AU$170=3))</f>
        <v>4</v>
      </c>
      <c r="BL23" s="512">
        <f>SUMPRODUCT(($AA$11:$AA$170&gt;=84)*($AA$11:$AA$170&lt;92)*($AC$11:$AC$170=4))+SUMPRODUCT(($AS$11:$AS$170&gt;=84)*($AS$11:$AS$170&lt;92)*($AU$11:$AU$170=4))+SUMPRODUCT(($AA$11:$AA$170&gt;=84)*($AA$11:$AA$170&lt;92)*($AC$11:$AC$170=5))+SUMPRODUCT(($AS$11:$AS$170&gt;=84)*($AS$11:$AS$170&lt;925)*($AU$11:$AU$170=5))</f>
        <v>0</v>
      </c>
      <c r="BM23" s="510">
        <f>SUMPRODUCT(($AJ$11:$AJ$170&gt;=84)*($AJ$11:$AJ$170&lt;92)*($AL$11:$AL$170=1))+SUMPRODUCT(($BB$11:$BB$170&gt;=84)*($BB$11:$BB$170&lt;92)*($BD$11:$BD$170=1))</f>
        <v>0</v>
      </c>
      <c r="BN23" s="511">
        <f>SUMPRODUCT(($AJ$11:$AJ$170&gt;=84)*($AJ$11:$AJ$170&lt;92)*($AL$11:$AL$170=2))+SUMPRODUCT(($BB$11:$BB$170&gt;=84)*($BB$11:$BB$170&lt;92)*($BD$11:$BD$170=2))</f>
        <v>5</v>
      </c>
      <c r="BO23" s="511">
        <f>SUMPRODUCT(($AJ$11:$AJ$170&gt;=84)*($AJ$11:$AJ$170&lt;92)*($AL$11:$AL$170=3))+SUMPRODUCT(($BB$11:$BB$170&gt;=84)*($BB$11:$BB$170&lt;92)*($BD$11:$BD$170=3))</f>
        <v>3</v>
      </c>
      <c r="BP23" s="512">
        <f>SUMPRODUCT(($AJ$11:$AJ$170&gt;=84)*($AJ$11:$AJ$170&lt;92)*($AL$11:$AL$170=4))+SUMPRODUCT(($BB$11:$BB$170&gt;=84)*($BB$11:$BB$170&lt;92)*($BD$11:$BD$170=4))+SUMPRODUCT(($AJ$11:$AJ$170&gt;=84)*($AJ$11:$AJ$170&lt;92)*($AL$11:$AL$170=5))+SUMPRODUCT(($BB$11:$BB$170&gt;=84)*($BB$11:$BB$170&lt;92)*($BD$11:$BD$170=5))</f>
        <v>0</v>
      </c>
      <c r="BQ23" s="510">
        <f t="shared" si="33"/>
        <v>1</v>
      </c>
      <c r="BR23" s="511">
        <f t="shared" si="33"/>
        <v>10</v>
      </c>
      <c r="BS23" s="511">
        <f t="shared" si="33"/>
        <v>7</v>
      </c>
      <c r="BT23" s="512">
        <f t="shared" si="33"/>
        <v>0</v>
      </c>
      <c r="BU23" s="568"/>
      <c r="BV23" s="1114">
        <f t="shared" si="19"/>
        <v>161.29000000000008</v>
      </c>
      <c r="BW23" s="1114" t="str">
        <f t="shared" si="19"/>
        <v/>
      </c>
      <c r="BX23" s="1114" t="str">
        <f t="shared" si="20"/>
        <v/>
      </c>
      <c r="BY23" s="1115">
        <f t="shared" si="20"/>
        <v>2.5600000000000271</v>
      </c>
      <c r="BZ23" s="477"/>
      <c r="CA23" s="1114">
        <f t="shared" si="21"/>
        <v>132.25</v>
      </c>
      <c r="CB23" s="1114" t="str">
        <f t="shared" si="21"/>
        <v/>
      </c>
      <c r="CC23" s="1114">
        <f t="shared" si="22"/>
        <v>278.8900000000001</v>
      </c>
      <c r="CD23" s="1115" t="str">
        <f t="shared" si="22"/>
        <v/>
      </c>
      <c r="CE23" s="568"/>
      <c r="CF23" s="509">
        <v>88</v>
      </c>
      <c r="CG23" s="510">
        <f>SUMIF($AA$11:$AA$170,"&lt;92",$AD$11:$AD$170)+SUMIF($AS$11:$AS$170,"&lt;92",$AV$11:$AV$170)-SUMIF($AA$11:$AA$170,"&lt;84",$AD$11:$AD$170)-SUMIF($AS$11:$AS$170,"&lt;84",$AV$11:$AV$170)</f>
        <v>39.800000000000011</v>
      </c>
      <c r="CH23" s="511">
        <f>SUMIF($AA$11:$AA$170,"&lt;92",$BV$11:$BV$170)+SUMIF($AS$11:$AS$170,"&lt;92",$CA$11:$CA$170)-SUMIF($AA$11:$AA$170,"&lt;84",$BV$11:$BV$170)-SUMIF($AS$11:$AS$170,"&lt;84",$CA$11:$CA$170)</f>
        <v>160.98000000000002</v>
      </c>
      <c r="CI23" s="511">
        <f>SUMPRODUCT(($AA$11:$AA$170&lt;92)*($AD$11:$AD$170&lt;&gt;""))+SUMPRODUCT(($AS$11:$AS$170&lt;92)*($AV$11:$AV$170&lt;&gt;""))-SUMPRODUCT(($AA$11:$AA$170&lt;84)*($AD$11:$AD$170&lt;&gt;""))-SUMPRODUCT(($AS$11:$AS$170&lt;84)*($AV$11:$AV$170&lt;&gt;""))</f>
        <v>10</v>
      </c>
      <c r="CJ23" s="511">
        <f t="shared" si="37"/>
        <v>3.9800000000000013</v>
      </c>
      <c r="CK23" s="512">
        <f t="shared" si="39"/>
        <v>0.16918103387265795</v>
      </c>
      <c r="CL23" s="510">
        <f>SUMIF($AJ$11:$AJ$170,"&lt;92",$AM$11:$AM$170)+SUMIF($BB$11:$BB$170,"&lt;92",$BE$11:$BE$170)-SUMIF($AJ$11:$AJ$170,"&lt;84",$AM$11:$AM$170)-SUMIF($BB$11:$BB$170,"&lt;84",$BE$11:$BE$170)</f>
        <v>33.200000000000045</v>
      </c>
      <c r="CM23" s="511">
        <f>SUMIF($AJ$11:$AJ$170,"&lt;92",$BX$11:$BX$170)+SUMIF($BB$11:$BB$170,"&lt;92",$CC$11:$CC$170)-SUMIF($AJ$11:$AJ$170,"&lt;84",$BX$11:$BX$170)-SUMIF($BB$11:$BB$170,"&lt;84",$CC$11:$CC$170)</f>
        <v>140.16000000000122</v>
      </c>
      <c r="CN23" s="511">
        <f>SUMPRODUCT(($AJ$11:$AJ$170&lt;92)*($AM$11:$AM$170&lt;&gt;""))+SUMPRODUCT(($BB$11:$BB$170&lt;92)*($BE$11:$BE$170&lt;&gt;""))-SUMPRODUCT(($AJ$11:$AJ$170&lt;84)*($AM$11:$AM$170&lt;&gt;""))-SUMPRODUCT(($BB$11:$BB$170&lt;84)*($BE$11:$BE$170&lt;&gt;""))</f>
        <v>8</v>
      </c>
      <c r="CO23" s="511">
        <f t="shared" si="38"/>
        <v>4.1500000000000057</v>
      </c>
      <c r="CP23" s="512">
        <f t="shared" si="40"/>
        <v>0.20615528128091976</v>
      </c>
      <c r="CQ23" s="510">
        <f t="shared" si="34"/>
        <v>73.000000000000057</v>
      </c>
      <c r="CR23" s="511">
        <f t="shared" si="34"/>
        <v>301.14000000000124</v>
      </c>
      <c r="CS23" s="511">
        <f t="shared" si="34"/>
        <v>18</v>
      </c>
      <c r="CT23" s="511">
        <f t="shared" si="35"/>
        <v>4.0555555555555589</v>
      </c>
      <c r="CU23" s="512">
        <f t="shared" si="41"/>
        <v>0.12890241083003368</v>
      </c>
      <c r="CV23" s="476"/>
      <c r="CW23" s="345"/>
      <c r="CX23" s="345"/>
      <c r="CY23" s="345"/>
      <c r="CZ23" s="345"/>
      <c r="DA23" s="345"/>
      <c r="DB23" s="345"/>
      <c r="DC23" s="345"/>
      <c r="DD23" s="345"/>
      <c r="DE23" s="345"/>
      <c r="DF23" s="345"/>
      <c r="DG23" s="345"/>
      <c r="DH23" s="345"/>
      <c r="DI23" s="345"/>
      <c r="DJ23" s="345"/>
      <c r="DK23" s="345"/>
      <c r="DL23" s="345"/>
      <c r="DM23" s="345"/>
      <c r="DN23" s="345"/>
      <c r="DO23" s="345"/>
      <c r="DP23" s="345"/>
      <c r="DQ23" s="345"/>
      <c r="DR23" s="345"/>
      <c r="DS23" s="345"/>
      <c r="DT23" s="345"/>
      <c r="DU23" s="345"/>
      <c r="DV23" s="345"/>
      <c r="DW23" s="345"/>
      <c r="DX23" s="345"/>
      <c r="DY23" s="345"/>
      <c r="DZ23" s="345"/>
      <c r="EA23" s="345"/>
      <c r="EB23" s="345"/>
      <c r="EC23" s="345"/>
      <c r="ED23" s="345"/>
      <c r="EE23" s="345"/>
      <c r="EF23" s="345"/>
      <c r="EG23" s="345"/>
      <c r="EH23" s="345"/>
      <c r="EI23" s="345"/>
      <c r="EJ23" s="345"/>
      <c r="EK23" s="345"/>
      <c r="EL23" s="345"/>
      <c r="EM23" s="345"/>
      <c r="EN23" s="345"/>
      <c r="EO23" s="345"/>
      <c r="EP23" s="345"/>
      <c r="EQ23" s="345"/>
      <c r="ER23" s="345"/>
      <c r="ES23" s="345"/>
      <c r="ET23" s="345"/>
      <c r="EU23" s="345"/>
      <c r="EV23" s="345"/>
      <c r="EW23" s="345"/>
      <c r="EX23" s="345"/>
      <c r="EY23" s="345"/>
      <c r="EZ23" s="345"/>
      <c r="FA23" s="345"/>
      <c r="FB23" s="345"/>
      <c r="FC23" s="345"/>
      <c r="FD23" s="345"/>
      <c r="FE23" s="345"/>
      <c r="FF23" s="345"/>
      <c r="FG23" s="345"/>
      <c r="FH23" s="345"/>
      <c r="FI23" s="345"/>
      <c r="FJ23" s="345"/>
      <c r="FK23" s="345"/>
      <c r="FL23" s="345"/>
      <c r="FM23" s="345"/>
      <c r="FN23" s="345"/>
      <c r="FO23" s="345"/>
      <c r="FP23" s="345"/>
      <c r="FQ23" s="345"/>
      <c r="FR23" s="345"/>
      <c r="FS23" s="345"/>
      <c r="FT23" s="345"/>
      <c r="FU23" s="345"/>
      <c r="FV23" s="345"/>
      <c r="FW23" s="345"/>
      <c r="FX23" s="345"/>
      <c r="FY23" s="345"/>
      <c r="FZ23" s="345"/>
      <c r="GA23" s="345"/>
      <c r="GB23" s="345"/>
      <c r="GC23" s="345"/>
      <c r="GD23" s="345"/>
      <c r="GE23" s="345"/>
      <c r="GF23" s="345"/>
      <c r="GG23" s="345"/>
      <c r="GH23" s="345"/>
      <c r="GI23" s="345"/>
      <c r="GJ23" s="345"/>
      <c r="GK23" s="345"/>
      <c r="GL23" s="345"/>
      <c r="GM23" s="345"/>
      <c r="GN23" s="345"/>
      <c r="GO23" s="345"/>
      <c r="GP23" s="345"/>
      <c r="GQ23" s="345"/>
      <c r="GR23" s="345"/>
      <c r="GS23" s="345"/>
      <c r="GT23" s="345"/>
      <c r="GU23" s="345"/>
    </row>
    <row r="24" spans="1:203" ht="12.75" customHeight="1" thickBot="1">
      <c r="A24" s="465">
        <f t="shared" si="31"/>
        <v>2</v>
      </c>
      <c r="B24" s="1108">
        <v>14</v>
      </c>
      <c r="C24" s="1109">
        <v>1</v>
      </c>
      <c r="D24" s="398">
        <v>124</v>
      </c>
      <c r="E24" s="1120" t="s">
        <v>1377</v>
      </c>
      <c r="F24" s="465">
        <f t="shared" si="36"/>
        <v>2</v>
      </c>
      <c r="G24" s="1108">
        <v>14</v>
      </c>
      <c r="H24" s="1109">
        <v>-1</v>
      </c>
      <c r="I24" s="398">
        <v>116.2</v>
      </c>
      <c r="J24" s="1120" t="s">
        <v>1377</v>
      </c>
      <c r="K24" s="465"/>
      <c r="L24" s="465"/>
      <c r="M24" s="465">
        <f t="shared" si="23"/>
        <v>1</v>
      </c>
      <c r="N24" s="1108">
        <v>14</v>
      </c>
      <c r="O24" s="1109">
        <v>1</v>
      </c>
      <c r="P24" s="1110">
        <v>114.2</v>
      </c>
      <c r="Q24" s="1120"/>
      <c r="R24" s="465">
        <f t="shared" si="24"/>
        <v>1</v>
      </c>
      <c r="S24" s="1108">
        <v>14</v>
      </c>
      <c r="T24" s="1109">
        <v>1</v>
      </c>
      <c r="U24" s="1110">
        <v>109.7</v>
      </c>
      <c r="V24" s="1120"/>
      <c r="W24" s="371"/>
      <c r="X24" s="494">
        <f t="shared" si="0"/>
        <v>124</v>
      </c>
      <c r="Y24" s="495" t="str">
        <f>IF('Feuilles=description générale'!$E$13="","",IF(X24="","",IF(X24&gt;('Feuilles=description générale'!$E$11+'Feuilles=description générale'!$E$10),"",100*(X24-'Feuilles=description générale'!$E$10)/('Feuilles=description générale'!$E$11))))</f>
        <v/>
      </c>
      <c r="Z24" s="495">
        <f>IF('Feuilles=description générale'!$E$13="","",IF(X24="","",IF(X24&lt;=('Feuilles=description générale'!$E$11+'Feuilles=description générale'!$E$10),"",100*(X24-'Feuilles=description générale'!$E$11-'Feuilles=description générale'!$E$10)/('Feuilles=description générale'!$E$12))))</f>
        <v>2.5733712023409963</v>
      </c>
      <c r="AA24" s="1112">
        <f>IF('Feuilles=description générale'!$E$13="","",IF(X24="","",100*(X24-'Feuilles=description générale'!$E$10)/('Feuilles=description générale'!$E$13-'Feuilles=description générale'!$E$10)))</f>
        <v>26.683937823834196</v>
      </c>
      <c r="AB24" s="497">
        <f t="shared" si="1"/>
        <v>1</v>
      </c>
      <c r="AC24" s="500" t="str">
        <f t="shared" si="32"/>
        <v/>
      </c>
      <c r="AD24" s="494" t="str">
        <f t="shared" si="2"/>
        <v/>
      </c>
      <c r="AE24" s="499">
        <f t="shared" si="3"/>
        <v>1.7000000000000028</v>
      </c>
      <c r="AF24" s="371"/>
      <c r="AG24" s="494">
        <f t="shared" si="4"/>
        <v>116.2</v>
      </c>
      <c r="AH24" s="495">
        <f>IF('Feuilles=description générale'!$E$13="","",IF(AG24="","",IF(AG24&gt;('Feuilles=description générale'!$E$11+'Feuilles=description générale'!$E$10),"",100*(AG24-'Feuilles=description générale'!$E$10)/('Feuilles=description générale'!$E$11))))</f>
        <v>99.659774928029321</v>
      </c>
      <c r="AI24" s="495" t="str">
        <f>IF('Feuilles=description générale'!$E$13="","",IF(AG24="","",IF(AG24&lt;=('Feuilles=description générale'!$E$11+'Feuilles=description générale'!$E$10),"",100*(AG24-'Feuilles=description générale'!$E$11-'Feuilles=description générale'!$E$10)/('Feuilles=description générale'!$E$12))))</f>
        <v/>
      </c>
      <c r="AJ24" s="496">
        <f>IF('Feuilles=description générale'!$E$13="","",IF(AG24="","",100*(AG24-'Feuilles=description générale'!$E$10)/('Feuilles=description générale'!$E$13-'Feuilles=description générale'!$E$10)))</f>
        <v>24.663212435233159</v>
      </c>
      <c r="AK24" s="1113">
        <f t="shared" si="5"/>
        <v>2</v>
      </c>
      <c r="AL24" s="498">
        <f t="shared" si="6"/>
        <v>2</v>
      </c>
      <c r="AM24" s="494">
        <f t="shared" si="7"/>
        <v>17.200000000000003</v>
      </c>
      <c r="AN24" s="499" t="str">
        <f t="shared" si="8"/>
        <v/>
      </c>
      <c r="AO24" s="371"/>
      <c r="AP24" s="494">
        <f t="shared" si="9"/>
        <v>114.2</v>
      </c>
      <c r="AQ24" s="495">
        <f>IF('Feuilles=description générale'!$E$13="","",IF(AP24="","",IF(AP24&gt;('Feuilles=description générale'!$E$25+'Feuilles=description générale'!$E$24),"",100*(AP24-'Feuilles=description générale'!$E$24)/('Feuilles=description générale'!$E$25))))</f>
        <v>98.754737412019495</v>
      </c>
      <c r="AR24" s="495" t="str">
        <f>IF('Feuilles=description générale'!$E$27="","",IF(AP24="","",IF(AP24&lt;=('Feuilles=description générale'!$E$25+'Feuilles=description générale'!$E$24),"",100*(AP24-'Feuilles=description générale'!$E$25-'Feuilles=description générale'!$E$24)/('Feuilles=description générale'!$E$26))))</f>
        <v/>
      </c>
      <c r="AS24" s="496">
        <f>IF('Feuilles=description générale'!$E$27="","",IF(AP24="","",100*(AP24-'Feuilles=description générale'!$E$24)/('Feuilles=description générale'!$E$27-'Feuilles=description générale'!$E$24)))</f>
        <v>22.292837936934735</v>
      </c>
      <c r="AT24" s="497">
        <f t="shared" si="10"/>
        <v>1</v>
      </c>
      <c r="AU24" s="500" t="str">
        <f t="shared" si="11"/>
        <v/>
      </c>
      <c r="AV24" s="494" t="str">
        <f t="shared" si="12"/>
        <v/>
      </c>
      <c r="AW24" s="499">
        <f t="shared" si="13"/>
        <v>1.5999999999999943</v>
      </c>
      <c r="AX24" s="371"/>
      <c r="AY24" s="494">
        <f t="shared" si="14"/>
        <v>109.7</v>
      </c>
      <c r="AZ24" s="495">
        <f>IF('Feuilles=description générale'!$E$13="","",IF(AY24="","",IF(AY24&gt;('Feuilles=description générale'!$E$25+'Feuilles=description générale'!$E$24),"",100*(AY24-'Feuilles=description générale'!$E$24)/('Feuilles=description générale'!$E$25))))</f>
        <v>93.881970763400119</v>
      </c>
      <c r="BA24" s="495" t="str">
        <f>IF('Feuilles=description générale'!$E$27="","",IF(AY24="","",IF(AY24&lt;=('Feuilles=description générale'!$E$25+'Feuilles=description générale'!$E$24),"",100*(AY24-'Feuilles=description générale'!$E$25-'Feuilles=description générale'!$E$24)/('Feuilles=description générale'!$E$26))))</f>
        <v/>
      </c>
      <c r="BB24" s="496">
        <f>IF('Feuilles=description générale'!$E$27="","",IF(AY24="","",100*(AY24-'Feuilles=description générale'!$E$24)/('Feuilles=description générale'!$E$27-'Feuilles=description générale'!$E$24)))</f>
        <v>21.19286238083598</v>
      </c>
      <c r="BC24" s="497">
        <f t="shared" si="15"/>
        <v>1</v>
      </c>
      <c r="BD24" s="500" t="str">
        <f t="shared" si="16"/>
        <v/>
      </c>
      <c r="BE24" s="494" t="str">
        <f t="shared" si="17"/>
        <v/>
      </c>
      <c r="BF24" s="499">
        <f t="shared" si="18"/>
        <v>1.5999999999999943</v>
      </c>
      <c r="BG24" s="476"/>
      <c r="BH24" s="513">
        <v>96</v>
      </c>
      <c r="BI24" s="514">
        <f>SUMPRODUCT(($AA$11:$AA$170&gt;=92)*($AA$11:$AA$170&lt;=100)*($AC$11:$AC$170=1))+SUMPRODUCT(($AS$11:$AS$170&gt;=92)*($AS$11:$AS$170&lt;=100)*($AU$11:$AU$170=1))</f>
        <v>8</v>
      </c>
      <c r="BJ24" s="515">
        <f>SUMPRODUCT(($AA$11:$AA$170&gt;=92)*($AA$11:$AA$170&lt;=100)*($AC$11:$AC$170=2))+SUMPRODUCT(($AS$11:$AS$170&gt;=92)*($AS$11:$AS$170&lt;=100)*($AU$11:$AU$170=2))</f>
        <v>8</v>
      </c>
      <c r="BK24" s="515">
        <f>SUMPRODUCT(($AA$11:$AA$170&gt;=92)*($AA$11:$AA$170&lt;=100)*($AC$11:$AC$170=3))+SUMPRODUCT(($AS$11:$AS$170&gt;=92)*($AS$11:$AS$170&lt;=100)*($AU$11:$AU$170=3))</f>
        <v>1</v>
      </c>
      <c r="BL24" s="516">
        <f>SUMPRODUCT(($AA$11:$AA$170&gt;=92)*($AA$11:$AA$170&lt;=100)*($AC$11:$AC$170=4))+SUMPRODUCT(($AS$11:$AS$170&gt;=92)*($AS$11:$AS$170&lt;=100)*($AU$11:$AU$170=4))+SUMPRODUCT(($AA$11:$AA$170&gt;=92)*($AA$11:$AA$170&lt;=100)*($AC$11:$AC$170=5))+SUMPRODUCT(($AS$11:$AS$170&gt;=92)*($AS$11:$AS$170&lt;=100)*($AU$11:$AU$170=5))</f>
        <v>0</v>
      </c>
      <c r="BM24" s="514">
        <f>SUMPRODUCT(($AJ$11:$AJ$170&gt;=92)*($AJ$11:$AJ$170&lt;=100)*($AL$11:$AL$170=1))+SUMPRODUCT(($BB$11:$BB$170&gt;=92)*($BB$11:$BB$170&lt;=100)*($BD$11:$BD$170=1))</f>
        <v>2</v>
      </c>
      <c r="BN24" s="515">
        <f>SUMPRODUCT(($AJ$11:$AJ$170&gt;=92)*($AJ$11:$AJ$170&lt;=100)*($AL$11:$AL$170=2))+SUMPRODUCT(($BB$11:$BB$170&gt;=92)*($BB$11:$BB$170&lt;=100)*($BD$11:$BD$170=2))</f>
        <v>9</v>
      </c>
      <c r="BO24" s="515">
        <f>SUMPRODUCT(($AJ$11:$AJ$170&gt;=92)*($AJ$11:$AJ$170&lt;=100)*($AL$11:$AL$170=3))+SUMPRODUCT(($BB$11:$BB$170&gt;=92)*($BB$11:$BB$170&lt;=100)*($BD$11:$BD$170=3))</f>
        <v>2</v>
      </c>
      <c r="BP24" s="516">
        <f>SUMPRODUCT(($AJ$11:$AJ$170&gt;=92)*($AJ$11:$AJ$170&lt;=100)*($AL$11:$AL$170=4))+SUMPRODUCT(($BB$11:$BB$170&gt;=92)*($BB$11:$BB$170&lt;=100)*($BD$11:$BD$170=4))+SUMPRODUCT(($AJ$11:$AJ$170&gt;=92)*($AJ$11:$AJ$170&lt;=100)*($AL$11:$AL$170=5))+SUMPRODUCT(($BB$11:$BB$170&gt;=92)*($BB$11:$BB$170&lt;=100)*($BD$11:$BD$170=5))</f>
        <v>0</v>
      </c>
      <c r="BQ24" s="514">
        <f t="shared" si="33"/>
        <v>10</v>
      </c>
      <c r="BR24" s="515">
        <f t="shared" si="33"/>
        <v>17</v>
      </c>
      <c r="BS24" s="515">
        <f t="shared" si="33"/>
        <v>3</v>
      </c>
      <c r="BT24" s="516">
        <f t="shared" si="33"/>
        <v>0</v>
      </c>
      <c r="BU24" s="568"/>
      <c r="BV24" s="1114" t="str">
        <f t="shared" si="19"/>
        <v/>
      </c>
      <c r="BW24" s="1114">
        <f t="shared" si="19"/>
        <v>2.8900000000000095</v>
      </c>
      <c r="BX24" s="1114">
        <f t="shared" si="20"/>
        <v>295.84000000000009</v>
      </c>
      <c r="BY24" s="1115" t="str">
        <f t="shared" si="20"/>
        <v/>
      </c>
      <c r="BZ24" s="477"/>
      <c r="CA24" s="1114" t="str">
        <f t="shared" si="21"/>
        <v/>
      </c>
      <c r="CB24" s="1114">
        <f t="shared" si="21"/>
        <v>2.5599999999999818</v>
      </c>
      <c r="CC24" s="1114" t="str">
        <f t="shared" si="22"/>
        <v/>
      </c>
      <c r="CD24" s="1115">
        <f t="shared" si="22"/>
        <v>2.5599999999999818</v>
      </c>
      <c r="CE24" s="568"/>
      <c r="CF24" s="513">
        <v>96</v>
      </c>
      <c r="CG24" s="514">
        <f>SUMIF($AA$11:$AA$170,"&lt;=100",$AD$11:$AD$170)+SUMIF($AS$11:$AS$170,"&lt;=100",$AV$11:$AV$170)-SUMIF($AA$11:$AA$170,"&lt;92",$AD$11:$AD$170)-SUMIF($AS$11:$AS$170,"&lt;92",$AV$11:$AV$170)</f>
        <v>45.700000000000045</v>
      </c>
      <c r="CH24" s="515">
        <f>SUMIF($AA$11:$AA$170,"&lt;=100",$BV$11:$BV$170)+SUMIF($AS$11:$AS$170,"&lt;=100",$CA$11:$CA$170)-SUMIF($AA$11:$AA$170,"&lt;92",$BV$11:$BV$170)-SUMIF($AS$11:$AS$170,"&lt;92",$CA$11:$CA$170)</f>
        <v>170.18999999999733</v>
      </c>
      <c r="CI24" s="515">
        <f>SUMPRODUCT(($AA$11:$AA$170&lt;=100)*($AD$11:$AD$170&lt;&gt;""))+SUMPRODUCT(($AS$11:$AS$170&lt;=100)*($AV$11:$AV$170&lt;&gt;""))-SUMPRODUCT(($AA$11:$AA$170&lt;92)*($AD$11:$AD$170&lt;&gt;""))-SUMPRODUCT(($AS$11:$AS$170&lt;92)*($AV$11:$AV$170&lt;&gt;""))</f>
        <v>15</v>
      </c>
      <c r="CJ24" s="515">
        <f t="shared" si="37"/>
        <v>3.0466666666666695</v>
      </c>
      <c r="CK24" s="516">
        <f t="shared" si="39"/>
        <v>0.38394774776766055</v>
      </c>
      <c r="CL24" s="514">
        <f>SUMIF($AJ$11:$AJ$170,"&lt;=100",$AM$11:$AM$170)+SUMIF($BB$11:$BB$170,"&lt;=100",$BE$11:$BE$170)-SUMIF($AJ$11:$AJ$170,"&lt;92",$AM$11:$AM$170)-SUMIF($BB$11:$BB$170,"&lt;92",$BE$11:$BE$170)</f>
        <v>42.700000000000045</v>
      </c>
      <c r="CM24" s="515">
        <f>SUMIF($AJ$11:$AJ$170,"&lt;=100",$BX$11:$BX$170)+SUMIF($BB$11:$BB$170,"&lt;=100",$CC$11:$CC$170)-SUMIF($AJ$11:$AJ$170,"&lt;92",$BX$11:$BX$170)-SUMIF($BB$11:$BB$170,"&lt;92",$CC$11:$CC$170)</f>
        <v>177.11000000000149</v>
      </c>
      <c r="CN24" s="515">
        <f>SUMPRODUCT(($AJ$11:$AJ$170&lt;=100)*($AM$11:$AM$170&lt;&gt;""))+SUMPRODUCT(($BB$11:$BB$170&lt;=100)*($BE$11:$BE$170&lt;&gt;""))-SUMPRODUCT(($AJ$11:$AJ$170&lt;92)*($AM$11:$AM$170&lt;&gt;""))-SUMPRODUCT(($BB$11:$BB$170&lt;92)*($BE$11:$BE$170&lt;&gt;""))</f>
        <v>11</v>
      </c>
      <c r="CO24" s="515">
        <f t="shared" si="38"/>
        <v>3.8818181818181858</v>
      </c>
      <c r="CP24" s="516">
        <f t="shared" si="40"/>
        <v>0.32130930490961213</v>
      </c>
      <c r="CQ24" s="514">
        <f t="shared" si="34"/>
        <v>88.400000000000091</v>
      </c>
      <c r="CR24" s="515">
        <f t="shared" si="34"/>
        <v>347.29999999999882</v>
      </c>
      <c r="CS24" s="515">
        <f t="shared" si="34"/>
        <v>26</v>
      </c>
      <c r="CT24" s="515">
        <f t="shared" si="35"/>
        <v>3.4000000000000035</v>
      </c>
      <c r="CU24" s="516">
        <f t="shared" si="41"/>
        <v>0.2681560969056821</v>
      </c>
      <c r="CV24" s="476"/>
      <c r="CW24" s="345"/>
      <c r="CX24" s="345"/>
      <c r="CY24" s="345"/>
      <c r="CZ24" s="345"/>
      <c r="DA24" s="345"/>
      <c r="DB24" s="345"/>
      <c r="DC24" s="345"/>
      <c r="DD24" s="345"/>
      <c r="DE24" s="345"/>
      <c r="DF24" s="345"/>
      <c r="DG24" s="345"/>
      <c r="DH24" s="345"/>
      <c r="DI24" s="345"/>
      <c r="DJ24" s="345"/>
      <c r="DK24" s="345"/>
      <c r="DL24" s="345"/>
      <c r="DM24" s="345"/>
      <c r="DN24" s="345"/>
      <c r="DO24" s="345"/>
      <c r="DP24" s="345"/>
      <c r="DQ24" s="345"/>
      <c r="DR24" s="345"/>
      <c r="DS24" s="345"/>
      <c r="DT24" s="345"/>
      <c r="DU24" s="345"/>
      <c r="DV24" s="345"/>
      <c r="DW24" s="345"/>
      <c r="DX24" s="345"/>
      <c r="DY24" s="345"/>
      <c r="DZ24" s="345"/>
      <c r="EA24" s="345"/>
      <c r="EB24" s="345"/>
      <c r="EC24" s="345"/>
      <c r="ED24" s="345"/>
      <c r="EE24" s="345"/>
      <c r="EF24" s="345"/>
      <c r="EG24" s="345"/>
      <c r="EH24" s="345"/>
      <c r="EI24" s="345"/>
      <c r="EJ24" s="345"/>
      <c r="EK24" s="345"/>
      <c r="EL24" s="345"/>
      <c r="EM24" s="345"/>
      <c r="EN24" s="345"/>
      <c r="EO24" s="345"/>
      <c r="EP24" s="345"/>
      <c r="EQ24" s="345"/>
      <c r="ER24" s="345"/>
      <c r="ES24" s="345"/>
      <c r="ET24" s="345"/>
      <c r="EU24" s="345"/>
      <c r="EV24" s="345"/>
      <c r="EW24" s="345"/>
      <c r="EX24" s="345"/>
      <c r="EY24" s="345"/>
      <c r="EZ24" s="345"/>
      <c r="FA24" s="345"/>
      <c r="FB24" s="345"/>
      <c r="FC24" s="345"/>
      <c r="FD24" s="345"/>
      <c r="FE24" s="345"/>
      <c r="FF24" s="345"/>
      <c r="FG24" s="345"/>
      <c r="FH24" s="345"/>
      <c r="FI24" s="345"/>
      <c r="FJ24" s="345"/>
      <c r="FK24" s="345"/>
      <c r="FL24" s="345"/>
      <c r="FM24" s="345"/>
      <c r="FN24" s="345"/>
      <c r="FO24" s="345"/>
      <c r="FP24" s="345"/>
      <c r="FQ24" s="345"/>
      <c r="FR24" s="345"/>
      <c r="FS24" s="345"/>
      <c r="FT24" s="345"/>
      <c r="FU24" s="345"/>
      <c r="FV24" s="345"/>
      <c r="FW24" s="345"/>
      <c r="FX24" s="345"/>
      <c r="FY24" s="345"/>
      <c r="FZ24" s="345"/>
      <c r="GA24" s="345"/>
      <c r="GB24" s="345"/>
      <c r="GC24" s="345"/>
      <c r="GD24" s="345"/>
      <c r="GE24" s="345"/>
      <c r="GF24" s="345"/>
      <c r="GG24" s="345"/>
      <c r="GH24" s="345"/>
      <c r="GI24" s="345"/>
      <c r="GJ24" s="345"/>
      <c r="GK24" s="345"/>
      <c r="GL24" s="345"/>
      <c r="GM24" s="345"/>
      <c r="GN24" s="345"/>
      <c r="GO24" s="345"/>
      <c r="GP24" s="345"/>
      <c r="GQ24" s="345"/>
      <c r="GR24" s="345"/>
      <c r="GS24" s="345"/>
      <c r="GT24" s="345"/>
      <c r="GU24" s="345"/>
    </row>
    <row r="25" spans="1:203" ht="12.75" customHeight="1" thickBot="1">
      <c r="A25" s="465">
        <f t="shared" si="31"/>
        <v>2</v>
      </c>
      <c r="B25" s="1108">
        <v>15</v>
      </c>
      <c r="C25" s="1109">
        <v>-1</v>
      </c>
      <c r="D25" s="398">
        <v>125.7</v>
      </c>
      <c r="E25" s="1120"/>
      <c r="F25" s="465">
        <f t="shared" si="36"/>
        <v>2</v>
      </c>
      <c r="G25" s="1108">
        <v>15</v>
      </c>
      <c r="H25" s="1109">
        <v>1</v>
      </c>
      <c r="I25" s="398">
        <v>133.4</v>
      </c>
      <c r="J25" s="1120"/>
      <c r="K25" s="465"/>
      <c r="L25" s="465"/>
      <c r="M25" s="465">
        <f t="shared" si="23"/>
        <v>2</v>
      </c>
      <c r="N25" s="1108">
        <v>15</v>
      </c>
      <c r="O25" s="1109">
        <v>-1</v>
      </c>
      <c r="P25" s="1110">
        <v>115.8</v>
      </c>
      <c r="Q25" s="1120" t="s">
        <v>1377</v>
      </c>
      <c r="R25" s="465">
        <f t="shared" si="24"/>
        <v>1</v>
      </c>
      <c r="S25" s="1108">
        <v>15</v>
      </c>
      <c r="T25" s="1109">
        <v>-1</v>
      </c>
      <c r="U25" s="1110">
        <v>111.3</v>
      </c>
      <c r="V25" s="1120"/>
      <c r="W25" s="371"/>
      <c r="X25" s="494">
        <f t="shared" si="0"/>
        <v>125.7</v>
      </c>
      <c r="Y25" s="495" t="str">
        <f>IF('Feuilles=description générale'!$E$13="","",IF(X25="","",IF(X25&gt;('Feuilles=description générale'!$E$11+'Feuilles=description générale'!$E$10),"",100*(X25-'Feuilles=description générale'!$E$10)/('Feuilles=description générale'!$E$11))))</f>
        <v/>
      </c>
      <c r="Z25" s="495">
        <f>IF('Feuilles=description générale'!$E$13="","",IF(X25="","",IF(X25&lt;=('Feuilles=description générale'!$E$11+'Feuilles=description générale'!$E$10),"",100*(X25-'Feuilles=description générale'!$E$11-'Feuilles=description générale'!$E$10)/('Feuilles=description générale'!$E$12))))</f>
        <v>3.1586195025389485</v>
      </c>
      <c r="AA25" s="1112">
        <f>IF('Feuilles=description générale'!$E$13="","",IF(X25="","",100*(X25-'Feuilles=description générale'!$E$10)/('Feuilles=description générale'!$E$13-'Feuilles=description générale'!$E$10)))</f>
        <v>27.124352331606218</v>
      </c>
      <c r="AB25" s="497">
        <f t="shared" si="1"/>
        <v>2</v>
      </c>
      <c r="AC25" s="500">
        <f t="shared" si="32"/>
        <v>2</v>
      </c>
      <c r="AD25" s="494">
        <f t="shared" si="2"/>
        <v>18.299999999999997</v>
      </c>
      <c r="AE25" s="499" t="str">
        <f t="shared" si="3"/>
        <v/>
      </c>
      <c r="AF25" s="371"/>
      <c r="AG25" s="494">
        <f t="shared" si="4"/>
        <v>133.4</v>
      </c>
      <c r="AH25" s="495" t="str">
        <f>IF('Feuilles=description générale'!$E$13="","",IF(AG25="","",IF(AG25&gt;('Feuilles=description générale'!$E$11+'Feuilles=description générale'!$E$10),"",100*(AG25-'Feuilles=description générale'!$E$10)/('Feuilles=description générale'!$E$11))))</f>
        <v/>
      </c>
      <c r="AI25" s="495">
        <f>IF('Feuilles=description générale'!$E$13="","",IF(AG25="","",IF(AG25&lt;=('Feuilles=description générale'!$E$11+'Feuilles=description générale'!$E$10),"",100*(AG25-'Feuilles=description générale'!$E$11-'Feuilles=description générale'!$E$10)/('Feuilles=description générale'!$E$12))))</f>
        <v>5.809450038729671</v>
      </c>
      <c r="AJ25" s="496">
        <f>IF('Feuilles=description générale'!$E$13="","",IF(AG25="","",100*(AG25-'Feuilles=description générale'!$E$10)/('Feuilles=description générale'!$E$13-'Feuilles=description générale'!$E$10)))</f>
        <v>29.119170984455959</v>
      </c>
      <c r="AK25" s="1113">
        <f t="shared" si="5"/>
        <v>1</v>
      </c>
      <c r="AL25" s="498" t="str">
        <f t="shared" si="6"/>
        <v/>
      </c>
      <c r="AM25" s="494" t="str">
        <f t="shared" si="7"/>
        <v/>
      </c>
      <c r="AN25" s="499">
        <f t="shared" si="8"/>
        <v>1.1999999999999886</v>
      </c>
      <c r="AO25" s="371"/>
      <c r="AP25" s="494">
        <f t="shared" si="9"/>
        <v>115.8</v>
      </c>
      <c r="AQ25" s="495" t="str">
        <f>IF('Feuilles=description générale'!$E$13="","",IF(AP25="","",IF(AP25&gt;('Feuilles=description générale'!$E$25+'Feuilles=description générale'!$E$24),"",100*(AP25-'Feuilles=description générale'!$E$24)/('Feuilles=description générale'!$E$25))))</f>
        <v/>
      </c>
      <c r="AR25" s="495">
        <f>IF('Feuilles=description générale'!$E$27="","",IF(AP25="","",IF(AP25&lt;=('Feuilles=description générale'!$E$25+'Feuilles=description générale'!$E$24),"",100*(AP25-'Feuilles=description générale'!$E$25-'Feuilles=description générale'!$E$24)/('Feuilles=description générale'!$E$26))))</f>
        <v>0.14206787687450761</v>
      </c>
      <c r="AS25" s="496">
        <f>IF('Feuilles=description générale'!$E$27="","",IF(AP25="","",100*(AP25-'Feuilles=description générale'!$E$24)/('Feuilles=description générale'!$E$27-'Feuilles=description générale'!$E$24)))</f>
        <v>22.683940356880957</v>
      </c>
      <c r="AT25" s="497">
        <f t="shared" si="10"/>
        <v>2</v>
      </c>
      <c r="AU25" s="500">
        <f t="shared" si="11"/>
        <v>2</v>
      </c>
      <c r="AV25" s="494">
        <f t="shared" si="12"/>
        <v>14.100000000000009</v>
      </c>
      <c r="AW25" s="499" t="str">
        <f t="shared" si="13"/>
        <v/>
      </c>
      <c r="AX25" s="371"/>
      <c r="AY25" s="494">
        <f t="shared" si="14"/>
        <v>111.3</v>
      </c>
      <c r="AZ25" s="495">
        <f>IF('Feuilles=description générale'!$E$13="","",IF(AY25="","",IF(AY25&gt;('Feuilles=description générale'!$E$25+'Feuilles=description générale'!$E$24),"",100*(AY25-'Feuilles=description générale'!$E$24)/('Feuilles=description générale'!$E$25))))</f>
        <v>95.614510016242562</v>
      </c>
      <c r="BA25" s="495" t="str">
        <f>IF('Feuilles=description générale'!$E$27="","",IF(AY25="","",IF(AY25&lt;=('Feuilles=description générale'!$E$25+'Feuilles=description générale'!$E$24),"",100*(AY25-'Feuilles=description générale'!$E$25-'Feuilles=description générale'!$E$24)/('Feuilles=description générale'!$E$26))))</f>
        <v/>
      </c>
      <c r="BB25" s="496">
        <f>IF('Feuilles=description générale'!$E$27="","",IF(AY25="","",100*(AY25-'Feuilles=description générale'!$E$24)/('Feuilles=description générale'!$E$27-'Feuilles=description générale'!$E$24)))</f>
        <v>21.583964800782205</v>
      </c>
      <c r="BC25" s="497">
        <f t="shared" si="15"/>
        <v>2</v>
      </c>
      <c r="BD25" s="500">
        <f t="shared" si="16"/>
        <v>2</v>
      </c>
      <c r="BE25" s="494">
        <f t="shared" si="17"/>
        <v>8.7999999999999972</v>
      </c>
      <c r="BF25" s="499" t="str">
        <f t="shared" si="18"/>
        <v/>
      </c>
      <c r="BG25" s="476"/>
      <c r="BH25" s="501">
        <v>100</v>
      </c>
      <c r="BI25" s="502">
        <v>1</v>
      </c>
      <c r="BJ25" s="503">
        <v>0</v>
      </c>
      <c r="BK25" s="503">
        <v>0</v>
      </c>
      <c r="BL25" s="504">
        <v>0</v>
      </c>
      <c r="BM25" s="502">
        <v>1</v>
      </c>
      <c r="BN25" s="503">
        <v>0</v>
      </c>
      <c r="BO25" s="503">
        <v>0</v>
      </c>
      <c r="BP25" s="504">
        <v>0</v>
      </c>
      <c r="BQ25" s="502">
        <v>2</v>
      </c>
      <c r="BR25" s="503">
        <v>0</v>
      </c>
      <c r="BS25" s="503">
        <v>0</v>
      </c>
      <c r="BT25" s="504">
        <v>0</v>
      </c>
      <c r="BU25" s="568"/>
      <c r="BV25" s="1114">
        <f t="shared" si="19"/>
        <v>334.88999999999987</v>
      </c>
      <c r="BW25" s="1114" t="str">
        <f t="shared" si="19"/>
        <v/>
      </c>
      <c r="BX25" s="1114" t="str">
        <f t="shared" si="20"/>
        <v/>
      </c>
      <c r="BY25" s="1115">
        <f t="shared" si="20"/>
        <v>1.4399999999999726</v>
      </c>
      <c r="BZ25" s="477"/>
      <c r="CA25" s="1114">
        <f t="shared" si="21"/>
        <v>198.81000000000023</v>
      </c>
      <c r="CB25" s="1114" t="str">
        <f t="shared" si="21"/>
        <v/>
      </c>
      <c r="CC25" s="1114">
        <f t="shared" si="22"/>
        <v>77.439999999999955</v>
      </c>
      <c r="CD25" s="1115" t="str">
        <f t="shared" si="22"/>
        <v/>
      </c>
      <c r="CE25" s="568"/>
      <c r="CF25" s="501">
        <v>100</v>
      </c>
      <c r="CG25" s="1188">
        <v>0.01</v>
      </c>
      <c r="CH25" s="1119">
        <v>0</v>
      </c>
      <c r="CI25" s="1119">
        <v>1</v>
      </c>
      <c r="CJ25" s="1119">
        <f>AVERAGE(E178-E177,Q178-Q177)</f>
        <v>0</v>
      </c>
      <c r="CK25" s="680">
        <f>STDEV(E178-E177,Q178-Q177)</f>
        <v>0</v>
      </c>
      <c r="CL25" s="1188">
        <v>0.01</v>
      </c>
      <c r="CM25" s="1119">
        <v>0</v>
      </c>
      <c r="CN25" s="1119">
        <v>1</v>
      </c>
      <c r="CO25" s="1119">
        <f>AVERAGE(J178-J177,V178-V177)</f>
        <v>0</v>
      </c>
      <c r="CP25" s="680">
        <f>STDEV(J178-J177,V178-V177)</f>
        <v>0</v>
      </c>
      <c r="CQ25" s="1188">
        <f t="shared" ref="CQ25" si="42">CG25+CL25</f>
        <v>0.02</v>
      </c>
      <c r="CR25" s="1119">
        <f t="shared" ref="CR25" si="43">CH25+CM25</f>
        <v>0</v>
      </c>
      <c r="CS25" s="1119">
        <f t="shared" ref="CS25" si="44">CI25+CN25</f>
        <v>2</v>
      </c>
      <c r="CT25" s="1119">
        <f t="shared" ref="CT25" si="45">IF(CS25=0,0,IF(CS25="","",CQ25/CS25))</f>
        <v>0.01</v>
      </c>
      <c r="CU25" s="680">
        <f t="shared" ref="CU25" si="46">IF(CS25&lt;2,0,IF((CR25/CS25-CT25*CT25)/(CS25-1)&lt;0,0,SQRT((CR25/CS25-CT25*CT25)/(CS25-1))))</f>
        <v>0</v>
      </c>
      <c r="CV25" s="476"/>
      <c r="CW25" s="345"/>
      <c r="CX25" s="345"/>
      <c r="CY25" s="345"/>
      <c r="CZ25" s="345"/>
      <c r="DA25" s="345"/>
      <c r="DB25" s="345"/>
      <c r="DC25" s="345"/>
      <c r="DD25" s="345"/>
      <c r="DE25" s="345"/>
      <c r="DF25" s="345"/>
      <c r="DG25" s="345"/>
      <c r="DH25" s="345"/>
      <c r="DI25" s="345"/>
      <c r="DJ25" s="345"/>
      <c r="DK25" s="345"/>
      <c r="DL25" s="345"/>
      <c r="DM25" s="345"/>
      <c r="DN25" s="345"/>
      <c r="DO25" s="345"/>
      <c r="DP25" s="345"/>
      <c r="DQ25" s="345"/>
      <c r="DR25" s="345"/>
      <c r="DS25" s="345"/>
      <c r="DT25" s="345"/>
      <c r="DU25" s="345"/>
      <c r="DV25" s="345"/>
      <c r="DW25" s="345"/>
      <c r="DX25" s="345"/>
      <c r="DY25" s="345"/>
      <c r="DZ25" s="345"/>
      <c r="EA25" s="345"/>
      <c r="EB25" s="345"/>
      <c r="EC25" s="345"/>
      <c r="ED25" s="345"/>
      <c r="EE25" s="345"/>
      <c r="EF25" s="345"/>
      <c r="EG25" s="345"/>
      <c r="EH25" s="345"/>
      <c r="EI25" s="345"/>
      <c r="EJ25" s="345"/>
      <c r="EK25" s="345"/>
      <c r="EL25" s="345"/>
      <c r="EM25" s="345"/>
      <c r="EN25" s="345"/>
      <c r="EO25" s="345"/>
      <c r="EP25" s="345"/>
      <c r="EQ25" s="345"/>
      <c r="ER25" s="345"/>
      <c r="ES25" s="345"/>
      <c r="ET25" s="345"/>
      <c r="EU25" s="345"/>
      <c r="EV25" s="345"/>
      <c r="EW25" s="345"/>
      <c r="EX25" s="345"/>
      <c r="EY25" s="345"/>
      <c r="EZ25" s="345"/>
      <c r="FA25" s="345"/>
      <c r="FB25" s="345"/>
      <c r="FC25" s="345"/>
      <c r="FD25" s="345"/>
      <c r="FE25" s="345"/>
      <c r="FF25" s="345"/>
      <c r="FG25" s="345"/>
      <c r="FH25" s="345"/>
      <c r="FI25" s="345"/>
      <c r="FJ25" s="345"/>
      <c r="FK25" s="345"/>
      <c r="FL25" s="345"/>
      <c r="FM25" s="345"/>
      <c r="FN25" s="345"/>
      <c r="FO25" s="345"/>
      <c r="FP25" s="345"/>
      <c r="FQ25" s="345"/>
      <c r="FR25" s="345"/>
      <c r="FS25" s="345"/>
      <c r="FT25" s="345"/>
      <c r="FU25" s="345"/>
      <c r="FV25" s="345"/>
      <c r="FW25" s="345"/>
      <c r="FX25" s="345"/>
      <c r="FY25" s="345"/>
      <c r="FZ25" s="345"/>
      <c r="GA25" s="345"/>
      <c r="GB25" s="345"/>
      <c r="GC25" s="345"/>
      <c r="GD25" s="345"/>
      <c r="GE25" s="345"/>
      <c r="GF25" s="345"/>
      <c r="GG25" s="345"/>
      <c r="GH25" s="345"/>
      <c r="GI25" s="345"/>
      <c r="GJ25" s="345"/>
      <c r="GK25" s="345"/>
      <c r="GL25" s="345"/>
      <c r="GM25" s="345"/>
      <c r="GN25" s="345"/>
      <c r="GO25" s="345"/>
      <c r="GP25" s="345"/>
      <c r="GQ25" s="345"/>
      <c r="GR25" s="345"/>
      <c r="GS25" s="345"/>
      <c r="GT25" s="345"/>
      <c r="GU25" s="345"/>
    </row>
    <row r="26" spans="1:203" ht="12.75" customHeight="1" thickBot="1">
      <c r="A26" s="465">
        <f t="shared" si="31"/>
        <v>2</v>
      </c>
      <c r="B26" s="1108">
        <v>16</v>
      </c>
      <c r="C26" s="1109">
        <v>1</v>
      </c>
      <c r="D26" s="398">
        <v>144</v>
      </c>
      <c r="E26" s="1120"/>
      <c r="F26" s="465">
        <f t="shared" si="36"/>
        <v>2</v>
      </c>
      <c r="G26" s="1108">
        <v>16</v>
      </c>
      <c r="H26" s="1109">
        <v>-1</v>
      </c>
      <c r="I26" s="398">
        <v>134.6</v>
      </c>
      <c r="J26" s="1120"/>
      <c r="K26" s="465"/>
      <c r="L26" s="465"/>
      <c r="M26" s="465">
        <f t="shared" si="23"/>
        <v>2</v>
      </c>
      <c r="N26" s="1108">
        <v>16</v>
      </c>
      <c r="O26" s="1109">
        <v>1</v>
      </c>
      <c r="P26" s="1110">
        <v>129.9</v>
      </c>
      <c r="Q26" s="1120"/>
      <c r="R26" s="465">
        <f t="shared" si="24"/>
        <v>2</v>
      </c>
      <c r="S26" s="1108">
        <v>16</v>
      </c>
      <c r="T26" s="1109">
        <v>1</v>
      </c>
      <c r="U26" s="1110">
        <v>120.1</v>
      </c>
      <c r="V26" s="1120" t="s">
        <v>1377</v>
      </c>
      <c r="W26" s="371"/>
      <c r="X26" s="494">
        <f t="shared" si="0"/>
        <v>144</v>
      </c>
      <c r="Y26" s="495" t="str">
        <f>IF('Feuilles=description générale'!$E$13="","",IF(X26="","",IF(X26&gt;('Feuilles=description générale'!$E$11+'Feuilles=description générale'!$E$10),"",100*(X26-'Feuilles=description générale'!$E$10)/('Feuilles=description générale'!$E$11))))</f>
        <v/>
      </c>
      <c r="Z26" s="495">
        <f>IF('Feuilles=description générale'!$E$13="","",IF(X26="","",IF(X26&lt;=('Feuilles=description générale'!$E$11+'Feuilles=description générale'!$E$10),"",100*(X26-'Feuilles=description générale'!$E$11-'Feuilles=description générale'!$E$10)/('Feuilles=description générale'!$E$12))))</f>
        <v>9.4586453223168974</v>
      </c>
      <c r="AA26" s="1112">
        <f>IF('Feuilles=description générale'!$E$13="","",IF(X26="","",100*(X26-'Feuilles=description générale'!$E$10)/('Feuilles=description générale'!$E$13-'Feuilles=description générale'!$E$10)))</f>
        <v>31.865284974093264</v>
      </c>
      <c r="AB26" s="497">
        <f t="shared" si="1"/>
        <v>1</v>
      </c>
      <c r="AC26" s="500" t="str">
        <f t="shared" si="32"/>
        <v/>
      </c>
      <c r="AD26" s="494" t="str">
        <f t="shared" si="2"/>
        <v/>
      </c>
      <c r="AE26" s="499">
        <f t="shared" si="3"/>
        <v>1.6999999999999886</v>
      </c>
      <c r="AF26" s="371"/>
      <c r="AG26" s="494">
        <f t="shared" si="4"/>
        <v>134.6</v>
      </c>
      <c r="AH26" s="495" t="str">
        <f>IF('Feuilles=description générale'!$E$13="","",IF(AG26="","",IF(AG26&gt;('Feuilles=description générale'!$E$11+'Feuilles=description générale'!$E$10),"",100*(AG26-'Feuilles=description générale'!$E$10)/('Feuilles=description générale'!$E$11))))</f>
        <v/>
      </c>
      <c r="AI26" s="495">
        <f>IF('Feuilles=description générale'!$E$13="","",IF(AG26="","",IF(AG26&lt;=('Feuilles=description générale'!$E$11+'Feuilles=description générale'!$E$10),"",100*(AG26-'Feuilles=description générale'!$E$11-'Feuilles=description générale'!$E$10)/('Feuilles=description générale'!$E$12))))</f>
        <v>6.2225664859282217</v>
      </c>
      <c r="AJ26" s="496">
        <f>IF('Feuilles=description générale'!$E$13="","",IF(AG26="","",100*(AG26-'Feuilles=description générale'!$E$10)/('Feuilles=description générale'!$E$13-'Feuilles=description générale'!$E$10)))</f>
        <v>29.430051813471504</v>
      </c>
      <c r="AK26" s="1113">
        <f t="shared" si="5"/>
        <v>2</v>
      </c>
      <c r="AL26" s="498">
        <f t="shared" si="6"/>
        <v>2</v>
      </c>
      <c r="AM26" s="494">
        <f t="shared" si="7"/>
        <v>15.200000000000017</v>
      </c>
      <c r="AN26" s="499" t="str">
        <f t="shared" si="8"/>
        <v/>
      </c>
      <c r="AO26" s="371"/>
      <c r="AP26" s="494">
        <f t="shared" si="9"/>
        <v>129.9</v>
      </c>
      <c r="AQ26" s="495" t="str">
        <f>IF('Feuilles=description générale'!$E$13="","",IF(AP26="","",IF(AP26&gt;('Feuilles=description générale'!$E$25+'Feuilles=description générale'!$E$24),"",100*(AP26-'Feuilles=description générale'!$E$24)/('Feuilles=description générale'!$E$25))))</f>
        <v/>
      </c>
      <c r="AR26" s="495">
        <f>IF('Feuilles=description générale'!$E$27="","",IF(AP26="","",IF(AP26&lt;=('Feuilles=description générale'!$E$25+'Feuilles=description générale'!$E$24),"",100*(AP26-'Feuilles=description générale'!$E$25-'Feuilles=description générale'!$E$24)/('Feuilles=description générale'!$E$26))))</f>
        <v>4.5935280189423873</v>
      </c>
      <c r="AS26" s="496">
        <f>IF('Feuilles=description générale'!$E$27="","",IF(AP26="","",100*(AP26-'Feuilles=description générale'!$E$24)/('Feuilles=description générale'!$E$27-'Feuilles=description générale'!$E$24)))</f>
        <v>26.13053043265705</v>
      </c>
      <c r="AT26" s="497">
        <f t="shared" si="10"/>
        <v>1</v>
      </c>
      <c r="AU26" s="500" t="str">
        <f t="shared" si="11"/>
        <v/>
      </c>
      <c r="AV26" s="494" t="str">
        <f t="shared" si="12"/>
        <v/>
      </c>
      <c r="AW26" s="499">
        <f t="shared" si="13"/>
        <v>1.5999999999999943</v>
      </c>
      <c r="AX26" s="371"/>
      <c r="AY26" s="494">
        <f t="shared" si="14"/>
        <v>120.1</v>
      </c>
      <c r="AZ26" s="495" t="str">
        <f>IF('Feuilles=description générale'!$E$13="","",IF(AY26="","",IF(AY26&gt;('Feuilles=description générale'!$E$25+'Feuilles=description générale'!$E$24),"",100*(AY26-'Feuilles=description générale'!$E$24)/('Feuilles=description générale'!$E$25))))</f>
        <v/>
      </c>
      <c r="BA26" s="495">
        <f>IF('Feuilles=description générale'!$E$27="","",IF(AY26="","",IF(AY26&lt;=('Feuilles=description générale'!$E$25+'Feuilles=description générale'!$E$24),"",100*(AY26-'Feuilles=description générale'!$E$25-'Feuilles=description générale'!$E$24)/('Feuilles=description générale'!$E$26))))</f>
        <v>1.499605367008682</v>
      </c>
      <c r="BB26" s="496">
        <f>IF('Feuilles=description générale'!$E$27="","",IF(AY26="","",100*(AY26-'Feuilles=description générale'!$E$24)/('Feuilles=description générale'!$E$27-'Feuilles=description générale'!$E$24)))</f>
        <v>23.735028110486432</v>
      </c>
      <c r="BC26" s="497">
        <f t="shared" si="15"/>
        <v>1</v>
      </c>
      <c r="BD26" s="500" t="str">
        <f t="shared" si="16"/>
        <v/>
      </c>
      <c r="BE26" s="494" t="str">
        <f t="shared" si="17"/>
        <v/>
      </c>
      <c r="BF26" s="499">
        <f t="shared" si="18"/>
        <v>1.6000000000000085</v>
      </c>
      <c r="BG26" s="476"/>
      <c r="BH26" s="517"/>
      <c r="BI26" s="518"/>
      <c r="BJ26" s="518"/>
      <c r="BK26" s="518"/>
      <c r="BL26" s="518"/>
      <c r="BM26" s="518"/>
      <c r="BN26" s="518"/>
      <c r="BO26" s="518"/>
      <c r="BP26" s="518"/>
      <c r="BQ26" s="518"/>
      <c r="BR26" s="518"/>
      <c r="BS26" s="518"/>
      <c r="BT26" s="518"/>
      <c r="BU26" s="568"/>
      <c r="BV26" s="1114" t="str">
        <f t="shared" si="19"/>
        <v/>
      </c>
      <c r="BW26" s="1114">
        <f t="shared" si="19"/>
        <v>2.8899999999999615</v>
      </c>
      <c r="BX26" s="1114">
        <f t="shared" si="20"/>
        <v>231.04000000000053</v>
      </c>
      <c r="BY26" s="1115" t="str">
        <f t="shared" si="20"/>
        <v/>
      </c>
      <c r="BZ26" s="477"/>
      <c r="CA26" s="1114" t="str">
        <f t="shared" si="21"/>
        <v/>
      </c>
      <c r="CB26" s="1114">
        <f t="shared" si="21"/>
        <v>2.5599999999999818</v>
      </c>
      <c r="CC26" s="1114" t="str">
        <f t="shared" si="22"/>
        <v/>
      </c>
      <c r="CD26" s="1115">
        <f t="shared" si="22"/>
        <v>2.5600000000000271</v>
      </c>
      <c r="CE26" s="568"/>
      <c r="CF26" s="1122"/>
      <c r="CG26" s="1122"/>
      <c r="CH26" s="1122"/>
      <c r="CI26" s="1122"/>
      <c r="CJ26" s="1122"/>
      <c r="CK26" s="1122"/>
      <c r="CL26" s="1122"/>
      <c r="CM26" s="1122"/>
      <c r="CN26" s="1122"/>
      <c r="CO26" s="1122"/>
      <c r="CP26" s="1122"/>
      <c r="CQ26" s="1122"/>
      <c r="CR26" s="1122"/>
      <c r="CS26" s="1122"/>
      <c r="CT26" s="1122"/>
      <c r="CU26" s="1122"/>
      <c r="CV26" s="476"/>
      <c r="CW26" s="345"/>
      <c r="CX26" s="345"/>
      <c r="CY26" s="345"/>
      <c r="CZ26" s="345"/>
      <c r="DA26" s="345"/>
      <c r="DB26" s="345"/>
      <c r="DC26" s="345"/>
      <c r="DD26" s="345"/>
      <c r="DE26" s="345"/>
      <c r="DF26" s="345"/>
      <c r="DG26" s="345"/>
      <c r="DH26" s="345"/>
      <c r="DI26" s="345"/>
      <c r="DJ26" s="345"/>
      <c r="DK26" s="345"/>
      <c r="DL26" s="345"/>
      <c r="DM26" s="345"/>
      <c r="DN26" s="345"/>
      <c r="DO26" s="345"/>
      <c r="DP26" s="345"/>
      <c r="DQ26" s="345"/>
      <c r="DR26" s="345"/>
      <c r="DS26" s="345"/>
      <c r="DT26" s="345"/>
      <c r="DU26" s="345"/>
      <c r="DV26" s="345"/>
      <c r="DW26" s="345"/>
      <c r="DX26" s="345"/>
      <c r="DY26" s="345"/>
      <c r="DZ26" s="345"/>
      <c r="EA26" s="345"/>
      <c r="EB26" s="345"/>
      <c r="EC26" s="345"/>
      <c r="ED26" s="345"/>
      <c r="EE26" s="345"/>
      <c r="EF26" s="345"/>
      <c r="EG26" s="345"/>
      <c r="EH26" s="345"/>
      <c r="EI26" s="345"/>
      <c r="EJ26" s="345"/>
      <c r="EK26" s="345"/>
      <c r="EL26" s="345"/>
      <c r="EM26" s="345"/>
      <c r="EN26" s="345"/>
      <c r="EO26" s="345"/>
      <c r="EP26" s="345"/>
      <c r="EQ26" s="345"/>
      <c r="ER26" s="345"/>
      <c r="ES26" s="345"/>
      <c r="ET26" s="345"/>
      <c r="EU26" s="345"/>
      <c r="EV26" s="345"/>
      <c r="EW26" s="345"/>
      <c r="EX26" s="345"/>
      <c r="EY26" s="345"/>
      <c r="EZ26" s="345"/>
      <c r="FA26" s="345"/>
      <c r="FB26" s="345"/>
      <c r="FC26" s="345"/>
      <c r="FD26" s="345"/>
      <c r="FE26" s="345"/>
      <c r="FF26" s="345"/>
      <c r="FG26" s="345"/>
      <c r="FH26" s="345"/>
      <c r="FI26" s="345"/>
      <c r="FJ26" s="345"/>
      <c r="FK26" s="345"/>
      <c r="FL26" s="345"/>
      <c r="FM26" s="345"/>
      <c r="FN26" s="345"/>
      <c r="FO26" s="345"/>
      <c r="FP26" s="345"/>
      <c r="FQ26" s="345"/>
      <c r="FR26" s="345"/>
      <c r="FS26" s="345"/>
      <c r="FT26" s="345"/>
      <c r="FU26" s="345"/>
      <c r="FV26" s="345"/>
      <c r="FW26" s="345"/>
      <c r="FX26" s="345"/>
      <c r="FY26" s="345"/>
      <c r="FZ26" s="345"/>
      <c r="GA26" s="345"/>
      <c r="GB26" s="345"/>
      <c r="GC26" s="345"/>
      <c r="GD26" s="345"/>
      <c r="GE26" s="345"/>
      <c r="GF26" s="345"/>
      <c r="GG26" s="345"/>
      <c r="GH26" s="345"/>
      <c r="GI26" s="345"/>
      <c r="GJ26" s="345"/>
      <c r="GK26" s="345"/>
      <c r="GL26" s="345"/>
      <c r="GM26" s="345"/>
      <c r="GN26" s="345"/>
      <c r="GO26" s="345"/>
      <c r="GP26" s="345"/>
      <c r="GQ26" s="345"/>
      <c r="GR26" s="345"/>
      <c r="GS26" s="345"/>
      <c r="GT26" s="345"/>
      <c r="GU26" s="345"/>
    </row>
    <row r="27" spans="1:203" ht="12.75" customHeight="1" thickBot="1">
      <c r="A27" s="465">
        <f t="shared" si="31"/>
        <v>2</v>
      </c>
      <c r="B27" s="1108">
        <v>17</v>
      </c>
      <c r="C27" s="1109">
        <v>0</v>
      </c>
      <c r="D27" s="398">
        <v>145.69999999999999</v>
      </c>
      <c r="E27" s="1120"/>
      <c r="F27" s="465">
        <f t="shared" si="36"/>
        <v>2</v>
      </c>
      <c r="G27" s="1108">
        <v>17</v>
      </c>
      <c r="H27" s="1109">
        <v>1</v>
      </c>
      <c r="I27" s="398">
        <v>149.80000000000001</v>
      </c>
      <c r="J27" s="1120"/>
      <c r="K27" s="465"/>
      <c r="L27" s="465"/>
      <c r="M27" s="465">
        <f t="shared" si="23"/>
        <v>2</v>
      </c>
      <c r="N27" s="1108">
        <v>17</v>
      </c>
      <c r="O27" s="1109">
        <v>-1</v>
      </c>
      <c r="P27" s="1110">
        <v>131.5</v>
      </c>
      <c r="Q27" s="1120"/>
      <c r="R27" s="465">
        <f t="shared" si="24"/>
        <v>2</v>
      </c>
      <c r="S27" s="1108">
        <v>17</v>
      </c>
      <c r="T27" s="1109">
        <v>-1</v>
      </c>
      <c r="U27" s="1110">
        <v>121.7</v>
      </c>
      <c r="V27" s="1120"/>
      <c r="W27" s="371"/>
      <c r="X27" s="494">
        <f t="shared" si="0"/>
        <v>145.69999999999999</v>
      </c>
      <c r="Y27" s="495" t="str">
        <f>IF('Feuilles=description générale'!$E$13="","",IF(X27="","",IF(X27&gt;('Feuilles=description générale'!$E$11+'Feuilles=description générale'!$E$10),"",100*(X27-'Feuilles=description générale'!$E$10)/('Feuilles=description générale'!$E$11))))</f>
        <v/>
      </c>
      <c r="Z27" s="495">
        <f>IF('Feuilles=description générale'!$E$13="","",IF(X27="","",IF(X27&lt;=('Feuilles=description générale'!$E$11+'Feuilles=description générale'!$E$10),"",100*(X27-'Feuilles=description générale'!$E$11-'Feuilles=description générale'!$E$10)/('Feuilles=description générale'!$E$12))))</f>
        <v>10.043893622514844</v>
      </c>
      <c r="AA27" s="1112">
        <f>IF('Feuilles=description générale'!$E$13="","",IF(X27="","",100*(X27-'Feuilles=description générale'!$E$10)/('Feuilles=description générale'!$E$13-'Feuilles=description générale'!$E$10)))</f>
        <v>32.305699481865283</v>
      </c>
      <c r="AB27" s="497">
        <f t="shared" si="1"/>
        <v>2</v>
      </c>
      <c r="AC27" s="500" t="str">
        <f t="shared" si="32"/>
        <v/>
      </c>
      <c r="AD27" s="494" t="str">
        <f t="shared" si="2"/>
        <v/>
      </c>
      <c r="AE27" s="499">
        <f t="shared" si="3"/>
        <v>2.3000000000000114</v>
      </c>
      <c r="AF27" s="371"/>
      <c r="AG27" s="494">
        <f t="shared" si="4"/>
        <v>149.80000000000001</v>
      </c>
      <c r="AH27" s="495" t="str">
        <f>IF('Feuilles=description générale'!$E$13="","",IF(AG27="","",IF(AG27&gt;('Feuilles=description générale'!$E$11+'Feuilles=description générale'!$E$10),"",100*(AG27-'Feuilles=description générale'!$E$10)/('Feuilles=description générale'!$E$11))))</f>
        <v/>
      </c>
      <c r="AI27" s="495">
        <f>IF('Feuilles=description générale'!$E$13="","",IF(AG27="","",IF(AG27&lt;=('Feuilles=description générale'!$E$11+'Feuilles=description générale'!$E$10),"",100*(AG27-'Feuilles=description générale'!$E$11-'Feuilles=description générale'!$E$10)/('Feuilles=description générale'!$E$12))))</f>
        <v>11.455374817109911</v>
      </c>
      <c r="AJ27" s="496">
        <f>IF('Feuilles=description générale'!$E$13="","",IF(AG27="","",100*(AG27-'Feuilles=description générale'!$E$10)/('Feuilles=description générale'!$E$13-'Feuilles=description générale'!$E$10)))</f>
        <v>33.367875647668399</v>
      </c>
      <c r="AK27" s="1113">
        <f t="shared" si="5"/>
        <v>1</v>
      </c>
      <c r="AL27" s="498" t="str">
        <f t="shared" si="6"/>
        <v/>
      </c>
      <c r="AM27" s="494" t="str">
        <f t="shared" si="7"/>
        <v/>
      </c>
      <c r="AN27" s="499">
        <f t="shared" si="8"/>
        <v>1.2800000000000011</v>
      </c>
      <c r="AO27" s="371"/>
      <c r="AP27" s="494">
        <f t="shared" si="9"/>
        <v>131.5</v>
      </c>
      <c r="AQ27" s="495" t="str">
        <f>IF('Feuilles=description générale'!$E$13="","",IF(AP27="","",IF(AP27&gt;('Feuilles=description générale'!$E$25+'Feuilles=description générale'!$E$24),"",100*(AP27-'Feuilles=description générale'!$E$24)/('Feuilles=description générale'!$E$25))))</f>
        <v/>
      </c>
      <c r="AR27" s="495">
        <f>IF('Feuilles=description générale'!$E$27="","",IF(AP27="","",IF(AP27&lt;=('Feuilles=description générale'!$E$25+'Feuilles=description générale'!$E$24),"",100*(AP27-'Feuilles=description générale'!$E$25-'Feuilles=description générale'!$E$24)/('Feuilles=description générale'!$E$26))))</f>
        <v>5.0986582478295199</v>
      </c>
      <c r="AS27" s="496">
        <f>IF('Feuilles=description générale'!$E$27="","",IF(AP27="","",100*(AP27-'Feuilles=description générale'!$E$24)/('Feuilles=description générale'!$E$27-'Feuilles=description générale'!$E$24)))</f>
        <v>26.521632852603275</v>
      </c>
      <c r="AT27" s="497">
        <f t="shared" si="10"/>
        <v>2</v>
      </c>
      <c r="AU27" s="500">
        <f t="shared" si="11"/>
        <v>2</v>
      </c>
      <c r="AV27" s="494">
        <f t="shared" si="12"/>
        <v>15.699999999999989</v>
      </c>
      <c r="AW27" s="499" t="str">
        <f t="shared" si="13"/>
        <v/>
      </c>
      <c r="AX27" s="371"/>
      <c r="AY27" s="494">
        <f t="shared" si="14"/>
        <v>121.7</v>
      </c>
      <c r="AZ27" s="495" t="str">
        <f>IF('Feuilles=description générale'!$E$13="","",IF(AY27="","",IF(AY27&gt;('Feuilles=description générale'!$E$25+'Feuilles=description générale'!$E$24),"",100*(AY27-'Feuilles=description générale'!$E$24)/('Feuilles=description générale'!$E$25))))</f>
        <v/>
      </c>
      <c r="BA27" s="495">
        <f>IF('Feuilles=description générale'!$E$27="","",IF(AY27="","",IF(AY27&lt;=('Feuilles=description générale'!$E$25+'Feuilles=description générale'!$E$24),"",100*(AY27-'Feuilles=description générale'!$E$25-'Feuilles=description générale'!$E$24)/('Feuilles=description générale'!$E$26))))</f>
        <v>2.00473559589582</v>
      </c>
      <c r="BB27" s="496">
        <f>IF('Feuilles=description générale'!$E$27="","",IF(AY27="","",100*(AY27-'Feuilles=description générale'!$E$24)/('Feuilles=description générale'!$E$27-'Feuilles=description générale'!$E$24)))</f>
        <v>24.126130530432654</v>
      </c>
      <c r="BC27" s="497">
        <f t="shared" si="15"/>
        <v>2</v>
      </c>
      <c r="BD27" s="500">
        <f t="shared" si="16"/>
        <v>2</v>
      </c>
      <c r="BE27" s="494">
        <f t="shared" si="17"/>
        <v>14.999999999999986</v>
      </c>
      <c r="BF27" s="499" t="str">
        <f t="shared" si="18"/>
        <v/>
      </c>
      <c r="BG27" s="476"/>
      <c r="BH27" s="517"/>
      <c r="BI27" s="518"/>
      <c r="BJ27" s="518"/>
      <c r="BK27" s="518"/>
      <c r="BL27" s="518"/>
      <c r="BM27" s="518"/>
      <c r="BN27" s="518"/>
      <c r="BO27" s="518"/>
      <c r="BP27" s="518"/>
      <c r="BQ27" s="518"/>
      <c r="BR27" s="518"/>
      <c r="BS27" s="518"/>
      <c r="BT27" s="518"/>
      <c r="BU27" s="568"/>
      <c r="BV27" s="1114" t="str">
        <f t="shared" si="19"/>
        <v/>
      </c>
      <c r="BW27" s="1114">
        <f t="shared" si="19"/>
        <v>5.2900000000000524</v>
      </c>
      <c r="BX27" s="1114" t="str">
        <f t="shared" si="20"/>
        <v/>
      </c>
      <c r="BY27" s="1115">
        <f t="shared" si="20"/>
        <v>1.638400000000003</v>
      </c>
      <c r="BZ27" s="477"/>
      <c r="CA27" s="1114">
        <f t="shared" si="21"/>
        <v>246.48999999999964</v>
      </c>
      <c r="CB27" s="1114" t="str">
        <f t="shared" si="21"/>
        <v/>
      </c>
      <c r="CC27" s="1114">
        <f t="shared" si="22"/>
        <v>224.99999999999957</v>
      </c>
      <c r="CD27" s="1115" t="str">
        <f t="shared" si="22"/>
        <v/>
      </c>
      <c r="CE27" s="568"/>
      <c r="CF27" s="477"/>
      <c r="CG27" s="1447" t="s">
        <v>1334</v>
      </c>
      <c r="CH27" s="1448"/>
      <c r="CI27" s="1448"/>
      <c r="CJ27" s="1448"/>
      <c r="CK27" s="1448"/>
      <c r="CL27" s="1448"/>
      <c r="CM27" s="1448"/>
      <c r="CN27" s="1448"/>
      <c r="CO27" s="1448"/>
      <c r="CP27" s="1448"/>
      <c r="CQ27" s="1448"/>
      <c r="CR27" s="1448"/>
      <c r="CS27" s="1448"/>
      <c r="CT27" s="1448"/>
      <c r="CU27" s="1449"/>
      <c r="CV27" s="476"/>
      <c r="CW27" s="345"/>
      <c r="CX27" s="345"/>
      <c r="CY27" s="345"/>
      <c r="CZ27" s="345"/>
      <c r="DA27" s="345"/>
      <c r="DB27" s="345"/>
      <c r="DC27" s="345"/>
      <c r="DD27" s="345"/>
      <c r="DE27" s="345"/>
      <c r="DF27" s="345"/>
      <c r="DG27" s="345"/>
      <c r="DH27" s="345"/>
      <c r="DI27" s="345"/>
      <c r="DJ27" s="345"/>
      <c r="DK27" s="345"/>
      <c r="DL27" s="345"/>
      <c r="DM27" s="345"/>
      <c r="DN27" s="345"/>
      <c r="DO27" s="345"/>
      <c r="DP27" s="345"/>
      <c r="DQ27" s="345"/>
      <c r="DR27" s="345"/>
      <c r="DS27" s="345"/>
      <c r="DT27" s="345"/>
      <c r="DU27" s="345"/>
      <c r="DV27" s="345"/>
      <c r="DW27" s="345"/>
      <c r="DX27" s="345"/>
      <c r="DY27" s="345"/>
      <c r="DZ27" s="345"/>
      <c r="EA27" s="345"/>
      <c r="EB27" s="345"/>
      <c r="EC27" s="345"/>
      <c r="ED27" s="345"/>
      <c r="EE27" s="345"/>
      <c r="EF27" s="345"/>
      <c r="EG27" s="345"/>
      <c r="EH27" s="345"/>
      <c r="EI27" s="345"/>
      <c r="EJ27" s="345"/>
      <c r="EK27" s="345"/>
      <c r="EL27" s="345"/>
      <c r="EM27" s="345"/>
      <c r="EN27" s="345"/>
      <c r="EO27" s="345"/>
      <c r="EP27" s="345"/>
      <c r="EQ27" s="345"/>
      <c r="ER27" s="345"/>
      <c r="ES27" s="345"/>
      <c r="ET27" s="345"/>
      <c r="EU27" s="345"/>
      <c r="EV27" s="345"/>
      <c r="EW27" s="345"/>
      <c r="EX27" s="345"/>
      <c r="EY27" s="345"/>
      <c r="EZ27" s="345"/>
      <c r="FA27" s="345"/>
      <c r="FB27" s="345"/>
      <c r="FC27" s="345"/>
      <c r="FD27" s="345"/>
      <c r="FE27" s="345"/>
      <c r="FF27" s="345"/>
      <c r="FG27" s="345"/>
      <c r="FH27" s="345"/>
      <c r="FI27" s="345"/>
      <c r="FJ27" s="345"/>
      <c r="FK27" s="345"/>
      <c r="FL27" s="345"/>
      <c r="FM27" s="345"/>
      <c r="FN27" s="345"/>
      <c r="FO27" s="345"/>
      <c r="FP27" s="345"/>
      <c r="FQ27" s="345"/>
      <c r="FR27" s="345"/>
      <c r="FS27" s="345"/>
      <c r="FT27" s="345"/>
      <c r="FU27" s="345"/>
      <c r="FV27" s="345"/>
      <c r="FW27" s="345"/>
      <c r="FX27" s="345"/>
      <c r="FY27" s="345"/>
      <c r="FZ27" s="345"/>
      <c r="GA27" s="345"/>
      <c r="GB27" s="345"/>
      <c r="GC27" s="345"/>
      <c r="GD27" s="345"/>
      <c r="GE27" s="345"/>
      <c r="GF27" s="345"/>
      <c r="GG27" s="345"/>
      <c r="GH27" s="345"/>
      <c r="GI27" s="345"/>
      <c r="GJ27" s="345"/>
      <c r="GK27" s="345"/>
      <c r="GL27" s="345"/>
      <c r="GM27" s="345"/>
      <c r="GN27" s="345"/>
      <c r="GO27" s="345"/>
      <c r="GP27" s="345"/>
      <c r="GQ27" s="345"/>
      <c r="GR27" s="345"/>
      <c r="GS27" s="345"/>
      <c r="GT27" s="345"/>
      <c r="GU27" s="345"/>
    </row>
    <row r="28" spans="1:203" ht="12.75" customHeight="1" thickBot="1">
      <c r="A28" s="465">
        <f t="shared" si="31"/>
        <v>2</v>
      </c>
      <c r="B28" s="1108">
        <v>18</v>
      </c>
      <c r="C28" s="1109">
        <v>-1</v>
      </c>
      <c r="D28" s="398">
        <v>148</v>
      </c>
      <c r="E28" s="1120"/>
      <c r="F28" s="465">
        <f t="shared" si="36"/>
        <v>2</v>
      </c>
      <c r="G28" s="1108">
        <v>18</v>
      </c>
      <c r="H28" s="1109">
        <v>-1</v>
      </c>
      <c r="I28" s="398">
        <v>151.08000000000001</v>
      </c>
      <c r="J28" s="1120"/>
      <c r="K28" s="465"/>
      <c r="L28" s="465"/>
      <c r="M28" s="465">
        <f t="shared" si="23"/>
        <v>2</v>
      </c>
      <c r="N28" s="1108">
        <v>18</v>
      </c>
      <c r="O28" s="1109">
        <v>1</v>
      </c>
      <c r="P28" s="1110">
        <v>147.19999999999999</v>
      </c>
      <c r="Q28" s="1120"/>
      <c r="R28" s="465">
        <f t="shared" si="24"/>
        <v>2</v>
      </c>
      <c r="S28" s="1108">
        <v>18</v>
      </c>
      <c r="T28" s="1109">
        <v>1</v>
      </c>
      <c r="U28" s="1110">
        <v>136.69999999999999</v>
      </c>
      <c r="V28" s="1120"/>
      <c r="W28" s="371"/>
      <c r="X28" s="494">
        <f t="shared" si="0"/>
        <v>148</v>
      </c>
      <c r="Y28" s="495" t="str">
        <f>IF('Feuilles=description générale'!$E$13="","",IF(X28="","",IF(X28&gt;('Feuilles=description générale'!$E$11+'Feuilles=description générale'!$E$10),"",100*(X28-'Feuilles=description générale'!$E$10)/('Feuilles=description générale'!$E$11))))</f>
        <v/>
      </c>
      <c r="Z28" s="495">
        <f>IF('Feuilles=description générale'!$E$13="","",IF(X28="","",IF(X28&lt;=('Feuilles=description générale'!$E$11+'Feuilles=description générale'!$E$10),"",100*(X28-'Feuilles=description générale'!$E$11-'Feuilles=description générale'!$E$10)/('Feuilles=description générale'!$E$12))))</f>
        <v>10.835700146312078</v>
      </c>
      <c r="AA28" s="1112">
        <f>IF('Feuilles=description générale'!$E$13="","",IF(X28="","",100*(X28-'Feuilles=description générale'!$E$10)/('Feuilles=description générale'!$E$13-'Feuilles=description générale'!$E$10)))</f>
        <v>32.901554404145081</v>
      </c>
      <c r="AB28" s="497">
        <f t="shared" si="1"/>
        <v>3</v>
      </c>
      <c r="AC28" s="500">
        <f t="shared" si="32"/>
        <v>3</v>
      </c>
      <c r="AD28" s="494">
        <f t="shared" si="2"/>
        <v>12</v>
      </c>
      <c r="AE28" s="499" t="str">
        <f t="shared" si="3"/>
        <v/>
      </c>
      <c r="AF28" s="371"/>
      <c r="AG28" s="494">
        <f t="shared" si="4"/>
        <v>151.08000000000001</v>
      </c>
      <c r="AH28" s="495" t="str">
        <f>IF('Feuilles=description générale'!$E$13="","",IF(AG28="","",IF(AG28&gt;('Feuilles=description générale'!$E$11+'Feuilles=description générale'!$E$10),"",100*(AG28-'Feuilles=description générale'!$E$10)/('Feuilles=description générale'!$E$11))))</f>
        <v/>
      </c>
      <c r="AI28" s="495">
        <f>IF('Feuilles=description générale'!$E$13="","",IF(AG28="","",IF(AG28&lt;=('Feuilles=description générale'!$E$11+'Feuilles=description générale'!$E$10),"",100*(AG28-'Feuilles=description générale'!$E$11-'Feuilles=description générale'!$E$10)/('Feuilles=description générale'!$E$12))))</f>
        <v>11.896032360788372</v>
      </c>
      <c r="AJ28" s="496">
        <f>IF('Feuilles=description générale'!$E$13="","",IF(AG28="","",100*(AG28-'Feuilles=description générale'!$E$10)/('Feuilles=description générale'!$E$13-'Feuilles=description générale'!$E$10)))</f>
        <v>33.69948186528498</v>
      </c>
      <c r="AK28" s="1113">
        <f t="shared" si="5"/>
        <v>2</v>
      </c>
      <c r="AL28" s="498">
        <f t="shared" si="6"/>
        <v>2</v>
      </c>
      <c r="AM28" s="494">
        <f t="shared" si="7"/>
        <v>7.4199999999999875</v>
      </c>
      <c r="AN28" s="499" t="str">
        <f t="shared" si="8"/>
        <v/>
      </c>
      <c r="AO28" s="371"/>
      <c r="AP28" s="494">
        <f t="shared" si="9"/>
        <v>147.19999999999999</v>
      </c>
      <c r="AQ28" s="495" t="str">
        <f>IF('Feuilles=description générale'!$E$13="","",IF(AP28="","",IF(AP28&gt;('Feuilles=description générale'!$E$25+'Feuilles=description générale'!$E$24),"",100*(AP28-'Feuilles=description générale'!$E$24)/('Feuilles=description générale'!$E$25))))</f>
        <v/>
      </c>
      <c r="AR28" s="495">
        <f>IF('Feuilles=description générale'!$E$27="","",IF(AP28="","",IF(AP28&lt;=('Feuilles=description générale'!$E$25+'Feuilles=description générale'!$E$24),"",100*(AP28-'Feuilles=description générale'!$E$25-'Feuilles=description générale'!$E$24)/('Feuilles=description générale'!$E$26))))</f>
        <v>10.055248618784528</v>
      </c>
      <c r="AS28" s="496">
        <f>IF('Feuilles=description générale'!$E$27="","",IF(AP28="","",100*(AP28-'Feuilles=description générale'!$E$24)/('Feuilles=description générale'!$E$27-'Feuilles=description générale'!$E$24)))</f>
        <v>30.359325348325587</v>
      </c>
      <c r="AT28" s="497">
        <f t="shared" si="10"/>
        <v>1</v>
      </c>
      <c r="AU28" s="500" t="str">
        <f t="shared" si="11"/>
        <v/>
      </c>
      <c r="AV28" s="494" t="str">
        <f t="shared" si="12"/>
        <v/>
      </c>
      <c r="AW28" s="499">
        <f t="shared" si="13"/>
        <v>1.5</v>
      </c>
      <c r="AX28" s="371"/>
      <c r="AY28" s="494">
        <f t="shared" si="14"/>
        <v>136.69999999999999</v>
      </c>
      <c r="AZ28" s="495" t="str">
        <f>IF('Feuilles=description générale'!$E$13="","",IF(AY28="","",IF(AY28&gt;('Feuilles=description générale'!$E$25+'Feuilles=description générale'!$E$24),"",100*(AY28-'Feuilles=description générale'!$E$24)/('Feuilles=description générale'!$E$25))))</f>
        <v/>
      </c>
      <c r="BA28" s="495">
        <f>IF('Feuilles=description générale'!$E$27="","",IF(AY28="","",IF(AY28&lt;=('Feuilles=description générale'!$E$25+'Feuilles=description générale'!$E$24),"",100*(AY28-'Feuilles=description générale'!$E$25-'Feuilles=description générale'!$E$24)/('Feuilles=description générale'!$E$26))))</f>
        <v>6.7403314917127055</v>
      </c>
      <c r="BB28" s="496">
        <f>IF('Feuilles=description générale'!$E$27="","",IF(AY28="","",100*(AY28-'Feuilles=description générale'!$E$24)/('Feuilles=description générale'!$E$27-'Feuilles=description générale'!$E$24)))</f>
        <v>27.792715717428496</v>
      </c>
      <c r="BC28" s="497">
        <f t="shared" si="15"/>
        <v>1</v>
      </c>
      <c r="BD28" s="500" t="str">
        <f t="shared" si="16"/>
        <v/>
      </c>
      <c r="BE28" s="494" t="str">
        <f t="shared" si="17"/>
        <v/>
      </c>
      <c r="BF28" s="499">
        <f t="shared" si="18"/>
        <v>1.8000000000000114</v>
      </c>
      <c r="BG28" s="476"/>
      <c r="BH28" s="517"/>
      <c r="BI28" s="518"/>
      <c r="BJ28" s="518"/>
      <c r="BK28" s="1470" t="s">
        <v>1226</v>
      </c>
      <c r="BL28" s="1470" t="s">
        <v>1222</v>
      </c>
      <c r="BM28" s="1472" t="s">
        <v>1223</v>
      </c>
      <c r="BN28" s="1472" t="s">
        <v>1224</v>
      </c>
      <c r="BO28" s="1474" t="s">
        <v>1225</v>
      </c>
      <c r="BP28" s="1470" t="s">
        <v>1227</v>
      </c>
      <c r="BQ28" s="1470" t="s">
        <v>1222</v>
      </c>
      <c r="BR28" s="1472" t="s">
        <v>1223</v>
      </c>
      <c r="BS28" s="1472" t="s">
        <v>1224</v>
      </c>
      <c r="BT28" s="1474" t="s">
        <v>1225</v>
      </c>
      <c r="BU28" s="568"/>
      <c r="BV28" s="1114">
        <f t="shared" si="19"/>
        <v>144</v>
      </c>
      <c r="BW28" s="1114" t="str">
        <f t="shared" si="19"/>
        <v/>
      </c>
      <c r="BX28" s="1114">
        <f t="shared" si="20"/>
        <v>55.056399999999812</v>
      </c>
      <c r="BY28" s="1115" t="str">
        <f t="shared" si="20"/>
        <v/>
      </c>
      <c r="BZ28" s="477"/>
      <c r="CA28" s="1114" t="str">
        <f t="shared" si="21"/>
        <v/>
      </c>
      <c r="CB28" s="1114">
        <f t="shared" si="21"/>
        <v>2.25</v>
      </c>
      <c r="CC28" s="1114" t="str">
        <f t="shared" si="22"/>
        <v/>
      </c>
      <c r="CD28" s="1115">
        <f t="shared" si="22"/>
        <v>3.2400000000000411</v>
      </c>
      <c r="CE28" s="568"/>
      <c r="CF28" s="477"/>
      <c r="CG28" s="1450"/>
      <c r="CH28" s="1451"/>
      <c r="CI28" s="1451"/>
      <c r="CJ28" s="1451"/>
      <c r="CK28" s="1451"/>
      <c r="CL28" s="1451"/>
      <c r="CM28" s="1451"/>
      <c r="CN28" s="1451"/>
      <c r="CO28" s="1451"/>
      <c r="CP28" s="1451"/>
      <c r="CQ28" s="1451"/>
      <c r="CR28" s="1451"/>
      <c r="CS28" s="1451"/>
      <c r="CT28" s="1451"/>
      <c r="CU28" s="1452"/>
      <c r="CV28" s="476"/>
      <c r="CW28" s="345"/>
      <c r="CX28" s="345"/>
      <c r="CY28" s="345"/>
      <c r="CZ28" s="345"/>
      <c r="DA28" s="345"/>
      <c r="DB28" s="345"/>
      <c r="DC28" s="345"/>
      <c r="DD28" s="345"/>
      <c r="DE28" s="345"/>
      <c r="DF28" s="345"/>
      <c r="DG28" s="345"/>
      <c r="DH28" s="345"/>
      <c r="DI28" s="345"/>
      <c r="DJ28" s="345"/>
      <c r="DK28" s="345"/>
      <c r="DL28" s="345"/>
      <c r="DM28" s="345"/>
      <c r="DN28" s="345"/>
      <c r="DO28" s="345"/>
      <c r="DP28" s="345"/>
      <c r="DQ28" s="345"/>
      <c r="DR28" s="345"/>
      <c r="DS28" s="345"/>
      <c r="DT28" s="345"/>
      <c r="DU28" s="345"/>
      <c r="DV28" s="345"/>
      <c r="DW28" s="345"/>
      <c r="DX28" s="345"/>
      <c r="DY28" s="345"/>
      <c r="DZ28" s="345"/>
      <c r="EA28" s="345"/>
      <c r="EB28" s="345"/>
      <c r="EC28" s="345"/>
      <c r="ED28" s="345"/>
      <c r="EE28" s="345"/>
      <c r="EF28" s="345"/>
      <c r="EG28" s="345"/>
      <c r="EH28" s="345"/>
      <c r="EI28" s="345"/>
      <c r="EJ28" s="345"/>
      <c r="EK28" s="345"/>
      <c r="EL28" s="345"/>
      <c r="EM28" s="345"/>
      <c r="EN28" s="345"/>
      <c r="EO28" s="345"/>
      <c r="EP28" s="345"/>
      <c r="EQ28" s="345"/>
      <c r="ER28" s="345"/>
      <c r="ES28" s="345"/>
      <c r="ET28" s="345"/>
      <c r="EU28" s="345"/>
      <c r="EV28" s="345"/>
      <c r="EW28" s="345"/>
      <c r="EX28" s="345"/>
      <c r="EY28" s="345"/>
      <c r="EZ28" s="345"/>
      <c r="FA28" s="345"/>
      <c r="FB28" s="345"/>
      <c r="FC28" s="345"/>
      <c r="FD28" s="345"/>
      <c r="FE28" s="345"/>
      <c r="FF28" s="345"/>
      <c r="FG28" s="345"/>
      <c r="FH28" s="345"/>
      <c r="FI28" s="345"/>
      <c r="FJ28" s="345"/>
      <c r="FK28" s="345"/>
      <c r="FL28" s="345"/>
      <c r="FM28" s="345"/>
      <c r="FN28" s="345"/>
      <c r="FO28" s="345"/>
      <c r="FP28" s="345"/>
      <c r="FQ28" s="345"/>
      <c r="FR28" s="345"/>
      <c r="FS28" s="345"/>
      <c r="FT28" s="345"/>
      <c r="FU28" s="345"/>
      <c r="FV28" s="345"/>
      <c r="FW28" s="345"/>
      <c r="FX28" s="345"/>
      <c r="FY28" s="345"/>
      <c r="FZ28" s="345"/>
      <c r="GA28" s="345"/>
      <c r="GB28" s="345"/>
      <c r="GC28" s="345"/>
      <c r="GD28" s="345"/>
      <c r="GE28" s="345"/>
      <c r="GF28" s="345"/>
      <c r="GG28" s="345"/>
      <c r="GH28" s="345"/>
      <c r="GI28" s="345"/>
      <c r="GJ28" s="345"/>
      <c r="GK28" s="345"/>
      <c r="GL28" s="345"/>
      <c r="GM28" s="345"/>
      <c r="GN28" s="345"/>
      <c r="GO28" s="345"/>
      <c r="GP28" s="345"/>
      <c r="GQ28" s="345"/>
      <c r="GR28" s="345"/>
      <c r="GS28" s="345"/>
      <c r="GT28" s="345"/>
      <c r="GU28" s="345"/>
    </row>
    <row r="29" spans="1:203" ht="12.75" customHeight="1" thickBot="1">
      <c r="A29" s="465">
        <f t="shared" si="31"/>
        <v>2</v>
      </c>
      <c r="B29" s="1108">
        <v>19</v>
      </c>
      <c r="C29" s="1109">
        <v>1</v>
      </c>
      <c r="D29" s="398">
        <v>160</v>
      </c>
      <c r="E29" s="1120"/>
      <c r="F29" s="465">
        <f t="shared" si="36"/>
        <v>2</v>
      </c>
      <c r="G29" s="1108">
        <v>19</v>
      </c>
      <c r="H29" s="1109">
        <v>1</v>
      </c>
      <c r="I29" s="398">
        <v>158.5</v>
      </c>
      <c r="J29" s="1120"/>
      <c r="K29" s="465"/>
      <c r="L29" s="465"/>
      <c r="M29" s="465">
        <f t="shared" si="23"/>
        <v>2</v>
      </c>
      <c r="N29" s="1108">
        <v>19</v>
      </c>
      <c r="O29" s="1109">
        <v>-1</v>
      </c>
      <c r="P29" s="1110">
        <v>148.69999999999999</v>
      </c>
      <c r="Q29" s="1120"/>
      <c r="R29" s="465">
        <f t="shared" si="24"/>
        <v>2</v>
      </c>
      <c r="S29" s="1108">
        <v>19</v>
      </c>
      <c r="T29" s="1109">
        <v>-1</v>
      </c>
      <c r="U29" s="1110">
        <v>138.5</v>
      </c>
      <c r="V29" s="1120"/>
      <c r="W29" s="371"/>
      <c r="X29" s="494">
        <f t="shared" si="0"/>
        <v>160</v>
      </c>
      <c r="Y29" s="495" t="str">
        <f>IF('Feuilles=description générale'!$E$13="","",IF(X29="","",IF(X29&gt;('Feuilles=description générale'!$E$11+'Feuilles=description générale'!$E$10),"",100*(X29-'Feuilles=description générale'!$E$10)/('Feuilles=description générale'!$E$11))))</f>
        <v/>
      </c>
      <c r="Z29" s="495">
        <f>IF('Feuilles=description générale'!$E$13="","",IF(X29="","",IF(X29&lt;=('Feuilles=description générale'!$E$11+'Feuilles=description générale'!$E$10),"",100*(X29-'Feuilles=description générale'!$E$11-'Feuilles=description générale'!$E$10)/('Feuilles=description générale'!$E$12))))</f>
        <v>14.966864618297619</v>
      </c>
      <c r="AA29" s="1112">
        <f>IF('Feuilles=description générale'!$E$13="","",IF(X29="","",100*(X29-'Feuilles=description générale'!$E$10)/('Feuilles=description générale'!$E$13-'Feuilles=description générale'!$E$10)))</f>
        <v>36.010362694300518</v>
      </c>
      <c r="AB29" s="497">
        <f t="shared" si="1"/>
        <v>1</v>
      </c>
      <c r="AC29" s="500" t="str">
        <f t="shared" si="32"/>
        <v/>
      </c>
      <c r="AD29" s="494" t="str">
        <f t="shared" si="2"/>
        <v/>
      </c>
      <c r="AE29" s="499">
        <f t="shared" si="3"/>
        <v>1.5</v>
      </c>
      <c r="AF29" s="371"/>
      <c r="AG29" s="494">
        <f t="shared" si="4"/>
        <v>158.5</v>
      </c>
      <c r="AH29" s="495" t="str">
        <f>IF('Feuilles=description générale'!$E$13="","",IF(AG29="","",IF(AG29&gt;('Feuilles=description générale'!$E$11+'Feuilles=description générale'!$E$10),"",100*(AG29-'Feuilles=description générale'!$E$10)/('Feuilles=description générale'!$E$11))))</f>
        <v/>
      </c>
      <c r="AI29" s="495">
        <f>IF('Feuilles=description générale'!$E$13="","",IF(AG29="","",IF(AG29&lt;=('Feuilles=description générale'!$E$11+'Feuilles=description générale'!$E$10),"",100*(AG29-'Feuilles=description générale'!$E$11-'Feuilles=description générale'!$E$10)/('Feuilles=description générale'!$E$12))))</f>
        <v>14.450469059299426</v>
      </c>
      <c r="AJ29" s="496">
        <f>IF('Feuilles=description générale'!$E$13="","",IF(AG29="","",100*(AG29-'Feuilles=description générale'!$E$10)/('Feuilles=description générale'!$E$13-'Feuilles=description générale'!$E$10)))</f>
        <v>35.62176165803109</v>
      </c>
      <c r="AK29" s="1113">
        <f t="shared" si="5"/>
        <v>1</v>
      </c>
      <c r="AL29" s="498" t="str">
        <f t="shared" si="6"/>
        <v/>
      </c>
      <c r="AM29" s="494" t="str">
        <f t="shared" si="7"/>
        <v/>
      </c>
      <c r="AN29" s="499">
        <f t="shared" si="8"/>
        <v>1.5</v>
      </c>
      <c r="AO29" s="371"/>
      <c r="AP29" s="494">
        <f t="shared" si="9"/>
        <v>148.69999999999999</v>
      </c>
      <c r="AQ29" s="495" t="str">
        <f>IF('Feuilles=description générale'!$E$13="","",IF(AP29="","",IF(AP29&gt;('Feuilles=description générale'!$E$25+'Feuilles=description générale'!$E$24),"",100*(AP29-'Feuilles=description générale'!$E$24)/('Feuilles=description générale'!$E$25))))</f>
        <v/>
      </c>
      <c r="AR29" s="495">
        <f>IF('Feuilles=description générale'!$E$27="","",IF(AP29="","",IF(AP29&lt;=('Feuilles=description générale'!$E$25+'Feuilles=description générale'!$E$24),"",100*(AP29-'Feuilles=description générale'!$E$25-'Feuilles=description générale'!$E$24)/('Feuilles=description générale'!$E$26))))</f>
        <v>10.528808208366218</v>
      </c>
      <c r="AS29" s="496">
        <f>IF('Feuilles=description générale'!$E$27="","",IF(AP29="","",100*(AP29-'Feuilles=description générale'!$E$24)/('Feuilles=description générale'!$E$27-'Feuilles=description générale'!$E$24)))</f>
        <v>30.725983867025171</v>
      </c>
      <c r="AT29" s="497">
        <f t="shared" si="10"/>
        <v>2</v>
      </c>
      <c r="AU29" s="500">
        <f t="shared" si="11"/>
        <v>2</v>
      </c>
      <c r="AV29" s="494">
        <f t="shared" si="12"/>
        <v>8.9000000000000057</v>
      </c>
      <c r="AW29" s="499" t="str">
        <f t="shared" si="13"/>
        <v/>
      </c>
      <c r="AX29" s="371"/>
      <c r="AY29" s="494">
        <f t="shared" si="14"/>
        <v>138.5</v>
      </c>
      <c r="AZ29" s="495" t="str">
        <f>IF('Feuilles=description générale'!$E$13="","",IF(AY29="","",IF(AY29&gt;('Feuilles=description générale'!$E$25+'Feuilles=description générale'!$E$24),"",100*(AY29-'Feuilles=description générale'!$E$24)/('Feuilles=description générale'!$E$25))))</f>
        <v/>
      </c>
      <c r="BA29" s="495">
        <f>IF('Feuilles=description générale'!$E$27="","",IF(AY29="","",IF(AY29&lt;=('Feuilles=description générale'!$E$25+'Feuilles=description générale'!$E$24),"",100*(AY29-'Feuilles=description générale'!$E$25-'Feuilles=description générale'!$E$24)/('Feuilles=description générale'!$E$26))))</f>
        <v>7.3086029992107351</v>
      </c>
      <c r="BB29" s="496">
        <f>IF('Feuilles=description générale'!$E$27="","",IF(AY29="","",100*(AY29-'Feuilles=description générale'!$E$24)/('Feuilles=description générale'!$E$27-'Feuilles=description générale'!$E$24)))</f>
        <v>28.232705939868001</v>
      </c>
      <c r="BC29" s="497">
        <f t="shared" si="15"/>
        <v>2</v>
      </c>
      <c r="BD29" s="500">
        <f t="shared" si="16"/>
        <v>2</v>
      </c>
      <c r="BE29" s="494">
        <f t="shared" si="17"/>
        <v>15.5</v>
      </c>
      <c r="BF29" s="499" t="str">
        <f t="shared" si="18"/>
        <v/>
      </c>
      <c r="BG29" s="476"/>
      <c r="BH29" s="517"/>
      <c r="BI29" s="518"/>
      <c r="BJ29" s="518"/>
      <c r="BK29" s="1471"/>
      <c r="BL29" s="1471"/>
      <c r="BM29" s="1473"/>
      <c r="BN29" s="1473"/>
      <c r="BO29" s="1475"/>
      <c r="BP29" s="1471"/>
      <c r="BQ29" s="1471"/>
      <c r="BR29" s="1473"/>
      <c r="BS29" s="1473"/>
      <c r="BT29" s="1475"/>
      <c r="BU29" s="568"/>
      <c r="BV29" s="1114" t="str">
        <f t="shared" si="19"/>
        <v/>
      </c>
      <c r="BW29" s="1114">
        <f t="shared" si="19"/>
        <v>2.25</v>
      </c>
      <c r="BX29" s="1114" t="str">
        <f t="shared" si="20"/>
        <v/>
      </c>
      <c r="BY29" s="1115">
        <f t="shared" si="20"/>
        <v>2.25</v>
      </c>
      <c r="BZ29" s="477"/>
      <c r="CA29" s="1114">
        <f t="shared" si="21"/>
        <v>79.210000000000107</v>
      </c>
      <c r="CB29" s="1114" t="str">
        <f t="shared" si="21"/>
        <v/>
      </c>
      <c r="CC29" s="1114">
        <f t="shared" si="22"/>
        <v>240.25</v>
      </c>
      <c r="CD29" s="1115" t="str">
        <f t="shared" si="22"/>
        <v/>
      </c>
      <c r="CE29" s="568"/>
      <c r="CF29" s="1453" t="s">
        <v>1328</v>
      </c>
      <c r="CG29" s="1457" t="s">
        <v>1220</v>
      </c>
      <c r="CH29" s="1457"/>
      <c r="CI29" s="1457"/>
      <c r="CJ29" s="1457"/>
      <c r="CK29" s="1458"/>
      <c r="CL29" s="1461" t="s">
        <v>1221</v>
      </c>
      <c r="CM29" s="1457"/>
      <c r="CN29" s="1457"/>
      <c r="CO29" s="1457"/>
      <c r="CP29" s="1458"/>
      <c r="CQ29" s="1461" t="s">
        <v>1139</v>
      </c>
      <c r="CR29" s="1457"/>
      <c r="CS29" s="1457"/>
      <c r="CT29" s="1457"/>
      <c r="CU29" s="1458"/>
      <c r="CV29" s="476"/>
      <c r="CW29" s="345"/>
      <c r="CX29" s="345"/>
      <c r="CY29" s="345"/>
      <c r="CZ29" s="345"/>
      <c r="DA29" s="345"/>
      <c r="DB29" s="345"/>
      <c r="DC29" s="345"/>
      <c r="DD29" s="345"/>
      <c r="DE29" s="345"/>
      <c r="DF29" s="345"/>
      <c r="DG29" s="345"/>
      <c r="DH29" s="345"/>
      <c r="DI29" s="345"/>
      <c r="DJ29" s="345"/>
      <c r="DK29" s="345"/>
      <c r="DL29" s="345"/>
      <c r="DM29" s="345"/>
      <c r="DN29" s="345"/>
      <c r="DO29" s="345"/>
      <c r="DP29" s="345"/>
      <c r="DQ29" s="345"/>
      <c r="DR29" s="345"/>
      <c r="DS29" s="345"/>
      <c r="DT29" s="345"/>
      <c r="DU29" s="345"/>
      <c r="DV29" s="345"/>
      <c r="DW29" s="345"/>
      <c r="DX29" s="345"/>
      <c r="DY29" s="345"/>
      <c r="DZ29" s="345"/>
      <c r="EA29" s="345"/>
      <c r="EB29" s="345"/>
      <c r="EC29" s="345"/>
      <c r="ED29" s="345"/>
      <c r="EE29" s="345"/>
      <c r="EF29" s="345"/>
      <c r="EG29" s="345"/>
      <c r="EH29" s="345"/>
      <c r="EI29" s="345"/>
      <c r="EJ29" s="345"/>
      <c r="EK29" s="345"/>
      <c r="EL29" s="345"/>
      <c r="EM29" s="345"/>
      <c r="EN29" s="345"/>
      <c r="EO29" s="345"/>
      <c r="EP29" s="345"/>
      <c r="EQ29" s="345"/>
      <c r="ER29" s="345"/>
      <c r="ES29" s="345"/>
      <c r="ET29" s="345"/>
      <c r="EU29" s="345"/>
      <c r="EV29" s="345"/>
      <c r="EW29" s="345"/>
      <c r="EX29" s="345"/>
      <c r="EY29" s="345"/>
      <c r="EZ29" s="345"/>
      <c r="FA29" s="345"/>
      <c r="FB29" s="345"/>
      <c r="FC29" s="345"/>
      <c r="FD29" s="345"/>
      <c r="FE29" s="345"/>
      <c r="FF29" s="345"/>
      <c r="FG29" s="345"/>
      <c r="FH29" s="345"/>
      <c r="FI29" s="345"/>
      <c r="FJ29" s="345"/>
      <c r="FK29" s="345"/>
      <c r="FL29" s="345"/>
      <c r="FM29" s="345"/>
      <c r="FN29" s="345"/>
      <c r="FO29" s="345"/>
      <c r="FP29" s="345"/>
      <c r="FQ29" s="345"/>
      <c r="FR29" s="345"/>
      <c r="FS29" s="345"/>
      <c r="FT29" s="345"/>
      <c r="FU29" s="345"/>
      <c r="FV29" s="345"/>
      <c r="FW29" s="345"/>
      <c r="FX29" s="345"/>
      <c r="FY29" s="345"/>
      <c r="FZ29" s="345"/>
      <c r="GA29" s="345"/>
      <c r="GB29" s="345"/>
      <c r="GC29" s="345"/>
      <c r="GD29" s="345"/>
      <c r="GE29" s="345"/>
      <c r="GF29" s="345"/>
      <c r="GG29" s="345"/>
      <c r="GH29" s="345"/>
      <c r="GI29" s="345"/>
      <c r="GJ29" s="345"/>
      <c r="GK29" s="345"/>
      <c r="GL29" s="345"/>
      <c r="GM29" s="345"/>
      <c r="GN29" s="345"/>
      <c r="GO29" s="345"/>
      <c r="GP29" s="345"/>
      <c r="GQ29" s="345"/>
      <c r="GR29" s="345"/>
      <c r="GS29" s="345"/>
      <c r="GT29" s="345"/>
      <c r="GU29" s="345"/>
    </row>
    <row r="30" spans="1:203" ht="12.75" customHeight="1" thickBot="1">
      <c r="A30" s="465">
        <f t="shared" si="31"/>
        <v>2</v>
      </c>
      <c r="B30" s="1108">
        <v>20</v>
      </c>
      <c r="C30" s="1109">
        <v>-1</v>
      </c>
      <c r="D30" s="398">
        <v>161.5</v>
      </c>
      <c r="E30" s="1120"/>
      <c r="F30" s="465">
        <f t="shared" si="36"/>
        <v>2</v>
      </c>
      <c r="G30" s="1108">
        <v>20</v>
      </c>
      <c r="H30" s="1109">
        <v>-1</v>
      </c>
      <c r="I30" s="398">
        <v>160</v>
      </c>
      <c r="J30" s="1120"/>
      <c r="K30" s="465"/>
      <c r="L30" s="465"/>
      <c r="M30" s="465">
        <f t="shared" si="23"/>
        <v>2</v>
      </c>
      <c r="N30" s="1108">
        <v>20</v>
      </c>
      <c r="O30" s="1109">
        <v>1</v>
      </c>
      <c r="P30" s="1110">
        <v>157.6</v>
      </c>
      <c r="Q30" s="1120"/>
      <c r="R30" s="465">
        <f t="shared" si="24"/>
        <v>2</v>
      </c>
      <c r="S30" s="1108">
        <v>20</v>
      </c>
      <c r="T30" s="1109">
        <v>1</v>
      </c>
      <c r="U30" s="1110">
        <v>154</v>
      </c>
      <c r="V30" s="1120"/>
      <c r="W30" s="371"/>
      <c r="X30" s="494">
        <f t="shared" si="0"/>
        <v>161.5</v>
      </c>
      <c r="Y30" s="495" t="str">
        <f>IF('Feuilles=description générale'!$E$13="","",IF(X30="","",IF(X30&gt;('Feuilles=description générale'!$E$11+'Feuilles=description générale'!$E$10),"",100*(X30-'Feuilles=description générale'!$E$10)/('Feuilles=description générale'!$E$11))))</f>
        <v/>
      </c>
      <c r="Z30" s="495">
        <f>IF('Feuilles=description générale'!$E$13="","",IF(X30="","",IF(X30&lt;=('Feuilles=description générale'!$E$11+'Feuilles=description générale'!$E$10),"",100*(X30-'Feuilles=description générale'!$E$11-'Feuilles=description générale'!$E$10)/('Feuilles=description générale'!$E$12))))</f>
        <v>15.483260177295811</v>
      </c>
      <c r="AA30" s="1112">
        <f>IF('Feuilles=description générale'!$E$13="","",IF(X30="","",100*(X30-'Feuilles=description générale'!$E$10)/('Feuilles=description générale'!$E$13-'Feuilles=description générale'!$E$10)))</f>
        <v>36.398963730569946</v>
      </c>
      <c r="AB30" s="497">
        <f t="shared" si="1"/>
        <v>2</v>
      </c>
      <c r="AC30" s="500">
        <f t="shared" si="32"/>
        <v>2</v>
      </c>
      <c r="AD30" s="494">
        <f t="shared" si="2"/>
        <v>9.3000000000000114</v>
      </c>
      <c r="AE30" s="499" t="str">
        <f t="shared" si="3"/>
        <v/>
      </c>
      <c r="AF30" s="371"/>
      <c r="AG30" s="494">
        <f t="shared" si="4"/>
        <v>160</v>
      </c>
      <c r="AH30" s="495" t="str">
        <f>IF('Feuilles=description générale'!$E$13="","",IF(AG30="","",IF(AG30&gt;('Feuilles=description générale'!$E$11+'Feuilles=description générale'!$E$10),"",100*(AG30-'Feuilles=description générale'!$E$10)/('Feuilles=description générale'!$E$11))))</f>
        <v/>
      </c>
      <c r="AI30" s="495">
        <f>IF('Feuilles=description générale'!$E$13="","",IF(AG30="","",IF(AG30&lt;=('Feuilles=description générale'!$E$11+'Feuilles=description générale'!$E$10),"",100*(AG30-'Feuilles=description générale'!$E$11-'Feuilles=description générale'!$E$10)/('Feuilles=description générale'!$E$12))))</f>
        <v>14.966864618297619</v>
      </c>
      <c r="AJ30" s="496">
        <f>IF('Feuilles=description générale'!$E$13="","",IF(AG30="","",100*(AG30-'Feuilles=description générale'!$E$10)/('Feuilles=description générale'!$E$13-'Feuilles=description générale'!$E$10)))</f>
        <v>36.010362694300518</v>
      </c>
      <c r="AK30" s="1113">
        <f t="shared" si="5"/>
        <v>2</v>
      </c>
      <c r="AL30" s="498">
        <f t="shared" si="6"/>
        <v>2</v>
      </c>
      <c r="AM30" s="494">
        <f t="shared" si="7"/>
        <v>11.699999999999989</v>
      </c>
      <c r="AN30" s="499" t="str">
        <f t="shared" si="8"/>
        <v/>
      </c>
      <c r="AO30" s="371"/>
      <c r="AP30" s="494">
        <f t="shared" si="9"/>
        <v>157.6</v>
      </c>
      <c r="AQ30" s="495" t="str">
        <f>IF('Feuilles=description générale'!$E$13="","",IF(AP30="","",IF(AP30&gt;('Feuilles=description générale'!$E$25+'Feuilles=description générale'!$E$24),"",100*(AP30-'Feuilles=description générale'!$E$24)/('Feuilles=description générale'!$E$25))))</f>
        <v/>
      </c>
      <c r="AR30" s="495">
        <f>IF('Feuilles=description générale'!$E$27="","",IF(AP30="","",IF(AP30&lt;=('Feuilles=description générale'!$E$25+'Feuilles=description générale'!$E$24),"",100*(AP30-'Feuilles=description générale'!$E$25-'Feuilles=description générale'!$E$24)/('Feuilles=description générale'!$E$26))))</f>
        <v>13.338595106550908</v>
      </c>
      <c r="AS30" s="496">
        <f>IF('Feuilles=description générale'!$E$27="","",IF(AP30="","",100*(AP30-'Feuilles=description générale'!$E$24)/('Feuilles=description générale'!$E$27-'Feuilles=description générale'!$E$24)))</f>
        <v>32.90149107797604</v>
      </c>
      <c r="AT30" s="497">
        <f t="shared" si="10"/>
        <v>1</v>
      </c>
      <c r="AU30" s="500" t="str">
        <f t="shared" si="11"/>
        <v/>
      </c>
      <c r="AV30" s="494" t="str">
        <f t="shared" si="12"/>
        <v/>
      </c>
      <c r="AW30" s="499">
        <f t="shared" si="13"/>
        <v>1.5999999999999943</v>
      </c>
      <c r="AX30" s="371"/>
      <c r="AY30" s="494">
        <f t="shared" si="14"/>
        <v>154</v>
      </c>
      <c r="AZ30" s="495" t="str">
        <f>IF('Feuilles=description générale'!$E$13="","",IF(AY30="","",IF(AY30&gt;('Feuilles=description générale'!$E$25+'Feuilles=description générale'!$E$24),"",100*(AY30-'Feuilles=description générale'!$E$24)/('Feuilles=description générale'!$E$25))))</f>
        <v/>
      </c>
      <c r="BA30" s="495">
        <f>IF('Feuilles=description générale'!$E$27="","",IF(AY30="","",IF(AY30&lt;=('Feuilles=description générale'!$E$25+'Feuilles=description générale'!$E$24),"",100*(AY30-'Feuilles=description générale'!$E$25-'Feuilles=description générale'!$E$24)/('Feuilles=description générale'!$E$26))))</f>
        <v>12.202052091554856</v>
      </c>
      <c r="BB30" s="496">
        <f>IF('Feuilles=description générale'!$E$27="","",IF(AY30="","",100*(AY30-'Feuilles=description générale'!$E$24)/('Feuilles=description générale'!$E$27-'Feuilles=description générale'!$E$24)))</f>
        <v>32.021510633097037</v>
      </c>
      <c r="BC30" s="497">
        <f t="shared" si="15"/>
        <v>1</v>
      </c>
      <c r="BD30" s="500" t="str">
        <f t="shared" si="16"/>
        <v/>
      </c>
      <c r="BE30" s="494" t="str">
        <f t="shared" si="17"/>
        <v/>
      </c>
      <c r="BF30" s="499">
        <f t="shared" si="18"/>
        <v>2</v>
      </c>
      <c r="BG30" s="476"/>
      <c r="BH30" s="519">
        <f>BH13</f>
        <v>1E-4</v>
      </c>
      <c r="BI30" s="520">
        <f>IF(BH30="","",RANK(BH30,$BH$30:$BH$42,1))</f>
        <v>1</v>
      </c>
      <c r="BJ30" s="521"/>
      <c r="BK30" s="519">
        <f>IF(SUMIF($BI$30:$BI$42,1,$BH$30:$BH$42)=0,"",SUMIF($BI$30:$BI$42,1,$BH$30:$BH$42))</f>
        <v>1E-4</v>
      </c>
      <c r="BL30" s="522">
        <f>IF(BK30="","",SUMIF($BH$13:$BH$25,$BK30,BQ$13:BQ$25))</f>
        <v>0</v>
      </c>
      <c r="BM30" s="523">
        <f>IF(BL30="","",SUMIF($BH$13:$BH$25,$BK30,BR$13:BR$25))</f>
        <v>0</v>
      </c>
      <c r="BN30" s="523">
        <f>IF(BM30="","",SUMIF($BH$13:$BH$25,$BK30,BS$13:BS$25))</f>
        <v>0</v>
      </c>
      <c r="BO30" s="524">
        <f>IF(BN30="","",SUMIF($BH$13:$BH$25,$BK30,BT$13:BT$25))</f>
        <v>0</v>
      </c>
      <c r="BP30" s="525">
        <f>IF($BK30="","",SUM($BL30:$BO30))</f>
        <v>0</v>
      </c>
      <c r="BQ30" s="526">
        <f>IF($BP30="","",IF($BP30=0,100,100*BL30/$BP30))</f>
        <v>100</v>
      </c>
      <c r="BR30" s="527">
        <f>IF($BP30="","",IF($BP30=0,0,100*BM30/$BP30))</f>
        <v>0</v>
      </c>
      <c r="BS30" s="527">
        <f>IF($BP30="","",IF($BP30=0,0,100*BN30/$BP30))</f>
        <v>0</v>
      </c>
      <c r="BT30" s="528">
        <f>IF($BP30="","",IF($BP30=0,0,100*BO30/$BP30))</f>
        <v>0</v>
      </c>
      <c r="BU30" s="568"/>
      <c r="BV30" s="1114">
        <f t="shared" si="19"/>
        <v>86.490000000000208</v>
      </c>
      <c r="BW30" s="1114" t="str">
        <f t="shared" si="19"/>
        <v/>
      </c>
      <c r="BX30" s="1114">
        <f t="shared" si="20"/>
        <v>136.88999999999973</v>
      </c>
      <c r="BY30" s="1115" t="str">
        <f t="shared" si="20"/>
        <v/>
      </c>
      <c r="BZ30" s="477"/>
      <c r="CA30" s="1114" t="str">
        <f t="shared" si="21"/>
        <v/>
      </c>
      <c r="CB30" s="1114">
        <f t="shared" si="21"/>
        <v>2.5599999999999818</v>
      </c>
      <c r="CC30" s="1114" t="str">
        <f t="shared" si="22"/>
        <v/>
      </c>
      <c r="CD30" s="1115">
        <f t="shared" si="22"/>
        <v>4</v>
      </c>
      <c r="CE30" s="568"/>
      <c r="CF30" s="1454"/>
      <c r="CG30" s="1459"/>
      <c r="CH30" s="1459"/>
      <c r="CI30" s="1459"/>
      <c r="CJ30" s="1459"/>
      <c r="CK30" s="1460"/>
      <c r="CL30" s="1462"/>
      <c r="CM30" s="1459"/>
      <c r="CN30" s="1459"/>
      <c r="CO30" s="1459"/>
      <c r="CP30" s="1460"/>
      <c r="CQ30" s="1462"/>
      <c r="CR30" s="1459"/>
      <c r="CS30" s="1459"/>
      <c r="CT30" s="1459"/>
      <c r="CU30" s="1460"/>
      <c r="CV30" s="476"/>
      <c r="CW30" s="345"/>
      <c r="CX30" s="345"/>
      <c r="CY30" s="345"/>
      <c r="CZ30" s="345"/>
      <c r="DA30" s="345"/>
      <c r="DB30" s="345"/>
      <c r="DC30" s="345"/>
      <c r="DD30" s="345"/>
      <c r="DE30" s="345"/>
      <c r="DF30" s="345"/>
      <c r="DG30" s="345"/>
      <c r="DH30" s="345"/>
      <c r="DI30" s="345"/>
      <c r="DJ30" s="345"/>
      <c r="DK30" s="345"/>
      <c r="DL30" s="345"/>
      <c r="DM30" s="345"/>
      <c r="DN30" s="345"/>
      <c r="DO30" s="345"/>
      <c r="DP30" s="345"/>
      <c r="DQ30" s="345"/>
      <c r="DR30" s="345"/>
      <c r="DS30" s="345"/>
      <c r="DT30" s="345"/>
      <c r="DU30" s="345"/>
      <c r="DV30" s="345"/>
      <c r="DW30" s="345"/>
      <c r="DX30" s="345"/>
      <c r="DY30" s="345"/>
      <c r="DZ30" s="345"/>
      <c r="EA30" s="345"/>
      <c r="EB30" s="345"/>
      <c r="EC30" s="345"/>
      <c r="ED30" s="345"/>
      <c r="EE30" s="345"/>
      <c r="EF30" s="345"/>
      <c r="EG30" s="345"/>
      <c r="EH30" s="345"/>
      <c r="EI30" s="345"/>
      <c r="EJ30" s="345"/>
      <c r="EK30" s="345"/>
      <c r="EL30" s="345"/>
      <c r="EM30" s="345"/>
      <c r="EN30" s="345"/>
      <c r="EO30" s="345"/>
      <c r="EP30" s="345"/>
      <c r="EQ30" s="345"/>
      <c r="ER30" s="345"/>
      <c r="ES30" s="345"/>
      <c r="ET30" s="345"/>
      <c r="EU30" s="345"/>
      <c r="EV30" s="345"/>
      <c r="EW30" s="345"/>
      <c r="EX30" s="345"/>
      <c r="EY30" s="345"/>
      <c r="EZ30" s="345"/>
      <c r="FA30" s="345"/>
      <c r="FB30" s="345"/>
      <c r="FC30" s="345"/>
      <c r="FD30" s="345"/>
      <c r="FE30" s="345"/>
      <c r="FF30" s="345"/>
      <c r="FG30" s="345"/>
      <c r="FH30" s="345"/>
      <c r="FI30" s="345"/>
      <c r="FJ30" s="345"/>
      <c r="FK30" s="345"/>
      <c r="FL30" s="345"/>
      <c r="FM30" s="345"/>
      <c r="FN30" s="345"/>
      <c r="FO30" s="345"/>
      <c r="FP30" s="345"/>
      <c r="FQ30" s="345"/>
      <c r="FR30" s="345"/>
      <c r="FS30" s="345"/>
      <c r="FT30" s="345"/>
      <c r="FU30" s="345"/>
      <c r="FV30" s="345"/>
      <c r="FW30" s="345"/>
      <c r="FX30" s="345"/>
      <c r="FY30" s="345"/>
      <c r="FZ30" s="345"/>
      <c r="GA30" s="345"/>
      <c r="GB30" s="345"/>
      <c r="GC30" s="345"/>
      <c r="GD30" s="345"/>
      <c r="GE30" s="345"/>
      <c r="GF30" s="345"/>
      <c r="GG30" s="345"/>
      <c r="GH30" s="345"/>
      <c r="GI30" s="345"/>
      <c r="GJ30" s="345"/>
      <c r="GK30" s="345"/>
      <c r="GL30" s="345"/>
      <c r="GM30" s="345"/>
      <c r="GN30" s="345"/>
      <c r="GO30" s="345"/>
      <c r="GP30" s="345"/>
      <c r="GQ30" s="345"/>
      <c r="GR30" s="345"/>
      <c r="GS30" s="345"/>
      <c r="GT30" s="345"/>
      <c r="GU30" s="345"/>
    </row>
    <row r="31" spans="1:203" ht="12.75" customHeight="1">
      <c r="A31" s="465">
        <f t="shared" si="31"/>
        <v>2</v>
      </c>
      <c r="B31" s="1108">
        <v>21</v>
      </c>
      <c r="C31" s="1109">
        <v>1</v>
      </c>
      <c r="D31" s="398">
        <v>170.8</v>
      </c>
      <c r="E31" s="1120"/>
      <c r="F31" s="465">
        <f t="shared" si="36"/>
        <v>2</v>
      </c>
      <c r="G31" s="1108">
        <v>21</v>
      </c>
      <c r="H31" s="1109">
        <v>1</v>
      </c>
      <c r="I31" s="398">
        <v>171.7</v>
      </c>
      <c r="J31" s="1120"/>
      <c r="K31" s="465"/>
      <c r="L31" s="465"/>
      <c r="M31" s="465">
        <f t="shared" si="23"/>
        <v>2</v>
      </c>
      <c r="N31" s="1108">
        <v>21</v>
      </c>
      <c r="O31" s="1109">
        <v>-1</v>
      </c>
      <c r="P31" s="1110">
        <v>159.19999999999999</v>
      </c>
      <c r="Q31" s="1120"/>
      <c r="R31" s="465">
        <f t="shared" si="24"/>
        <v>2</v>
      </c>
      <c r="S31" s="1108">
        <v>21</v>
      </c>
      <c r="T31" s="1109">
        <v>-1</v>
      </c>
      <c r="U31" s="1110">
        <v>156</v>
      </c>
      <c r="V31" s="1120"/>
      <c r="W31" s="371"/>
      <c r="X31" s="494">
        <f t="shared" si="0"/>
        <v>170.8</v>
      </c>
      <c r="Y31" s="495" t="str">
        <f>IF('Feuilles=description générale'!$E$13="","",IF(X31="","",IF(X31&gt;('Feuilles=description générale'!$E$11+'Feuilles=description générale'!$E$10),"",100*(X31-'Feuilles=description générale'!$E$10)/('Feuilles=description générale'!$E$11))))</f>
        <v/>
      </c>
      <c r="Z31" s="495">
        <f>IF('Feuilles=description générale'!$E$13="","",IF(X31="","",IF(X31&lt;=('Feuilles=description générale'!$E$11+'Feuilles=description générale'!$E$10),"",100*(X31-'Feuilles=description générale'!$E$11-'Feuilles=description générale'!$E$10)/('Feuilles=description générale'!$E$12))))</f>
        <v>18.684912643084608</v>
      </c>
      <c r="AA31" s="1112">
        <f>IF('Feuilles=description générale'!$E$13="","",IF(X31="","",100*(X31-'Feuilles=description générale'!$E$10)/('Feuilles=description générale'!$E$13-'Feuilles=description générale'!$E$10)))</f>
        <v>38.808290155440417</v>
      </c>
      <c r="AB31" s="497">
        <f t="shared" si="1"/>
        <v>1</v>
      </c>
      <c r="AC31" s="500" t="str">
        <f t="shared" si="32"/>
        <v/>
      </c>
      <c r="AD31" s="494" t="str">
        <f t="shared" si="2"/>
        <v/>
      </c>
      <c r="AE31" s="499">
        <f t="shared" si="3"/>
        <v>1.6999999999999886</v>
      </c>
      <c r="AF31" s="371"/>
      <c r="AG31" s="494">
        <f t="shared" si="4"/>
        <v>171.7</v>
      </c>
      <c r="AH31" s="495" t="str">
        <f>IF('Feuilles=description générale'!$E$13="","",IF(AG31="","",IF(AG31&gt;('Feuilles=description générale'!$E$11+'Feuilles=description générale'!$E$10),"",100*(AG31-'Feuilles=description générale'!$E$10)/('Feuilles=description générale'!$E$11))))</f>
        <v/>
      </c>
      <c r="AI31" s="495">
        <f>IF('Feuilles=description générale'!$E$13="","",IF(AG31="","",IF(AG31&lt;=('Feuilles=description générale'!$E$11+'Feuilles=description générale'!$E$10),"",100*(AG31-'Feuilles=description générale'!$E$11-'Feuilles=description générale'!$E$10)/('Feuilles=description générale'!$E$12))))</f>
        <v>18.994749978483515</v>
      </c>
      <c r="AJ31" s="496">
        <f>IF('Feuilles=description générale'!$E$13="","",IF(AG31="","",100*(AG31-'Feuilles=description générale'!$E$10)/('Feuilles=description générale'!$E$13-'Feuilles=description générale'!$E$10)))</f>
        <v>39.041450777202066</v>
      </c>
      <c r="AK31" s="1113">
        <f t="shared" si="5"/>
        <v>1</v>
      </c>
      <c r="AL31" s="498" t="str">
        <f t="shared" si="6"/>
        <v/>
      </c>
      <c r="AM31" s="494" t="str">
        <f t="shared" si="7"/>
        <v/>
      </c>
      <c r="AN31" s="499">
        <f t="shared" si="8"/>
        <v>1.8000000000000114</v>
      </c>
      <c r="AO31" s="371"/>
      <c r="AP31" s="494">
        <f t="shared" si="9"/>
        <v>159.19999999999999</v>
      </c>
      <c r="AQ31" s="495" t="str">
        <f>IF('Feuilles=description générale'!$E$13="","",IF(AP31="","",IF(AP31&gt;('Feuilles=description générale'!$E$25+'Feuilles=description générale'!$E$24),"",100*(AP31-'Feuilles=description générale'!$E$24)/('Feuilles=description générale'!$E$25))))</f>
        <v/>
      </c>
      <c r="AR31" s="495">
        <f>IF('Feuilles=description générale'!$E$27="","",IF(AP31="","",IF(AP31&lt;=('Feuilles=description générale'!$E$25+'Feuilles=description générale'!$E$24),"",100*(AP31-'Feuilles=description générale'!$E$25-'Feuilles=description générale'!$E$24)/('Feuilles=description générale'!$E$26))))</f>
        <v>13.843725335438039</v>
      </c>
      <c r="AS31" s="496">
        <f>IF('Feuilles=description générale'!$E$27="","",IF(AP31="","",100*(AP31-'Feuilles=description générale'!$E$24)/('Feuilles=description générale'!$E$27-'Feuilles=description générale'!$E$24)))</f>
        <v>33.292593497922262</v>
      </c>
      <c r="AT31" s="497">
        <f t="shared" si="10"/>
        <v>2</v>
      </c>
      <c r="AU31" s="500">
        <f t="shared" si="11"/>
        <v>2</v>
      </c>
      <c r="AV31" s="494">
        <f t="shared" si="12"/>
        <v>13.800000000000011</v>
      </c>
      <c r="AW31" s="499" t="str">
        <f t="shared" si="13"/>
        <v/>
      </c>
      <c r="AX31" s="371"/>
      <c r="AY31" s="494">
        <f t="shared" si="14"/>
        <v>156</v>
      </c>
      <c r="AZ31" s="495" t="str">
        <f>IF('Feuilles=description générale'!$E$13="","",IF(AY31="","",IF(AY31&gt;('Feuilles=description générale'!$E$25+'Feuilles=description générale'!$E$24),"",100*(AY31-'Feuilles=description générale'!$E$24)/('Feuilles=description générale'!$E$25))))</f>
        <v/>
      </c>
      <c r="BA31" s="495">
        <f>IF('Feuilles=description générale'!$E$27="","",IF(AY31="","",IF(AY31&lt;=('Feuilles=description générale'!$E$25+'Feuilles=description générale'!$E$24),"",100*(AY31-'Feuilles=description générale'!$E$25-'Feuilles=description générale'!$E$24)/('Feuilles=description générale'!$E$26))))</f>
        <v>12.833464877663774</v>
      </c>
      <c r="BB31" s="496">
        <f>IF('Feuilles=description générale'!$E$27="","",IF(AY31="","",100*(AY31-'Feuilles=description générale'!$E$24)/('Feuilles=description générale'!$E$27-'Feuilles=description générale'!$E$24)))</f>
        <v>32.510388658029818</v>
      </c>
      <c r="BC31" s="497">
        <f t="shared" si="15"/>
        <v>2</v>
      </c>
      <c r="BD31" s="500">
        <f t="shared" si="16"/>
        <v>2</v>
      </c>
      <c r="BE31" s="494">
        <f t="shared" si="17"/>
        <v>10.699999999999989</v>
      </c>
      <c r="BF31" s="499" t="str">
        <f t="shared" si="18"/>
        <v/>
      </c>
      <c r="BG31" s="476"/>
      <c r="BH31" s="529">
        <f>IF(SUM(BQ14:BT14)=0,"",BH14)</f>
        <v>3.5</v>
      </c>
      <c r="BI31" s="530">
        <f t="shared" ref="BI31:BI41" si="47">IF(BH31="","",RANK(BH31,$BH$30:$BH$42,1))</f>
        <v>2</v>
      </c>
      <c r="BJ31" s="521"/>
      <c r="BK31" s="529">
        <f>IF(SUMIF($BI$30:$BI$42,2,$BH$30:$BH$42)=0,"",SUMIF($BI$30:$BI$42,2,$BH$30:$BH$42))</f>
        <v>3.5</v>
      </c>
      <c r="BL31" s="531">
        <f t="shared" ref="BL31:BO42" si="48">IF(BK31="","",SUMIF($BH$13:$BH$25,$BK31,BQ$13:BQ$25))</f>
        <v>2</v>
      </c>
      <c r="BM31" s="532">
        <f t="shared" si="48"/>
        <v>2</v>
      </c>
      <c r="BN31" s="532">
        <f t="shared" si="48"/>
        <v>0</v>
      </c>
      <c r="BO31" s="533">
        <f t="shared" si="48"/>
        <v>0</v>
      </c>
      <c r="BP31" s="534">
        <f t="shared" ref="BP31:BP42" si="49">IF($BK31="","",SUM($BL31:$BO31))</f>
        <v>4</v>
      </c>
      <c r="BQ31" s="535">
        <f t="shared" ref="BQ31:BQ42" si="50">IF($BP31="","",IF($BP31=0,100,100*BL31/$BP31))</f>
        <v>50</v>
      </c>
      <c r="BR31" s="536">
        <f t="shared" ref="BR31:BT42" si="51">IF($BP31="","",IF($BP31=0,0,100*BM31/$BP31))</f>
        <v>50</v>
      </c>
      <c r="BS31" s="536">
        <f t="shared" si="51"/>
        <v>0</v>
      </c>
      <c r="BT31" s="537">
        <f t="shared" si="51"/>
        <v>0</v>
      </c>
      <c r="BU31" s="1187">
        <f>SUM(BQ31:BT31)</f>
        <v>100</v>
      </c>
      <c r="BV31" s="1114" t="str">
        <f t="shared" si="19"/>
        <v/>
      </c>
      <c r="BW31" s="1114">
        <f t="shared" si="19"/>
        <v>2.8899999999999615</v>
      </c>
      <c r="BX31" s="1114" t="str">
        <f t="shared" si="20"/>
        <v/>
      </c>
      <c r="BY31" s="1115">
        <f t="shared" si="20"/>
        <v>3.2400000000000411</v>
      </c>
      <c r="BZ31" s="477"/>
      <c r="CA31" s="1114">
        <f t="shared" si="21"/>
        <v>190.44000000000031</v>
      </c>
      <c r="CB31" s="1114" t="str">
        <f t="shared" si="21"/>
        <v/>
      </c>
      <c r="CC31" s="1114">
        <f t="shared" si="22"/>
        <v>114.48999999999975</v>
      </c>
      <c r="CD31" s="1115" t="str">
        <f t="shared" si="22"/>
        <v/>
      </c>
      <c r="CE31" s="568"/>
      <c r="CF31" s="1455"/>
      <c r="CG31" s="1463" t="s">
        <v>1330</v>
      </c>
      <c r="CH31" s="1463" t="s">
        <v>1331</v>
      </c>
      <c r="CI31" s="1463" t="s">
        <v>1332</v>
      </c>
      <c r="CJ31" s="1463" t="s">
        <v>1283</v>
      </c>
      <c r="CK31" s="1463" t="s">
        <v>1333</v>
      </c>
      <c r="CL31" s="1463" t="s">
        <v>1330</v>
      </c>
      <c r="CM31" s="1463" t="s">
        <v>1331</v>
      </c>
      <c r="CN31" s="1463" t="s">
        <v>1332</v>
      </c>
      <c r="CO31" s="1463" t="s">
        <v>1283</v>
      </c>
      <c r="CP31" s="1463" t="s">
        <v>1333</v>
      </c>
      <c r="CQ31" s="1463" t="s">
        <v>1330</v>
      </c>
      <c r="CR31" s="1463" t="s">
        <v>1331</v>
      </c>
      <c r="CS31" s="1463" t="s">
        <v>1332</v>
      </c>
      <c r="CT31" s="1463" t="s">
        <v>1283</v>
      </c>
      <c r="CU31" s="1463" t="s">
        <v>1333</v>
      </c>
      <c r="CV31" s="476"/>
      <c r="CW31" s="345"/>
      <c r="CX31" s="345"/>
      <c r="CY31" s="345"/>
      <c r="CZ31" s="345"/>
      <c r="DA31" s="345"/>
      <c r="DB31" s="345"/>
      <c r="DC31" s="345"/>
      <c r="DD31" s="345"/>
      <c r="DE31" s="345"/>
      <c r="DF31" s="345"/>
      <c r="DG31" s="345"/>
      <c r="DH31" s="345"/>
      <c r="DI31" s="345"/>
      <c r="DJ31" s="345"/>
      <c r="DK31" s="345"/>
      <c r="DL31" s="345"/>
      <c r="DM31" s="345"/>
      <c r="DN31" s="345"/>
      <c r="DO31" s="345"/>
      <c r="DP31" s="345"/>
      <c r="DQ31" s="345"/>
      <c r="DR31" s="345"/>
      <c r="DS31" s="345"/>
      <c r="DT31" s="345"/>
      <c r="DU31" s="345"/>
      <c r="DV31" s="345"/>
      <c r="DW31" s="345"/>
      <c r="DX31" s="345"/>
      <c r="DY31" s="345"/>
      <c r="DZ31" s="345"/>
      <c r="EA31" s="345"/>
      <c r="EB31" s="345"/>
      <c r="EC31" s="345"/>
      <c r="ED31" s="345"/>
      <c r="EE31" s="345"/>
      <c r="EF31" s="345"/>
      <c r="EG31" s="345"/>
      <c r="EH31" s="345"/>
      <c r="EI31" s="345"/>
      <c r="EJ31" s="345"/>
      <c r="EK31" s="345"/>
      <c r="EL31" s="345"/>
      <c r="EM31" s="345"/>
      <c r="EN31" s="345"/>
      <c r="EO31" s="345"/>
      <c r="EP31" s="345"/>
      <c r="EQ31" s="345"/>
      <c r="ER31" s="345"/>
      <c r="ES31" s="345"/>
      <c r="ET31" s="345"/>
      <c r="EU31" s="345"/>
      <c r="EV31" s="345"/>
      <c r="EW31" s="345"/>
      <c r="EX31" s="345"/>
      <c r="EY31" s="345"/>
      <c r="EZ31" s="345"/>
      <c r="FA31" s="345"/>
      <c r="FB31" s="345"/>
      <c r="FC31" s="345"/>
      <c r="FD31" s="345"/>
      <c r="FE31" s="345"/>
      <c r="FF31" s="345"/>
      <c r="FG31" s="345"/>
      <c r="FH31" s="345"/>
      <c r="FI31" s="345"/>
      <c r="FJ31" s="345"/>
      <c r="FK31" s="345"/>
      <c r="FL31" s="345"/>
      <c r="FM31" s="345"/>
      <c r="FN31" s="345"/>
      <c r="FO31" s="345"/>
      <c r="FP31" s="345"/>
      <c r="FQ31" s="345"/>
      <c r="FR31" s="345"/>
      <c r="FS31" s="345"/>
      <c r="FT31" s="345"/>
      <c r="FU31" s="345"/>
      <c r="FV31" s="345"/>
      <c r="FW31" s="345"/>
      <c r="FX31" s="345"/>
      <c r="FY31" s="345"/>
      <c r="FZ31" s="345"/>
      <c r="GA31" s="345"/>
      <c r="GB31" s="345"/>
      <c r="GC31" s="345"/>
      <c r="GD31" s="345"/>
      <c r="GE31" s="345"/>
      <c r="GF31" s="345"/>
      <c r="GG31" s="345"/>
      <c r="GH31" s="345"/>
      <c r="GI31" s="345"/>
      <c r="GJ31" s="345"/>
      <c r="GK31" s="345"/>
      <c r="GL31" s="345"/>
      <c r="GM31" s="345"/>
      <c r="GN31" s="345"/>
      <c r="GO31" s="345"/>
      <c r="GP31" s="345"/>
      <c r="GQ31" s="345"/>
      <c r="GR31" s="345"/>
      <c r="GS31" s="345"/>
      <c r="GT31" s="345"/>
      <c r="GU31" s="345"/>
    </row>
    <row r="32" spans="1:203" ht="12.75" customHeight="1" thickBot="1">
      <c r="A32" s="465">
        <f t="shared" si="31"/>
        <v>2</v>
      </c>
      <c r="B32" s="1108">
        <v>22</v>
      </c>
      <c r="C32" s="1109">
        <v>-1</v>
      </c>
      <c r="D32" s="398">
        <v>172.5</v>
      </c>
      <c r="E32" s="1120"/>
      <c r="F32" s="465">
        <f t="shared" si="36"/>
        <v>2</v>
      </c>
      <c r="G32" s="1108">
        <v>22</v>
      </c>
      <c r="H32" s="1109">
        <v>-1</v>
      </c>
      <c r="I32" s="398">
        <v>173.5</v>
      </c>
      <c r="J32" s="1120"/>
      <c r="K32" s="465"/>
      <c r="L32" s="465"/>
      <c r="M32" s="465">
        <f t="shared" si="23"/>
        <v>2</v>
      </c>
      <c r="N32" s="1108">
        <v>22</v>
      </c>
      <c r="O32" s="1109">
        <v>1</v>
      </c>
      <c r="P32" s="1110">
        <v>173</v>
      </c>
      <c r="Q32" s="1120"/>
      <c r="R32" s="465">
        <f t="shared" si="24"/>
        <v>2</v>
      </c>
      <c r="S32" s="1108">
        <v>22</v>
      </c>
      <c r="T32" s="1109">
        <v>1</v>
      </c>
      <c r="U32" s="1110">
        <v>166.7</v>
      </c>
      <c r="V32" s="1120"/>
      <c r="W32" s="371"/>
      <c r="X32" s="494">
        <f t="shared" si="0"/>
        <v>172.5</v>
      </c>
      <c r="Y32" s="495" t="str">
        <f>IF('Feuilles=description générale'!$E$13="","",IF(X32="","",IF(X32&gt;('Feuilles=description générale'!$E$11+'Feuilles=description générale'!$E$10),"",100*(X32-'Feuilles=description générale'!$E$10)/('Feuilles=description générale'!$E$11))))</f>
        <v/>
      </c>
      <c r="Z32" s="495">
        <f>IF('Feuilles=description générale'!$E$13="","",IF(X32="","",IF(X32&lt;=('Feuilles=description générale'!$E$11+'Feuilles=description générale'!$E$10),"",100*(X32-'Feuilles=description générale'!$E$11-'Feuilles=description générale'!$E$10)/('Feuilles=description générale'!$E$12))))</f>
        <v>19.270160943282555</v>
      </c>
      <c r="AA32" s="1112">
        <f>IF('Feuilles=description générale'!$E$13="","",IF(X32="","",100*(X32-'Feuilles=description générale'!$E$10)/('Feuilles=description générale'!$E$13-'Feuilles=description générale'!$E$10)))</f>
        <v>39.248704663212436</v>
      </c>
      <c r="AB32" s="497">
        <f t="shared" si="1"/>
        <v>2</v>
      </c>
      <c r="AC32" s="500">
        <f t="shared" si="32"/>
        <v>2</v>
      </c>
      <c r="AD32" s="494">
        <f t="shared" si="2"/>
        <v>10</v>
      </c>
      <c r="AE32" s="499" t="str">
        <f t="shared" si="3"/>
        <v/>
      </c>
      <c r="AF32" s="371"/>
      <c r="AG32" s="494">
        <f t="shared" si="4"/>
        <v>173.5</v>
      </c>
      <c r="AH32" s="495" t="str">
        <f>IF('Feuilles=description générale'!$E$13="","",IF(AG32="","",IF(AG32&gt;('Feuilles=description générale'!$E$11+'Feuilles=description générale'!$E$10),"",100*(AG32-'Feuilles=description générale'!$E$10)/('Feuilles=description générale'!$E$11))))</f>
        <v/>
      </c>
      <c r="AI32" s="495">
        <f>IF('Feuilles=description générale'!$E$13="","",IF(AG32="","",IF(AG32&lt;=('Feuilles=description générale'!$E$11+'Feuilles=description générale'!$E$10),"",100*(AG32-'Feuilles=description générale'!$E$11-'Feuilles=description générale'!$E$10)/('Feuilles=description générale'!$E$12))))</f>
        <v>19.61442464928135</v>
      </c>
      <c r="AJ32" s="496">
        <f>IF('Feuilles=description générale'!$E$13="","",IF(AG32="","",100*(AG32-'Feuilles=description générale'!$E$10)/('Feuilles=description générale'!$E$13-'Feuilles=description générale'!$E$10)))</f>
        <v>39.50777202072539</v>
      </c>
      <c r="AK32" s="1113">
        <f t="shared" si="5"/>
        <v>2</v>
      </c>
      <c r="AL32" s="498">
        <f t="shared" si="6"/>
        <v>2</v>
      </c>
      <c r="AM32" s="494">
        <f t="shared" si="7"/>
        <v>10.400000000000006</v>
      </c>
      <c r="AN32" s="499" t="str">
        <f t="shared" si="8"/>
        <v/>
      </c>
      <c r="AO32" s="371"/>
      <c r="AP32" s="494">
        <f t="shared" si="9"/>
        <v>173</v>
      </c>
      <c r="AQ32" s="495" t="str">
        <f>IF('Feuilles=description générale'!$E$13="","",IF(AP32="","",IF(AP32&gt;('Feuilles=description générale'!$E$25+'Feuilles=description générale'!$E$24),"",100*(AP32-'Feuilles=description générale'!$E$24)/('Feuilles=description générale'!$E$25))))</f>
        <v/>
      </c>
      <c r="AR32" s="495">
        <f>IF('Feuilles=description générale'!$E$27="","",IF(AP32="","",IF(AP32&lt;=('Feuilles=description générale'!$E$25+'Feuilles=description générale'!$E$24),"",100*(AP32-'Feuilles=description générale'!$E$25-'Feuilles=description générale'!$E$24)/('Feuilles=description générale'!$E$26))))</f>
        <v>18.200473559589586</v>
      </c>
      <c r="AS32" s="496">
        <f>IF('Feuilles=description générale'!$E$27="","",IF(AP32="","",100*(AP32-'Feuilles=description générale'!$E$24)/('Feuilles=description générale'!$E$27-'Feuilles=description générale'!$E$24)))</f>
        <v>36.665851869958445</v>
      </c>
      <c r="AT32" s="497">
        <f t="shared" si="10"/>
        <v>1</v>
      </c>
      <c r="AU32" s="500" t="str">
        <f t="shared" si="11"/>
        <v/>
      </c>
      <c r="AV32" s="494" t="str">
        <f t="shared" si="12"/>
        <v/>
      </c>
      <c r="AW32" s="499">
        <f t="shared" si="13"/>
        <v>2</v>
      </c>
      <c r="AX32" s="371"/>
      <c r="AY32" s="494">
        <f t="shared" si="14"/>
        <v>166.7</v>
      </c>
      <c r="AZ32" s="495" t="str">
        <f>IF('Feuilles=description générale'!$E$13="","",IF(AY32="","",IF(AY32&gt;('Feuilles=description générale'!$E$25+'Feuilles=description générale'!$E$24),"",100*(AY32-'Feuilles=description générale'!$E$24)/('Feuilles=description générale'!$E$25))))</f>
        <v/>
      </c>
      <c r="BA32" s="495">
        <f>IF('Feuilles=description générale'!$E$27="","",IF(AY32="","",IF(AY32&lt;=('Feuilles=description générale'!$E$25+'Feuilles=description générale'!$E$24),"",100*(AY32-'Feuilles=description générale'!$E$25-'Feuilles=description générale'!$E$24)/('Feuilles=description générale'!$E$26))))</f>
        <v>16.211523283346484</v>
      </c>
      <c r="BB32" s="496">
        <f>IF('Feuilles=description générale'!$E$27="","",IF(AY32="","",100*(AY32-'Feuilles=description générale'!$E$24)/('Feuilles=description générale'!$E$27-'Feuilles=description générale'!$E$24)))</f>
        <v>35.125886091420185</v>
      </c>
      <c r="BC32" s="497">
        <f t="shared" si="15"/>
        <v>1</v>
      </c>
      <c r="BD32" s="500" t="str">
        <f t="shared" si="16"/>
        <v/>
      </c>
      <c r="BE32" s="494" t="str">
        <f t="shared" si="17"/>
        <v/>
      </c>
      <c r="BF32" s="499">
        <f t="shared" si="18"/>
        <v>2.3000000000000114</v>
      </c>
      <c r="BG32" s="476"/>
      <c r="BH32" s="529">
        <f t="shared" ref="BH32:BH42" si="52">IF(SUM(BQ15:BT15)=0,"",BH15)</f>
        <v>7</v>
      </c>
      <c r="BI32" s="530">
        <f t="shared" si="47"/>
        <v>3</v>
      </c>
      <c r="BJ32" s="521"/>
      <c r="BK32" s="529">
        <f>IF(SUMIF($BI$30:$BI$42,3,$BH$30:$BH$42)=0,"",SUMIF($BI$30:$BI$42,3,$BH$30:$BH$42))</f>
        <v>7</v>
      </c>
      <c r="BL32" s="531">
        <f t="shared" si="48"/>
        <v>3</v>
      </c>
      <c r="BM32" s="532">
        <f t="shared" si="48"/>
        <v>2</v>
      </c>
      <c r="BN32" s="532">
        <f t="shared" si="48"/>
        <v>0</v>
      </c>
      <c r="BO32" s="533">
        <f t="shared" si="48"/>
        <v>0</v>
      </c>
      <c r="BP32" s="534">
        <f t="shared" si="49"/>
        <v>5</v>
      </c>
      <c r="BQ32" s="535">
        <f t="shared" si="50"/>
        <v>60</v>
      </c>
      <c r="BR32" s="536">
        <f t="shared" si="51"/>
        <v>40</v>
      </c>
      <c r="BS32" s="536">
        <f t="shared" si="51"/>
        <v>0</v>
      </c>
      <c r="BT32" s="537">
        <f t="shared" si="51"/>
        <v>0</v>
      </c>
      <c r="BU32" s="1187">
        <f t="shared" ref="BU32:BU42" si="53">SUM(BQ32:BT32)</f>
        <v>100</v>
      </c>
      <c r="BV32" s="1114">
        <f t="shared" si="19"/>
        <v>100</v>
      </c>
      <c r="BW32" s="1114" t="str">
        <f t="shared" si="19"/>
        <v/>
      </c>
      <c r="BX32" s="1114">
        <f t="shared" si="20"/>
        <v>108.16000000000012</v>
      </c>
      <c r="BY32" s="1115" t="str">
        <f t="shared" si="20"/>
        <v/>
      </c>
      <c r="BZ32" s="477"/>
      <c r="CA32" s="1114" t="str">
        <f t="shared" si="21"/>
        <v/>
      </c>
      <c r="CB32" s="1114">
        <f t="shared" si="21"/>
        <v>4</v>
      </c>
      <c r="CC32" s="1114" t="str">
        <f t="shared" si="22"/>
        <v/>
      </c>
      <c r="CD32" s="1115">
        <f t="shared" si="22"/>
        <v>5.2900000000000524</v>
      </c>
      <c r="CE32" s="568"/>
      <c r="CF32" s="1456"/>
      <c r="CG32" s="1464"/>
      <c r="CH32" s="1464"/>
      <c r="CI32" s="1464"/>
      <c r="CJ32" s="1464"/>
      <c r="CK32" s="1464"/>
      <c r="CL32" s="1464"/>
      <c r="CM32" s="1464"/>
      <c r="CN32" s="1464"/>
      <c r="CO32" s="1464"/>
      <c r="CP32" s="1464"/>
      <c r="CQ32" s="1464"/>
      <c r="CR32" s="1464"/>
      <c r="CS32" s="1464"/>
      <c r="CT32" s="1464"/>
      <c r="CU32" s="1464"/>
      <c r="CV32" s="476"/>
      <c r="CW32" s="345"/>
      <c r="CX32" s="345"/>
      <c r="CY32" s="345"/>
      <c r="CZ32" s="345"/>
      <c r="DA32" s="345"/>
      <c r="DB32" s="345"/>
      <c r="DC32" s="345"/>
      <c r="DD32" s="345"/>
      <c r="DE32" s="345"/>
      <c r="DF32" s="345"/>
      <c r="DG32" s="345"/>
      <c r="DH32" s="345"/>
      <c r="DI32" s="345"/>
      <c r="DJ32" s="345"/>
      <c r="DK32" s="345"/>
      <c r="DL32" s="345"/>
      <c r="DM32" s="345"/>
      <c r="DN32" s="345"/>
      <c r="DO32" s="345"/>
      <c r="DP32" s="345"/>
      <c r="DQ32" s="345"/>
      <c r="DR32" s="345"/>
      <c r="DS32" s="345"/>
      <c r="DT32" s="345"/>
      <c r="DU32" s="345"/>
      <c r="DV32" s="345"/>
      <c r="DW32" s="345"/>
      <c r="DX32" s="345"/>
      <c r="DY32" s="345"/>
      <c r="DZ32" s="345"/>
      <c r="EA32" s="345"/>
      <c r="EB32" s="345"/>
      <c r="EC32" s="345"/>
      <c r="ED32" s="345"/>
      <c r="EE32" s="345"/>
      <c r="EF32" s="345"/>
      <c r="EG32" s="345"/>
      <c r="EH32" s="345"/>
      <c r="EI32" s="345"/>
      <c r="EJ32" s="345"/>
      <c r="EK32" s="345"/>
      <c r="EL32" s="345"/>
      <c r="EM32" s="345"/>
      <c r="EN32" s="345"/>
      <c r="EO32" s="345"/>
      <c r="EP32" s="345"/>
      <c r="EQ32" s="345"/>
      <c r="ER32" s="345"/>
      <c r="ES32" s="345"/>
      <c r="ET32" s="345"/>
      <c r="EU32" s="345"/>
      <c r="EV32" s="345"/>
      <c r="EW32" s="345"/>
      <c r="EX32" s="345"/>
      <c r="EY32" s="345"/>
      <c r="EZ32" s="345"/>
      <c r="FA32" s="345"/>
      <c r="FB32" s="345"/>
      <c r="FC32" s="345"/>
      <c r="FD32" s="345"/>
      <c r="FE32" s="345"/>
      <c r="FF32" s="345"/>
      <c r="FG32" s="345"/>
      <c r="FH32" s="345"/>
      <c r="FI32" s="345"/>
      <c r="FJ32" s="345"/>
      <c r="FK32" s="345"/>
      <c r="FL32" s="345"/>
      <c r="FM32" s="345"/>
      <c r="FN32" s="345"/>
      <c r="FO32" s="345"/>
      <c r="FP32" s="345"/>
      <c r="FQ32" s="345"/>
      <c r="FR32" s="345"/>
      <c r="FS32" s="345"/>
      <c r="FT32" s="345"/>
      <c r="FU32" s="345"/>
      <c r="FV32" s="345"/>
      <c r="FW32" s="345"/>
      <c r="FX32" s="345"/>
      <c r="FY32" s="345"/>
      <c r="FZ32" s="345"/>
      <c r="GA32" s="345"/>
      <c r="GB32" s="345"/>
      <c r="GC32" s="345"/>
      <c r="GD32" s="345"/>
      <c r="GE32" s="345"/>
      <c r="GF32" s="345"/>
      <c r="GG32" s="345"/>
      <c r="GH32" s="345"/>
      <c r="GI32" s="345"/>
      <c r="GJ32" s="345"/>
      <c r="GK32" s="345"/>
      <c r="GL32" s="345"/>
      <c r="GM32" s="345"/>
      <c r="GN32" s="345"/>
      <c r="GO32" s="345"/>
      <c r="GP32" s="345"/>
      <c r="GQ32" s="345"/>
      <c r="GR32" s="345"/>
      <c r="GS32" s="345"/>
      <c r="GT32" s="345"/>
      <c r="GU32" s="345"/>
    </row>
    <row r="33" spans="1:203" ht="12.75" customHeight="1" thickBot="1">
      <c r="A33" s="465">
        <f t="shared" si="31"/>
        <v>2</v>
      </c>
      <c r="B33" s="1108">
        <v>23</v>
      </c>
      <c r="C33" s="1109">
        <v>1</v>
      </c>
      <c r="D33" s="398">
        <v>182.5</v>
      </c>
      <c r="E33" s="1120"/>
      <c r="F33" s="465">
        <f t="shared" si="36"/>
        <v>2</v>
      </c>
      <c r="G33" s="1108">
        <v>23</v>
      </c>
      <c r="H33" s="1109">
        <v>1</v>
      </c>
      <c r="I33" s="398">
        <v>183.9</v>
      </c>
      <c r="J33" s="1120"/>
      <c r="K33" s="465"/>
      <c r="L33" s="465"/>
      <c r="M33" s="465">
        <f t="shared" si="23"/>
        <v>2</v>
      </c>
      <c r="N33" s="1108">
        <v>23</v>
      </c>
      <c r="O33" s="1109">
        <v>-1</v>
      </c>
      <c r="P33" s="1110">
        <v>175</v>
      </c>
      <c r="Q33" s="1120"/>
      <c r="R33" s="465">
        <f t="shared" si="24"/>
        <v>2</v>
      </c>
      <c r="S33" s="1108">
        <v>23</v>
      </c>
      <c r="T33" s="1109">
        <v>-1</v>
      </c>
      <c r="U33" s="1110">
        <v>169</v>
      </c>
      <c r="V33" s="1120"/>
      <c r="W33" s="371"/>
      <c r="X33" s="494">
        <f t="shared" si="0"/>
        <v>182.5</v>
      </c>
      <c r="Y33" s="495" t="str">
        <f>IF('Feuilles=description générale'!$E$13="","",IF(X33="","",IF(X33&gt;('Feuilles=description générale'!$E$11+'Feuilles=description générale'!$E$10),"",100*(X33-'Feuilles=description générale'!$E$10)/('Feuilles=description générale'!$E$11))))</f>
        <v/>
      </c>
      <c r="Z33" s="495">
        <f>IF('Feuilles=description générale'!$E$13="","",IF(X33="","",IF(X33&lt;=('Feuilles=description générale'!$E$11+'Feuilles=description générale'!$E$10),"",100*(X33-'Feuilles=description générale'!$E$11-'Feuilles=description générale'!$E$10)/('Feuilles=description générale'!$E$12))))</f>
        <v>22.712798003270507</v>
      </c>
      <c r="AA33" s="1112">
        <f>IF('Feuilles=description générale'!$E$13="","",IF(X33="","",100*(X33-'Feuilles=description générale'!$E$10)/('Feuilles=description générale'!$E$13-'Feuilles=description générale'!$E$10)))</f>
        <v>41.839378238341972</v>
      </c>
      <c r="AB33" s="497">
        <f t="shared" si="1"/>
        <v>1</v>
      </c>
      <c r="AC33" s="500" t="str">
        <f t="shared" si="32"/>
        <v/>
      </c>
      <c r="AD33" s="494" t="str">
        <f t="shared" si="2"/>
        <v/>
      </c>
      <c r="AE33" s="499">
        <f t="shared" si="3"/>
        <v>1.5</v>
      </c>
      <c r="AF33" s="371"/>
      <c r="AG33" s="494">
        <f t="shared" si="4"/>
        <v>183.9</v>
      </c>
      <c r="AH33" s="495" t="str">
        <f>IF('Feuilles=description générale'!$E$13="","",IF(AG33="","",IF(AG33&gt;('Feuilles=description générale'!$E$11+'Feuilles=description générale'!$E$10),"",100*(AG33-'Feuilles=description générale'!$E$10)/('Feuilles=description générale'!$E$11))))</f>
        <v/>
      </c>
      <c r="AI33" s="495">
        <f>IF('Feuilles=description générale'!$E$13="","",IF(AG33="","",IF(AG33&lt;=('Feuilles=description générale'!$E$11+'Feuilles=description générale'!$E$10),"",100*(AG33-'Feuilles=description générale'!$E$11-'Feuilles=description générale'!$E$10)/('Feuilles=description générale'!$E$12))))</f>
        <v>23.194767191668824</v>
      </c>
      <c r="AJ33" s="496">
        <f>IF('Feuilles=description générale'!$E$13="","",IF(AG33="","",100*(AG33-'Feuilles=description générale'!$E$10)/('Feuilles=description générale'!$E$13-'Feuilles=description générale'!$E$10)))</f>
        <v>42.202072538860101</v>
      </c>
      <c r="AK33" s="1113">
        <f t="shared" si="5"/>
        <v>1</v>
      </c>
      <c r="AL33" s="498" t="str">
        <f t="shared" si="6"/>
        <v/>
      </c>
      <c r="AM33" s="494" t="str">
        <f t="shared" si="7"/>
        <v/>
      </c>
      <c r="AN33" s="499">
        <f t="shared" si="8"/>
        <v>1.5</v>
      </c>
      <c r="AO33" s="371"/>
      <c r="AP33" s="494">
        <f t="shared" si="9"/>
        <v>175</v>
      </c>
      <c r="AQ33" s="495" t="str">
        <f>IF('Feuilles=description générale'!$E$13="","",IF(AP33="","",IF(AP33&gt;('Feuilles=description générale'!$E$25+'Feuilles=description générale'!$E$24),"",100*(AP33-'Feuilles=description générale'!$E$24)/('Feuilles=description générale'!$E$25))))</f>
        <v/>
      </c>
      <c r="AR33" s="495">
        <f>IF('Feuilles=description générale'!$E$27="","",IF(AP33="","",IF(AP33&lt;=('Feuilles=description générale'!$E$25+'Feuilles=description générale'!$E$24),"",100*(AP33-'Feuilles=description générale'!$E$25-'Feuilles=description générale'!$E$24)/('Feuilles=description générale'!$E$26))))</f>
        <v>18.831886345698504</v>
      </c>
      <c r="AS33" s="496">
        <f>IF('Feuilles=description générale'!$E$27="","",IF(AP33="","",100*(AP33-'Feuilles=description générale'!$E$24)/('Feuilles=description générale'!$E$27-'Feuilles=description générale'!$E$24)))</f>
        <v>37.154729894891226</v>
      </c>
      <c r="AT33" s="497">
        <f t="shared" si="10"/>
        <v>2</v>
      </c>
      <c r="AU33" s="500">
        <f t="shared" si="11"/>
        <v>2</v>
      </c>
      <c r="AV33" s="494">
        <f t="shared" si="12"/>
        <v>7.8000000000000114</v>
      </c>
      <c r="AW33" s="499" t="str">
        <f t="shared" si="13"/>
        <v/>
      </c>
      <c r="AX33" s="371"/>
      <c r="AY33" s="494">
        <f t="shared" si="14"/>
        <v>169</v>
      </c>
      <c r="AZ33" s="495" t="str">
        <f>IF('Feuilles=description générale'!$E$13="","",IF(AY33="","",IF(AY33&gt;('Feuilles=description générale'!$E$25+'Feuilles=description générale'!$E$24),"",100*(AY33-'Feuilles=description générale'!$E$24)/('Feuilles=description générale'!$E$25))))</f>
        <v/>
      </c>
      <c r="BA33" s="495">
        <f>IF('Feuilles=description générale'!$E$27="","",IF(AY33="","",IF(AY33&lt;=('Feuilles=description générale'!$E$25+'Feuilles=description générale'!$E$24),"",100*(AY33-'Feuilles=description générale'!$E$25-'Feuilles=description générale'!$E$24)/('Feuilles=description générale'!$E$26))))</f>
        <v>16.937647987371747</v>
      </c>
      <c r="BB33" s="496">
        <f>IF('Feuilles=description générale'!$E$27="","",IF(AY33="","",100*(AY33-'Feuilles=description générale'!$E$24)/('Feuilles=description générale'!$E$27-'Feuilles=description générale'!$E$24)))</f>
        <v>35.688095820092883</v>
      </c>
      <c r="BC33" s="497">
        <f t="shared" si="15"/>
        <v>2</v>
      </c>
      <c r="BD33" s="500">
        <f t="shared" si="16"/>
        <v>2</v>
      </c>
      <c r="BE33" s="494">
        <f t="shared" si="17"/>
        <v>11.5</v>
      </c>
      <c r="BF33" s="499" t="str">
        <f t="shared" si="18"/>
        <v/>
      </c>
      <c r="BG33" s="476"/>
      <c r="BH33" s="529">
        <f t="shared" si="52"/>
        <v>11.5</v>
      </c>
      <c r="BI33" s="530">
        <f t="shared" si="47"/>
        <v>4</v>
      </c>
      <c r="BJ33" s="521"/>
      <c r="BK33" s="529">
        <f>IF(SUMIF($BI$30:$BI$42,4,$BH$30:$BH$42)=0,"",SUMIF($BI$30:$BI$42,4,$BH$30:$BH$42))</f>
        <v>11.5</v>
      </c>
      <c r="BL33" s="531">
        <f t="shared" si="48"/>
        <v>1</v>
      </c>
      <c r="BM33" s="532">
        <f t="shared" si="48"/>
        <v>4</v>
      </c>
      <c r="BN33" s="532">
        <f t="shared" si="48"/>
        <v>0</v>
      </c>
      <c r="BO33" s="533">
        <f t="shared" si="48"/>
        <v>0</v>
      </c>
      <c r="BP33" s="534">
        <f t="shared" si="49"/>
        <v>5</v>
      </c>
      <c r="BQ33" s="535">
        <f t="shared" si="50"/>
        <v>20</v>
      </c>
      <c r="BR33" s="536">
        <f t="shared" si="51"/>
        <v>80</v>
      </c>
      <c r="BS33" s="536">
        <f t="shared" si="51"/>
        <v>0</v>
      </c>
      <c r="BT33" s="537">
        <f t="shared" si="51"/>
        <v>0</v>
      </c>
      <c r="BU33" s="1187">
        <f t="shared" si="53"/>
        <v>100</v>
      </c>
      <c r="BV33" s="1114" t="str">
        <f t="shared" si="19"/>
        <v/>
      </c>
      <c r="BW33" s="1114">
        <f t="shared" si="19"/>
        <v>2.25</v>
      </c>
      <c r="BX33" s="1114" t="str">
        <f t="shared" si="20"/>
        <v/>
      </c>
      <c r="BY33" s="1115">
        <f t="shared" si="20"/>
        <v>2.25</v>
      </c>
      <c r="BZ33" s="477"/>
      <c r="CA33" s="1114">
        <f t="shared" si="21"/>
        <v>60.840000000000174</v>
      </c>
      <c r="CB33" s="1114" t="str">
        <f t="shared" si="21"/>
        <v/>
      </c>
      <c r="CC33" s="1114">
        <f t="shared" si="22"/>
        <v>132.25</v>
      </c>
      <c r="CD33" s="1115" t="str">
        <f t="shared" si="22"/>
        <v/>
      </c>
      <c r="CE33" s="568"/>
      <c r="CF33" s="501">
        <f>CF13</f>
        <v>1E-4</v>
      </c>
      <c r="CG33" s="1118">
        <f>CG13</f>
        <v>12.600000000000001</v>
      </c>
      <c r="CH33" s="1119">
        <f t="shared" ref="CH33:CU33" si="54">CH13</f>
        <v>59.580000000000013</v>
      </c>
      <c r="CI33" s="1119">
        <f t="shared" si="54"/>
        <v>3</v>
      </c>
      <c r="CJ33" s="1119">
        <f t="shared" si="54"/>
        <v>4.2</v>
      </c>
      <c r="CK33" s="680">
        <f t="shared" si="54"/>
        <v>1.0535653752852745</v>
      </c>
      <c r="CL33" s="1118">
        <f t="shared" si="54"/>
        <v>9.2999999999999972</v>
      </c>
      <c r="CM33" s="1119">
        <f t="shared" si="54"/>
        <v>31.049999999999976</v>
      </c>
      <c r="CN33" s="1119">
        <f t="shared" si="54"/>
        <v>3</v>
      </c>
      <c r="CO33" s="1119">
        <f t="shared" si="54"/>
        <v>3.0999999999999992</v>
      </c>
      <c r="CP33" s="680">
        <f t="shared" si="54"/>
        <v>0.60827625302982058</v>
      </c>
      <c r="CQ33" s="1118">
        <f t="shared" si="54"/>
        <v>21.9</v>
      </c>
      <c r="CR33" s="1119">
        <f t="shared" si="54"/>
        <v>90.63</v>
      </c>
      <c r="CS33" s="1119">
        <f t="shared" si="54"/>
        <v>6</v>
      </c>
      <c r="CT33" s="1119">
        <f t="shared" si="54"/>
        <v>3.65</v>
      </c>
      <c r="CU33" s="680">
        <f t="shared" si="54"/>
        <v>0.59707620954112695</v>
      </c>
      <c r="CV33" s="476"/>
      <c r="CW33" s="345"/>
      <c r="CX33" s="345"/>
      <c r="CY33" s="345"/>
      <c r="CZ33" s="345"/>
      <c r="DA33" s="345"/>
      <c r="DB33" s="345"/>
      <c r="DC33" s="345"/>
      <c r="DD33" s="345"/>
      <c r="DE33" s="345"/>
      <c r="DF33" s="345"/>
      <c r="DG33" s="345"/>
      <c r="DH33" s="345"/>
      <c r="DI33" s="345"/>
      <c r="DJ33" s="345"/>
      <c r="DK33" s="345"/>
      <c r="DL33" s="345"/>
      <c r="DM33" s="345"/>
      <c r="DN33" s="345"/>
      <c r="DO33" s="345"/>
      <c r="DP33" s="345"/>
      <c r="DQ33" s="345"/>
      <c r="DR33" s="345"/>
      <c r="DS33" s="345"/>
      <c r="DT33" s="345"/>
      <c r="DU33" s="345"/>
      <c r="DV33" s="345"/>
      <c r="DW33" s="345"/>
      <c r="DX33" s="345"/>
      <c r="DY33" s="345"/>
      <c r="DZ33" s="345"/>
      <c r="EA33" s="345"/>
      <c r="EB33" s="345"/>
      <c r="EC33" s="345"/>
      <c r="ED33" s="345"/>
      <c r="EE33" s="345"/>
      <c r="EF33" s="345"/>
      <c r="EG33" s="345"/>
      <c r="EH33" s="345"/>
      <c r="EI33" s="345"/>
      <c r="EJ33" s="345"/>
      <c r="EK33" s="345"/>
      <c r="EL33" s="345"/>
      <c r="EM33" s="345"/>
      <c r="EN33" s="345"/>
      <c r="EO33" s="345"/>
      <c r="EP33" s="345"/>
      <c r="EQ33" s="345"/>
      <c r="ER33" s="345"/>
      <c r="ES33" s="345"/>
      <c r="ET33" s="345"/>
      <c r="EU33" s="345"/>
      <c r="EV33" s="345"/>
      <c r="EW33" s="345"/>
      <c r="EX33" s="345"/>
      <c r="EY33" s="345"/>
      <c r="EZ33" s="345"/>
      <c r="FA33" s="345"/>
      <c r="FB33" s="345"/>
      <c r="FC33" s="345"/>
      <c r="FD33" s="345"/>
      <c r="FE33" s="345"/>
      <c r="FF33" s="345"/>
      <c r="FG33" s="345"/>
      <c r="FH33" s="345"/>
      <c r="FI33" s="345"/>
      <c r="FJ33" s="345"/>
      <c r="FK33" s="345"/>
      <c r="FL33" s="345"/>
      <c r="FM33" s="345"/>
      <c r="FN33" s="345"/>
      <c r="FO33" s="345"/>
      <c r="FP33" s="345"/>
      <c r="FQ33" s="345"/>
      <c r="FR33" s="345"/>
      <c r="FS33" s="345"/>
      <c r="FT33" s="345"/>
      <c r="FU33" s="345"/>
      <c r="FV33" s="345"/>
      <c r="FW33" s="345"/>
      <c r="FX33" s="345"/>
      <c r="FY33" s="345"/>
      <c r="FZ33" s="345"/>
      <c r="GA33" s="345"/>
      <c r="GB33" s="345"/>
      <c r="GC33" s="345"/>
      <c r="GD33" s="345"/>
      <c r="GE33" s="345"/>
      <c r="GF33" s="345"/>
      <c r="GG33" s="345"/>
      <c r="GH33" s="345"/>
      <c r="GI33" s="345"/>
      <c r="GJ33" s="345"/>
      <c r="GK33" s="345"/>
      <c r="GL33" s="345"/>
      <c r="GM33" s="345"/>
      <c r="GN33" s="345"/>
      <c r="GO33" s="345"/>
      <c r="GP33" s="345"/>
      <c r="GQ33" s="345"/>
      <c r="GR33" s="345"/>
      <c r="GS33" s="345"/>
      <c r="GT33" s="345"/>
      <c r="GU33" s="345"/>
    </row>
    <row r="34" spans="1:203" ht="12.75" customHeight="1">
      <c r="A34" s="465">
        <f t="shared" si="31"/>
        <v>2</v>
      </c>
      <c r="B34" s="1108">
        <v>24</v>
      </c>
      <c r="C34" s="1109">
        <v>-1</v>
      </c>
      <c r="D34" s="398">
        <v>184</v>
      </c>
      <c r="E34" s="1120"/>
      <c r="F34" s="465">
        <f t="shared" si="36"/>
        <v>2</v>
      </c>
      <c r="G34" s="1108">
        <v>24</v>
      </c>
      <c r="H34" s="1109">
        <v>0</v>
      </c>
      <c r="I34" s="398">
        <v>185.4</v>
      </c>
      <c r="J34" s="1120"/>
      <c r="K34" s="465"/>
      <c r="L34" s="465"/>
      <c r="M34" s="465">
        <f t="shared" si="23"/>
        <v>2</v>
      </c>
      <c r="N34" s="1108">
        <v>24</v>
      </c>
      <c r="O34" s="1109">
        <v>1</v>
      </c>
      <c r="P34" s="1110">
        <v>182.8</v>
      </c>
      <c r="Q34" s="1120"/>
      <c r="R34" s="465">
        <f t="shared" si="24"/>
        <v>2</v>
      </c>
      <c r="S34" s="1108">
        <v>24</v>
      </c>
      <c r="T34" s="1109">
        <v>1</v>
      </c>
      <c r="U34" s="1110">
        <v>180.5</v>
      </c>
      <c r="V34" s="1120"/>
      <c r="W34" s="371"/>
      <c r="X34" s="494">
        <f t="shared" si="0"/>
        <v>184</v>
      </c>
      <c r="Y34" s="495" t="str">
        <f>IF('Feuilles=description générale'!$E$13="","",IF(X34="","",IF(X34&gt;('Feuilles=description générale'!$E$11+'Feuilles=description générale'!$E$10),"",100*(X34-'Feuilles=description générale'!$E$10)/('Feuilles=description générale'!$E$11))))</f>
        <v/>
      </c>
      <c r="Z34" s="495">
        <f>IF('Feuilles=description générale'!$E$13="","",IF(X34="","",IF(X34&lt;=('Feuilles=description générale'!$E$11+'Feuilles=description générale'!$E$10),"",100*(X34-'Feuilles=description générale'!$E$11-'Feuilles=description générale'!$E$10)/('Feuilles=description générale'!$E$12))))</f>
        <v>23.229193562268698</v>
      </c>
      <c r="AA34" s="1112">
        <f>IF('Feuilles=description générale'!$E$13="","",IF(X34="","",100*(X34-'Feuilles=description générale'!$E$10)/('Feuilles=description générale'!$E$13-'Feuilles=description générale'!$E$10)))</f>
        <v>42.2279792746114</v>
      </c>
      <c r="AB34" s="497">
        <f t="shared" si="1"/>
        <v>2</v>
      </c>
      <c r="AC34" s="500">
        <f t="shared" si="32"/>
        <v>2</v>
      </c>
      <c r="AD34" s="494">
        <f t="shared" si="2"/>
        <v>6.3000000000000114</v>
      </c>
      <c r="AE34" s="499" t="str">
        <f t="shared" si="3"/>
        <v/>
      </c>
      <c r="AF34" s="371"/>
      <c r="AG34" s="494">
        <f t="shared" si="4"/>
        <v>185.4</v>
      </c>
      <c r="AH34" s="495" t="str">
        <f>IF('Feuilles=description générale'!$E$13="","",IF(AG34="","",IF(AG34&gt;('Feuilles=description générale'!$E$11+'Feuilles=description générale'!$E$10),"",100*(AG34-'Feuilles=description générale'!$E$10)/('Feuilles=description générale'!$E$11))))</f>
        <v/>
      </c>
      <c r="AI34" s="495">
        <f>IF('Feuilles=description générale'!$E$13="","",IF(AG34="","",IF(AG34&lt;=('Feuilles=description générale'!$E$11+'Feuilles=description générale'!$E$10),"",100*(AG34-'Feuilles=description générale'!$E$11-'Feuilles=description générale'!$E$10)/('Feuilles=description générale'!$E$12))))</f>
        <v>23.711162750667015</v>
      </c>
      <c r="AJ34" s="496">
        <f>IF('Feuilles=description générale'!$E$13="","",IF(AG34="","",100*(AG34-'Feuilles=description générale'!$E$10)/('Feuilles=description générale'!$E$13-'Feuilles=description générale'!$E$10)))</f>
        <v>42.590673575129536</v>
      </c>
      <c r="AK34" s="1113">
        <f t="shared" si="5"/>
        <v>2</v>
      </c>
      <c r="AL34" s="498" t="str">
        <f t="shared" si="6"/>
        <v/>
      </c>
      <c r="AM34" s="494" t="str">
        <f t="shared" si="7"/>
        <v/>
      </c>
      <c r="AN34" s="499">
        <f t="shared" si="8"/>
        <v>2.0999999999999943</v>
      </c>
      <c r="AO34" s="371"/>
      <c r="AP34" s="494">
        <f t="shared" si="9"/>
        <v>182.8</v>
      </c>
      <c r="AQ34" s="495" t="str">
        <f>IF('Feuilles=description générale'!$E$13="","",IF(AP34="","",IF(AP34&gt;('Feuilles=description générale'!$E$25+'Feuilles=description générale'!$E$24),"",100*(AP34-'Feuilles=description générale'!$E$24)/('Feuilles=description générale'!$E$25))))</f>
        <v/>
      </c>
      <c r="AR34" s="495">
        <f>IF('Feuilles=description générale'!$E$27="","",IF(AP34="","",IF(AP34&lt;=('Feuilles=description générale'!$E$25+'Feuilles=description générale'!$E$24),"",100*(AP34-'Feuilles=description générale'!$E$25-'Feuilles=description générale'!$E$24)/('Feuilles=description générale'!$E$26))))</f>
        <v>21.294396211523289</v>
      </c>
      <c r="AS34" s="496">
        <f>IF('Feuilles=description générale'!$E$27="","",IF(AP34="","",100*(AP34-'Feuilles=description générale'!$E$24)/('Feuilles=description générale'!$E$27-'Feuilles=description générale'!$E$24)))</f>
        <v>39.061354192129066</v>
      </c>
      <c r="AT34" s="497">
        <f t="shared" si="10"/>
        <v>1</v>
      </c>
      <c r="AU34" s="500" t="str">
        <f t="shared" si="11"/>
        <v/>
      </c>
      <c r="AV34" s="494" t="str">
        <f t="shared" si="12"/>
        <v/>
      </c>
      <c r="AW34" s="499">
        <f t="shared" si="13"/>
        <v>2.1999999999999886</v>
      </c>
      <c r="AX34" s="371"/>
      <c r="AY34" s="494">
        <f t="shared" si="14"/>
        <v>180.5</v>
      </c>
      <c r="AZ34" s="495" t="str">
        <f>IF('Feuilles=description générale'!$E$13="","",IF(AY34="","",IF(AY34&gt;('Feuilles=description générale'!$E$25+'Feuilles=description générale'!$E$24),"",100*(AY34-'Feuilles=description générale'!$E$24)/('Feuilles=description générale'!$E$25))))</f>
        <v/>
      </c>
      <c r="BA34" s="495">
        <f>IF('Feuilles=description générale'!$E$27="","",IF(AY34="","",IF(AY34&lt;=('Feuilles=description générale'!$E$25+'Feuilles=description générale'!$E$24),"",100*(AY34-'Feuilles=description générale'!$E$25-'Feuilles=description générale'!$E$24)/('Feuilles=description générale'!$E$26))))</f>
        <v>20.568271507498029</v>
      </c>
      <c r="BB34" s="496">
        <f>IF('Feuilles=description générale'!$E$27="","",IF(AY34="","",100*(AY34-'Feuilles=description générale'!$E$24)/('Feuilles=description générale'!$E$27-'Feuilles=description générale'!$E$24)))</f>
        <v>38.499144463456368</v>
      </c>
      <c r="BC34" s="497">
        <f t="shared" si="15"/>
        <v>1</v>
      </c>
      <c r="BD34" s="500" t="str">
        <f t="shared" si="16"/>
        <v/>
      </c>
      <c r="BE34" s="494" t="str">
        <f t="shared" si="17"/>
        <v/>
      </c>
      <c r="BF34" s="499">
        <f t="shared" si="18"/>
        <v>2.0999999999999943</v>
      </c>
      <c r="BG34" s="476"/>
      <c r="BH34" s="529">
        <f t="shared" si="52"/>
        <v>17</v>
      </c>
      <c r="BI34" s="530">
        <f t="shared" si="47"/>
        <v>5</v>
      </c>
      <c r="BJ34" s="521"/>
      <c r="BK34" s="529">
        <f>IF(SUMIF($BI$30:$BI$42,5,$BH$30:$BH$42)=0,"",SUMIF($BI$30:$BI$42,5,$BH$30:$BH$42))</f>
        <v>17</v>
      </c>
      <c r="BL34" s="531">
        <f t="shared" si="48"/>
        <v>0</v>
      </c>
      <c r="BM34" s="532">
        <f t="shared" si="48"/>
        <v>6</v>
      </c>
      <c r="BN34" s="532">
        <f t="shared" si="48"/>
        <v>0</v>
      </c>
      <c r="BO34" s="533">
        <f t="shared" si="48"/>
        <v>0</v>
      </c>
      <c r="BP34" s="534">
        <f t="shared" si="49"/>
        <v>6</v>
      </c>
      <c r="BQ34" s="535">
        <f t="shared" si="50"/>
        <v>0</v>
      </c>
      <c r="BR34" s="536">
        <f t="shared" si="51"/>
        <v>100</v>
      </c>
      <c r="BS34" s="536">
        <f t="shared" si="51"/>
        <v>0</v>
      </c>
      <c r="BT34" s="537">
        <f t="shared" si="51"/>
        <v>0</v>
      </c>
      <c r="BU34" s="1187">
        <f t="shared" si="53"/>
        <v>100</v>
      </c>
      <c r="BV34" s="1114">
        <f t="shared" si="19"/>
        <v>39.69000000000014</v>
      </c>
      <c r="BW34" s="1114" t="str">
        <f t="shared" si="19"/>
        <v/>
      </c>
      <c r="BX34" s="1114" t="str">
        <f t="shared" si="20"/>
        <v/>
      </c>
      <c r="BY34" s="1115">
        <f t="shared" si="20"/>
        <v>4.4099999999999762</v>
      </c>
      <c r="BZ34" s="477"/>
      <c r="CA34" s="1114" t="str">
        <f t="shared" si="21"/>
        <v/>
      </c>
      <c r="CB34" s="1114">
        <f t="shared" si="21"/>
        <v>4.8399999999999501</v>
      </c>
      <c r="CC34" s="1114" t="str">
        <f t="shared" si="22"/>
        <v/>
      </c>
      <c r="CD34" s="1115">
        <f t="shared" si="22"/>
        <v>4.4099999999999762</v>
      </c>
      <c r="CE34" s="568"/>
      <c r="CF34" s="505">
        <v>3.5</v>
      </c>
      <c r="CG34" s="506">
        <f>SUMIF($AA$11:$AA$170,"&lt;5",$AE$11:$AE$170)+SUMIF($AS$11:$AS$170,"&lt;5",$AW$11:$AW$170)-SUMIF($AA$11:$AA$170,"&lt;2",$AE$11:$AE$170)-SUMIF($AS$11:$AS$170,"&lt;2",$AW$11:$AW$170)</f>
        <v>9.5</v>
      </c>
      <c r="CH34" s="507">
        <f>SUMIF($AA$11:$AA$170,"&lt;5",$BW$11:$BW$170)+SUMIF($AS$11:$AS$170,"&lt;5",$CB$11:$CB$170)-SUMIF($AA$11:$AA$170,"&lt;2",$BW$11:$BW$170)-SUMIF($AS$11:$AS$170,"&lt;2",$CB$11:$CB$170)</f>
        <v>52.729999999999954</v>
      </c>
      <c r="CI34" s="507">
        <f>SUMPRODUCT(($AA$11:$AA$170&lt;5)*($AE$11:$AE$170&lt;&gt;""))+SUMPRODUCT(($AS$11:$AS$170&lt;5)*($AW$11:$AW$170&lt;&gt;""))-SUMPRODUCT(($AA$11:$AA$170&lt;2)*($AE$11:$AE$170&lt;&gt;""))-SUMPRODUCT(($AS$11:$AS$170&lt;2)*($AW$11:$AW$170&lt;&gt;""))</f>
        <v>2</v>
      </c>
      <c r="CJ34" s="507">
        <f t="shared" ref="CJ34:CJ44" si="55">IF(CI34=0,0,IF(CI34="","",CG34/CI34))</f>
        <v>4.75</v>
      </c>
      <c r="CK34" s="508">
        <f>IF(CI34&lt;2,0,IF((CH34/CI34-CJ34*CJ34)/(CI34-1)&lt;0,0,SQRT((CH34/CI34-CJ34*CJ34)/(CI34-1))))</f>
        <v>1.9499999999999942</v>
      </c>
      <c r="CL34" s="506">
        <f>SUMIF($AJ$11:$AJ$170,"&lt;5",$AN$11:$AN$170)+SUMIF($BB$11:$BB$170,"&lt;5",$BF$11:$BF$170)-SUMIF($AJ$11:$AJ$170,"&lt;2",$AN$11:$AN$170)-SUMIF($BB$11:$BB$170,"&lt;2",$BF$11:$BF$170)</f>
        <v>13.299999999999997</v>
      </c>
      <c r="CM34" s="507">
        <f>SUMIF($AJ$11:$AJ$170,"&lt;5",$BY$11:$BY$170)+SUMIF($BB$11:$BB$170,"&lt;5",$CD$11:$CD$170)-SUMIF($AJ$11:$AJ$170,"&lt;2",$BY$11:$BY$170)-SUMIF($BB$11:$BB$170,"&lt;2",$CD$11:$CD$170)</f>
        <v>83.789999999999992</v>
      </c>
      <c r="CN34" s="507">
        <f>SUMPRODUCT(($AJ$11:$AJ$170&lt;5)*($AN$11:$AN$170&lt;&gt;""))+SUMPRODUCT(($BB$11:$BB$170&lt;5)*($BF$11:$BF$170&lt;&gt;""))-SUMPRODUCT(($AJ$11:$AJ$170&lt;2)*($AN$11:$AN$170&lt;&gt;""))-SUMPRODUCT(($BB$11:$BB$170&lt;2)*($BF$11:$BF$170&lt;&gt;""))</f>
        <v>3</v>
      </c>
      <c r="CO34" s="507">
        <f t="shared" ref="CO34:CO44" si="56">IF(CN34=0,0,IF(CN34="","",CL34/CN34))</f>
        <v>4.4333333333333327</v>
      </c>
      <c r="CP34" s="508">
        <f>IF(CN34&lt;2,0,IF((CM34/CN34-CO34*CO34)/(CN34-1)&lt;0,0,SQRT((CM34/CN34-CO34*CO34)/(CN34-1))))</f>
        <v>2.0341528403189812</v>
      </c>
      <c r="CQ34" s="506">
        <f t="shared" ref="CQ34:CS44" si="57">CG34+CL34</f>
        <v>22.799999999999997</v>
      </c>
      <c r="CR34" s="507">
        <f t="shared" si="57"/>
        <v>136.51999999999995</v>
      </c>
      <c r="CS34" s="507">
        <f t="shared" si="57"/>
        <v>5</v>
      </c>
      <c r="CT34" s="507">
        <f t="shared" ref="CT34:CT44" si="58">IF(CS34=0,0,IF(CS34="","",CQ34/CS34))</f>
        <v>4.5599999999999996</v>
      </c>
      <c r="CU34" s="508">
        <f>IF(CS34&lt;2,0,IF((CR34/CS34-CT34*CT34)/(CS34-1)&lt;0,0,SQRT((CR34/CS34-CT34*CT34)/(CS34-1))))</f>
        <v>1.2757742747053644</v>
      </c>
      <c r="CV34" s="476"/>
      <c r="CW34" s="345"/>
      <c r="CX34" s="345"/>
      <c r="CY34" s="345"/>
      <c r="CZ34" s="345"/>
      <c r="DA34" s="345"/>
      <c r="DB34" s="345"/>
      <c r="DC34" s="345"/>
      <c r="DD34" s="345"/>
      <c r="DE34" s="345"/>
      <c r="DF34" s="345"/>
      <c r="DG34" s="345"/>
      <c r="DH34" s="345"/>
      <c r="DI34" s="345"/>
      <c r="DJ34" s="345"/>
      <c r="DK34" s="345"/>
      <c r="DL34" s="345"/>
      <c r="DM34" s="345"/>
      <c r="DN34" s="345"/>
      <c r="DO34" s="345"/>
      <c r="DP34" s="345"/>
      <c r="DQ34" s="345"/>
      <c r="DR34" s="345"/>
      <c r="DS34" s="345"/>
      <c r="DT34" s="345"/>
      <c r="DU34" s="345"/>
      <c r="DV34" s="345"/>
      <c r="DW34" s="345"/>
      <c r="DX34" s="345"/>
      <c r="DY34" s="345"/>
      <c r="DZ34" s="345"/>
      <c r="EA34" s="345"/>
      <c r="EB34" s="345"/>
      <c r="EC34" s="345"/>
      <c r="ED34" s="345"/>
      <c r="EE34" s="345"/>
      <c r="EF34" s="345"/>
      <c r="EG34" s="345"/>
      <c r="EH34" s="345"/>
      <c r="EI34" s="345"/>
      <c r="EJ34" s="345"/>
      <c r="EK34" s="345"/>
      <c r="EL34" s="345"/>
      <c r="EM34" s="345"/>
      <c r="EN34" s="345"/>
      <c r="EO34" s="345"/>
      <c r="EP34" s="345"/>
      <c r="EQ34" s="345"/>
      <c r="ER34" s="345"/>
      <c r="ES34" s="345"/>
      <c r="ET34" s="345"/>
      <c r="EU34" s="345"/>
      <c r="EV34" s="345"/>
      <c r="EW34" s="345"/>
      <c r="EX34" s="345"/>
      <c r="EY34" s="345"/>
      <c r="EZ34" s="345"/>
      <c r="FA34" s="345"/>
      <c r="FB34" s="345"/>
      <c r="FC34" s="345"/>
      <c r="FD34" s="345"/>
      <c r="FE34" s="345"/>
      <c r="FF34" s="345"/>
      <c r="FG34" s="345"/>
      <c r="FH34" s="345"/>
      <c r="FI34" s="345"/>
      <c r="FJ34" s="345"/>
      <c r="FK34" s="345"/>
      <c r="FL34" s="345"/>
      <c r="FM34" s="345"/>
      <c r="FN34" s="345"/>
      <c r="FO34" s="345"/>
      <c r="FP34" s="345"/>
      <c r="FQ34" s="345"/>
      <c r="FR34" s="345"/>
      <c r="FS34" s="345"/>
      <c r="FT34" s="345"/>
      <c r="FU34" s="345"/>
      <c r="FV34" s="345"/>
      <c r="FW34" s="345"/>
      <c r="FX34" s="345"/>
      <c r="FY34" s="345"/>
      <c r="FZ34" s="345"/>
      <c r="GA34" s="345"/>
      <c r="GB34" s="345"/>
      <c r="GC34" s="345"/>
      <c r="GD34" s="345"/>
      <c r="GE34" s="345"/>
      <c r="GF34" s="345"/>
      <c r="GG34" s="345"/>
      <c r="GH34" s="345"/>
      <c r="GI34" s="345"/>
      <c r="GJ34" s="345"/>
      <c r="GK34" s="345"/>
      <c r="GL34" s="345"/>
      <c r="GM34" s="345"/>
      <c r="GN34" s="345"/>
      <c r="GO34" s="345"/>
      <c r="GP34" s="345"/>
      <c r="GQ34" s="345"/>
      <c r="GR34" s="345"/>
      <c r="GS34" s="345"/>
      <c r="GT34" s="345"/>
      <c r="GU34" s="345"/>
    </row>
    <row r="35" spans="1:203" ht="12.75" customHeight="1">
      <c r="A35" s="465">
        <f t="shared" si="31"/>
        <v>2</v>
      </c>
      <c r="B35" s="1108">
        <v>25</v>
      </c>
      <c r="C35" s="1109">
        <v>1</v>
      </c>
      <c r="D35" s="398">
        <v>190.3</v>
      </c>
      <c r="E35" s="1120"/>
      <c r="F35" s="465">
        <f t="shared" si="36"/>
        <v>2</v>
      </c>
      <c r="G35" s="1108">
        <v>25</v>
      </c>
      <c r="H35" s="1109">
        <v>-1</v>
      </c>
      <c r="I35" s="398">
        <v>187.5</v>
      </c>
      <c r="J35" s="1120"/>
      <c r="K35" s="465"/>
      <c r="L35" s="465"/>
      <c r="M35" s="465">
        <f t="shared" si="23"/>
        <v>2</v>
      </c>
      <c r="N35" s="1108">
        <v>25</v>
      </c>
      <c r="O35" s="1109">
        <v>-1</v>
      </c>
      <c r="P35" s="1110">
        <v>185</v>
      </c>
      <c r="Q35" s="1120"/>
      <c r="R35" s="465">
        <f t="shared" si="24"/>
        <v>2</v>
      </c>
      <c r="S35" s="1108">
        <v>25</v>
      </c>
      <c r="T35" s="1109">
        <v>0</v>
      </c>
      <c r="U35" s="1110">
        <v>182.6</v>
      </c>
      <c r="V35" s="1120"/>
      <c r="W35" s="371"/>
      <c r="X35" s="494">
        <f t="shared" si="0"/>
        <v>190.3</v>
      </c>
      <c r="Y35" s="495" t="str">
        <f>IF('Feuilles=description générale'!$E$13="","",IF(X35="","",IF(X35&gt;('Feuilles=description générale'!$E$11+'Feuilles=description générale'!$E$10),"",100*(X35-'Feuilles=description générale'!$E$10)/('Feuilles=description générale'!$E$11))))</f>
        <v/>
      </c>
      <c r="Z35" s="495">
        <f>IF('Feuilles=description générale'!$E$13="","",IF(X35="","",IF(X35&lt;=('Feuilles=description générale'!$E$11+'Feuilles=description générale'!$E$10),"",100*(X35-'Feuilles=description générale'!$E$11-'Feuilles=description générale'!$E$10)/('Feuilles=description générale'!$E$12))))</f>
        <v>25.398054910061113</v>
      </c>
      <c r="AA35" s="1112">
        <f>IF('Feuilles=description générale'!$E$13="","",IF(X35="","",100*(X35-'Feuilles=description générale'!$E$10)/('Feuilles=description générale'!$E$13-'Feuilles=description générale'!$E$10)))</f>
        <v>43.860103626943008</v>
      </c>
      <c r="AB35" s="497">
        <f t="shared" si="1"/>
        <v>1</v>
      </c>
      <c r="AC35" s="500" t="str">
        <f t="shared" si="32"/>
        <v/>
      </c>
      <c r="AD35" s="494" t="str">
        <f t="shared" si="2"/>
        <v/>
      </c>
      <c r="AE35" s="499">
        <f t="shared" si="3"/>
        <v>2.1999999999999886</v>
      </c>
      <c r="AF35" s="371"/>
      <c r="AG35" s="494">
        <f t="shared" si="4"/>
        <v>187.5</v>
      </c>
      <c r="AH35" s="495" t="str">
        <f>IF('Feuilles=description générale'!$E$13="","",IF(AG35="","",IF(AG35&gt;('Feuilles=description générale'!$E$11+'Feuilles=description générale'!$E$10),"",100*(AG35-'Feuilles=description générale'!$E$10)/('Feuilles=description générale'!$E$11))))</f>
        <v/>
      </c>
      <c r="AI35" s="495">
        <f>IF('Feuilles=description générale'!$E$13="","",IF(AG35="","",IF(AG35&lt;=('Feuilles=description générale'!$E$11+'Feuilles=description générale'!$E$10),"",100*(AG35-'Feuilles=description générale'!$E$11-'Feuilles=description générale'!$E$10)/('Feuilles=description générale'!$E$12))))</f>
        <v>24.434116533264483</v>
      </c>
      <c r="AJ35" s="496">
        <f>IF('Feuilles=description générale'!$E$13="","",IF(AG35="","",100*(AG35-'Feuilles=description générale'!$E$10)/('Feuilles=description générale'!$E$13-'Feuilles=description générale'!$E$10)))</f>
        <v>43.134715025906736</v>
      </c>
      <c r="AK35" s="1113">
        <f t="shared" si="5"/>
        <v>3</v>
      </c>
      <c r="AL35" s="498">
        <f t="shared" si="6"/>
        <v>3</v>
      </c>
      <c r="AM35" s="494">
        <f t="shared" si="7"/>
        <v>8</v>
      </c>
      <c r="AN35" s="499" t="str">
        <f t="shared" si="8"/>
        <v/>
      </c>
      <c r="AO35" s="371"/>
      <c r="AP35" s="494">
        <f t="shared" si="9"/>
        <v>185</v>
      </c>
      <c r="AQ35" s="495" t="str">
        <f>IF('Feuilles=description générale'!$E$13="","",IF(AP35="","",IF(AP35&gt;('Feuilles=description générale'!$E$25+'Feuilles=description générale'!$E$24),"",100*(AP35-'Feuilles=description générale'!$E$24)/('Feuilles=description générale'!$E$25))))</f>
        <v/>
      </c>
      <c r="AR35" s="495">
        <f>IF('Feuilles=description générale'!$E$27="","",IF(AP35="","",IF(AP35&lt;=('Feuilles=description générale'!$E$25+'Feuilles=description générale'!$E$24),"",100*(AP35-'Feuilles=description générale'!$E$25-'Feuilles=description générale'!$E$24)/('Feuilles=description générale'!$E$26))))</f>
        <v>21.988950276243095</v>
      </c>
      <c r="AS35" s="496">
        <f>IF('Feuilles=description générale'!$E$27="","",IF(AP35="","",100*(AP35-'Feuilles=description générale'!$E$24)/('Feuilles=description générale'!$E$27-'Feuilles=description générale'!$E$24)))</f>
        <v>39.599120019555116</v>
      </c>
      <c r="AT35" s="497">
        <f t="shared" si="10"/>
        <v>2</v>
      </c>
      <c r="AU35" s="500">
        <f t="shared" si="11"/>
        <v>2</v>
      </c>
      <c r="AV35" s="494">
        <f t="shared" si="12"/>
        <v>10.699999999999989</v>
      </c>
      <c r="AW35" s="499" t="str">
        <f t="shared" si="13"/>
        <v/>
      </c>
      <c r="AX35" s="371"/>
      <c r="AY35" s="494">
        <f t="shared" si="14"/>
        <v>182.6</v>
      </c>
      <c r="AZ35" s="495" t="str">
        <f>IF('Feuilles=description générale'!$E$13="","",IF(AY35="","",IF(AY35&gt;('Feuilles=description générale'!$E$25+'Feuilles=description générale'!$E$24),"",100*(AY35-'Feuilles=description générale'!$E$24)/('Feuilles=description générale'!$E$25))))</f>
        <v/>
      </c>
      <c r="BA35" s="495">
        <f>IF('Feuilles=description générale'!$E$27="","",IF(AY35="","",IF(AY35&lt;=('Feuilles=description générale'!$E$25+'Feuilles=description générale'!$E$24),"",100*(AY35-'Feuilles=description générale'!$E$25-'Feuilles=description générale'!$E$24)/('Feuilles=description générale'!$E$26))))</f>
        <v>21.231254932912393</v>
      </c>
      <c r="BB35" s="496">
        <f>IF('Feuilles=description générale'!$E$27="","",IF(AY35="","",100*(AY35-'Feuilles=description générale'!$E$24)/('Feuilles=description générale'!$E$27-'Feuilles=description générale'!$E$24)))</f>
        <v>39.012466389635783</v>
      </c>
      <c r="BC35" s="497">
        <f t="shared" si="15"/>
        <v>2</v>
      </c>
      <c r="BD35" s="500" t="str">
        <f t="shared" si="16"/>
        <v/>
      </c>
      <c r="BE35" s="494" t="str">
        <f t="shared" si="17"/>
        <v/>
      </c>
      <c r="BF35" s="499">
        <f t="shared" si="18"/>
        <v>1.9000000000000057</v>
      </c>
      <c r="BG35" s="476"/>
      <c r="BH35" s="529">
        <f t="shared" si="52"/>
        <v>24</v>
      </c>
      <c r="BI35" s="530">
        <f t="shared" si="47"/>
        <v>6</v>
      </c>
      <c r="BJ35" s="521"/>
      <c r="BK35" s="529">
        <f>IF(SUMIF($BI$30:$BI$42,6,$BH$30:$BH$42)=0,"",SUMIF($BI$30:$BI$42,6,$BH$30:$BH$42))</f>
        <v>24</v>
      </c>
      <c r="BL35" s="531">
        <f t="shared" si="48"/>
        <v>0</v>
      </c>
      <c r="BM35" s="532">
        <f t="shared" si="48"/>
        <v>7</v>
      </c>
      <c r="BN35" s="532">
        <f t="shared" si="48"/>
        <v>0</v>
      </c>
      <c r="BO35" s="533">
        <f t="shared" si="48"/>
        <v>0</v>
      </c>
      <c r="BP35" s="534">
        <f t="shared" si="49"/>
        <v>7</v>
      </c>
      <c r="BQ35" s="535">
        <f t="shared" si="50"/>
        <v>0</v>
      </c>
      <c r="BR35" s="536">
        <f t="shared" si="51"/>
        <v>100</v>
      </c>
      <c r="BS35" s="536">
        <f t="shared" si="51"/>
        <v>0</v>
      </c>
      <c r="BT35" s="537">
        <f t="shared" si="51"/>
        <v>0</v>
      </c>
      <c r="BU35" s="1187">
        <f t="shared" si="53"/>
        <v>100</v>
      </c>
      <c r="BV35" s="1114" t="str">
        <f t="shared" si="19"/>
        <v/>
      </c>
      <c r="BW35" s="1114">
        <f t="shared" si="19"/>
        <v>4.8399999999999501</v>
      </c>
      <c r="BX35" s="1114">
        <f t="shared" si="20"/>
        <v>64</v>
      </c>
      <c r="BY35" s="1115" t="str">
        <f t="shared" si="20"/>
        <v/>
      </c>
      <c r="BZ35" s="477"/>
      <c r="CA35" s="1114">
        <f t="shared" si="21"/>
        <v>114.48999999999975</v>
      </c>
      <c r="CB35" s="1114" t="str">
        <f t="shared" si="21"/>
        <v/>
      </c>
      <c r="CC35" s="1114" t="str">
        <f t="shared" si="22"/>
        <v/>
      </c>
      <c r="CD35" s="1115">
        <f t="shared" si="22"/>
        <v>3.6100000000000216</v>
      </c>
      <c r="CE35" s="568"/>
      <c r="CF35" s="509">
        <v>7</v>
      </c>
      <c r="CG35" s="510">
        <f>SUMIF($AA$11:$AA$170,"&lt;9",$AE$11:$AE$170)+SUMIF($AS$11:$AS$170,"&lt;9",$AW$11:$AW$170)-SUMIF($AA$11:$AA$170,"&lt;5",$AE$11:$AE$170)-SUMIF($AS$11:$AS$170,"&lt;5",$AW$11:$AW$170)</f>
        <v>2.7999999999999972</v>
      </c>
      <c r="CH35" s="511">
        <f>SUMIF($AA$11:$AA$170,"&lt;9",$BW$11:$BW$170)+SUMIF($AS$11:$AS$170,"&lt;9",$CB$11:$CB$170)-SUMIF($AA$11:$AA$170,"&lt;5",$BW$11:$BW$170)-SUMIF($AS$11:$AS$170,"&lt;5",$CB$11:$CB$170)</f>
        <v>7.8399999999999874</v>
      </c>
      <c r="CI35" s="511">
        <f>SUMPRODUCT(($AA$11:$AA$170&lt;9)*($AE$11:$AE$170&lt;&gt;""))+SUMPRODUCT(($AS$11:$AS$170&lt;9)*($AW$11:$AW$170&lt;&gt;""))-SUMPRODUCT(($AA$11:$AA$170&lt;5)*($AE$11:$AE$170&lt;&gt;""))-SUMPRODUCT(($AS$11:$AS$170&lt;5)*($AW$11:$AW$170&lt;&gt;""))</f>
        <v>1</v>
      </c>
      <c r="CJ35" s="511">
        <f t="shared" si="55"/>
        <v>2.7999999999999972</v>
      </c>
      <c r="CK35" s="512">
        <f>IF(CI35&lt;2,0,IF((CH35/CI35-CJ35*CJ35)/(CI35-1)&lt;0,0,SQRT((CH35/CI35-CJ35*CJ35)/(CI35-1))))</f>
        <v>0</v>
      </c>
      <c r="CL35" s="510">
        <f>SUMIF($AJ$11:$AJ$170,"&lt;9",$AN$11:$AN$170)+SUMIF($BB$11:$BB$170,"&lt;9",$BF$11:$BF$170)-SUMIF($AJ$11:$AJ$170,"&lt;5",$AN$11:$AN$170)-SUMIF($BB$11:$BB$170,"&lt;5",$BF$11:$BF$170)</f>
        <v>3.2999999999999972</v>
      </c>
      <c r="CM35" s="511">
        <f>SUMIF($AJ$11:$AJ$170,"&lt;9",$BY$11:$BY$170)+SUMIF($BB$11:$BB$170,"&lt;9",$CD$11:$CD$170)-SUMIF($AJ$11:$AJ$170,"&lt;5",$BY$11:$BY$170)-SUMIF($BB$11:$BB$170,"&lt;5",$CD$11:$CD$170)</f>
        <v>10.889999999999992</v>
      </c>
      <c r="CN35" s="511">
        <f>SUMPRODUCT(($AJ$11:$AJ$170&lt;9)*($AN$11:$AN$170&lt;&gt;""))+SUMPRODUCT(($BB$11:$BB$170&lt;9)*($BF$11:$BF$170&lt;&gt;""))-SUMPRODUCT(($AJ$11:$AJ$170&lt;5)*($AN$11:$AN$170&lt;&gt;""))-SUMPRODUCT(($BB$11:$BB$170&lt;5)*($BF$11:$BF$170&lt;&gt;""))</f>
        <v>1</v>
      </c>
      <c r="CO35" s="511">
        <f t="shared" si="56"/>
        <v>3.2999999999999972</v>
      </c>
      <c r="CP35" s="512">
        <f>IF(CN35&lt;2,0,IF((CM35/CN35-CO35*CO35)/(CN35-1)&lt;0,0,SQRT((CM35/CN35-CO35*CO35)/(CN35-1))))</f>
        <v>0</v>
      </c>
      <c r="CQ35" s="510">
        <f t="shared" si="57"/>
        <v>6.0999999999999943</v>
      </c>
      <c r="CR35" s="511">
        <f t="shared" si="57"/>
        <v>18.729999999999979</v>
      </c>
      <c r="CS35" s="511">
        <f t="shared" si="57"/>
        <v>2</v>
      </c>
      <c r="CT35" s="511">
        <f t="shared" si="58"/>
        <v>3.0499999999999972</v>
      </c>
      <c r="CU35" s="512">
        <f>IF(CS35&lt;2,0,IF((CR35/CS35-CT35*CT35)/(CS35-1)&lt;0,0,SQRT((CR35/CS35-CT35*CT35)/(CS35-1))))</f>
        <v>0.25000000000001421</v>
      </c>
      <c r="CV35" s="476"/>
      <c r="CW35" s="345"/>
      <c r="CX35" s="345"/>
      <c r="CY35" s="345"/>
      <c r="CZ35" s="345"/>
      <c r="DA35" s="345"/>
      <c r="DB35" s="345"/>
      <c r="DC35" s="345"/>
      <c r="DD35" s="345"/>
      <c r="DE35" s="345"/>
      <c r="DF35" s="345"/>
      <c r="DG35" s="345"/>
      <c r="DH35" s="345"/>
      <c r="DI35" s="345"/>
      <c r="DJ35" s="345"/>
      <c r="DK35" s="345"/>
      <c r="DL35" s="345"/>
      <c r="DM35" s="345"/>
      <c r="DN35" s="345"/>
      <c r="DO35" s="345"/>
      <c r="DP35" s="345"/>
      <c r="DQ35" s="345"/>
      <c r="DR35" s="345"/>
      <c r="DS35" s="345"/>
      <c r="DT35" s="345"/>
      <c r="DU35" s="345"/>
      <c r="DV35" s="345"/>
      <c r="DW35" s="345"/>
      <c r="DX35" s="345"/>
      <c r="DY35" s="345"/>
      <c r="DZ35" s="345"/>
      <c r="EA35" s="345"/>
      <c r="EB35" s="345"/>
      <c r="EC35" s="345"/>
      <c r="ED35" s="345"/>
      <c r="EE35" s="345"/>
      <c r="EF35" s="345"/>
      <c r="EG35" s="345"/>
      <c r="EH35" s="345"/>
      <c r="EI35" s="345"/>
      <c r="EJ35" s="345"/>
      <c r="EK35" s="345"/>
      <c r="EL35" s="345"/>
      <c r="EM35" s="345"/>
      <c r="EN35" s="345"/>
      <c r="EO35" s="345"/>
      <c r="EP35" s="345"/>
      <c r="EQ35" s="345"/>
      <c r="ER35" s="345"/>
      <c r="ES35" s="345"/>
      <c r="ET35" s="345"/>
      <c r="EU35" s="345"/>
      <c r="EV35" s="345"/>
      <c r="EW35" s="345"/>
      <c r="EX35" s="345"/>
      <c r="EY35" s="345"/>
      <c r="EZ35" s="345"/>
      <c r="FA35" s="345"/>
      <c r="FB35" s="345"/>
      <c r="FC35" s="345"/>
      <c r="FD35" s="345"/>
      <c r="FE35" s="345"/>
      <c r="FF35" s="345"/>
      <c r="FG35" s="345"/>
      <c r="FH35" s="345"/>
      <c r="FI35" s="345"/>
      <c r="FJ35" s="345"/>
      <c r="FK35" s="345"/>
      <c r="FL35" s="345"/>
      <c r="FM35" s="345"/>
      <c r="FN35" s="345"/>
      <c r="FO35" s="345"/>
      <c r="FP35" s="345"/>
      <c r="FQ35" s="345"/>
      <c r="FR35" s="345"/>
      <c r="FS35" s="345"/>
      <c r="FT35" s="345"/>
      <c r="FU35" s="345"/>
      <c r="FV35" s="345"/>
      <c r="FW35" s="345"/>
      <c r="FX35" s="345"/>
      <c r="FY35" s="345"/>
      <c r="FZ35" s="345"/>
      <c r="GA35" s="345"/>
      <c r="GB35" s="345"/>
      <c r="GC35" s="345"/>
      <c r="GD35" s="345"/>
      <c r="GE35" s="345"/>
      <c r="GF35" s="345"/>
      <c r="GG35" s="345"/>
      <c r="GH35" s="345"/>
      <c r="GI35" s="345"/>
      <c r="GJ35" s="345"/>
      <c r="GK35" s="345"/>
      <c r="GL35" s="345"/>
      <c r="GM35" s="345"/>
      <c r="GN35" s="345"/>
      <c r="GO35" s="345"/>
      <c r="GP35" s="345"/>
      <c r="GQ35" s="345"/>
      <c r="GR35" s="345"/>
      <c r="GS35" s="345"/>
      <c r="GT35" s="345"/>
      <c r="GU35" s="345"/>
    </row>
    <row r="36" spans="1:203" ht="12.75" customHeight="1">
      <c r="A36" s="465">
        <f t="shared" si="31"/>
        <v>2</v>
      </c>
      <c r="B36" s="1108">
        <v>26</v>
      </c>
      <c r="C36" s="1109">
        <v>-1</v>
      </c>
      <c r="D36" s="398">
        <v>192.5</v>
      </c>
      <c r="E36" s="1120"/>
      <c r="F36" s="465">
        <f t="shared" si="36"/>
        <v>2</v>
      </c>
      <c r="G36" s="1108">
        <v>26</v>
      </c>
      <c r="H36" s="1109">
        <v>1</v>
      </c>
      <c r="I36" s="398">
        <v>195.5</v>
      </c>
      <c r="J36" s="1120"/>
      <c r="K36" s="465"/>
      <c r="L36" s="465"/>
      <c r="M36" s="465">
        <f t="shared" si="23"/>
        <v>2</v>
      </c>
      <c r="N36" s="1108">
        <v>26</v>
      </c>
      <c r="O36" s="1109">
        <v>1</v>
      </c>
      <c r="P36" s="1110">
        <v>195.7</v>
      </c>
      <c r="Q36" s="1120"/>
      <c r="R36" s="465">
        <f t="shared" si="24"/>
        <v>2</v>
      </c>
      <c r="S36" s="1108">
        <v>26</v>
      </c>
      <c r="T36" s="1109">
        <v>-1</v>
      </c>
      <c r="U36" s="1110">
        <v>184.5</v>
      </c>
      <c r="V36" s="1120"/>
      <c r="W36" s="371"/>
      <c r="X36" s="494">
        <f t="shared" si="0"/>
        <v>192.5</v>
      </c>
      <c r="Y36" s="495" t="str">
        <f>IF('Feuilles=description générale'!$E$13="","",IF(X36="","",IF(X36&gt;('Feuilles=description générale'!$E$11+'Feuilles=description générale'!$E$10),"",100*(X36-'Feuilles=description générale'!$E$10)/('Feuilles=description générale'!$E$11))))</f>
        <v/>
      </c>
      <c r="Z36" s="495">
        <f>IF('Feuilles=description générale'!$E$13="","",IF(X36="","",IF(X36&lt;=('Feuilles=description générale'!$E$11+'Feuilles=description générale'!$E$10),"",100*(X36-'Feuilles=description générale'!$E$11-'Feuilles=description générale'!$E$10)/('Feuilles=description générale'!$E$12))))</f>
        <v>26.155435063258459</v>
      </c>
      <c r="AA36" s="1112">
        <f>IF('Feuilles=description générale'!$E$13="","",IF(X36="","",100*(X36-'Feuilles=description générale'!$E$10)/('Feuilles=description générale'!$E$13-'Feuilles=description générale'!$E$10)))</f>
        <v>44.430051813471501</v>
      </c>
      <c r="AB36" s="497">
        <f t="shared" si="1"/>
        <v>2</v>
      </c>
      <c r="AC36" s="500">
        <f t="shared" si="32"/>
        <v>2</v>
      </c>
      <c r="AD36" s="494">
        <f t="shared" si="2"/>
        <v>7.5999999999999943</v>
      </c>
      <c r="AE36" s="499" t="str">
        <f t="shared" si="3"/>
        <v/>
      </c>
      <c r="AF36" s="371"/>
      <c r="AG36" s="494">
        <f t="shared" si="4"/>
        <v>195.5</v>
      </c>
      <c r="AH36" s="495" t="str">
        <f>IF('Feuilles=description générale'!$E$13="","",IF(AG36="","",IF(AG36&gt;('Feuilles=description générale'!$E$11+'Feuilles=description générale'!$E$10),"",100*(AG36-'Feuilles=description générale'!$E$10)/('Feuilles=description générale'!$E$11))))</f>
        <v/>
      </c>
      <c r="AI36" s="495">
        <f>IF('Feuilles=description générale'!$E$13="","",IF(AG36="","",IF(AG36&lt;=('Feuilles=description générale'!$E$11+'Feuilles=description générale'!$E$10),"",100*(AG36-'Feuilles=description générale'!$E$11-'Feuilles=description générale'!$E$10)/('Feuilles=description générale'!$E$12))))</f>
        <v>27.188226181254841</v>
      </c>
      <c r="AJ36" s="496">
        <f>IF('Feuilles=description générale'!$E$13="","",IF(AG36="","",100*(AG36-'Feuilles=description générale'!$E$10)/('Feuilles=description générale'!$E$13-'Feuilles=description générale'!$E$10)))</f>
        <v>45.207253886010363</v>
      </c>
      <c r="AK36" s="1113">
        <f t="shared" si="5"/>
        <v>1</v>
      </c>
      <c r="AL36" s="498" t="str">
        <f t="shared" si="6"/>
        <v/>
      </c>
      <c r="AM36" s="494" t="str">
        <f t="shared" si="7"/>
        <v/>
      </c>
      <c r="AN36" s="499">
        <f t="shared" si="8"/>
        <v>1.5999999999999943</v>
      </c>
      <c r="AO36" s="371"/>
      <c r="AP36" s="494">
        <f t="shared" si="9"/>
        <v>195.7</v>
      </c>
      <c r="AQ36" s="495" t="str">
        <f>IF('Feuilles=description générale'!$E$13="","",IF(AP36="","",IF(AP36&gt;('Feuilles=description générale'!$E$25+'Feuilles=description générale'!$E$24),"",100*(AP36-'Feuilles=description générale'!$E$24)/('Feuilles=description générale'!$E$25))))</f>
        <v/>
      </c>
      <c r="AR36" s="495">
        <f>IF('Feuilles=description générale'!$E$27="","",IF(AP36="","",IF(AP36&lt;=('Feuilles=description générale'!$E$25+'Feuilles=description générale'!$E$24),"",100*(AP36-'Feuilles=description générale'!$E$25-'Feuilles=description générale'!$E$24)/('Feuilles=description générale'!$E$26))))</f>
        <v>25.367008681925807</v>
      </c>
      <c r="AS36" s="496">
        <f>IF('Feuilles=description générale'!$E$27="","",IF(AP36="","",100*(AP36-'Feuilles=description générale'!$E$24)/('Feuilles=description générale'!$E$27-'Feuilles=description générale'!$E$24)))</f>
        <v>42.21461745294549</v>
      </c>
      <c r="AT36" s="497">
        <f t="shared" si="10"/>
        <v>1</v>
      </c>
      <c r="AU36" s="500" t="str">
        <f t="shared" si="11"/>
        <v/>
      </c>
      <c r="AV36" s="494" t="str">
        <f t="shared" si="12"/>
        <v/>
      </c>
      <c r="AW36" s="499">
        <f t="shared" si="13"/>
        <v>2.1000000000000227</v>
      </c>
      <c r="AX36" s="371"/>
      <c r="AY36" s="494">
        <f t="shared" si="14"/>
        <v>184.5</v>
      </c>
      <c r="AZ36" s="495" t="str">
        <f>IF('Feuilles=description générale'!$E$13="","",IF(AY36="","",IF(AY36&gt;('Feuilles=description générale'!$E$25+'Feuilles=description générale'!$E$24),"",100*(AY36-'Feuilles=description générale'!$E$24)/('Feuilles=description générale'!$E$25))))</f>
        <v/>
      </c>
      <c r="BA36" s="495">
        <f>IF('Feuilles=description générale'!$E$27="","",IF(AY36="","",IF(AY36&lt;=('Feuilles=description générale'!$E$25+'Feuilles=description générale'!$E$24),"",100*(AY36-'Feuilles=description générale'!$E$25-'Feuilles=description générale'!$E$24)/('Feuilles=description générale'!$E$26))))</f>
        <v>21.831097079715867</v>
      </c>
      <c r="BB36" s="496">
        <f>IF('Feuilles=description générale'!$E$27="","",IF(AY36="","",100*(AY36-'Feuilles=description générale'!$E$24)/('Feuilles=description générale'!$E$27-'Feuilles=description générale'!$E$24)))</f>
        <v>39.476900513321922</v>
      </c>
      <c r="BC36" s="497">
        <f t="shared" si="15"/>
        <v>3</v>
      </c>
      <c r="BD36" s="500">
        <f t="shared" si="16"/>
        <v>3</v>
      </c>
      <c r="BE36" s="494">
        <f t="shared" si="17"/>
        <v>10.800000000000011</v>
      </c>
      <c r="BF36" s="499" t="str">
        <f t="shared" si="18"/>
        <v/>
      </c>
      <c r="BG36" s="476"/>
      <c r="BH36" s="529">
        <f t="shared" si="52"/>
        <v>32</v>
      </c>
      <c r="BI36" s="530">
        <f t="shared" si="47"/>
        <v>7</v>
      </c>
      <c r="BJ36" s="521"/>
      <c r="BK36" s="529">
        <f>IF(SUMIF($BI$30:$BI$42,7,$BH$30:$BH$42)=0,"",SUMIF($BI$30:$BI$42,7,$BH$30:$BH$42))</f>
        <v>32</v>
      </c>
      <c r="BL36" s="531">
        <f t="shared" si="48"/>
        <v>0</v>
      </c>
      <c r="BM36" s="532">
        <f t="shared" si="48"/>
        <v>7</v>
      </c>
      <c r="BN36" s="532">
        <f t="shared" si="48"/>
        <v>1</v>
      </c>
      <c r="BO36" s="533">
        <f t="shared" si="48"/>
        <v>0</v>
      </c>
      <c r="BP36" s="534">
        <f t="shared" si="49"/>
        <v>8</v>
      </c>
      <c r="BQ36" s="535">
        <f t="shared" si="50"/>
        <v>0</v>
      </c>
      <c r="BR36" s="536">
        <f t="shared" si="51"/>
        <v>87.5</v>
      </c>
      <c r="BS36" s="536">
        <f t="shared" si="51"/>
        <v>12.5</v>
      </c>
      <c r="BT36" s="537">
        <f t="shared" si="51"/>
        <v>0</v>
      </c>
      <c r="BU36" s="1187">
        <f t="shared" si="53"/>
        <v>100</v>
      </c>
      <c r="BV36" s="1114">
        <f t="shared" si="19"/>
        <v>57.759999999999913</v>
      </c>
      <c r="BW36" s="1114" t="str">
        <f t="shared" si="19"/>
        <v/>
      </c>
      <c r="BX36" s="1114" t="str">
        <f t="shared" si="20"/>
        <v/>
      </c>
      <c r="BY36" s="1115">
        <f t="shared" si="20"/>
        <v>2.5599999999999818</v>
      </c>
      <c r="BZ36" s="477"/>
      <c r="CA36" s="1114" t="str">
        <f t="shared" si="21"/>
        <v/>
      </c>
      <c r="CB36" s="1114">
        <f t="shared" si="21"/>
        <v>4.4100000000000952</v>
      </c>
      <c r="CC36" s="1114">
        <f t="shared" si="22"/>
        <v>116.64000000000024</v>
      </c>
      <c r="CD36" s="1115" t="str">
        <f t="shared" si="22"/>
        <v/>
      </c>
      <c r="CE36" s="568"/>
      <c r="CF36" s="509">
        <v>11.5</v>
      </c>
      <c r="CG36" s="510">
        <f>SUMIF($AA$11:$AA$170,"&lt;14",$AE$11:$AE$170)+SUMIF($AS$11:$AS$170,"&lt;14",$AW$11:$AW$170)-SUMIF($AA$11:$AA$170,"&lt;9",$AE$11:$AE$170)-SUMIF($AS$11:$AS$170,"&lt;9",$AW$11:$AW$170)</f>
        <v>1.7999999999999972</v>
      </c>
      <c r="CH36" s="511">
        <f>SUMIF($AA$11:$AA$170,"&lt;14",$BW$11:$BW$170)+SUMIF($AS$11:$AS$170,"&lt;14",$CB$11:$CB$170)-SUMIF($AA$11:$AA$170,"&lt;9",$BW$11:$BW$170)-SUMIF($AS$11:$AS$170,"&lt;9",$CB$11:$CB$170)</f>
        <v>3.2399999999999984</v>
      </c>
      <c r="CI36" s="511">
        <f>SUMPRODUCT(($AA$11:$AA$170&lt;14)*($AE$11:$AE$170&lt;&gt;""))+SUMPRODUCT(($AS$11:$AS$170&lt;14)*($AW$11:$AW$170&lt;&gt;""))-SUMPRODUCT(($AA$11:$AA$170&lt;9)*($AE$11:$AE$170&lt;&gt;""))-SUMPRODUCT(($AS$11:$AS$170&lt;9)*($AW$11:$AW$170&lt;&gt;""))</f>
        <v>1</v>
      </c>
      <c r="CJ36" s="511">
        <f t="shared" si="55"/>
        <v>1.7999999999999972</v>
      </c>
      <c r="CK36" s="512">
        <f>IF(CI36&lt;2,0,IF((CH36/CI36-CJ36*CJ36)/(CI36-1)&lt;0,0,SQRT((CH36/CI36-CJ36*CJ36)/(CI36-1))))</f>
        <v>0</v>
      </c>
      <c r="CL36" s="510">
        <f>SUMIF($AJ$11:$AJ$170,"&lt;14",$AN$11:$AN$170)+SUMIF($BB$11:$BB$170,"&lt;14",$BF$11:$BF$170)-SUMIF($AJ$11:$AJ$170,"&lt;9",$AN$11:$AN$170)-SUMIF($BB$11:$BB$170,"&lt;9",$BF$11:$BF$170)</f>
        <v>8.7999999999999972</v>
      </c>
      <c r="CM36" s="511">
        <f>SUMIF($AJ$11:$AJ$170,"&lt;14",$BY$11:$BY$170)+SUMIF($BB$11:$BB$170,"&lt;14",$CD$11:$CD$170)-SUMIF($AJ$11:$AJ$170,"&lt;9",$BY$11:$BY$170)-SUMIF($BB$11:$BB$170,"&lt;9",$CD$11:$CD$170)</f>
        <v>33.6</v>
      </c>
      <c r="CN36" s="511">
        <f>SUMPRODUCT(($AJ$11:$AJ$170&lt;14)*($AN$11:$AN$170&lt;&gt;""))+SUMPRODUCT(($BB$11:$BB$170&lt;14)*($BF$11:$BF$170&lt;&gt;""))-SUMPRODUCT(($AJ$11:$AJ$170&lt;9)*($AN$11:$AN$170&lt;&gt;""))-SUMPRODUCT(($BB$11:$BB$170&lt;9)*($BF$11:$BF$170&lt;&gt;""))</f>
        <v>3</v>
      </c>
      <c r="CO36" s="511">
        <f t="shared" si="56"/>
        <v>2.9333333333333322</v>
      </c>
      <c r="CP36" s="512">
        <f>IF(CN36&lt;2,0,IF((CM36/CN36-CO36*CO36)/(CN36-1)&lt;0,0,SQRT((CM36/CN36-CO36*CO36)/(CN36-1))))</f>
        <v>1.1392004993756726</v>
      </c>
      <c r="CQ36" s="510">
        <f t="shared" si="57"/>
        <v>10.599999999999994</v>
      </c>
      <c r="CR36" s="511">
        <f t="shared" si="57"/>
        <v>36.840000000000003</v>
      </c>
      <c r="CS36" s="511">
        <f t="shared" si="57"/>
        <v>4</v>
      </c>
      <c r="CT36" s="511">
        <f t="shared" si="58"/>
        <v>2.6499999999999986</v>
      </c>
      <c r="CU36" s="512">
        <f>IF(CS36&lt;2,0,IF((CR36/CS36-CT36*CT36)/(CS36-1)&lt;0,0,SQRT((CR36/CS36-CT36*CT36)/(CS36-1))))</f>
        <v>0.85391256382996805</v>
      </c>
      <c r="CV36" s="476"/>
      <c r="CW36" s="345"/>
      <c r="CX36" s="345"/>
      <c r="CY36" s="345"/>
      <c r="CZ36" s="345"/>
      <c r="DA36" s="345"/>
      <c r="DB36" s="345"/>
      <c r="DC36" s="345"/>
      <c r="DD36" s="345"/>
      <c r="DE36" s="345"/>
      <c r="DF36" s="345"/>
      <c r="DG36" s="345"/>
      <c r="DH36" s="345"/>
      <c r="DI36" s="345"/>
      <c r="DJ36" s="345"/>
      <c r="DK36" s="345"/>
      <c r="DL36" s="345"/>
      <c r="DM36" s="345"/>
      <c r="DN36" s="345"/>
      <c r="DO36" s="345"/>
      <c r="DP36" s="345"/>
      <c r="DQ36" s="345"/>
      <c r="DR36" s="345"/>
      <c r="DS36" s="345"/>
      <c r="DT36" s="345"/>
      <c r="DU36" s="345"/>
      <c r="DV36" s="345"/>
      <c r="DW36" s="345"/>
      <c r="DX36" s="345"/>
      <c r="DY36" s="345"/>
      <c r="DZ36" s="345"/>
      <c r="EA36" s="345"/>
      <c r="EB36" s="345"/>
      <c r="EC36" s="345"/>
      <c r="ED36" s="345"/>
      <c r="EE36" s="345"/>
      <c r="EF36" s="345"/>
      <c r="EG36" s="345"/>
      <c r="EH36" s="345"/>
      <c r="EI36" s="345"/>
      <c r="EJ36" s="345"/>
      <c r="EK36" s="345"/>
      <c r="EL36" s="345"/>
      <c r="EM36" s="345"/>
      <c r="EN36" s="345"/>
      <c r="EO36" s="345"/>
      <c r="EP36" s="345"/>
      <c r="EQ36" s="345"/>
      <c r="ER36" s="345"/>
      <c r="ES36" s="345"/>
      <c r="ET36" s="345"/>
      <c r="EU36" s="345"/>
      <c r="EV36" s="345"/>
      <c r="EW36" s="345"/>
      <c r="EX36" s="345"/>
      <c r="EY36" s="345"/>
      <c r="EZ36" s="345"/>
      <c r="FA36" s="345"/>
      <c r="FB36" s="345"/>
      <c r="FC36" s="345"/>
      <c r="FD36" s="345"/>
      <c r="FE36" s="345"/>
      <c r="FF36" s="345"/>
      <c r="FG36" s="345"/>
      <c r="FH36" s="345"/>
      <c r="FI36" s="345"/>
      <c r="FJ36" s="345"/>
      <c r="FK36" s="345"/>
      <c r="FL36" s="345"/>
      <c r="FM36" s="345"/>
      <c r="FN36" s="345"/>
      <c r="FO36" s="345"/>
      <c r="FP36" s="345"/>
      <c r="FQ36" s="345"/>
      <c r="FR36" s="345"/>
      <c r="FS36" s="345"/>
      <c r="FT36" s="345"/>
      <c r="FU36" s="345"/>
      <c r="FV36" s="345"/>
      <c r="FW36" s="345"/>
      <c r="FX36" s="345"/>
      <c r="FY36" s="345"/>
      <c r="FZ36" s="345"/>
      <c r="GA36" s="345"/>
      <c r="GB36" s="345"/>
      <c r="GC36" s="345"/>
      <c r="GD36" s="345"/>
      <c r="GE36" s="345"/>
      <c r="GF36" s="345"/>
      <c r="GG36" s="345"/>
      <c r="GH36" s="345"/>
      <c r="GI36" s="345"/>
      <c r="GJ36" s="345"/>
      <c r="GK36" s="345"/>
      <c r="GL36" s="345"/>
      <c r="GM36" s="345"/>
      <c r="GN36" s="345"/>
      <c r="GO36" s="345"/>
      <c r="GP36" s="345"/>
      <c r="GQ36" s="345"/>
      <c r="GR36" s="345"/>
      <c r="GS36" s="345"/>
      <c r="GT36" s="345"/>
      <c r="GU36" s="345"/>
    </row>
    <row r="37" spans="1:203" ht="12.75" customHeight="1">
      <c r="A37" s="465">
        <f t="shared" si="31"/>
        <v>2</v>
      </c>
      <c r="B37" s="1108">
        <v>27</v>
      </c>
      <c r="C37" s="1109">
        <v>1</v>
      </c>
      <c r="D37" s="398">
        <v>200.1</v>
      </c>
      <c r="E37" s="1120"/>
      <c r="F37" s="465">
        <f t="shared" si="36"/>
        <v>2</v>
      </c>
      <c r="G37" s="1108">
        <v>27</v>
      </c>
      <c r="H37" s="1109">
        <v>-1</v>
      </c>
      <c r="I37" s="398">
        <v>197.1</v>
      </c>
      <c r="J37" s="1120"/>
      <c r="K37" s="465"/>
      <c r="L37" s="465"/>
      <c r="M37" s="465">
        <f t="shared" si="23"/>
        <v>2</v>
      </c>
      <c r="N37" s="1108">
        <v>27</v>
      </c>
      <c r="O37" s="1109">
        <v>-1</v>
      </c>
      <c r="P37" s="1110">
        <v>197.8</v>
      </c>
      <c r="Q37" s="1120"/>
      <c r="R37" s="465">
        <f t="shared" si="24"/>
        <v>2</v>
      </c>
      <c r="S37" s="1108">
        <v>27</v>
      </c>
      <c r="T37" s="1109">
        <v>1</v>
      </c>
      <c r="U37" s="1110">
        <v>195.3</v>
      </c>
      <c r="V37" s="1120"/>
      <c r="W37" s="371"/>
      <c r="X37" s="494">
        <f t="shared" si="0"/>
        <v>200.1</v>
      </c>
      <c r="Y37" s="495" t="str">
        <f>IF('Feuilles=description générale'!$E$13="","",IF(X37="","",IF(X37&gt;('Feuilles=description générale'!$E$11+'Feuilles=description générale'!$E$10),"",100*(X37-'Feuilles=description générale'!$E$10)/('Feuilles=description générale'!$E$11))))</f>
        <v/>
      </c>
      <c r="Z37" s="495">
        <f>IF('Feuilles=description générale'!$E$13="","",IF(X37="","",IF(X37&lt;=('Feuilles=description générale'!$E$11+'Feuilles=description générale'!$E$10),"",100*(X37-'Feuilles=description générale'!$E$11-'Feuilles=description générale'!$E$10)/('Feuilles=description générale'!$E$12))))</f>
        <v>28.771839228849295</v>
      </c>
      <c r="AA37" s="1112">
        <f>IF('Feuilles=description générale'!$E$13="","",IF(X37="","",100*(X37-'Feuilles=description générale'!$E$10)/('Feuilles=description générale'!$E$13-'Feuilles=description générale'!$E$10)))</f>
        <v>46.398963730569946</v>
      </c>
      <c r="AB37" s="497">
        <f t="shared" si="1"/>
        <v>1</v>
      </c>
      <c r="AC37" s="500" t="str">
        <f t="shared" si="32"/>
        <v/>
      </c>
      <c r="AD37" s="494" t="str">
        <f t="shared" si="2"/>
        <v/>
      </c>
      <c r="AE37" s="499">
        <f t="shared" si="3"/>
        <v>1.4000000000000057</v>
      </c>
      <c r="AF37" s="371"/>
      <c r="AG37" s="494">
        <f t="shared" si="4"/>
        <v>197.1</v>
      </c>
      <c r="AH37" s="495" t="str">
        <f>IF('Feuilles=description générale'!$E$13="","",IF(AG37="","",IF(AG37&gt;('Feuilles=description générale'!$E$11+'Feuilles=description générale'!$E$10),"",100*(AG37-'Feuilles=description générale'!$E$10)/('Feuilles=description générale'!$E$11))))</f>
        <v/>
      </c>
      <c r="AI37" s="495">
        <f>IF('Feuilles=description générale'!$E$13="","",IF(AG37="","",IF(AG37&lt;=('Feuilles=description générale'!$E$11+'Feuilles=description générale'!$E$10),"",100*(AG37-'Feuilles=description générale'!$E$11-'Feuilles=description générale'!$E$10)/('Feuilles=description générale'!$E$12))))</f>
        <v>27.739048110852909</v>
      </c>
      <c r="AJ37" s="496">
        <f>IF('Feuilles=description générale'!$E$13="","",IF(AG37="","",100*(AG37-'Feuilles=description générale'!$E$10)/('Feuilles=description générale'!$E$13-'Feuilles=description générale'!$E$10)))</f>
        <v>45.62176165803109</v>
      </c>
      <c r="AK37" s="1113">
        <f t="shared" si="5"/>
        <v>2</v>
      </c>
      <c r="AL37" s="498">
        <f t="shared" si="6"/>
        <v>2</v>
      </c>
      <c r="AM37" s="494">
        <f t="shared" si="7"/>
        <v>5.3000000000000114</v>
      </c>
      <c r="AN37" s="499" t="str">
        <f t="shared" si="8"/>
        <v/>
      </c>
      <c r="AO37" s="371"/>
      <c r="AP37" s="494">
        <f t="shared" si="9"/>
        <v>197.8</v>
      </c>
      <c r="AQ37" s="495" t="str">
        <f>IF('Feuilles=description générale'!$E$13="","",IF(AP37="","",IF(AP37&gt;('Feuilles=description générale'!$E$25+'Feuilles=description générale'!$E$24),"",100*(AP37-'Feuilles=description générale'!$E$24)/('Feuilles=description générale'!$E$25))))</f>
        <v/>
      </c>
      <c r="AR37" s="495">
        <f>IF('Feuilles=description générale'!$E$27="","",IF(AP37="","",IF(AP37&lt;=('Feuilles=description générale'!$E$25+'Feuilles=description générale'!$E$24),"",100*(AP37-'Feuilles=description générale'!$E$25-'Feuilles=description générale'!$E$24)/('Feuilles=description générale'!$E$26))))</f>
        <v>26.029992107340178</v>
      </c>
      <c r="AS37" s="496">
        <f>IF('Feuilles=description générale'!$E$27="","",IF(AP37="","",100*(AP37-'Feuilles=description générale'!$E$24)/('Feuilles=description générale'!$E$27-'Feuilles=description générale'!$E$24)))</f>
        <v>42.727939379124905</v>
      </c>
      <c r="AT37" s="497">
        <f t="shared" si="10"/>
        <v>2</v>
      </c>
      <c r="AU37" s="500">
        <f t="shared" si="11"/>
        <v>2</v>
      </c>
      <c r="AV37" s="494">
        <f t="shared" si="12"/>
        <v>7.3999999999999773</v>
      </c>
      <c r="AW37" s="499" t="str">
        <f t="shared" si="13"/>
        <v/>
      </c>
      <c r="AX37" s="371"/>
      <c r="AY37" s="494">
        <f t="shared" si="14"/>
        <v>195.3</v>
      </c>
      <c r="AZ37" s="495" t="str">
        <f>IF('Feuilles=description générale'!$E$13="","",IF(AY37="","",IF(AY37&gt;('Feuilles=description générale'!$E$25+'Feuilles=description générale'!$E$24),"",100*(AY37-'Feuilles=description générale'!$E$24)/('Feuilles=description générale'!$E$25))))</f>
        <v/>
      </c>
      <c r="BA37" s="495">
        <f>IF('Feuilles=description générale'!$E$27="","",IF(AY37="","",IF(AY37&lt;=('Feuilles=description générale'!$E$25+'Feuilles=description générale'!$E$24),"",100*(AY37-'Feuilles=description générale'!$E$25-'Feuilles=description générale'!$E$24)/('Feuilles=description générale'!$E$26))))</f>
        <v>25.240726124704032</v>
      </c>
      <c r="BB37" s="496">
        <f>IF('Feuilles=description générale'!$E$27="","",IF(AY37="","",100*(AY37-'Feuilles=description générale'!$E$24)/('Feuilles=description générale'!$E$27-'Feuilles=description générale'!$E$24)))</f>
        <v>42.116841847958931</v>
      </c>
      <c r="BC37" s="497">
        <f t="shared" si="15"/>
        <v>1</v>
      </c>
      <c r="BD37" s="500" t="str">
        <f t="shared" si="16"/>
        <v/>
      </c>
      <c r="BE37" s="494" t="str">
        <f t="shared" si="17"/>
        <v/>
      </c>
      <c r="BF37" s="499">
        <f t="shared" si="18"/>
        <v>2.1999999999999886</v>
      </c>
      <c r="BG37" s="476"/>
      <c r="BH37" s="529">
        <f t="shared" si="52"/>
        <v>44</v>
      </c>
      <c r="BI37" s="530">
        <f t="shared" si="47"/>
        <v>8</v>
      </c>
      <c r="BJ37" s="521"/>
      <c r="BK37" s="529">
        <f>IF(SUMIF($BI$30:$BI$42,8,$BH$30:$BH$42)=0,"",SUMIF($BI$30:$BI$42,8,$BH$30:$BH$42))</f>
        <v>44</v>
      </c>
      <c r="BL37" s="531">
        <f t="shared" si="48"/>
        <v>0</v>
      </c>
      <c r="BM37" s="532">
        <f t="shared" si="48"/>
        <v>18</v>
      </c>
      <c r="BN37" s="532">
        <f t="shared" si="48"/>
        <v>8</v>
      </c>
      <c r="BO37" s="533">
        <f t="shared" si="48"/>
        <v>0</v>
      </c>
      <c r="BP37" s="534">
        <f t="shared" si="49"/>
        <v>26</v>
      </c>
      <c r="BQ37" s="535">
        <f t="shared" si="50"/>
        <v>0</v>
      </c>
      <c r="BR37" s="536">
        <f t="shared" si="51"/>
        <v>69.230769230769226</v>
      </c>
      <c r="BS37" s="536">
        <f t="shared" si="51"/>
        <v>30.76923076923077</v>
      </c>
      <c r="BT37" s="537">
        <f t="shared" si="51"/>
        <v>0</v>
      </c>
      <c r="BU37" s="1187">
        <f t="shared" si="53"/>
        <v>100</v>
      </c>
      <c r="BV37" s="1114" t="str">
        <f t="shared" si="19"/>
        <v/>
      </c>
      <c r="BW37" s="1114">
        <f t="shared" si="19"/>
        <v>1.960000000000016</v>
      </c>
      <c r="BX37" s="1114">
        <f t="shared" si="20"/>
        <v>28.090000000000121</v>
      </c>
      <c r="BY37" s="1115" t="str">
        <f t="shared" si="20"/>
        <v/>
      </c>
      <c r="BZ37" s="477"/>
      <c r="CA37" s="1114">
        <f t="shared" si="21"/>
        <v>54.759999999999664</v>
      </c>
      <c r="CB37" s="1114" t="str">
        <f t="shared" si="21"/>
        <v/>
      </c>
      <c r="CC37" s="1114" t="str">
        <f t="shared" si="22"/>
        <v/>
      </c>
      <c r="CD37" s="1115">
        <f t="shared" si="22"/>
        <v>4.8399999999999501</v>
      </c>
      <c r="CE37" s="568"/>
      <c r="CF37" s="509">
        <v>17</v>
      </c>
      <c r="CG37" s="510">
        <f>SUMIF($AA$11:$AA$170,"&lt;20",$AE$11:$AE$170)+SUMIF($AS$11:$AS$170,"&lt;20",$AW$11:$AW$170)-SUMIF($AA$11:$AA$170,"&lt;14",$AE$11:$AE$170)-SUMIF($AS$11:$AS$170,"&lt;14",$AW$11:$AW$170)</f>
        <v>4.7000000000000028</v>
      </c>
      <c r="CH37" s="511">
        <f>SUMIF($AA$11:$AA$170,"&lt;20",$BW$11:$BW$170)+SUMIF($AS$11:$AS$170,"&lt;20",$CB$11:$CB$170)-SUMIF($AA$11:$AA$170,"&lt;14",$BW$11:$BW$170)-SUMIF($AS$11:$AS$170,"&lt;14",$CB$11:$CB$170)</f>
        <v>7.4700000000000166</v>
      </c>
      <c r="CI37" s="511">
        <f>SUMPRODUCT(($AA$11:$AA$170&lt;20)*($AE$11:$AE$170&lt;&gt;""))+SUMPRODUCT(($AS$11:$AS$170&lt;20)*($AW$11:$AW$170&lt;&gt;""))-SUMPRODUCT(($AA$11:$AA$170&lt;14)*($AE$11:$AE$170&lt;&gt;""))-SUMPRODUCT(($AS$11:$AS$170&lt;14)*($AW$11:$AW$170&lt;&gt;""))</f>
        <v>3</v>
      </c>
      <c r="CJ37" s="511">
        <f t="shared" si="55"/>
        <v>1.5666666666666675</v>
      </c>
      <c r="CK37" s="512">
        <f>IF(CI37&lt;2,0,IF((CH37/CI37-CJ37*CJ37)/(CI37-1)&lt;0,0,SQRT((CH37/CI37-CJ37*CJ37)/(CI37-1))))</f>
        <v>0.13333333333333877</v>
      </c>
      <c r="CL37" s="510">
        <f>SUMIF($AJ$11:$AJ$170,"&lt;20",$AN$11:$AN$170)+SUMIF($BB$11:$BB$170,"&lt;20",$BF$11:$BF$170)-SUMIF($AJ$11:$AJ$170,"&lt;14",$AN$11:$AN$170)-SUMIF($BB$11:$BB$170,"&lt;14",$BF$11:$BF$170)</f>
        <v>3.7999999999999972</v>
      </c>
      <c r="CM37" s="511">
        <f>SUMIF($AJ$11:$AJ$170,"&lt;20",$BY$11:$BY$170)+SUMIF($BB$11:$BB$170,"&lt;20",$CD$11:$CD$170)-SUMIF($AJ$11:$AJ$170,"&lt;14",$BY$11:$BY$170)-SUMIF($BB$11:$BB$170,"&lt;14",$CD$11:$CD$170)</f>
        <v>7.2399999999999949</v>
      </c>
      <c r="CN37" s="511">
        <f>SUMPRODUCT(($AJ$11:$AJ$170&lt;20)*($AN$11:$AN$170&lt;&gt;""))+SUMPRODUCT(($BB$11:$BB$170&lt;20)*($BF$11:$BF$170&lt;&gt;""))-SUMPRODUCT(($AJ$11:$AJ$170&lt;14)*($AN$11:$AN$170&lt;&gt;""))-SUMPRODUCT(($BB$11:$BB$170&lt;14)*($BF$11:$BF$170&lt;&gt;""))</f>
        <v>2</v>
      </c>
      <c r="CO37" s="511">
        <f t="shared" si="56"/>
        <v>1.8999999999999986</v>
      </c>
      <c r="CP37" s="512">
        <f>IF(CN37&lt;2,0,IF((CM37/CN37-CO37*CO37)/(CN37-1)&lt;0,0,SQRT((CM37/CN37-CO37*CO37)/(CN37-1))))</f>
        <v>0.10000000000001448</v>
      </c>
      <c r="CQ37" s="510">
        <f t="shared" si="57"/>
        <v>8.5</v>
      </c>
      <c r="CR37" s="511">
        <f t="shared" si="57"/>
        <v>14.710000000000012</v>
      </c>
      <c r="CS37" s="511">
        <f t="shared" si="57"/>
        <v>5</v>
      </c>
      <c r="CT37" s="511">
        <f t="shared" si="58"/>
        <v>1.7</v>
      </c>
      <c r="CU37" s="512">
        <f>IF(CS37&lt;2,0,IF((CR37/CS37-CT37*CT37)/(CS37-1)&lt;0,0,SQRT((CR37/CS37-CT37*CT37)/(CS37-1))))</f>
        <v>0.11401754250991677</v>
      </c>
      <c r="CV37" s="476"/>
      <c r="CW37" s="345"/>
      <c r="CX37" s="345"/>
      <c r="CY37" s="345"/>
      <c r="CZ37" s="345"/>
      <c r="DA37" s="345"/>
      <c r="DB37" s="345"/>
      <c r="DC37" s="345"/>
      <c r="DD37" s="345"/>
      <c r="DE37" s="345"/>
      <c r="DF37" s="345"/>
      <c r="DG37" s="345"/>
      <c r="DH37" s="345"/>
      <c r="DI37" s="345"/>
      <c r="DJ37" s="345"/>
      <c r="DK37" s="345"/>
      <c r="DL37" s="345"/>
      <c r="DM37" s="345"/>
      <c r="DN37" s="345"/>
      <c r="DO37" s="345"/>
      <c r="DP37" s="345"/>
      <c r="DQ37" s="345"/>
      <c r="DR37" s="345"/>
      <c r="DS37" s="345"/>
      <c r="DT37" s="345"/>
      <c r="DU37" s="345"/>
      <c r="DV37" s="345"/>
      <c r="DW37" s="345"/>
      <c r="DX37" s="345"/>
      <c r="DY37" s="345"/>
      <c r="DZ37" s="345"/>
      <c r="EA37" s="345"/>
      <c r="EB37" s="345"/>
      <c r="EC37" s="345"/>
      <c r="ED37" s="345"/>
      <c r="EE37" s="345"/>
      <c r="EF37" s="345"/>
      <c r="EG37" s="345"/>
      <c r="EH37" s="345"/>
      <c r="EI37" s="345"/>
      <c r="EJ37" s="345"/>
      <c r="EK37" s="345"/>
      <c r="EL37" s="345"/>
      <c r="EM37" s="345"/>
      <c r="EN37" s="345"/>
      <c r="EO37" s="345"/>
      <c r="EP37" s="345"/>
      <c r="EQ37" s="345"/>
      <c r="ER37" s="345"/>
      <c r="ES37" s="345"/>
      <c r="ET37" s="345"/>
      <c r="EU37" s="345"/>
      <c r="EV37" s="345"/>
      <c r="EW37" s="345"/>
      <c r="EX37" s="345"/>
      <c r="EY37" s="345"/>
      <c r="EZ37" s="345"/>
      <c r="FA37" s="345"/>
      <c r="FB37" s="345"/>
      <c r="FC37" s="345"/>
      <c r="FD37" s="345"/>
      <c r="FE37" s="345"/>
      <c r="FF37" s="345"/>
      <c r="FG37" s="345"/>
      <c r="FH37" s="345"/>
      <c r="FI37" s="345"/>
      <c r="FJ37" s="345"/>
      <c r="FK37" s="345"/>
      <c r="FL37" s="345"/>
      <c r="FM37" s="345"/>
      <c r="FN37" s="345"/>
      <c r="FO37" s="345"/>
      <c r="FP37" s="345"/>
      <c r="FQ37" s="345"/>
      <c r="FR37" s="345"/>
      <c r="FS37" s="345"/>
      <c r="FT37" s="345"/>
      <c r="FU37" s="345"/>
      <c r="FV37" s="345"/>
      <c r="FW37" s="345"/>
      <c r="FX37" s="345"/>
      <c r="FY37" s="345"/>
      <c r="FZ37" s="345"/>
      <c r="GA37" s="345"/>
      <c r="GB37" s="345"/>
      <c r="GC37" s="345"/>
      <c r="GD37" s="345"/>
      <c r="GE37" s="345"/>
      <c r="GF37" s="345"/>
      <c r="GG37" s="345"/>
      <c r="GH37" s="345"/>
      <c r="GI37" s="345"/>
      <c r="GJ37" s="345"/>
      <c r="GK37" s="345"/>
      <c r="GL37" s="345"/>
      <c r="GM37" s="345"/>
      <c r="GN37" s="345"/>
      <c r="GO37" s="345"/>
      <c r="GP37" s="345"/>
      <c r="GQ37" s="345"/>
      <c r="GR37" s="345"/>
      <c r="GS37" s="345"/>
      <c r="GT37" s="345"/>
      <c r="GU37" s="345"/>
    </row>
    <row r="38" spans="1:203" ht="12.75" customHeight="1">
      <c r="A38" s="465">
        <f t="shared" si="31"/>
        <v>2</v>
      </c>
      <c r="B38" s="1108">
        <v>28</v>
      </c>
      <c r="C38" s="1109">
        <v>0</v>
      </c>
      <c r="D38" s="398">
        <v>201.5</v>
      </c>
      <c r="E38" s="1120"/>
      <c r="F38" s="465">
        <f t="shared" si="36"/>
        <v>2</v>
      </c>
      <c r="G38" s="1108">
        <v>28</v>
      </c>
      <c r="H38" s="1109">
        <v>1</v>
      </c>
      <c r="I38" s="398">
        <v>202.4</v>
      </c>
      <c r="J38" s="1120"/>
      <c r="K38" s="465"/>
      <c r="L38" s="465"/>
      <c r="M38" s="465">
        <f t="shared" si="23"/>
        <v>2</v>
      </c>
      <c r="N38" s="1108">
        <v>28</v>
      </c>
      <c r="O38" s="1109">
        <v>1</v>
      </c>
      <c r="P38" s="1110">
        <v>205.2</v>
      </c>
      <c r="Q38" s="1120"/>
      <c r="R38" s="465">
        <f t="shared" si="24"/>
        <v>2</v>
      </c>
      <c r="S38" s="1108">
        <v>28</v>
      </c>
      <c r="T38" s="1109">
        <v>-1</v>
      </c>
      <c r="U38" s="1110">
        <v>197.5</v>
      </c>
      <c r="V38" s="1120"/>
      <c r="W38" s="371"/>
      <c r="X38" s="494">
        <f t="shared" si="0"/>
        <v>201.5</v>
      </c>
      <c r="Y38" s="495" t="str">
        <f>IF('Feuilles=description générale'!$E$13="","",IF(X38="","",IF(X38&gt;('Feuilles=description générale'!$E$11+'Feuilles=description générale'!$E$10),"",100*(X38-'Feuilles=description générale'!$E$10)/('Feuilles=description générale'!$E$11))))</f>
        <v/>
      </c>
      <c r="Z38" s="495">
        <f>IF('Feuilles=description générale'!$E$13="","",IF(X38="","",IF(X38&lt;=('Feuilles=description générale'!$E$11+'Feuilles=description générale'!$E$10),"",100*(X38-'Feuilles=description générale'!$E$11-'Feuilles=description générale'!$E$10)/('Feuilles=description générale'!$E$12))))</f>
        <v>29.253808417247608</v>
      </c>
      <c r="AA38" s="1112">
        <f>IF('Feuilles=description générale'!$E$13="","",IF(X38="","",100*(X38-'Feuilles=description générale'!$E$10)/('Feuilles=description générale'!$E$13-'Feuilles=description générale'!$E$10)))</f>
        <v>46.761658031088082</v>
      </c>
      <c r="AB38" s="497">
        <f t="shared" si="1"/>
        <v>2</v>
      </c>
      <c r="AC38" s="500" t="str">
        <f t="shared" si="32"/>
        <v/>
      </c>
      <c r="AD38" s="494" t="str">
        <f t="shared" si="2"/>
        <v/>
      </c>
      <c r="AE38" s="499">
        <f t="shared" si="3"/>
        <v>2</v>
      </c>
      <c r="AF38" s="371"/>
      <c r="AG38" s="494">
        <f t="shared" si="4"/>
        <v>202.4</v>
      </c>
      <c r="AH38" s="495" t="str">
        <f>IF('Feuilles=description générale'!$E$13="","",IF(AG38="","",IF(AG38&gt;('Feuilles=description générale'!$E$11+'Feuilles=description générale'!$E$10),"",100*(AG38-'Feuilles=description générale'!$E$10)/('Feuilles=description générale'!$E$11))))</f>
        <v/>
      </c>
      <c r="AI38" s="495">
        <f>IF('Feuilles=description générale'!$E$13="","",IF(AG38="","",IF(AG38&lt;=('Feuilles=description générale'!$E$11+'Feuilles=description générale'!$E$10),"",100*(AG38-'Feuilles=description générale'!$E$11-'Feuilles=description générale'!$E$10)/('Feuilles=description générale'!$E$12))))</f>
        <v>29.563645752646533</v>
      </c>
      <c r="AJ38" s="496">
        <f>IF('Feuilles=description générale'!$E$13="","",IF(AG38="","",100*(AG38-'Feuilles=description générale'!$E$10)/('Feuilles=description générale'!$E$13-'Feuilles=description générale'!$E$10)))</f>
        <v>46.994818652849744</v>
      </c>
      <c r="AK38" s="1113">
        <f t="shared" si="5"/>
        <v>1</v>
      </c>
      <c r="AL38" s="498" t="str">
        <f t="shared" si="6"/>
        <v/>
      </c>
      <c r="AM38" s="494" t="str">
        <f t="shared" si="7"/>
        <v/>
      </c>
      <c r="AN38" s="499">
        <f t="shared" si="8"/>
        <v>2.0999999999999943</v>
      </c>
      <c r="AO38" s="371"/>
      <c r="AP38" s="494">
        <f t="shared" si="9"/>
        <v>205.2</v>
      </c>
      <c r="AQ38" s="495" t="str">
        <f>IF('Feuilles=description générale'!$E$13="","",IF(AP38="","",IF(AP38&gt;('Feuilles=description générale'!$E$25+'Feuilles=description générale'!$E$24),"",100*(AP38-'Feuilles=description générale'!$E$24)/('Feuilles=description générale'!$E$25))))</f>
        <v/>
      </c>
      <c r="AR38" s="495">
        <f>IF('Feuilles=description générale'!$E$27="","",IF(AP38="","",IF(AP38&lt;=('Feuilles=description générale'!$E$25+'Feuilles=description générale'!$E$24),"",100*(AP38-'Feuilles=description générale'!$E$25-'Feuilles=description générale'!$E$24)/('Feuilles=description générale'!$E$26))))</f>
        <v>28.366219415943174</v>
      </c>
      <c r="AS38" s="496">
        <f>IF('Feuilles=description générale'!$E$27="","",IF(AP38="","",100*(AP38-'Feuilles=description générale'!$E$24)/('Feuilles=description générale'!$E$27-'Feuilles=description générale'!$E$24)))</f>
        <v>44.536788071376186</v>
      </c>
      <c r="AT38" s="497">
        <f t="shared" si="10"/>
        <v>1</v>
      </c>
      <c r="AU38" s="500" t="str">
        <f t="shared" si="11"/>
        <v/>
      </c>
      <c r="AV38" s="494" t="str">
        <f t="shared" si="12"/>
        <v/>
      </c>
      <c r="AW38" s="499">
        <f t="shared" si="13"/>
        <v>1.6000000000000227</v>
      </c>
      <c r="AX38" s="371"/>
      <c r="AY38" s="494">
        <f t="shared" si="14"/>
        <v>197.5</v>
      </c>
      <c r="AZ38" s="495" t="str">
        <f>IF('Feuilles=description générale'!$E$13="","",IF(AY38="","",IF(AY38&gt;('Feuilles=description générale'!$E$25+'Feuilles=description générale'!$E$24),"",100*(AY38-'Feuilles=description générale'!$E$24)/('Feuilles=description générale'!$E$25))))</f>
        <v/>
      </c>
      <c r="BA38" s="495">
        <f>IF('Feuilles=description générale'!$E$27="","",IF(AY38="","",IF(AY38&lt;=('Feuilles=description générale'!$E$25+'Feuilles=description générale'!$E$24),"",100*(AY38-'Feuilles=description générale'!$E$25-'Feuilles=description générale'!$E$24)/('Feuilles=description générale'!$E$26))))</f>
        <v>25.935280189423835</v>
      </c>
      <c r="BB38" s="496">
        <f>IF('Feuilles=description générale'!$E$27="","",IF(AY38="","",100*(AY38-'Feuilles=description générale'!$E$24)/('Feuilles=description générale'!$E$27-'Feuilles=description générale'!$E$24)))</f>
        <v>42.654607675384987</v>
      </c>
      <c r="BC38" s="497">
        <f t="shared" si="15"/>
        <v>2</v>
      </c>
      <c r="BD38" s="500">
        <f t="shared" si="16"/>
        <v>2</v>
      </c>
      <c r="BE38" s="494">
        <f t="shared" si="17"/>
        <v>7.3000000000000114</v>
      </c>
      <c r="BF38" s="499" t="str">
        <f t="shared" si="18"/>
        <v/>
      </c>
      <c r="BG38" s="476"/>
      <c r="BH38" s="529">
        <f t="shared" si="52"/>
        <v>60</v>
      </c>
      <c r="BI38" s="530">
        <f t="shared" si="47"/>
        <v>9</v>
      </c>
      <c r="BJ38" s="521"/>
      <c r="BK38" s="529">
        <f>IF(SUMIF($BI$30:$BI$42,9,$BH$30:$BH$42)=0,"",SUMIF($BI$30:$BI$42,9,$BH$30:$BH$42))</f>
        <v>60</v>
      </c>
      <c r="BL38" s="531">
        <f t="shared" si="48"/>
        <v>0</v>
      </c>
      <c r="BM38" s="532">
        <f t="shared" si="48"/>
        <v>19</v>
      </c>
      <c r="BN38" s="532">
        <f t="shared" si="48"/>
        <v>15</v>
      </c>
      <c r="BO38" s="533">
        <f t="shared" si="48"/>
        <v>0</v>
      </c>
      <c r="BP38" s="534">
        <f t="shared" si="49"/>
        <v>34</v>
      </c>
      <c r="BQ38" s="535">
        <f t="shared" si="50"/>
        <v>0</v>
      </c>
      <c r="BR38" s="536">
        <f t="shared" si="51"/>
        <v>55.882352941176471</v>
      </c>
      <c r="BS38" s="536">
        <f t="shared" si="51"/>
        <v>44.117647058823529</v>
      </c>
      <c r="BT38" s="537">
        <f t="shared" si="51"/>
        <v>0</v>
      </c>
      <c r="BU38" s="1187">
        <f t="shared" si="53"/>
        <v>100</v>
      </c>
      <c r="BV38" s="1114" t="str">
        <f t="shared" si="19"/>
        <v/>
      </c>
      <c r="BW38" s="1114">
        <f t="shared" si="19"/>
        <v>4</v>
      </c>
      <c r="BX38" s="1114" t="str">
        <f t="shared" si="20"/>
        <v/>
      </c>
      <c r="BY38" s="1115">
        <f t="shared" si="20"/>
        <v>4.4099999999999762</v>
      </c>
      <c r="BZ38" s="477"/>
      <c r="CA38" s="1114" t="str">
        <f t="shared" si="21"/>
        <v/>
      </c>
      <c r="CB38" s="1114">
        <f t="shared" si="21"/>
        <v>2.5600000000000729</v>
      </c>
      <c r="CC38" s="1114">
        <f t="shared" si="22"/>
        <v>53.290000000000163</v>
      </c>
      <c r="CD38" s="1115" t="str">
        <f t="shared" si="22"/>
        <v/>
      </c>
      <c r="CE38" s="568"/>
      <c r="CF38" s="509">
        <v>24</v>
      </c>
      <c r="CG38" s="510">
        <f>SUMIF($AA$11:$AA$170,"&lt;28",$AE$11:$AE$170)+SUMIF($AS$11:$AS$170,"&lt;28",$AW$11:$AW$170)-SUMIF($AA$11:$AA$170,"&lt;20",$AE$11:$AE$170)-SUMIF($AS$11:$AS$170,"&lt;20",$AW$11:$AW$170)</f>
        <v>6.3999999999999915</v>
      </c>
      <c r="CH38" s="511">
        <f>SUMIF($AA$11:$AA$170,"&lt;28",$BW$11:$BW$170)+SUMIF($AS$11:$AS$170,"&lt;28",$CB$11:$CB$170)-SUMIF($AA$11:$AA$170,"&lt;20",$BW$11:$BW$170)-SUMIF($AS$11:$AS$170,"&lt;20",$CB$11:$CB$170)</f>
        <v>10.259999999999962</v>
      </c>
      <c r="CI38" s="511">
        <f>SUMPRODUCT(($AA$11:$AA$170&lt;28)*($AE$11:$AE$170&lt;&gt;""))+SUMPRODUCT(($AS$11:$AS$170&lt;28)*($AW$11:$AW$170&lt;&gt;""))-SUMPRODUCT(($AA$11:$AA$170&lt;20)*($AE$11:$AE$170&lt;&gt;""))-SUMPRODUCT(($AS$11:$AS$170&lt;20)*($AW$11:$AW$170&lt;&gt;""))</f>
        <v>4</v>
      </c>
      <c r="CJ38" s="511">
        <f t="shared" si="55"/>
        <v>1.5999999999999979</v>
      </c>
      <c r="CK38" s="512">
        <f t="shared" ref="CK38:CK44" si="59">IF(CI38&lt;2,0,IF((CH38/CI38-CJ38*CJ38)/(CI38-1)&lt;0,0,SQRT((CH38/CI38-CJ38*CJ38)/(CI38-1))))</f>
        <v>4.0824829046374987E-2</v>
      </c>
      <c r="CL38" s="510">
        <f>SUMIF($AJ$11:$AJ$170,"&lt;28",$AN$11:$AN$170)+SUMIF($BB$11:$BB$170,"&lt;28",$BF$11:$BF$170)-SUMIF($AJ$11:$AJ$170,"&lt;20",$AN$11:$AN$170)-SUMIF($BB$11:$BB$170,"&lt;20",$BF$11:$BF$170)</f>
        <v>6.6000000000000227</v>
      </c>
      <c r="CM38" s="511">
        <f>SUMIF($AJ$11:$AJ$170,"&lt;28",$BY$11:$BY$170)+SUMIF($BB$11:$BB$170,"&lt;28",$CD$11:$CD$170)-SUMIF($AJ$11:$AJ$170,"&lt;20",$BY$11:$BY$170)-SUMIF($BB$11:$BB$170,"&lt;20",$CD$11:$CD$170)</f>
        <v>10.92000000000008</v>
      </c>
      <c r="CN38" s="511">
        <f>SUMPRODUCT(($AJ$11:$AJ$170&lt;28)*($AN$11:$AN$170&lt;&gt;""))+SUMPRODUCT(($BB$11:$BB$170&lt;28)*($BF$11:$BF$170&lt;&gt;""))-SUMPRODUCT(($AJ$11:$AJ$170&lt;20)*($AN$11:$AN$170&lt;&gt;""))-SUMPRODUCT(($BB$11:$BB$170&lt;20)*($BF$11:$BF$170&lt;&gt;""))</f>
        <v>4</v>
      </c>
      <c r="CO38" s="511">
        <f t="shared" si="56"/>
        <v>1.6500000000000057</v>
      </c>
      <c r="CP38" s="512">
        <f t="shared" ref="CP38:CP44" si="60">IF(CN38&lt;2,0,IF((CM38/CN38-CO38*CO38)/(CN38-1)&lt;0,0,SQRT((CM38/CN38-CO38*CO38)/(CN38-1))))</f>
        <v>5.0000000000003909E-2</v>
      </c>
      <c r="CQ38" s="510">
        <f t="shared" si="57"/>
        <v>13.000000000000014</v>
      </c>
      <c r="CR38" s="511">
        <f t="shared" si="57"/>
        <v>21.180000000000042</v>
      </c>
      <c r="CS38" s="511">
        <f t="shared" si="57"/>
        <v>8</v>
      </c>
      <c r="CT38" s="511">
        <f t="shared" si="58"/>
        <v>1.6250000000000018</v>
      </c>
      <c r="CU38" s="512">
        <f t="shared" ref="CU38:CU44" si="61">IF(CS38&lt;2,0,IF((CR38/CS38-CT38*CT38)/(CS38-1)&lt;0,0,SQRT((CR38/CS38-CT38*CT38)/(CS38-1))))</f>
        <v>3.1339158526399347E-2</v>
      </c>
      <c r="CV38" s="476"/>
      <c r="CW38" s="345"/>
      <c r="CX38" s="345"/>
      <c r="CY38" s="345"/>
      <c r="CZ38" s="345"/>
      <c r="DA38" s="345"/>
      <c r="DB38" s="345"/>
      <c r="DC38" s="345"/>
      <c r="DD38" s="345"/>
      <c r="DE38" s="345"/>
      <c r="DF38" s="345"/>
      <c r="DG38" s="345"/>
      <c r="DH38" s="345"/>
      <c r="DI38" s="345"/>
      <c r="DJ38" s="345"/>
      <c r="DK38" s="345"/>
      <c r="DL38" s="345"/>
      <c r="DM38" s="345"/>
      <c r="DN38" s="345"/>
      <c r="DO38" s="345"/>
      <c r="DP38" s="345"/>
      <c r="DQ38" s="345"/>
      <c r="DR38" s="345"/>
      <c r="DS38" s="345"/>
      <c r="DT38" s="345"/>
      <c r="DU38" s="345"/>
      <c r="DV38" s="345"/>
      <c r="DW38" s="345"/>
      <c r="DX38" s="345"/>
      <c r="DY38" s="345"/>
      <c r="DZ38" s="345"/>
      <c r="EA38" s="345"/>
      <c r="EB38" s="345"/>
      <c r="EC38" s="345"/>
      <c r="ED38" s="345"/>
      <c r="EE38" s="345"/>
      <c r="EF38" s="345"/>
      <c r="EG38" s="345"/>
      <c r="EH38" s="345"/>
      <c r="EI38" s="345"/>
      <c r="EJ38" s="345"/>
      <c r="EK38" s="345"/>
      <c r="EL38" s="345"/>
      <c r="EM38" s="345"/>
      <c r="EN38" s="345"/>
      <c r="EO38" s="345"/>
      <c r="EP38" s="345"/>
      <c r="EQ38" s="345"/>
      <c r="ER38" s="345"/>
      <c r="ES38" s="345"/>
      <c r="ET38" s="345"/>
      <c r="EU38" s="345"/>
      <c r="EV38" s="345"/>
      <c r="EW38" s="345"/>
      <c r="EX38" s="345"/>
      <c r="EY38" s="345"/>
      <c r="EZ38" s="345"/>
      <c r="FA38" s="345"/>
      <c r="FB38" s="345"/>
      <c r="FC38" s="345"/>
      <c r="FD38" s="345"/>
      <c r="FE38" s="345"/>
      <c r="FF38" s="345"/>
      <c r="FG38" s="345"/>
      <c r="FH38" s="345"/>
      <c r="FI38" s="345"/>
      <c r="FJ38" s="345"/>
      <c r="FK38" s="345"/>
      <c r="FL38" s="345"/>
      <c r="FM38" s="345"/>
      <c r="FN38" s="345"/>
      <c r="FO38" s="345"/>
      <c r="FP38" s="345"/>
      <c r="FQ38" s="345"/>
      <c r="FR38" s="345"/>
      <c r="FS38" s="345"/>
      <c r="FT38" s="345"/>
      <c r="FU38" s="345"/>
      <c r="FV38" s="345"/>
      <c r="FW38" s="345"/>
      <c r="FX38" s="345"/>
      <c r="FY38" s="345"/>
      <c r="FZ38" s="345"/>
      <c r="GA38" s="345"/>
      <c r="GB38" s="345"/>
      <c r="GC38" s="345"/>
      <c r="GD38" s="345"/>
      <c r="GE38" s="345"/>
      <c r="GF38" s="345"/>
      <c r="GG38" s="345"/>
      <c r="GH38" s="345"/>
      <c r="GI38" s="345"/>
      <c r="GJ38" s="345"/>
      <c r="GK38" s="345"/>
      <c r="GL38" s="345"/>
      <c r="GM38" s="345"/>
      <c r="GN38" s="345"/>
      <c r="GO38" s="345"/>
      <c r="GP38" s="345"/>
      <c r="GQ38" s="345"/>
      <c r="GR38" s="345"/>
      <c r="GS38" s="345"/>
      <c r="GT38" s="345"/>
      <c r="GU38" s="345"/>
    </row>
    <row r="39" spans="1:203" ht="12.75" customHeight="1">
      <c r="A39" s="465">
        <f t="shared" si="31"/>
        <v>2</v>
      </c>
      <c r="B39" s="1108">
        <v>29</v>
      </c>
      <c r="C39" s="1109">
        <v>-1</v>
      </c>
      <c r="D39" s="398">
        <v>203.5</v>
      </c>
      <c r="E39" s="1120"/>
      <c r="F39" s="465">
        <f t="shared" si="36"/>
        <v>2</v>
      </c>
      <c r="G39" s="1108">
        <v>29</v>
      </c>
      <c r="H39" s="1109">
        <v>-1</v>
      </c>
      <c r="I39" s="398">
        <v>204.5</v>
      </c>
      <c r="J39" s="1120"/>
      <c r="K39" s="465"/>
      <c r="L39" s="465"/>
      <c r="M39" s="465">
        <f t="shared" si="23"/>
        <v>2</v>
      </c>
      <c r="N39" s="1108">
        <v>29</v>
      </c>
      <c r="O39" s="1109">
        <v>-1</v>
      </c>
      <c r="P39" s="1110">
        <v>206.8</v>
      </c>
      <c r="Q39" s="1120"/>
      <c r="R39" s="465">
        <f t="shared" si="24"/>
        <v>2</v>
      </c>
      <c r="S39" s="1108">
        <v>29</v>
      </c>
      <c r="T39" s="1109">
        <v>1</v>
      </c>
      <c r="U39" s="1110">
        <v>204.8</v>
      </c>
      <c r="V39" s="1120"/>
      <c r="W39" s="371"/>
      <c r="X39" s="494">
        <f t="shared" si="0"/>
        <v>203.5</v>
      </c>
      <c r="Y39" s="495" t="str">
        <f>IF('Feuilles=description générale'!$E$13="","",IF(X39="","",IF(X39&gt;('Feuilles=description générale'!$E$11+'Feuilles=description générale'!$E$10),"",100*(X39-'Feuilles=description générale'!$E$10)/('Feuilles=description générale'!$E$11))))</f>
        <v/>
      </c>
      <c r="Z39" s="495">
        <f>IF('Feuilles=description générale'!$E$13="","",IF(X39="","",IF(X39&lt;=('Feuilles=description générale'!$E$11+'Feuilles=description générale'!$E$10),"",100*(X39-'Feuilles=description générale'!$E$11-'Feuilles=description générale'!$E$10)/('Feuilles=description générale'!$E$12))))</f>
        <v>29.942335829245199</v>
      </c>
      <c r="AA39" s="1112">
        <f>IF('Feuilles=description générale'!$E$13="","",IF(X39="","",100*(X39-'Feuilles=description générale'!$E$10)/('Feuilles=description générale'!$E$13-'Feuilles=description générale'!$E$10)))</f>
        <v>47.279792746113991</v>
      </c>
      <c r="AB39" s="497">
        <f t="shared" si="1"/>
        <v>3</v>
      </c>
      <c r="AC39" s="500">
        <f t="shared" si="32"/>
        <v>3</v>
      </c>
      <c r="AD39" s="494">
        <f t="shared" si="2"/>
        <v>7.5</v>
      </c>
      <c r="AE39" s="499" t="str">
        <f t="shared" si="3"/>
        <v/>
      </c>
      <c r="AF39" s="371"/>
      <c r="AG39" s="494">
        <f t="shared" si="4"/>
        <v>204.5</v>
      </c>
      <c r="AH39" s="495" t="str">
        <f>IF('Feuilles=description générale'!$E$13="","",IF(AG39="","",IF(AG39&gt;('Feuilles=description générale'!$E$11+'Feuilles=description générale'!$E$10),"",100*(AG39-'Feuilles=description générale'!$E$10)/('Feuilles=description générale'!$E$11))))</f>
        <v/>
      </c>
      <c r="AI39" s="495">
        <f>IF('Feuilles=description générale'!$E$13="","",IF(AG39="","",IF(AG39&lt;=('Feuilles=description générale'!$E$11+'Feuilles=description générale'!$E$10),"",100*(AG39-'Feuilles=description générale'!$E$11-'Feuilles=description générale'!$E$10)/('Feuilles=description générale'!$E$12))))</f>
        <v>30.286599535243994</v>
      </c>
      <c r="AJ39" s="496">
        <f>IF('Feuilles=description générale'!$E$13="","",IF(AG39="","",100*(AG39-'Feuilles=description générale'!$E$10)/('Feuilles=description générale'!$E$13-'Feuilles=description générale'!$E$10)))</f>
        <v>47.538860103626945</v>
      </c>
      <c r="AK39" s="1113">
        <f t="shared" si="5"/>
        <v>2</v>
      </c>
      <c r="AL39" s="498">
        <f t="shared" si="6"/>
        <v>2</v>
      </c>
      <c r="AM39" s="494">
        <f t="shared" si="7"/>
        <v>8</v>
      </c>
      <c r="AN39" s="499" t="str">
        <f t="shared" si="8"/>
        <v/>
      </c>
      <c r="AO39" s="371"/>
      <c r="AP39" s="494">
        <f t="shared" si="9"/>
        <v>206.8</v>
      </c>
      <c r="AQ39" s="495" t="str">
        <f>IF('Feuilles=description générale'!$E$13="","",IF(AP39="","",IF(AP39&gt;('Feuilles=description générale'!$E$25+'Feuilles=description générale'!$E$24),"",100*(AP39-'Feuilles=description générale'!$E$24)/('Feuilles=description générale'!$E$25))))</f>
        <v/>
      </c>
      <c r="AR39" s="495">
        <f>IF('Feuilles=description générale'!$E$27="","",IF(AP39="","",IF(AP39&lt;=('Feuilles=description générale'!$E$25+'Feuilles=description générale'!$E$24),"",100*(AP39-'Feuilles=description générale'!$E$25-'Feuilles=description générale'!$E$24)/('Feuilles=description générale'!$E$26))))</f>
        <v>28.871349644830314</v>
      </c>
      <c r="AS39" s="496">
        <f>IF('Feuilles=description générale'!$E$27="","",IF(AP39="","",100*(AP39-'Feuilles=description générale'!$E$24)/('Feuilles=description générale'!$E$27-'Feuilles=description générale'!$E$24)))</f>
        <v>44.927890491322415</v>
      </c>
      <c r="AT39" s="497">
        <f t="shared" si="10"/>
        <v>2</v>
      </c>
      <c r="AU39" s="500">
        <f t="shared" si="11"/>
        <v>2</v>
      </c>
      <c r="AV39" s="494">
        <f t="shared" si="12"/>
        <v>6.6999999999999886</v>
      </c>
      <c r="AW39" s="499" t="str">
        <f t="shared" si="13"/>
        <v/>
      </c>
      <c r="AX39" s="371"/>
      <c r="AY39" s="494">
        <f t="shared" si="14"/>
        <v>204.8</v>
      </c>
      <c r="AZ39" s="495" t="str">
        <f>IF('Feuilles=description générale'!$E$13="","",IF(AY39="","",IF(AY39&gt;('Feuilles=description générale'!$E$25+'Feuilles=description générale'!$E$24),"",100*(AY39-'Feuilles=description générale'!$E$24)/('Feuilles=description générale'!$E$25))))</f>
        <v/>
      </c>
      <c r="BA39" s="495">
        <f>IF('Feuilles=description générale'!$E$27="","",IF(AY39="","",IF(AY39&lt;=('Feuilles=description générale'!$E$25+'Feuilles=description générale'!$E$24),"",100*(AY39-'Feuilles=description générale'!$E$25-'Feuilles=description générale'!$E$24)/('Feuilles=description générale'!$E$26))))</f>
        <v>28.239936858721396</v>
      </c>
      <c r="BB39" s="496">
        <f>IF('Feuilles=description générale'!$E$27="","",IF(AY39="","",100*(AY39-'Feuilles=description générale'!$E$24)/('Feuilles=description générale'!$E$27-'Feuilles=description générale'!$E$24)))</f>
        <v>44.439012466389634</v>
      </c>
      <c r="BC39" s="497">
        <f t="shared" si="15"/>
        <v>1</v>
      </c>
      <c r="BD39" s="500" t="str">
        <f t="shared" si="16"/>
        <v/>
      </c>
      <c r="BE39" s="494" t="str">
        <f t="shared" si="17"/>
        <v/>
      </c>
      <c r="BF39" s="499">
        <f t="shared" si="18"/>
        <v>1.5</v>
      </c>
      <c r="BG39" s="476"/>
      <c r="BH39" s="529">
        <f t="shared" si="52"/>
        <v>76</v>
      </c>
      <c r="BI39" s="530">
        <f t="shared" si="47"/>
        <v>10</v>
      </c>
      <c r="BJ39" s="521"/>
      <c r="BK39" s="529">
        <f>IF(SUMIF($BI$30:$BI$42,10,$BH$30:$BH$42)=0,"",SUMIF($BI$30:$BI$42,10,$BH$30:$BH$42))</f>
        <v>76</v>
      </c>
      <c r="BL39" s="531">
        <f t="shared" si="48"/>
        <v>2</v>
      </c>
      <c r="BM39" s="532">
        <f t="shared" si="48"/>
        <v>29</v>
      </c>
      <c r="BN39" s="532">
        <f t="shared" si="48"/>
        <v>14</v>
      </c>
      <c r="BO39" s="533">
        <f t="shared" si="48"/>
        <v>0</v>
      </c>
      <c r="BP39" s="534">
        <f t="shared" si="49"/>
        <v>45</v>
      </c>
      <c r="BQ39" s="535">
        <f t="shared" si="50"/>
        <v>4.4444444444444446</v>
      </c>
      <c r="BR39" s="536">
        <f t="shared" si="51"/>
        <v>64.444444444444443</v>
      </c>
      <c r="BS39" s="536">
        <f t="shared" si="51"/>
        <v>31.111111111111111</v>
      </c>
      <c r="BT39" s="537">
        <f t="shared" si="51"/>
        <v>0</v>
      </c>
      <c r="BU39" s="1187">
        <f t="shared" si="53"/>
        <v>100</v>
      </c>
      <c r="BV39" s="1114">
        <f t="shared" si="19"/>
        <v>56.25</v>
      </c>
      <c r="BW39" s="1114" t="str">
        <f t="shared" si="19"/>
        <v/>
      </c>
      <c r="BX39" s="1114">
        <f t="shared" si="20"/>
        <v>64</v>
      </c>
      <c r="BY39" s="1115" t="str">
        <f t="shared" si="20"/>
        <v/>
      </c>
      <c r="BZ39" s="477"/>
      <c r="CA39" s="1114">
        <f t="shared" si="21"/>
        <v>44.889999999999844</v>
      </c>
      <c r="CB39" s="1114" t="str">
        <f t="shared" si="21"/>
        <v/>
      </c>
      <c r="CC39" s="1114" t="str">
        <f t="shared" si="22"/>
        <v/>
      </c>
      <c r="CD39" s="1115">
        <f t="shared" si="22"/>
        <v>2.25</v>
      </c>
      <c r="CE39" s="568"/>
      <c r="CF39" s="509">
        <v>32</v>
      </c>
      <c r="CG39" s="510">
        <f>SUMIF($AA$11:$AA$170,"&lt;36",$AE$11:$AE$170)+SUMIF($AS$11:$AS$170,"&lt;36",$AW$11:$AW$170)-SUMIF($AA$11:$AA$170,"&lt;28",$AE$11:$AE$170)-SUMIF($AS$11:$AS$170,"&lt;28",$AW$11:$AW$170)</f>
        <v>7.0999999999999943</v>
      </c>
      <c r="CH39" s="511">
        <f>SUMIF($AA$11:$AA$170,"&lt;36",$BW$11:$BW$170)+SUMIF($AS$11:$AS$170,"&lt;36",$CB$11:$CB$170)-SUMIF($AA$11:$AA$170,"&lt;28",$BW$11:$BW$170)-SUMIF($AS$11:$AS$170,"&lt;28",$CB$11:$CB$170)</f>
        <v>12.989999999999995</v>
      </c>
      <c r="CI39" s="511">
        <f>SUMPRODUCT(($AA$11:$AA$170&lt;36)*($AE$11:$AE$170&lt;&gt;""))+SUMPRODUCT(($AS$11:$AS$170&lt;36)*($AW$11:$AW$170&lt;&gt;""))-SUMPRODUCT(($AA$11:$AA$170&lt;28)*($AE$11:$AE$170&lt;&gt;""))-SUMPRODUCT(($AS$11:$AS$170&lt;28)*($AW$11:$AW$170&lt;&gt;""))</f>
        <v>4</v>
      </c>
      <c r="CJ39" s="511">
        <f t="shared" si="55"/>
        <v>1.7749999999999986</v>
      </c>
      <c r="CK39" s="512">
        <f t="shared" si="59"/>
        <v>0.17969882210706875</v>
      </c>
      <c r="CL39" s="510">
        <f>SUMIF($AJ$11:$AJ$170,"&lt;28",$AN$11:$AN$170)+SUMIF($BB$11:$BB$170,"&lt;28",$BF$11:$BF$170)-SUMIF($AJ$11:$AJ$170,"&lt;20",$AN$11:$AN$170)-SUMIF($BB$11:$BB$170,"&lt;20",$BF$11:$BF$170)</f>
        <v>6.6000000000000227</v>
      </c>
      <c r="CM39" s="511">
        <f>SUMIF($AJ$11:$AJ$170,"&lt;28",$BY$11:$BY$170)+SUMIF($BB$11:$BB$170,"&lt;28",$CD$11:$CD$170)-SUMIF($AJ$11:$AJ$170,"&lt;20",$BY$11:$BY$170)-SUMIF($BB$11:$BB$170,"&lt;20",$CD$11:$CD$170)</f>
        <v>10.92000000000008</v>
      </c>
      <c r="CN39" s="511">
        <f>SUMPRODUCT(($AJ$11:$AJ$170&lt;28)*($AN$11:$AN$170&lt;&gt;""))+SUMPRODUCT(($BB$11:$BB$170&lt;28)*($BF$11:$BF$170&lt;&gt;""))-SUMPRODUCT(($AJ$11:$AJ$170&lt;20)*($AN$11:$AN$170&lt;&gt;""))-SUMPRODUCT(($BB$11:$BB$170&lt;20)*($BF$11:$BF$170&lt;&gt;""))</f>
        <v>4</v>
      </c>
      <c r="CO39" s="511">
        <f t="shared" si="56"/>
        <v>1.6500000000000057</v>
      </c>
      <c r="CP39" s="512">
        <f t="shared" si="60"/>
        <v>5.0000000000003909E-2</v>
      </c>
      <c r="CQ39" s="510">
        <f t="shared" si="57"/>
        <v>13.700000000000017</v>
      </c>
      <c r="CR39" s="511">
        <f t="shared" si="57"/>
        <v>23.910000000000075</v>
      </c>
      <c r="CS39" s="511">
        <f t="shared" si="57"/>
        <v>8</v>
      </c>
      <c r="CT39" s="511">
        <f t="shared" si="58"/>
        <v>1.7125000000000021</v>
      </c>
      <c r="CU39" s="512">
        <f t="shared" si="61"/>
        <v>8.9517556139246335E-2</v>
      </c>
      <c r="CV39" s="476"/>
      <c r="CW39" s="345"/>
      <c r="CX39" s="345"/>
      <c r="CY39" s="345"/>
      <c r="CZ39" s="345"/>
      <c r="DA39" s="345"/>
      <c r="DB39" s="345"/>
      <c r="DC39" s="345"/>
      <c r="DD39" s="345"/>
      <c r="DE39" s="345"/>
      <c r="DF39" s="345"/>
      <c r="DG39" s="345"/>
      <c r="DH39" s="345"/>
      <c r="DI39" s="345"/>
      <c r="DJ39" s="345"/>
      <c r="DK39" s="345"/>
      <c r="DL39" s="345"/>
      <c r="DM39" s="345"/>
      <c r="DN39" s="345"/>
      <c r="DO39" s="345"/>
      <c r="DP39" s="345"/>
      <c r="DQ39" s="345"/>
      <c r="DR39" s="345"/>
      <c r="DS39" s="345"/>
      <c r="DT39" s="345"/>
      <c r="DU39" s="345"/>
      <c r="DV39" s="345"/>
      <c r="DW39" s="345"/>
      <c r="DX39" s="345"/>
      <c r="DY39" s="345"/>
      <c r="DZ39" s="345"/>
      <c r="EA39" s="345"/>
      <c r="EB39" s="345"/>
      <c r="EC39" s="345"/>
      <c r="ED39" s="345"/>
      <c r="EE39" s="345"/>
      <c r="EF39" s="345"/>
      <c r="EG39" s="345"/>
      <c r="EH39" s="345"/>
      <c r="EI39" s="345"/>
      <c r="EJ39" s="345"/>
      <c r="EK39" s="345"/>
      <c r="EL39" s="345"/>
      <c r="EM39" s="345"/>
      <c r="EN39" s="345"/>
      <c r="EO39" s="345"/>
      <c r="EP39" s="345"/>
      <c r="EQ39" s="345"/>
      <c r="ER39" s="345"/>
      <c r="ES39" s="345"/>
      <c r="ET39" s="345"/>
      <c r="EU39" s="345"/>
      <c r="EV39" s="345"/>
      <c r="EW39" s="345"/>
      <c r="EX39" s="345"/>
      <c r="EY39" s="345"/>
      <c r="EZ39" s="345"/>
      <c r="FA39" s="345"/>
      <c r="FB39" s="345"/>
      <c r="FC39" s="345"/>
      <c r="FD39" s="345"/>
      <c r="FE39" s="345"/>
      <c r="FF39" s="345"/>
      <c r="FG39" s="345"/>
      <c r="FH39" s="345"/>
      <c r="FI39" s="345"/>
      <c r="FJ39" s="345"/>
      <c r="FK39" s="345"/>
      <c r="FL39" s="345"/>
      <c r="FM39" s="345"/>
      <c r="FN39" s="345"/>
      <c r="FO39" s="345"/>
      <c r="FP39" s="345"/>
      <c r="FQ39" s="345"/>
      <c r="FR39" s="345"/>
      <c r="FS39" s="345"/>
      <c r="FT39" s="345"/>
      <c r="FU39" s="345"/>
      <c r="FV39" s="345"/>
      <c r="FW39" s="345"/>
      <c r="FX39" s="345"/>
      <c r="FY39" s="345"/>
      <c r="FZ39" s="345"/>
      <c r="GA39" s="345"/>
      <c r="GB39" s="345"/>
      <c r="GC39" s="345"/>
      <c r="GD39" s="345"/>
      <c r="GE39" s="345"/>
      <c r="GF39" s="345"/>
      <c r="GG39" s="345"/>
      <c r="GH39" s="345"/>
      <c r="GI39" s="345"/>
      <c r="GJ39" s="345"/>
      <c r="GK39" s="345"/>
      <c r="GL39" s="345"/>
      <c r="GM39" s="345"/>
      <c r="GN39" s="345"/>
      <c r="GO39" s="345"/>
      <c r="GP39" s="345"/>
      <c r="GQ39" s="345"/>
      <c r="GR39" s="345"/>
      <c r="GS39" s="345"/>
      <c r="GT39" s="345"/>
      <c r="GU39" s="345"/>
    </row>
    <row r="40" spans="1:203" ht="12.75" customHeight="1">
      <c r="A40" s="465">
        <f t="shared" si="31"/>
        <v>2</v>
      </c>
      <c r="B40" s="1108">
        <v>30</v>
      </c>
      <c r="C40" s="1109">
        <v>1</v>
      </c>
      <c r="D40" s="398">
        <v>211</v>
      </c>
      <c r="E40" s="1120"/>
      <c r="F40" s="465">
        <f t="shared" si="36"/>
        <v>2</v>
      </c>
      <c r="G40" s="1108">
        <v>30</v>
      </c>
      <c r="H40" s="1109">
        <v>1</v>
      </c>
      <c r="I40" s="398">
        <v>212.5</v>
      </c>
      <c r="J40" s="1120"/>
      <c r="K40" s="465"/>
      <c r="L40" s="465"/>
      <c r="M40" s="465">
        <f t="shared" si="23"/>
        <v>2</v>
      </c>
      <c r="N40" s="1108">
        <v>30</v>
      </c>
      <c r="O40" s="1109">
        <v>1</v>
      </c>
      <c r="P40" s="1110">
        <v>213.5</v>
      </c>
      <c r="Q40" s="1120"/>
      <c r="R40" s="465">
        <f t="shared" si="24"/>
        <v>2</v>
      </c>
      <c r="S40" s="1108">
        <v>30</v>
      </c>
      <c r="T40" s="1109">
        <v>0</v>
      </c>
      <c r="U40" s="1110">
        <v>206.3</v>
      </c>
      <c r="V40" s="1120"/>
      <c r="W40" s="371"/>
      <c r="X40" s="494">
        <f t="shared" si="0"/>
        <v>211</v>
      </c>
      <c r="Y40" s="495" t="str">
        <f>IF('Feuilles=description générale'!$E$13="","",IF(X40="","",IF(X40&gt;('Feuilles=description générale'!$E$11+'Feuilles=description générale'!$E$10),"",100*(X40-'Feuilles=description générale'!$E$10)/('Feuilles=description générale'!$E$11))))</f>
        <v/>
      </c>
      <c r="Z40" s="495">
        <f>IF('Feuilles=description générale'!$E$13="","",IF(X40="","",IF(X40&lt;=('Feuilles=description générale'!$E$11+'Feuilles=description générale'!$E$10),"",100*(X40-'Feuilles=description générale'!$E$11-'Feuilles=description générale'!$E$10)/('Feuilles=description générale'!$E$12))))</f>
        <v>32.524313624236164</v>
      </c>
      <c r="AA40" s="1112">
        <f>IF('Feuilles=description générale'!$E$13="","",IF(X40="","",100*(X40-'Feuilles=description générale'!$E$10)/('Feuilles=description générale'!$E$13-'Feuilles=description générale'!$E$10)))</f>
        <v>49.222797927461137</v>
      </c>
      <c r="AB40" s="497">
        <f t="shared" si="1"/>
        <v>1</v>
      </c>
      <c r="AC40" s="500" t="str">
        <f t="shared" si="32"/>
        <v/>
      </c>
      <c r="AD40" s="494" t="str">
        <f t="shared" si="2"/>
        <v/>
      </c>
      <c r="AE40" s="499">
        <f t="shared" si="3"/>
        <v>2.5</v>
      </c>
      <c r="AF40" s="371"/>
      <c r="AG40" s="494">
        <f t="shared" si="4"/>
        <v>212.5</v>
      </c>
      <c r="AH40" s="495" t="str">
        <f>IF('Feuilles=description générale'!$E$13="","",IF(AG40="","",IF(AG40&gt;('Feuilles=description générale'!$E$11+'Feuilles=description générale'!$E$10),"",100*(AG40-'Feuilles=description générale'!$E$10)/('Feuilles=description générale'!$E$11))))</f>
        <v/>
      </c>
      <c r="AI40" s="495">
        <f>IF('Feuilles=description générale'!$E$13="","",IF(AG40="","",IF(AG40&lt;=('Feuilles=description générale'!$E$11+'Feuilles=description générale'!$E$10),"",100*(AG40-'Feuilles=description générale'!$E$11-'Feuilles=description générale'!$E$10)/('Feuilles=description générale'!$E$12))))</f>
        <v>33.040709183234355</v>
      </c>
      <c r="AJ40" s="496">
        <f>IF('Feuilles=description générale'!$E$13="","",IF(AG40="","",100*(AG40-'Feuilles=description générale'!$E$10)/('Feuilles=description générale'!$E$13-'Feuilles=description générale'!$E$10)))</f>
        <v>49.611398963730572</v>
      </c>
      <c r="AK40" s="1113">
        <f t="shared" si="5"/>
        <v>1</v>
      </c>
      <c r="AL40" s="498" t="str">
        <f t="shared" si="6"/>
        <v/>
      </c>
      <c r="AM40" s="494" t="str">
        <f t="shared" si="7"/>
        <v/>
      </c>
      <c r="AN40" s="499">
        <f t="shared" si="8"/>
        <v>1.6999999999999886</v>
      </c>
      <c r="AO40" s="371"/>
      <c r="AP40" s="494">
        <f t="shared" si="9"/>
        <v>213.5</v>
      </c>
      <c r="AQ40" s="495" t="str">
        <f>IF('Feuilles=description générale'!$E$13="","",IF(AP40="","",IF(AP40&gt;('Feuilles=description générale'!$E$25+'Feuilles=description générale'!$E$24),"",100*(AP40-'Feuilles=description générale'!$E$24)/('Feuilles=description générale'!$E$25))))</f>
        <v/>
      </c>
      <c r="AR40" s="495">
        <f>IF('Feuilles=description générale'!$E$27="","",IF(AP40="","",IF(AP40&lt;=('Feuilles=description générale'!$E$25+'Feuilles=description générale'!$E$24),"",100*(AP40-'Feuilles=description générale'!$E$25-'Feuilles=description générale'!$E$24)/('Feuilles=description générale'!$E$26))))</f>
        <v>30.986582478295187</v>
      </c>
      <c r="AS40" s="496">
        <f>IF('Feuilles=description générale'!$E$27="","",IF(AP40="","",100*(AP40-'Feuilles=description générale'!$E$24)/('Feuilles=description générale'!$E$27-'Feuilles=description générale'!$E$24)))</f>
        <v>46.56563187484722</v>
      </c>
      <c r="AT40" s="497">
        <f t="shared" si="10"/>
        <v>1</v>
      </c>
      <c r="AU40" s="500" t="str">
        <f t="shared" si="11"/>
        <v/>
      </c>
      <c r="AV40" s="494" t="str">
        <f t="shared" si="12"/>
        <v/>
      </c>
      <c r="AW40" s="499">
        <f t="shared" si="13"/>
        <v>2</v>
      </c>
      <c r="AX40" s="371"/>
      <c r="AY40" s="494">
        <f t="shared" si="14"/>
        <v>206.3</v>
      </c>
      <c r="AZ40" s="495" t="str">
        <f>IF('Feuilles=description générale'!$E$13="","",IF(AY40="","",IF(AY40&gt;('Feuilles=description générale'!$E$25+'Feuilles=description générale'!$E$24),"",100*(AY40-'Feuilles=description générale'!$E$24)/('Feuilles=description générale'!$E$25))))</f>
        <v/>
      </c>
      <c r="BA40" s="495">
        <f>IF('Feuilles=description générale'!$E$27="","",IF(AY40="","",IF(AY40&lt;=('Feuilles=description générale'!$E$25+'Feuilles=description générale'!$E$24),"",100*(AY40-'Feuilles=description générale'!$E$25-'Feuilles=description générale'!$E$24)/('Feuilles=description générale'!$E$26))))</f>
        <v>28.713496448303083</v>
      </c>
      <c r="BB40" s="496">
        <f>IF('Feuilles=description générale'!$E$27="","",IF(AY40="","",100*(AY40-'Feuilles=description générale'!$E$24)/('Feuilles=description générale'!$E$27-'Feuilles=description générale'!$E$24)))</f>
        <v>44.805670985089215</v>
      </c>
      <c r="BC40" s="497">
        <f t="shared" si="15"/>
        <v>2</v>
      </c>
      <c r="BD40" s="500" t="str">
        <f t="shared" si="16"/>
        <v/>
      </c>
      <c r="BE40" s="494" t="str">
        <f t="shared" si="17"/>
        <v/>
      </c>
      <c r="BF40" s="499">
        <f t="shared" si="18"/>
        <v>2.1999999999999886</v>
      </c>
      <c r="BG40" s="476"/>
      <c r="BH40" s="529">
        <f t="shared" si="52"/>
        <v>88</v>
      </c>
      <c r="BI40" s="530">
        <f t="shared" si="47"/>
        <v>11</v>
      </c>
      <c r="BJ40" s="538"/>
      <c r="BK40" s="529">
        <f>IF(SUMIF($BI$30:$BI$42,11,$BH$30:$BH$42)=0,"",SUMIF($BI$30:$BI$42,11,$BH$30:$BH$42))</f>
        <v>88</v>
      </c>
      <c r="BL40" s="531">
        <f t="shared" si="48"/>
        <v>1</v>
      </c>
      <c r="BM40" s="532">
        <f t="shared" si="48"/>
        <v>10</v>
      </c>
      <c r="BN40" s="532">
        <f t="shared" si="48"/>
        <v>7</v>
      </c>
      <c r="BO40" s="533">
        <f t="shared" si="48"/>
        <v>0</v>
      </c>
      <c r="BP40" s="534">
        <f t="shared" si="49"/>
        <v>18</v>
      </c>
      <c r="BQ40" s="535">
        <f t="shared" si="50"/>
        <v>5.5555555555555554</v>
      </c>
      <c r="BR40" s="536">
        <f t="shared" si="51"/>
        <v>55.555555555555557</v>
      </c>
      <c r="BS40" s="536">
        <f t="shared" si="51"/>
        <v>38.888888888888886</v>
      </c>
      <c r="BT40" s="537">
        <f t="shared" si="51"/>
        <v>0</v>
      </c>
      <c r="BU40" s="1187">
        <f t="shared" si="53"/>
        <v>100</v>
      </c>
      <c r="BV40" s="1114" t="str">
        <f t="shared" si="19"/>
        <v/>
      </c>
      <c r="BW40" s="1114">
        <f t="shared" si="19"/>
        <v>6.25</v>
      </c>
      <c r="BX40" s="1114" t="str">
        <f t="shared" si="20"/>
        <v/>
      </c>
      <c r="BY40" s="1115">
        <f t="shared" si="20"/>
        <v>2.8899999999999615</v>
      </c>
      <c r="BZ40" s="477"/>
      <c r="CA40" s="1114" t="str">
        <f t="shared" si="21"/>
        <v/>
      </c>
      <c r="CB40" s="1114">
        <f t="shared" si="21"/>
        <v>4</v>
      </c>
      <c r="CC40" s="1114" t="str">
        <f t="shared" si="22"/>
        <v/>
      </c>
      <c r="CD40" s="1115">
        <f t="shared" si="22"/>
        <v>4.8399999999999501</v>
      </c>
      <c r="CE40" s="568"/>
      <c r="CF40" s="509">
        <v>44</v>
      </c>
      <c r="CG40" s="510">
        <f>SUMIF($AA$11:$AA$170,"&lt;52",$AE$11:$AE$170)+SUMIF($AS$11:$AS$170,"&lt;52",$AW$11:$AW$170)-SUMIF($AA$11:$AA$170,"&lt;28",$AE$11:$AE$170)-SUMIF($AS$11:$AS$170,"&lt;28",$AW$11:$AW$170)</f>
        <v>-4.6999999999999886</v>
      </c>
      <c r="CH40" s="511">
        <f>SUMIF($AA$11:$AA$170,"&lt;52",$BW$11:$BW$170)+SUMIF($AS$11:$AS$170,"&lt;52",$CB$11:$CB$170)-SUMIF($AA$11:$AA$170,"&lt;28",$BW$11:$BW$170)-SUMIF($AS$11:$AS$170,"&lt;28",$CB$11:$CB$170)</f>
        <v>1925.9700000000003</v>
      </c>
      <c r="CI40" s="511">
        <f>SUMPRODUCT(($AA$11:$AA$170&lt;52)*($AE$11:$AE$170&lt;&gt;""))+SUMPRODUCT(($AS$11:$AS$170&lt;52)*($AW$11:$AW$170&lt;&gt;""))-SUMPRODUCT(($AA$11:$AA$170&lt;28)*($AE$11:$AE$170&lt;&gt;""))-SUMPRODUCT(($AS$11:$AS$170&lt;28)*($AW$11:$AW$170&lt;&gt;""))</f>
        <v>21</v>
      </c>
      <c r="CJ40" s="511">
        <f t="shared" si="55"/>
        <v>-0.22380952380952326</v>
      </c>
      <c r="CK40" s="512">
        <f t="shared" si="59"/>
        <v>2.1408265511235296</v>
      </c>
      <c r="CL40" s="510">
        <f>SUMIF($AJ$11:$AJ$170,"&lt;52",$AN$11:$AN$170)+SUMIF($BB$11:$BB$170,"&lt;52",$BF$11:$BF$170)-SUMIF($AJ$11:$AJ$170,"&lt;28",$AN$11:$AN$170)-SUMIF($BB$11:$BB$170,"&lt;28",$BF$11:$BF$170)</f>
        <v>36.97999999999999</v>
      </c>
      <c r="CM40" s="511">
        <f>SUMIF($AJ$11:$AJ$170,"&lt;52",$BY$11:$BY$170)+SUMIF($BB$11:$BB$170,"&lt;52",$CD$11:$CD$170)-SUMIF($AJ$11:$AJ$170,"&lt;28",$BY$11:$BY$170)-SUMIF($BB$11:$BB$170,"&lt;28",$CD$11:$CD$170)</f>
        <v>67.348399999999913</v>
      </c>
      <c r="CN40" s="511">
        <f>SUMPRODUCT(($AJ$11:$AJ$170&lt;52)*($AN$11:$AN$170&lt;&gt;""))+SUMPRODUCT(($BB$11:$BB$170&lt;52)*($BF$11:$BF$170&lt;&gt;""))-SUMPRODUCT(($AJ$11:$AJ$170&lt;28)*($AN$11:$AN$170&lt;&gt;""))-SUMPRODUCT(($BB$11:$BB$170&lt;28)*($BF$11:$BF$170&lt;&gt;""))</f>
        <v>21</v>
      </c>
      <c r="CO40" s="511">
        <f t="shared" si="56"/>
        <v>1.7609523809523804</v>
      </c>
      <c r="CP40" s="512">
        <f t="shared" si="60"/>
        <v>7.2840022887422598E-2</v>
      </c>
      <c r="CQ40" s="510">
        <f t="shared" si="57"/>
        <v>32.28</v>
      </c>
      <c r="CR40" s="511">
        <f t="shared" si="57"/>
        <v>1993.3184000000001</v>
      </c>
      <c r="CS40" s="511">
        <f t="shared" si="57"/>
        <v>42</v>
      </c>
      <c r="CT40" s="511">
        <f t="shared" si="58"/>
        <v>0.76857142857142857</v>
      </c>
      <c r="CU40" s="512">
        <f t="shared" si="61"/>
        <v>1.0691831833733771</v>
      </c>
      <c r="CV40" s="476"/>
      <c r="CW40" s="345"/>
      <c r="CX40" s="345"/>
      <c r="CY40" s="345"/>
      <c r="CZ40" s="345"/>
      <c r="DA40" s="345"/>
      <c r="DB40" s="345"/>
      <c r="DC40" s="345"/>
      <c r="DD40" s="345"/>
      <c r="DE40" s="345"/>
      <c r="DF40" s="345"/>
      <c r="DG40" s="345"/>
      <c r="DH40" s="345"/>
      <c r="DI40" s="345"/>
      <c r="DJ40" s="345"/>
      <c r="DK40" s="345"/>
      <c r="DL40" s="345"/>
      <c r="DM40" s="345"/>
      <c r="DN40" s="345"/>
      <c r="DO40" s="345"/>
      <c r="DP40" s="345"/>
      <c r="DQ40" s="345"/>
      <c r="DR40" s="345"/>
      <c r="DS40" s="345"/>
      <c r="DT40" s="345"/>
      <c r="DU40" s="345"/>
      <c r="DV40" s="345"/>
      <c r="DW40" s="345"/>
      <c r="DX40" s="345"/>
      <c r="DY40" s="345"/>
      <c r="DZ40" s="345"/>
      <c r="EA40" s="345"/>
      <c r="EB40" s="345"/>
      <c r="EC40" s="345"/>
      <c r="ED40" s="345"/>
      <c r="EE40" s="345"/>
      <c r="EF40" s="345"/>
      <c r="EG40" s="345"/>
      <c r="EH40" s="345"/>
      <c r="EI40" s="345"/>
      <c r="EJ40" s="345"/>
      <c r="EK40" s="345"/>
      <c r="EL40" s="345"/>
      <c r="EM40" s="345"/>
      <c r="EN40" s="345"/>
      <c r="EO40" s="345"/>
      <c r="EP40" s="345"/>
      <c r="EQ40" s="345"/>
      <c r="ER40" s="345"/>
      <c r="ES40" s="345"/>
      <c r="ET40" s="345"/>
      <c r="EU40" s="345"/>
      <c r="EV40" s="345"/>
      <c r="EW40" s="345"/>
      <c r="EX40" s="345"/>
      <c r="EY40" s="345"/>
      <c r="EZ40" s="345"/>
      <c r="FA40" s="345"/>
      <c r="FB40" s="345"/>
      <c r="FC40" s="345"/>
      <c r="FD40" s="345"/>
      <c r="FE40" s="345"/>
      <c r="FF40" s="345"/>
      <c r="FG40" s="345"/>
      <c r="FH40" s="345"/>
      <c r="FI40" s="345"/>
      <c r="FJ40" s="345"/>
      <c r="FK40" s="345"/>
      <c r="FL40" s="345"/>
      <c r="FM40" s="345"/>
      <c r="FN40" s="345"/>
      <c r="FO40" s="345"/>
      <c r="FP40" s="345"/>
      <c r="FQ40" s="345"/>
      <c r="FR40" s="345"/>
      <c r="FS40" s="345"/>
      <c r="FT40" s="345"/>
      <c r="FU40" s="345"/>
      <c r="FV40" s="345"/>
      <c r="FW40" s="345"/>
      <c r="FX40" s="345"/>
      <c r="FY40" s="345"/>
      <c r="FZ40" s="345"/>
      <c r="GA40" s="345"/>
      <c r="GB40" s="345"/>
      <c r="GC40" s="345"/>
      <c r="GD40" s="345"/>
      <c r="GE40" s="345"/>
      <c r="GF40" s="345"/>
      <c r="GG40" s="345"/>
      <c r="GH40" s="345"/>
      <c r="GI40" s="345"/>
      <c r="GJ40" s="345"/>
      <c r="GK40" s="345"/>
      <c r="GL40" s="345"/>
      <c r="GM40" s="345"/>
      <c r="GN40" s="345"/>
      <c r="GO40" s="345"/>
      <c r="GP40" s="345"/>
      <c r="GQ40" s="345"/>
      <c r="GR40" s="345"/>
      <c r="GS40" s="345"/>
      <c r="GT40" s="345"/>
      <c r="GU40" s="345"/>
    </row>
    <row r="41" spans="1:203" ht="12.75" customHeight="1">
      <c r="A41" s="465">
        <f t="shared" si="31"/>
        <v>2</v>
      </c>
      <c r="B41" s="1108">
        <v>31</v>
      </c>
      <c r="C41" s="1109">
        <v>0</v>
      </c>
      <c r="D41" s="398">
        <v>213.5</v>
      </c>
      <c r="E41" s="1120"/>
      <c r="F41" s="465">
        <f t="shared" si="36"/>
        <v>2</v>
      </c>
      <c r="G41" s="1108">
        <v>31</v>
      </c>
      <c r="H41" s="1109">
        <v>-1</v>
      </c>
      <c r="I41" s="398">
        <v>214.2</v>
      </c>
      <c r="J41" s="1120"/>
      <c r="K41" s="465"/>
      <c r="L41" s="465"/>
      <c r="M41" s="465">
        <f t="shared" si="23"/>
        <v>2</v>
      </c>
      <c r="N41" s="1108">
        <v>31</v>
      </c>
      <c r="O41" s="1109">
        <v>-1</v>
      </c>
      <c r="P41" s="1110">
        <v>215.5</v>
      </c>
      <c r="Q41" s="1120"/>
      <c r="R41" s="465">
        <f t="shared" si="24"/>
        <v>2</v>
      </c>
      <c r="S41" s="1108">
        <v>31</v>
      </c>
      <c r="T41" s="1109">
        <v>-1</v>
      </c>
      <c r="U41" s="1110">
        <v>208.5</v>
      </c>
      <c r="V41" s="1120"/>
      <c r="W41" s="371"/>
      <c r="X41" s="494">
        <f t="shared" si="0"/>
        <v>213.5</v>
      </c>
      <c r="Y41" s="495" t="str">
        <f>IF('Feuilles=description générale'!$E$13="","",IF(X41="","",IF(X41&gt;('Feuilles=description générale'!$E$11+'Feuilles=description générale'!$E$10),"",100*(X41-'Feuilles=description générale'!$E$10)/('Feuilles=description générale'!$E$11))))</f>
        <v/>
      </c>
      <c r="Z41" s="495">
        <f>IF('Feuilles=description générale'!$E$13="","",IF(X41="","",IF(X41&lt;=('Feuilles=description générale'!$E$11+'Feuilles=description générale'!$E$10),"",100*(X41-'Feuilles=description générale'!$E$11-'Feuilles=description générale'!$E$10)/('Feuilles=description générale'!$E$12))))</f>
        <v>33.384972889233147</v>
      </c>
      <c r="AA41" s="1112">
        <f>IF('Feuilles=description générale'!$E$13="","",IF(X41="","",100*(X41-'Feuilles=description générale'!$E$10)/('Feuilles=description générale'!$E$13-'Feuilles=description générale'!$E$10)))</f>
        <v>49.870466321243526</v>
      </c>
      <c r="AB41" s="497">
        <f t="shared" si="1"/>
        <v>2</v>
      </c>
      <c r="AC41" s="500" t="str">
        <f t="shared" si="32"/>
        <v/>
      </c>
      <c r="AD41" s="494" t="str">
        <f t="shared" si="2"/>
        <v/>
      </c>
      <c r="AE41" s="499">
        <f t="shared" si="3"/>
        <v>-43</v>
      </c>
      <c r="AF41" s="371"/>
      <c r="AG41" s="494">
        <f t="shared" si="4"/>
        <v>214.2</v>
      </c>
      <c r="AH41" s="495" t="str">
        <f>IF('Feuilles=description générale'!$E$13="","",IF(AG41="","",IF(AG41&gt;('Feuilles=description générale'!$E$11+'Feuilles=description générale'!$E$10),"",100*(AG41-'Feuilles=description générale'!$E$10)/('Feuilles=description générale'!$E$11))))</f>
        <v/>
      </c>
      <c r="AI41" s="495">
        <f>IF('Feuilles=description générale'!$E$13="","",IF(AG41="","",IF(AG41&lt;=('Feuilles=description générale'!$E$11+'Feuilles=description générale'!$E$10),"",100*(AG41-'Feuilles=description générale'!$E$11-'Feuilles=description générale'!$E$10)/('Feuilles=description générale'!$E$12))))</f>
        <v>33.625957483432309</v>
      </c>
      <c r="AJ41" s="496">
        <f>IF('Feuilles=description générale'!$E$13="","",IF(AG41="","",100*(AG41-'Feuilles=description générale'!$E$10)/('Feuilles=description générale'!$E$13-'Feuilles=description générale'!$E$10)))</f>
        <v>50.051813471502591</v>
      </c>
      <c r="AK41" s="1113">
        <f t="shared" si="5"/>
        <v>2</v>
      </c>
      <c r="AL41" s="498">
        <f t="shared" si="6"/>
        <v>2</v>
      </c>
      <c r="AM41" s="494">
        <f t="shared" si="7"/>
        <v>2.8000000000000114</v>
      </c>
      <c r="AN41" s="499" t="str">
        <f t="shared" si="8"/>
        <v/>
      </c>
      <c r="AO41" s="371"/>
      <c r="AP41" s="494">
        <f t="shared" si="9"/>
        <v>215.5</v>
      </c>
      <c r="AQ41" s="495" t="str">
        <f>IF('Feuilles=description générale'!$E$13="","",IF(AP41="","",IF(AP41&gt;('Feuilles=description générale'!$E$25+'Feuilles=description générale'!$E$24),"",100*(AP41-'Feuilles=description générale'!$E$24)/('Feuilles=description générale'!$E$25))))</f>
        <v/>
      </c>
      <c r="AR41" s="495">
        <f>IF('Feuilles=description générale'!$E$27="","",IF(AP41="","",IF(AP41&lt;=('Feuilles=description générale'!$E$25+'Feuilles=description générale'!$E$24),"",100*(AP41-'Feuilles=description générale'!$E$25-'Feuilles=description générale'!$E$24)/('Feuilles=description générale'!$E$26))))</f>
        <v>31.617995264404104</v>
      </c>
      <c r="AS41" s="496">
        <f>IF('Feuilles=description générale'!$E$27="","",IF(AP41="","",100*(AP41-'Feuilles=description générale'!$E$24)/('Feuilles=description générale'!$E$27-'Feuilles=description générale'!$E$24)))</f>
        <v>47.054509899780001</v>
      </c>
      <c r="AT41" s="497">
        <f t="shared" si="10"/>
        <v>2</v>
      </c>
      <c r="AU41" s="500">
        <f t="shared" si="11"/>
        <v>2</v>
      </c>
      <c r="AV41" s="494">
        <f t="shared" si="12"/>
        <v>5</v>
      </c>
      <c r="AW41" s="499" t="str">
        <f t="shared" si="13"/>
        <v/>
      </c>
      <c r="AX41" s="371"/>
      <c r="AY41" s="494">
        <f t="shared" si="14"/>
        <v>208.5</v>
      </c>
      <c r="AZ41" s="495" t="str">
        <f>IF('Feuilles=description générale'!$E$13="","",IF(AY41="","",IF(AY41&gt;('Feuilles=description générale'!$E$25+'Feuilles=description générale'!$E$24),"",100*(AY41-'Feuilles=description générale'!$E$24)/('Feuilles=description générale'!$E$25))))</f>
        <v/>
      </c>
      <c r="BA41" s="495">
        <f>IF('Feuilles=description générale'!$E$27="","",IF(AY41="","",IF(AY41&lt;=('Feuilles=description générale'!$E$25+'Feuilles=description générale'!$E$24),"",100*(AY41-'Feuilles=description générale'!$E$25-'Feuilles=description générale'!$E$24)/('Feuilles=description générale'!$E$26))))</f>
        <v>29.408050513022889</v>
      </c>
      <c r="BB41" s="496">
        <f>IF('Feuilles=description générale'!$E$27="","",IF(AY41="","",100*(AY41-'Feuilles=description générale'!$E$24)/('Feuilles=description générale'!$E$27-'Feuilles=description générale'!$E$24)))</f>
        <v>45.343436812515272</v>
      </c>
      <c r="BC41" s="497">
        <f t="shared" si="15"/>
        <v>3</v>
      </c>
      <c r="BD41" s="500">
        <f t="shared" si="16"/>
        <v>3</v>
      </c>
      <c r="BE41" s="494">
        <f t="shared" si="17"/>
        <v>6.6999999999999886</v>
      </c>
      <c r="BF41" s="499" t="str">
        <f t="shared" si="18"/>
        <v/>
      </c>
      <c r="BG41" s="476"/>
      <c r="BH41" s="529">
        <f t="shared" si="52"/>
        <v>96</v>
      </c>
      <c r="BI41" s="530">
        <f t="shared" si="47"/>
        <v>12</v>
      </c>
      <c r="BJ41" s="538"/>
      <c r="BK41" s="529">
        <f>IF(SUMIF($BI$30:$BI$42,12,$BH$30:$BH$42)=0,"",SUMIF($BI$30:$BI$42,12,$BH$30:$BH$42))</f>
        <v>96</v>
      </c>
      <c r="BL41" s="531">
        <f t="shared" si="48"/>
        <v>10</v>
      </c>
      <c r="BM41" s="532">
        <f t="shared" si="48"/>
        <v>17</v>
      </c>
      <c r="BN41" s="532">
        <f t="shared" si="48"/>
        <v>3</v>
      </c>
      <c r="BO41" s="533">
        <f t="shared" si="48"/>
        <v>0</v>
      </c>
      <c r="BP41" s="534">
        <f t="shared" si="49"/>
        <v>30</v>
      </c>
      <c r="BQ41" s="535">
        <f t="shared" si="50"/>
        <v>33.333333333333336</v>
      </c>
      <c r="BR41" s="536">
        <f t="shared" si="51"/>
        <v>56.666666666666664</v>
      </c>
      <c r="BS41" s="536">
        <f t="shared" si="51"/>
        <v>10</v>
      </c>
      <c r="BT41" s="537">
        <f t="shared" si="51"/>
        <v>0</v>
      </c>
      <c r="BU41" s="1187">
        <f t="shared" si="53"/>
        <v>100</v>
      </c>
      <c r="BV41" s="1114" t="str">
        <f t="shared" si="19"/>
        <v/>
      </c>
      <c r="BW41" s="1114">
        <f t="shared" si="19"/>
        <v>1849</v>
      </c>
      <c r="BX41" s="1114">
        <f t="shared" si="20"/>
        <v>7.8400000000000638</v>
      </c>
      <c r="BY41" s="1115" t="str">
        <f t="shared" si="20"/>
        <v/>
      </c>
      <c r="BZ41" s="477"/>
      <c r="CA41" s="1114">
        <f t="shared" si="21"/>
        <v>25</v>
      </c>
      <c r="CB41" s="1114" t="str">
        <f t="shared" si="21"/>
        <v/>
      </c>
      <c r="CC41" s="1114">
        <f t="shared" si="22"/>
        <v>44.889999999999844</v>
      </c>
      <c r="CD41" s="1115" t="str">
        <f t="shared" si="22"/>
        <v/>
      </c>
      <c r="CE41" s="568"/>
      <c r="CF41" s="509">
        <v>60</v>
      </c>
      <c r="CG41" s="510">
        <f>SUMIF($AA$11:$AA$170,"&lt;68",$AE$11:$AE$170)+SUMIF($AS$11:$AS$170,"&lt;68",$AW$11:$AW$170)-SUMIF($AA$11:$AA$170,"&lt;52",$AE$11:$AE$170)-SUMIF($AS$11:$AS$170,"&lt;52",$AW$11:$AW$170)</f>
        <v>98.700000000000045</v>
      </c>
      <c r="CH41" s="511">
        <f>SUMIF($AA$11:$AA$170,"&lt;68",$BW$11:$BW$170)+SUMIF($AS$11:$AS$170,"&lt;68",$CB$11:$CB$170)-SUMIF($AA$11:$AA$170,"&lt;52",$BW$11:$BW$170)-SUMIF($AS$11:$AS$170,"&lt;52",$CB$11:$CB$170)</f>
        <v>3832.9099999999967</v>
      </c>
      <c r="CI41" s="511">
        <f>SUMPRODUCT(($AA$11:$AA$170&lt;68)*($AE$11:$AE$170&lt;&gt;""))+SUMPRODUCT(($AS$11:$AS$170&lt;68)*($AW$11:$AW$170&lt;&gt;""))-SUMPRODUCT(($AA$11:$AA$170&lt;52)*($AE$11:$AE$170&lt;&gt;""))-SUMPRODUCT(($AS$11:$AS$170&lt;52)*($AW$11:$AW$170&lt;&gt;""))</f>
        <v>25</v>
      </c>
      <c r="CJ41" s="511">
        <f t="shared" si="55"/>
        <v>3.9480000000000017</v>
      </c>
      <c r="CK41" s="512">
        <f t="shared" si="59"/>
        <v>2.3955661822068968</v>
      </c>
      <c r="CL41" s="510">
        <f>SUMIF($AJ$11:$AJ$170,"&lt;68",$AN$11:$AN$170)+SUMIF($BB$11:$BB$170,"&lt;68",$BF$11:$BF$170)-SUMIF($AJ$11:$AJ$170,"&lt;52",$AN$11:$AN$170)-SUMIF($BB$11:$BB$170,"&lt;52",$BF$11:$BF$170)</f>
        <v>45.150000000000034</v>
      </c>
      <c r="CM41" s="511">
        <f>SUMIF($AJ$11:$AJ$170,"&lt;68",$BY$11:$BY$170)+SUMIF($BB$11:$BB$170,"&lt;68",$CD$11:$CD$170)-SUMIF($AJ$11:$AJ$170,"&lt;52",$BY$11:$BY$170)-SUMIF($BB$11:$BB$170,"&lt;52",$CD$11:$CD$170)</f>
        <v>91.612499999999898</v>
      </c>
      <c r="CN41" s="511">
        <f>SUMPRODUCT(($AJ$11:$AJ$170&lt;68)*($AN$11:$AN$170&lt;&gt;""))+SUMPRODUCT(($BB$11:$BB$170&lt;68)*($BF$11:$BF$170&lt;&gt;""))-SUMPRODUCT(($AJ$11:$AJ$170&lt;52)*($AN$11:$AN$170&lt;&gt;""))-SUMPRODUCT(($BB$11:$BB$170&lt;52)*($BF$11:$BF$170&lt;&gt;""))</f>
        <v>25</v>
      </c>
      <c r="CO41" s="511">
        <f t="shared" si="56"/>
        <v>1.8060000000000014</v>
      </c>
      <c r="CP41" s="512">
        <f t="shared" si="60"/>
        <v>0.12956079653969257</v>
      </c>
      <c r="CQ41" s="510">
        <f t="shared" si="57"/>
        <v>143.85000000000008</v>
      </c>
      <c r="CR41" s="511">
        <f t="shared" si="57"/>
        <v>3924.5224999999964</v>
      </c>
      <c r="CS41" s="511">
        <f t="shared" si="57"/>
        <v>50</v>
      </c>
      <c r="CT41" s="511">
        <f t="shared" si="58"/>
        <v>2.8770000000000016</v>
      </c>
      <c r="CU41" s="512">
        <f t="shared" si="61"/>
        <v>1.1970484193913566</v>
      </c>
      <c r="CV41" s="476"/>
      <c r="CW41" s="345"/>
      <c r="CX41" s="345"/>
      <c r="CY41" s="345"/>
      <c r="CZ41" s="345"/>
      <c r="DA41" s="345"/>
      <c r="DB41" s="345"/>
      <c r="DC41" s="345"/>
      <c r="DD41" s="345"/>
      <c r="DE41" s="345"/>
      <c r="DF41" s="345"/>
      <c r="DG41" s="345"/>
      <c r="DH41" s="345"/>
      <c r="DI41" s="345"/>
      <c r="DJ41" s="345"/>
      <c r="DK41" s="345"/>
      <c r="DL41" s="345"/>
      <c r="DM41" s="345"/>
      <c r="DN41" s="345"/>
      <c r="DO41" s="345"/>
      <c r="DP41" s="345"/>
      <c r="DQ41" s="345"/>
      <c r="DR41" s="345"/>
      <c r="DS41" s="345"/>
      <c r="DT41" s="345"/>
      <c r="DU41" s="345"/>
      <c r="DV41" s="345"/>
      <c r="DW41" s="345"/>
      <c r="DX41" s="345"/>
      <c r="DY41" s="345"/>
      <c r="DZ41" s="345"/>
      <c r="EA41" s="345"/>
      <c r="EB41" s="345"/>
      <c r="EC41" s="345"/>
      <c r="ED41" s="345"/>
      <c r="EE41" s="345"/>
      <c r="EF41" s="345"/>
      <c r="EG41" s="345"/>
      <c r="EH41" s="345"/>
      <c r="EI41" s="345"/>
      <c r="EJ41" s="345"/>
      <c r="EK41" s="345"/>
      <c r="EL41" s="345"/>
      <c r="EM41" s="345"/>
      <c r="EN41" s="345"/>
      <c r="EO41" s="345"/>
      <c r="EP41" s="345"/>
      <c r="EQ41" s="345"/>
      <c r="ER41" s="345"/>
      <c r="ES41" s="345"/>
      <c r="ET41" s="345"/>
      <c r="EU41" s="345"/>
      <c r="EV41" s="345"/>
      <c r="EW41" s="345"/>
      <c r="EX41" s="345"/>
      <c r="EY41" s="345"/>
      <c r="EZ41" s="345"/>
      <c r="FA41" s="345"/>
      <c r="FB41" s="345"/>
      <c r="FC41" s="345"/>
      <c r="FD41" s="345"/>
      <c r="FE41" s="345"/>
      <c r="FF41" s="345"/>
      <c r="FG41" s="345"/>
      <c r="FH41" s="345"/>
      <c r="FI41" s="345"/>
      <c r="FJ41" s="345"/>
      <c r="FK41" s="345"/>
      <c r="FL41" s="345"/>
      <c r="FM41" s="345"/>
      <c r="FN41" s="345"/>
      <c r="FO41" s="345"/>
      <c r="FP41" s="345"/>
      <c r="FQ41" s="345"/>
      <c r="FR41" s="345"/>
      <c r="FS41" s="345"/>
      <c r="FT41" s="345"/>
      <c r="FU41" s="345"/>
      <c r="FV41" s="345"/>
      <c r="FW41" s="345"/>
      <c r="FX41" s="345"/>
      <c r="FY41" s="345"/>
      <c r="FZ41" s="345"/>
      <c r="GA41" s="345"/>
      <c r="GB41" s="345"/>
      <c r="GC41" s="345"/>
      <c r="GD41" s="345"/>
      <c r="GE41" s="345"/>
      <c r="GF41" s="345"/>
      <c r="GG41" s="345"/>
      <c r="GH41" s="345"/>
      <c r="GI41" s="345"/>
      <c r="GJ41" s="345"/>
      <c r="GK41" s="345"/>
      <c r="GL41" s="345"/>
      <c r="GM41" s="345"/>
      <c r="GN41" s="345"/>
      <c r="GO41" s="345"/>
      <c r="GP41" s="345"/>
      <c r="GQ41" s="345"/>
      <c r="GR41" s="345"/>
      <c r="GS41" s="345"/>
      <c r="GT41" s="345"/>
      <c r="GU41" s="345"/>
    </row>
    <row r="42" spans="1:203" ht="12.75" customHeight="1" thickBot="1">
      <c r="A42" s="465">
        <f t="shared" si="31"/>
        <v>2</v>
      </c>
      <c r="B42" s="1108">
        <v>32</v>
      </c>
      <c r="C42" s="1109">
        <v>-1</v>
      </c>
      <c r="D42" s="398">
        <v>170.5</v>
      </c>
      <c r="E42" s="1120"/>
      <c r="F42" s="465">
        <f t="shared" si="36"/>
        <v>2</v>
      </c>
      <c r="G42" s="1108">
        <v>32</v>
      </c>
      <c r="H42" s="1109">
        <v>1</v>
      </c>
      <c r="I42" s="398">
        <v>217</v>
      </c>
      <c r="J42" s="1120"/>
      <c r="K42" s="465"/>
      <c r="L42" s="465"/>
      <c r="M42" s="465">
        <f t="shared" si="23"/>
        <v>2</v>
      </c>
      <c r="N42" s="1108">
        <v>32</v>
      </c>
      <c r="O42" s="1109">
        <v>1</v>
      </c>
      <c r="P42" s="1110">
        <v>220.5</v>
      </c>
      <c r="Q42" s="1120"/>
      <c r="R42" s="465">
        <f t="shared" si="24"/>
        <v>2</v>
      </c>
      <c r="S42" s="1108">
        <v>32</v>
      </c>
      <c r="T42" s="1109">
        <v>1</v>
      </c>
      <c r="U42" s="1110">
        <v>215.2</v>
      </c>
      <c r="V42" s="1120"/>
      <c r="W42" s="371"/>
      <c r="X42" s="494">
        <f t="shared" si="0"/>
        <v>170.5</v>
      </c>
      <c r="Y42" s="495" t="str">
        <f>IF('Feuilles=description générale'!$E$13="","",IF(X42="","",IF(X42&gt;('Feuilles=description générale'!$E$11+'Feuilles=description générale'!$E$10),"",100*(X42-'Feuilles=description générale'!$E$10)/('Feuilles=description générale'!$E$11))))</f>
        <v/>
      </c>
      <c r="Z42" s="495">
        <f>IF('Feuilles=description générale'!$E$13="","",IF(X42="","",IF(X42&lt;=('Feuilles=description générale'!$E$11+'Feuilles=description générale'!$E$10),"",100*(X42-'Feuilles=description générale'!$E$11-'Feuilles=description générale'!$E$10)/('Feuilles=description générale'!$E$12))))</f>
        <v>18.581633531284965</v>
      </c>
      <c r="AA42" s="1112">
        <f>IF('Feuilles=description générale'!$E$13="","",IF(X42="","",100*(X42-'Feuilles=description générale'!$E$10)/('Feuilles=description générale'!$E$13-'Feuilles=description générale'!$E$10)))</f>
        <v>38.730569948186528</v>
      </c>
      <c r="AB42" s="497">
        <f t="shared" si="1"/>
        <v>3</v>
      </c>
      <c r="AC42" s="500">
        <f t="shared" si="32"/>
        <v>3</v>
      </c>
      <c r="AD42" s="494">
        <f t="shared" si="2"/>
        <v>51.5</v>
      </c>
      <c r="AE42" s="499" t="str">
        <f t="shared" si="3"/>
        <v/>
      </c>
      <c r="AF42" s="371"/>
      <c r="AG42" s="494">
        <f t="shared" si="4"/>
        <v>217</v>
      </c>
      <c r="AH42" s="495" t="str">
        <f>IF('Feuilles=description générale'!$E$13="","",IF(AG42="","",IF(AG42&gt;('Feuilles=description générale'!$E$11+'Feuilles=description générale'!$E$10),"",100*(AG42-'Feuilles=description générale'!$E$10)/('Feuilles=description générale'!$E$11))))</f>
        <v/>
      </c>
      <c r="AI42" s="495">
        <f>IF('Feuilles=description générale'!$E$13="","",IF(AG42="","",IF(AG42&lt;=('Feuilles=description générale'!$E$11+'Feuilles=description générale'!$E$10),"",100*(AG42-'Feuilles=description générale'!$E$11-'Feuilles=description générale'!$E$10)/('Feuilles=description générale'!$E$12))))</f>
        <v>34.589895860228935</v>
      </c>
      <c r="AJ42" s="496">
        <f>IF('Feuilles=description générale'!$E$13="","",IF(AG42="","",100*(AG42-'Feuilles=description générale'!$E$10)/('Feuilles=description générale'!$E$13-'Feuilles=description générale'!$E$10)))</f>
        <v>50.777202072538863</v>
      </c>
      <c r="AK42" s="1113">
        <f t="shared" si="5"/>
        <v>1</v>
      </c>
      <c r="AL42" s="498" t="str">
        <f t="shared" si="6"/>
        <v/>
      </c>
      <c r="AM42" s="494" t="str">
        <f t="shared" si="7"/>
        <v/>
      </c>
      <c r="AN42" s="499">
        <f t="shared" si="8"/>
        <v>1.4000000000000057</v>
      </c>
      <c r="AO42" s="371"/>
      <c r="AP42" s="494">
        <f t="shared" si="9"/>
        <v>220.5</v>
      </c>
      <c r="AQ42" s="495" t="str">
        <f>IF('Feuilles=description générale'!$E$13="","",IF(AP42="","",IF(AP42&gt;('Feuilles=description générale'!$E$25+'Feuilles=description générale'!$E$24),"",100*(AP42-'Feuilles=description générale'!$E$24)/('Feuilles=description générale'!$E$25))))</f>
        <v/>
      </c>
      <c r="AR42" s="495">
        <f>IF('Feuilles=description générale'!$E$27="","",IF(AP42="","",IF(AP42&lt;=('Feuilles=description générale'!$E$25+'Feuilles=description générale'!$E$24),"",100*(AP42-'Feuilles=description générale'!$E$25-'Feuilles=description générale'!$E$24)/('Feuilles=description générale'!$E$26))))</f>
        <v>33.196527229676398</v>
      </c>
      <c r="AS42" s="496">
        <f>IF('Feuilles=description générale'!$E$27="","",IF(AP42="","",100*(AP42-'Feuilles=description générale'!$E$24)/('Feuilles=description générale'!$E$27-'Feuilles=description générale'!$E$24)))</f>
        <v>48.27670496211195</v>
      </c>
      <c r="AT42" s="497">
        <f t="shared" si="10"/>
        <v>1</v>
      </c>
      <c r="AU42" s="500" t="str">
        <f t="shared" si="11"/>
        <v/>
      </c>
      <c r="AV42" s="494" t="str">
        <f t="shared" si="12"/>
        <v/>
      </c>
      <c r="AW42" s="499">
        <f t="shared" si="13"/>
        <v>1.5</v>
      </c>
      <c r="AX42" s="371"/>
      <c r="AY42" s="494">
        <f t="shared" si="14"/>
        <v>215.2</v>
      </c>
      <c r="AZ42" s="495" t="str">
        <f>IF('Feuilles=description générale'!$E$13="","",IF(AY42="","",IF(AY42&gt;('Feuilles=description générale'!$E$25+'Feuilles=description générale'!$E$24),"",100*(AY42-'Feuilles=description générale'!$E$24)/('Feuilles=description générale'!$E$25))))</f>
        <v/>
      </c>
      <c r="BA42" s="495">
        <f>IF('Feuilles=description générale'!$E$27="","",IF(AY42="","",IF(AY42&lt;=('Feuilles=description générale'!$E$25+'Feuilles=description générale'!$E$24),"",100*(AY42-'Feuilles=description générale'!$E$25-'Feuilles=description générale'!$E$24)/('Feuilles=description générale'!$E$26))))</f>
        <v>31.523283346487766</v>
      </c>
      <c r="BB42" s="496">
        <f>IF('Feuilles=description générale'!$E$27="","",IF(AY42="","",100*(AY42-'Feuilles=description générale'!$E$24)/('Feuilles=description générale'!$E$27-'Feuilles=description générale'!$E$24)))</f>
        <v>46.981178196040084</v>
      </c>
      <c r="BC42" s="497">
        <f t="shared" si="15"/>
        <v>1</v>
      </c>
      <c r="BD42" s="500" t="str">
        <f t="shared" si="16"/>
        <v/>
      </c>
      <c r="BE42" s="494" t="str">
        <f t="shared" si="17"/>
        <v/>
      </c>
      <c r="BF42" s="499">
        <f t="shared" si="18"/>
        <v>1.6000000000000227</v>
      </c>
      <c r="BG42" s="476"/>
      <c r="BH42" s="529">
        <f t="shared" si="52"/>
        <v>100</v>
      </c>
      <c r="BI42" s="539">
        <f>IF(BH42="","",RANK(BH42,$BH$30:$BH$42,1))</f>
        <v>13</v>
      </c>
      <c r="BJ42" s="540"/>
      <c r="BK42" s="541">
        <f>IF(SUMIF($BI$30:$BI$42,13,$BH$30:$BH$42)=0,"",SUMIF($BI$30:$BI$42,13,$BH$30:$BH$42))</f>
        <v>100</v>
      </c>
      <c r="BL42" s="542">
        <f t="shared" si="48"/>
        <v>2</v>
      </c>
      <c r="BM42" s="543">
        <f t="shared" si="48"/>
        <v>0</v>
      </c>
      <c r="BN42" s="543">
        <f t="shared" si="48"/>
        <v>0</v>
      </c>
      <c r="BO42" s="544">
        <f t="shared" si="48"/>
        <v>0</v>
      </c>
      <c r="BP42" s="545">
        <f t="shared" si="49"/>
        <v>2</v>
      </c>
      <c r="BQ42" s="546">
        <f t="shared" si="50"/>
        <v>100</v>
      </c>
      <c r="BR42" s="547">
        <f t="shared" si="51"/>
        <v>0</v>
      </c>
      <c r="BS42" s="547">
        <f t="shared" si="51"/>
        <v>0</v>
      </c>
      <c r="BT42" s="548">
        <f t="shared" si="51"/>
        <v>0</v>
      </c>
      <c r="BU42" s="1187">
        <f t="shared" si="53"/>
        <v>100</v>
      </c>
      <c r="BV42" s="1114">
        <f t="shared" si="19"/>
        <v>2652.25</v>
      </c>
      <c r="BW42" s="1114" t="str">
        <f t="shared" si="19"/>
        <v/>
      </c>
      <c r="BX42" s="1114" t="str">
        <f t="shared" si="20"/>
        <v/>
      </c>
      <c r="BY42" s="1115">
        <f t="shared" si="20"/>
        <v>1.960000000000016</v>
      </c>
      <c r="BZ42" s="477"/>
      <c r="CA42" s="1114" t="str">
        <f t="shared" si="21"/>
        <v/>
      </c>
      <c r="CB42" s="1114">
        <f t="shared" si="21"/>
        <v>2.25</v>
      </c>
      <c r="CC42" s="1114" t="str">
        <f t="shared" si="22"/>
        <v/>
      </c>
      <c r="CD42" s="1115">
        <f t="shared" si="22"/>
        <v>2.5600000000000729</v>
      </c>
      <c r="CE42" s="568"/>
      <c r="CF42" s="509">
        <v>76</v>
      </c>
      <c r="CG42" s="510">
        <f>SUMIF($AA$11:$AA$170,"&lt;84",$AE$11:$AE$170)+SUMIF($AS$11:$AS$170,"&lt;84",$AW$11:$AW$170)-SUMIF($AA$11:$AA$170,"&lt;68",$AE$11:$AE$170)-SUMIF($AS$11:$AS$170,"&lt;68",$AW$11:$AW$170)</f>
        <v>48.689999999999934</v>
      </c>
      <c r="CH42" s="511">
        <f>SUMIF($AA$11:$AA$170,"&lt;84",$BW$11:$BW$170)+SUMIF($AS$11:$AS$170,"&lt;84",$CB$11:$CB$170)-SUMIF($AA$11:$AA$170,"&lt;68",$BW$11:$BW$170)-SUMIF($AS$11:$AS$170,"&lt;68",$CB$11:$CB$170)</f>
        <v>99.290100000001615</v>
      </c>
      <c r="CI42" s="511">
        <f>SUMPRODUCT(($AA$11:$AA$170&lt;84)*($AE$11:$AE$170&lt;&gt;""))+SUMPRODUCT(($AS$11:$AS$170&lt;84)*($AW$11:$AW$170&lt;&gt;""))-SUMPRODUCT(($AA$11:$AA$170&lt;68)*($AE$11:$AE$170&lt;&gt;""))-SUMPRODUCT(($AS$11:$AS$170&lt;68)*($AW$11:$AW$170&lt;&gt;""))</f>
        <v>29</v>
      </c>
      <c r="CJ42" s="511">
        <f t="shared" si="55"/>
        <v>1.6789655172413771</v>
      </c>
      <c r="CK42" s="512">
        <f t="shared" si="59"/>
        <v>0.14697805273949052</v>
      </c>
      <c r="CL42" s="510">
        <f>SUMIF($AJ$11:$AJ$170,"&lt;84",$AN$11:$AN$170)+SUMIF($BB$11:$BB$170,"&lt;84",$BF$11:$BF$170)-SUMIF($AJ$11:$AJ$170,"&lt;68",$AN$11:$AN$170)-SUMIF($BB$11:$BB$170,"&lt;68",$BF$11:$BF$170)</f>
        <v>46.110000000000014</v>
      </c>
      <c r="CM42" s="511">
        <f>SUMIF($AJ$11:$AJ$170,"&lt;84",$BY$11:$BY$170)+SUMIF($BB$11:$BB$170,"&lt;84",$CD$11:$CD$170)-SUMIF($AJ$11:$AJ$170,"&lt;68",$BY$11:$BY$170)-SUMIF($BB$11:$BB$170,"&lt;68",$CD$11:$CD$170)</f>
        <v>78.396099999999905</v>
      </c>
      <c r="CN42" s="511">
        <f>SUMPRODUCT(($AJ$11:$AJ$170&lt;84)*($AN$11:$AN$170&lt;&gt;""))+SUMPRODUCT(($BB$11:$BB$170&lt;84)*($BF$11:$BF$170&lt;&gt;""))-SUMPRODUCT(($AJ$11:$AJ$170&lt;68)*($AN$11:$AN$170&lt;&gt;""))-SUMPRODUCT(($BB$11:$BB$170&lt;68)*($BF$11:$BF$170&lt;&gt;""))</f>
        <v>30</v>
      </c>
      <c r="CO42" s="511">
        <f t="shared" si="56"/>
        <v>1.5370000000000004</v>
      </c>
      <c r="CP42" s="512">
        <f t="shared" si="60"/>
        <v>9.3002471849487942E-2</v>
      </c>
      <c r="CQ42" s="510">
        <f t="shared" si="57"/>
        <v>94.799999999999955</v>
      </c>
      <c r="CR42" s="511">
        <f t="shared" si="57"/>
        <v>177.68620000000152</v>
      </c>
      <c r="CS42" s="511">
        <f t="shared" si="57"/>
        <v>59</v>
      </c>
      <c r="CT42" s="511">
        <f t="shared" si="58"/>
        <v>1.6067796610169485</v>
      </c>
      <c r="CU42" s="512">
        <f t="shared" si="61"/>
        <v>8.6092335096451506E-2</v>
      </c>
      <c r="CV42" s="476"/>
      <c r="CW42" s="345"/>
      <c r="CX42" s="345"/>
      <c r="CY42" s="345"/>
      <c r="CZ42" s="345"/>
      <c r="DA42" s="345"/>
      <c r="DB42" s="345"/>
      <c r="DC42" s="345"/>
      <c r="DD42" s="345"/>
      <c r="DE42" s="345"/>
      <c r="DF42" s="345"/>
      <c r="DG42" s="345"/>
      <c r="DH42" s="345"/>
      <c r="DI42" s="345"/>
      <c r="DJ42" s="345"/>
      <c r="DK42" s="345"/>
      <c r="DL42" s="345"/>
      <c r="DM42" s="345"/>
      <c r="DN42" s="345"/>
      <c r="DO42" s="345"/>
      <c r="DP42" s="345"/>
      <c r="DQ42" s="345"/>
      <c r="DR42" s="345"/>
      <c r="DS42" s="345"/>
      <c r="DT42" s="345"/>
      <c r="DU42" s="345"/>
      <c r="DV42" s="345"/>
      <c r="DW42" s="345"/>
      <c r="DX42" s="345"/>
      <c r="DY42" s="345"/>
      <c r="DZ42" s="345"/>
      <c r="EA42" s="345"/>
      <c r="EB42" s="345"/>
      <c r="EC42" s="345"/>
      <c r="ED42" s="345"/>
      <c r="EE42" s="345"/>
      <c r="EF42" s="345"/>
      <c r="EG42" s="345"/>
      <c r="EH42" s="345"/>
      <c r="EI42" s="345"/>
      <c r="EJ42" s="345"/>
      <c r="EK42" s="345"/>
      <c r="EL42" s="345"/>
      <c r="EM42" s="345"/>
      <c r="EN42" s="345"/>
      <c r="EO42" s="345"/>
      <c r="EP42" s="345"/>
      <c r="EQ42" s="345"/>
      <c r="ER42" s="345"/>
      <c r="ES42" s="345"/>
      <c r="ET42" s="345"/>
      <c r="EU42" s="345"/>
      <c r="EV42" s="345"/>
      <c r="EW42" s="345"/>
      <c r="EX42" s="345"/>
      <c r="EY42" s="345"/>
      <c r="EZ42" s="345"/>
      <c r="FA42" s="345"/>
      <c r="FB42" s="345"/>
      <c r="FC42" s="345"/>
      <c r="FD42" s="345"/>
      <c r="FE42" s="345"/>
      <c r="FF42" s="345"/>
      <c r="FG42" s="345"/>
      <c r="FH42" s="345"/>
      <c r="FI42" s="345"/>
      <c r="FJ42" s="345"/>
      <c r="FK42" s="345"/>
      <c r="FL42" s="345"/>
      <c r="FM42" s="345"/>
      <c r="FN42" s="345"/>
      <c r="FO42" s="345"/>
      <c r="FP42" s="345"/>
      <c r="FQ42" s="345"/>
      <c r="FR42" s="345"/>
      <c r="FS42" s="345"/>
      <c r="FT42" s="345"/>
      <c r="FU42" s="345"/>
      <c r="FV42" s="345"/>
      <c r="FW42" s="345"/>
      <c r="FX42" s="345"/>
      <c r="FY42" s="345"/>
      <c r="FZ42" s="345"/>
      <c r="GA42" s="345"/>
      <c r="GB42" s="345"/>
      <c r="GC42" s="345"/>
      <c r="GD42" s="345"/>
      <c r="GE42" s="345"/>
      <c r="GF42" s="345"/>
      <c r="GG42" s="345"/>
      <c r="GH42" s="345"/>
      <c r="GI42" s="345"/>
      <c r="GJ42" s="345"/>
      <c r="GK42" s="345"/>
      <c r="GL42" s="345"/>
      <c r="GM42" s="345"/>
      <c r="GN42" s="345"/>
      <c r="GO42" s="345"/>
      <c r="GP42" s="345"/>
      <c r="GQ42" s="345"/>
      <c r="GR42" s="345"/>
      <c r="GS42" s="345"/>
      <c r="GT42" s="345"/>
      <c r="GU42" s="345"/>
    </row>
    <row r="43" spans="1:203" ht="12.75" customHeight="1">
      <c r="A43" s="465">
        <f t="shared" si="31"/>
        <v>2</v>
      </c>
      <c r="B43" s="1108">
        <v>33</v>
      </c>
      <c r="C43" s="1109">
        <v>1</v>
      </c>
      <c r="D43" s="398">
        <v>222</v>
      </c>
      <c r="E43" s="1120"/>
      <c r="F43" s="465">
        <f t="shared" si="36"/>
        <v>2</v>
      </c>
      <c r="G43" s="1108">
        <v>33</v>
      </c>
      <c r="H43" s="1109">
        <v>-1</v>
      </c>
      <c r="I43" s="398">
        <v>218.4</v>
      </c>
      <c r="J43" s="1120"/>
      <c r="K43" s="465"/>
      <c r="L43" s="465"/>
      <c r="M43" s="465">
        <f t="shared" si="23"/>
        <v>2</v>
      </c>
      <c r="N43" s="1108">
        <v>33</v>
      </c>
      <c r="O43" s="1109">
        <v>0</v>
      </c>
      <c r="P43" s="1110">
        <v>222</v>
      </c>
      <c r="Q43" s="1120"/>
      <c r="R43" s="465">
        <f t="shared" si="24"/>
        <v>2</v>
      </c>
      <c r="S43" s="1108">
        <v>33</v>
      </c>
      <c r="T43" s="1109">
        <v>-1</v>
      </c>
      <c r="U43" s="1110">
        <v>216.8</v>
      </c>
      <c r="V43" s="1120"/>
      <c r="W43" s="371"/>
      <c r="X43" s="494">
        <f t="shared" si="0"/>
        <v>222</v>
      </c>
      <c r="Y43" s="495" t="str">
        <f>IF('Feuilles=description générale'!$E$13="","",IF(X43="","",IF(X43&gt;('Feuilles=description générale'!$E$11+'Feuilles=description générale'!$E$10),"",100*(X43-'Feuilles=description générale'!$E$10)/('Feuilles=description générale'!$E$11))))</f>
        <v/>
      </c>
      <c r="Z43" s="495">
        <f>IF('Feuilles=description générale'!$E$13="","",IF(X43="","",IF(X43&lt;=('Feuilles=description générale'!$E$11+'Feuilles=description générale'!$E$10),"",100*(X43-'Feuilles=description générale'!$E$11-'Feuilles=description générale'!$E$10)/('Feuilles=description générale'!$E$12))))</f>
        <v>36.311214390222908</v>
      </c>
      <c r="AA43" s="1112">
        <f>IF('Feuilles=description générale'!$E$13="","",IF(X43="","",100*(X43-'Feuilles=description générale'!$E$10)/('Feuilles=description générale'!$E$13-'Feuilles=description générale'!$E$10)))</f>
        <v>52.072538860103627</v>
      </c>
      <c r="AB43" s="497">
        <f t="shared" si="1"/>
        <v>1</v>
      </c>
      <c r="AC43" s="500" t="str">
        <f t="shared" si="32"/>
        <v/>
      </c>
      <c r="AD43" s="494" t="str">
        <f t="shared" si="2"/>
        <v/>
      </c>
      <c r="AE43" s="499">
        <f t="shared" si="3"/>
        <v>1.4000000000000057</v>
      </c>
      <c r="AF43" s="371"/>
      <c r="AG43" s="494">
        <f t="shared" si="4"/>
        <v>218.4</v>
      </c>
      <c r="AH43" s="495" t="str">
        <f>IF('Feuilles=description générale'!$E$13="","",IF(AG43="","",IF(AG43&gt;('Feuilles=description générale'!$E$11+'Feuilles=description générale'!$E$10),"",100*(AG43-'Feuilles=description générale'!$E$10)/('Feuilles=description générale'!$E$11))))</f>
        <v/>
      </c>
      <c r="AI43" s="495">
        <f>IF('Feuilles=description générale'!$E$13="","",IF(AG43="","",IF(AG43&lt;=('Feuilles=description générale'!$E$11+'Feuilles=description générale'!$E$10),"",100*(AG43-'Feuilles=description générale'!$E$11-'Feuilles=description générale'!$E$10)/('Feuilles=description générale'!$E$12))))</f>
        <v>35.071865048627252</v>
      </c>
      <c r="AJ43" s="496">
        <f>IF('Feuilles=description générale'!$E$13="","",IF(AG43="","",100*(AG43-'Feuilles=description générale'!$E$10)/('Feuilles=description générale'!$E$13-'Feuilles=description générale'!$E$10)))</f>
        <v>51.139896373056992</v>
      </c>
      <c r="AK43" s="1113">
        <f t="shared" si="5"/>
        <v>2</v>
      </c>
      <c r="AL43" s="498">
        <f t="shared" si="6"/>
        <v>2</v>
      </c>
      <c r="AM43" s="494">
        <f t="shared" si="7"/>
        <v>5.1999999999999886</v>
      </c>
      <c r="AN43" s="499" t="str">
        <f t="shared" si="8"/>
        <v/>
      </c>
      <c r="AO43" s="371"/>
      <c r="AP43" s="494">
        <f t="shared" si="9"/>
        <v>222</v>
      </c>
      <c r="AQ43" s="495" t="str">
        <f>IF('Feuilles=description générale'!$E$13="","",IF(AP43="","",IF(AP43&gt;('Feuilles=description générale'!$E$25+'Feuilles=description générale'!$E$24),"",100*(AP43-'Feuilles=description générale'!$E$24)/('Feuilles=description générale'!$E$25))))</f>
        <v/>
      </c>
      <c r="AR43" s="495">
        <f>IF('Feuilles=description générale'!$E$27="","",IF(AP43="","",IF(AP43&lt;=('Feuilles=description générale'!$E$25+'Feuilles=description générale'!$E$24),"",100*(AP43-'Feuilles=description générale'!$E$25-'Feuilles=description générale'!$E$24)/('Feuilles=description générale'!$E$26))))</f>
        <v>33.670086819258088</v>
      </c>
      <c r="AS43" s="496">
        <f>IF('Feuilles=description générale'!$E$27="","",IF(AP43="","",100*(AP43-'Feuilles=description générale'!$E$24)/('Feuilles=description générale'!$E$27-'Feuilles=description générale'!$E$24)))</f>
        <v>48.643363480811537</v>
      </c>
      <c r="AT43" s="497">
        <f t="shared" si="10"/>
        <v>2</v>
      </c>
      <c r="AU43" s="500" t="str">
        <f t="shared" si="11"/>
        <v/>
      </c>
      <c r="AV43" s="494" t="str">
        <f t="shared" si="12"/>
        <v/>
      </c>
      <c r="AW43" s="499">
        <f t="shared" si="13"/>
        <v>2</v>
      </c>
      <c r="AX43" s="371"/>
      <c r="AY43" s="494">
        <f t="shared" si="14"/>
        <v>216.8</v>
      </c>
      <c r="AZ43" s="495" t="str">
        <f>IF('Feuilles=description générale'!$E$13="","",IF(AY43="","",IF(AY43&gt;('Feuilles=description générale'!$E$25+'Feuilles=description générale'!$E$24),"",100*(AY43-'Feuilles=description générale'!$E$24)/('Feuilles=description générale'!$E$25))))</f>
        <v/>
      </c>
      <c r="BA43" s="495">
        <f>IF('Feuilles=description générale'!$E$27="","",IF(AY43="","",IF(AY43&lt;=('Feuilles=description générale'!$E$25+'Feuilles=description générale'!$E$24),"",100*(AY43-'Feuilles=description générale'!$E$25-'Feuilles=description générale'!$E$24)/('Feuilles=description générale'!$E$26))))</f>
        <v>32.028413575374906</v>
      </c>
      <c r="BB43" s="496">
        <f>IF('Feuilles=description générale'!$E$27="","",IF(AY43="","",100*(AY43-'Feuilles=description générale'!$E$24)/('Feuilles=description générale'!$E$27-'Feuilles=description générale'!$E$24)))</f>
        <v>47.372280615986305</v>
      </c>
      <c r="BC43" s="497">
        <f t="shared" si="15"/>
        <v>2</v>
      </c>
      <c r="BD43" s="500">
        <f t="shared" si="16"/>
        <v>2</v>
      </c>
      <c r="BE43" s="494">
        <f t="shared" si="17"/>
        <v>6.1999999999999886</v>
      </c>
      <c r="BF43" s="499" t="str">
        <f t="shared" si="18"/>
        <v/>
      </c>
      <c r="BG43" s="476"/>
      <c r="BH43" s="549"/>
      <c r="BI43" s="550"/>
      <c r="BJ43" s="550"/>
      <c r="BK43" s="550"/>
      <c r="BL43" s="550"/>
      <c r="BM43" s="540"/>
      <c r="BN43" s="540"/>
      <c r="BO43" s="540"/>
      <c r="BP43" s="540"/>
      <c r="BQ43" s="540"/>
      <c r="BR43" s="540"/>
      <c r="BS43" s="540"/>
      <c r="BT43" s="540"/>
      <c r="BU43" s="568"/>
      <c r="BV43" s="1114" t="str">
        <f t="shared" si="19"/>
        <v/>
      </c>
      <c r="BW43" s="1114">
        <f t="shared" si="19"/>
        <v>1.960000000000016</v>
      </c>
      <c r="BX43" s="1114">
        <f t="shared" si="20"/>
        <v>27.039999999999882</v>
      </c>
      <c r="BY43" s="1115" t="str">
        <f t="shared" si="20"/>
        <v/>
      </c>
      <c r="BZ43" s="477"/>
      <c r="CA43" s="1114" t="str">
        <f t="shared" si="21"/>
        <v/>
      </c>
      <c r="CB43" s="1114">
        <f t="shared" si="21"/>
        <v>4</v>
      </c>
      <c r="CC43" s="1114">
        <f t="shared" si="22"/>
        <v>38.439999999999856</v>
      </c>
      <c r="CD43" s="1115" t="str">
        <f t="shared" si="22"/>
        <v/>
      </c>
      <c r="CE43" s="568"/>
      <c r="CF43" s="509">
        <v>88</v>
      </c>
      <c r="CG43" s="510">
        <f>SUMIF($AA$11:$AA$170,"&lt;92",$AE$11:$AE$170)+SUMIF($AS$11:$AS$170,"&lt;92",$AW$11:$AW$170)-SUMIF($AA$11:$AA$170,"&lt;84",$AE$11:$AE$170)-SUMIF($AS$11:$AS$170,"&lt;84",$AW$11:$AW$170)</f>
        <v>23.5</v>
      </c>
      <c r="CH43" s="511">
        <f>SUMIF($AA$11:$AA$170,"&lt;92",$BW$11:$BW$170)+SUMIF($AS$11:$AS$170,"&lt;92",$CB$11:$CB$170)-SUMIF($AA$11:$AA$170,"&lt;84",$BW$11:$BW$170)-SUMIF($AS$11:$AS$170,"&lt;84",$CB$11:$CB$170)</f>
        <v>50.789999999999395</v>
      </c>
      <c r="CI43" s="511">
        <f>SUMPRODUCT(($AA$11:$AA$170&lt;92)*($AE$11:$AE$170&lt;&gt;""))+SUMPRODUCT(($AS$11:$AS$170&lt;92)*($AW$11:$AW$170&lt;&gt;""))-SUMPRODUCT(($AA$11:$AA$170&lt;84)*($AE$11:$AE$170&lt;&gt;""))-SUMPRODUCT(($AS$11:$AS$170&lt;84)*($AW$11:$AW$170&lt;&gt;""))</f>
        <v>12</v>
      </c>
      <c r="CJ43" s="511">
        <f t="shared" si="55"/>
        <v>1.9583333333333333</v>
      </c>
      <c r="CK43" s="512">
        <f t="shared" si="59"/>
        <v>0.19007906382620343</v>
      </c>
      <c r="CL43" s="510">
        <f>SUMIF($AJ$11:$AJ$170,"&lt;92",$AN$11:$AN$170)+SUMIF($BB$11:$BB$170,"&lt;92",$BF$11:$BF$170)-SUMIF($AJ$11:$AJ$170,"&lt;84",$AN$11:$AN$170)-SUMIF($BB$11:$BB$170,"&lt;84",$BF$11:$BF$170)</f>
        <v>24.299999999999841</v>
      </c>
      <c r="CM43" s="511">
        <f>SUMIF($AJ$11:$AJ$170,"&lt;92",$BY$11:$BY$170)+SUMIF($BB$11:$BB$170,"&lt;92",$CD$11:$CD$170)-SUMIF($AJ$11:$AJ$170,"&lt;84",$BY$11:$BY$170)-SUMIF($BB$11:$BB$170,"&lt;84",$CD$11:$CD$170)</f>
        <v>49.689999999999287</v>
      </c>
      <c r="CN43" s="511">
        <f>SUMPRODUCT(($AJ$11:$AJ$170&lt;92)*($AN$11:$AN$170&lt;&gt;""))+SUMPRODUCT(($BB$11:$BB$170&lt;92)*($BF$11:$BF$170&lt;&gt;""))-SUMPRODUCT(($AJ$11:$AJ$170&lt;84)*($AN$11:$AN$170&lt;&gt;""))-SUMPRODUCT(($BB$11:$BB$170&lt;84)*($BF$11:$BF$170&lt;&gt;""))</f>
        <v>13</v>
      </c>
      <c r="CO43" s="511">
        <f t="shared" si="56"/>
        <v>1.869230769230757</v>
      </c>
      <c r="CP43" s="512">
        <f t="shared" si="60"/>
        <v>0.16539952228584523</v>
      </c>
      <c r="CQ43" s="510">
        <f t="shared" si="57"/>
        <v>47.799999999999841</v>
      </c>
      <c r="CR43" s="511">
        <f t="shared" si="57"/>
        <v>100.47999999999868</v>
      </c>
      <c r="CS43" s="511">
        <f t="shared" si="57"/>
        <v>25</v>
      </c>
      <c r="CT43" s="511">
        <f t="shared" si="58"/>
        <v>1.9119999999999937</v>
      </c>
      <c r="CU43" s="512">
        <f t="shared" si="61"/>
        <v>0.12306096050331643</v>
      </c>
      <c r="CV43" s="476"/>
      <c r="CW43" s="345"/>
      <c r="CX43" s="345"/>
      <c r="CY43" s="345"/>
      <c r="CZ43" s="345"/>
      <c r="DA43" s="345"/>
      <c r="DB43" s="345"/>
      <c r="DC43" s="345"/>
      <c r="DD43" s="345"/>
      <c r="DE43" s="345"/>
      <c r="DF43" s="345"/>
      <c r="DG43" s="345"/>
      <c r="DH43" s="345"/>
      <c r="DI43" s="345"/>
      <c r="DJ43" s="345"/>
      <c r="DK43" s="345"/>
      <c r="DL43" s="345"/>
      <c r="DM43" s="345"/>
      <c r="DN43" s="345"/>
      <c r="DO43" s="345"/>
      <c r="DP43" s="345"/>
      <c r="DQ43" s="345"/>
      <c r="DR43" s="345"/>
      <c r="DS43" s="345"/>
      <c r="DT43" s="345"/>
      <c r="DU43" s="345"/>
      <c r="DV43" s="345"/>
      <c r="DW43" s="345"/>
      <c r="DX43" s="345"/>
      <c r="DY43" s="345"/>
      <c r="DZ43" s="345"/>
      <c r="EA43" s="345"/>
      <c r="EB43" s="345"/>
      <c r="EC43" s="345"/>
      <c r="ED43" s="345"/>
      <c r="EE43" s="345"/>
      <c r="EF43" s="345"/>
      <c r="EG43" s="345"/>
      <c r="EH43" s="345"/>
      <c r="EI43" s="345"/>
      <c r="EJ43" s="345"/>
      <c r="EK43" s="345"/>
      <c r="EL43" s="345"/>
      <c r="EM43" s="345"/>
      <c r="EN43" s="345"/>
      <c r="EO43" s="345"/>
      <c r="EP43" s="345"/>
      <c r="EQ43" s="345"/>
      <c r="ER43" s="345"/>
      <c r="ES43" s="345"/>
      <c r="ET43" s="345"/>
      <c r="EU43" s="345"/>
      <c r="EV43" s="345"/>
      <c r="EW43" s="345"/>
      <c r="EX43" s="345"/>
      <c r="EY43" s="345"/>
      <c r="EZ43" s="345"/>
      <c r="FA43" s="345"/>
      <c r="FB43" s="345"/>
      <c r="FC43" s="345"/>
      <c r="FD43" s="345"/>
      <c r="FE43" s="345"/>
      <c r="FF43" s="345"/>
      <c r="FG43" s="345"/>
      <c r="FH43" s="345"/>
      <c r="FI43" s="345"/>
      <c r="FJ43" s="345"/>
      <c r="FK43" s="345"/>
      <c r="FL43" s="345"/>
      <c r="FM43" s="345"/>
      <c r="FN43" s="345"/>
      <c r="FO43" s="345"/>
      <c r="FP43" s="345"/>
      <c r="FQ43" s="345"/>
      <c r="FR43" s="345"/>
      <c r="FS43" s="345"/>
      <c r="FT43" s="345"/>
      <c r="FU43" s="345"/>
      <c r="FV43" s="345"/>
      <c r="FW43" s="345"/>
      <c r="FX43" s="345"/>
      <c r="FY43" s="345"/>
      <c r="FZ43" s="345"/>
      <c r="GA43" s="345"/>
      <c r="GB43" s="345"/>
      <c r="GC43" s="345"/>
      <c r="GD43" s="345"/>
      <c r="GE43" s="345"/>
      <c r="GF43" s="345"/>
      <c r="GG43" s="345"/>
      <c r="GH43" s="345"/>
      <c r="GI43" s="345"/>
      <c r="GJ43" s="345"/>
      <c r="GK43" s="345"/>
      <c r="GL43" s="345"/>
      <c r="GM43" s="345"/>
      <c r="GN43" s="345"/>
      <c r="GO43" s="345"/>
      <c r="GP43" s="345"/>
      <c r="GQ43" s="345"/>
      <c r="GR43" s="345"/>
      <c r="GS43" s="345"/>
      <c r="GT43" s="345"/>
      <c r="GU43" s="345"/>
    </row>
    <row r="44" spans="1:203" ht="12.75" customHeight="1" thickBot="1">
      <c r="A44" s="465">
        <f t="shared" si="31"/>
        <v>2</v>
      </c>
      <c r="B44" s="1108">
        <v>34</v>
      </c>
      <c r="C44" s="1109">
        <v>0</v>
      </c>
      <c r="D44" s="398">
        <v>223.4</v>
      </c>
      <c r="E44" s="1120"/>
      <c r="F44" s="465">
        <f t="shared" si="36"/>
        <v>2</v>
      </c>
      <c r="G44" s="1108">
        <v>34</v>
      </c>
      <c r="H44" s="1109">
        <v>1</v>
      </c>
      <c r="I44" s="398">
        <v>223.6</v>
      </c>
      <c r="J44" s="1120"/>
      <c r="K44" s="465"/>
      <c r="L44" s="465"/>
      <c r="M44" s="465">
        <f t="shared" si="23"/>
        <v>2</v>
      </c>
      <c r="N44" s="1108">
        <v>34</v>
      </c>
      <c r="O44" s="1109">
        <v>-1</v>
      </c>
      <c r="P44" s="1110">
        <v>224</v>
      </c>
      <c r="Q44" s="1120"/>
      <c r="R44" s="465">
        <f t="shared" si="24"/>
        <v>2</v>
      </c>
      <c r="S44" s="1108">
        <v>34</v>
      </c>
      <c r="T44" s="1109">
        <v>1</v>
      </c>
      <c r="U44" s="1110">
        <v>223</v>
      </c>
      <c r="V44" s="1120"/>
      <c r="W44" s="371"/>
      <c r="X44" s="494">
        <f t="shared" si="0"/>
        <v>223.4</v>
      </c>
      <c r="Y44" s="495" t="str">
        <f>IF('Feuilles=description générale'!$E$13="","",IF(X44="","",IF(X44&gt;('Feuilles=description générale'!$E$11+'Feuilles=description générale'!$E$10),"",100*(X44-'Feuilles=description générale'!$E$10)/('Feuilles=description générale'!$E$11))))</f>
        <v/>
      </c>
      <c r="Z44" s="495">
        <f>IF('Feuilles=description générale'!$E$13="","",IF(X44="","",IF(X44&lt;=('Feuilles=description générale'!$E$11+'Feuilles=description générale'!$E$10),"",100*(X44-'Feuilles=description générale'!$E$11-'Feuilles=description générale'!$E$10)/('Feuilles=description générale'!$E$12))))</f>
        <v>36.793183578621225</v>
      </c>
      <c r="AA44" s="1112">
        <f>IF('Feuilles=description générale'!$E$13="","",IF(X44="","",100*(X44-'Feuilles=description générale'!$E$10)/('Feuilles=description générale'!$E$13-'Feuilles=description générale'!$E$10)))</f>
        <v>52.435233160621763</v>
      </c>
      <c r="AB44" s="497">
        <f t="shared" si="1"/>
        <v>2</v>
      </c>
      <c r="AC44" s="500" t="str">
        <f t="shared" si="32"/>
        <v/>
      </c>
      <c r="AD44" s="494" t="str">
        <f t="shared" si="2"/>
        <v/>
      </c>
      <c r="AE44" s="499">
        <f t="shared" si="3"/>
        <v>2</v>
      </c>
      <c r="AF44" s="371"/>
      <c r="AG44" s="494">
        <f t="shared" si="4"/>
        <v>223.6</v>
      </c>
      <c r="AH44" s="495" t="str">
        <f>IF('Feuilles=description générale'!$E$13="","",IF(AG44="","",IF(AG44&gt;('Feuilles=description générale'!$E$11+'Feuilles=description générale'!$E$10),"",100*(AG44-'Feuilles=description générale'!$E$10)/('Feuilles=description générale'!$E$11))))</f>
        <v/>
      </c>
      <c r="AI44" s="495">
        <f>IF('Feuilles=description générale'!$E$13="","",IF(AG44="","",IF(AG44&lt;=('Feuilles=description générale'!$E$11+'Feuilles=description générale'!$E$10),"",100*(AG44-'Feuilles=description générale'!$E$11-'Feuilles=description générale'!$E$10)/('Feuilles=description générale'!$E$12))))</f>
        <v>36.862036319820973</v>
      </c>
      <c r="AJ44" s="496">
        <f>IF('Feuilles=description générale'!$E$13="","",IF(AG44="","",100*(AG44-'Feuilles=description générale'!$E$10)/('Feuilles=description générale'!$E$13-'Feuilles=description générale'!$E$10)))</f>
        <v>52.487046632124354</v>
      </c>
      <c r="AK44" s="1113">
        <f t="shared" si="5"/>
        <v>1</v>
      </c>
      <c r="AL44" s="498" t="str">
        <f t="shared" si="6"/>
        <v/>
      </c>
      <c r="AM44" s="494" t="str">
        <f t="shared" si="7"/>
        <v/>
      </c>
      <c r="AN44" s="499">
        <f t="shared" si="8"/>
        <v>1.8000000000000114</v>
      </c>
      <c r="AO44" s="371"/>
      <c r="AP44" s="494">
        <f t="shared" si="9"/>
        <v>224</v>
      </c>
      <c r="AQ44" s="495" t="str">
        <f>IF('Feuilles=description générale'!$E$13="","",IF(AP44="","",IF(AP44&gt;('Feuilles=description générale'!$E$25+'Feuilles=description générale'!$E$24),"",100*(AP44-'Feuilles=description générale'!$E$24)/('Feuilles=description générale'!$E$25))))</f>
        <v/>
      </c>
      <c r="AR44" s="495">
        <f>IF('Feuilles=description générale'!$E$27="","",IF(AP44="","",IF(AP44&lt;=('Feuilles=description générale'!$E$25+'Feuilles=description générale'!$E$24),"",100*(AP44-'Feuilles=description générale'!$E$25-'Feuilles=description générale'!$E$24)/('Feuilles=description générale'!$E$26))))</f>
        <v>34.301499605367006</v>
      </c>
      <c r="AS44" s="496">
        <f>IF('Feuilles=description générale'!$E$27="","",IF(AP44="","",100*(AP44-'Feuilles=description générale'!$E$24)/('Feuilles=description générale'!$E$27-'Feuilles=description générale'!$E$24)))</f>
        <v>49.132241505744311</v>
      </c>
      <c r="AT44" s="497">
        <f t="shared" si="10"/>
        <v>3</v>
      </c>
      <c r="AU44" s="500">
        <f t="shared" si="11"/>
        <v>3</v>
      </c>
      <c r="AV44" s="494">
        <f t="shared" si="12"/>
        <v>6.1999999999999886</v>
      </c>
      <c r="AW44" s="499" t="str">
        <f t="shared" si="13"/>
        <v/>
      </c>
      <c r="AX44" s="371"/>
      <c r="AY44" s="494">
        <f t="shared" si="14"/>
        <v>223</v>
      </c>
      <c r="AZ44" s="495" t="str">
        <f>IF('Feuilles=description générale'!$E$13="","",IF(AY44="","",IF(AY44&gt;('Feuilles=description générale'!$E$25+'Feuilles=description générale'!$E$24),"",100*(AY44-'Feuilles=description générale'!$E$24)/('Feuilles=description générale'!$E$25))))</f>
        <v/>
      </c>
      <c r="BA44" s="495">
        <f>IF('Feuilles=description générale'!$E$27="","",IF(AY44="","",IF(AY44&lt;=('Feuilles=description générale'!$E$25+'Feuilles=description générale'!$E$24),"",100*(AY44-'Feuilles=description générale'!$E$25-'Feuilles=description générale'!$E$24)/('Feuilles=description générale'!$E$26))))</f>
        <v>33.985793212312551</v>
      </c>
      <c r="BB44" s="496">
        <f>IF('Feuilles=description générale'!$E$27="","",IF(AY44="","",100*(AY44-'Feuilles=description générale'!$E$24)/('Feuilles=description générale'!$E$27-'Feuilles=description générale'!$E$24)))</f>
        <v>48.887802493277924</v>
      </c>
      <c r="BC44" s="497">
        <f t="shared" si="15"/>
        <v>1</v>
      </c>
      <c r="BD44" s="500" t="str">
        <f t="shared" si="16"/>
        <v/>
      </c>
      <c r="BE44" s="494" t="str">
        <f t="shared" si="17"/>
        <v/>
      </c>
      <c r="BF44" s="499">
        <f t="shared" si="18"/>
        <v>1.5</v>
      </c>
      <c r="BG44" s="476"/>
      <c r="BH44" s="551"/>
      <c r="BI44" s="552"/>
      <c r="BJ44" s="553"/>
      <c r="BK44" s="553"/>
      <c r="BL44" s="553"/>
      <c r="BM44" s="554"/>
      <c r="BN44" s="554"/>
      <c r="BO44" s="554"/>
      <c r="BP44" s="554"/>
      <c r="BQ44" s="554"/>
      <c r="BR44" s="554"/>
      <c r="BS44" s="554"/>
      <c r="BT44" s="554"/>
      <c r="BU44" s="568"/>
      <c r="BV44" s="1114" t="str">
        <f t="shared" si="19"/>
        <v/>
      </c>
      <c r="BW44" s="1114">
        <f t="shared" si="19"/>
        <v>4</v>
      </c>
      <c r="BX44" s="1114" t="str">
        <f t="shared" si="20"/>
        <v/>
      </c>
      <c r="BY44" s="1115">
        <f t="shared" si="20"/>
        <v>3.2400000000000411</v>
      </c>
      <c r="BZ44" s="477"/>
      <c r="CA44" s="1114">
        <f t="shared" si="21"/>
        <v>38.439999999999856</v>
      </c>
      <c r="CB44" s="1114" t="str">
        <f t="shared" si="21"/>
        <v/>
      </c>
      <c r="CC44" s="1114" t="str">
        <f t="shared" si="22"/>
        <v/>
      </c>
      <c r="CD44" s="1115">
        <f t="shared" si="22"/>
        <v>2.25</v>
      </c>
      <c r="CE44" s="568"/>
      <c r="CF44" s="513">
        <v>96</v>
      </c>
      <c r="CG44" s="514">
        <f>SUMIF($AA$11:$AA$170,"&lt;=100",$AE$11:$AE$170)+SUMIF($AS$11:$AS$170,"&lt;=100",$AW$11:$AW$170)-SUMIF($AA$11:$AA$170,"&lt;92",$AE$11:$AE$170)-SUMIF($AS$11:$AS$170,"&lt;92",$AW$11:$AW$170)</f>
        <v>14.899999999999977</v>
      </c>
      <c r="CH44" s="515">
        <f>SUMIF($AA$11:$AA$170,"&lt;=100",$BW$11:$BW$170)+SUMIF($AS$11:$AS$170,"&lt;=100",$CB$11:$CB$170)-SUMIF($AA$11:$AA$170,"&lt;92",$BW$11:$BW$170)-SUMIF($AS$11:$AS$170,"&lt;92",$CB$11:$CB$170)</f>
        <v>26.010000000000161</v>
      </c>
      <c r="CI44" s="515">
        <f>SUMPRODUCT(($AA$11:$AA$170&lt;=100)*($AE$11:$AE$170&lt;&gt;""))+SUMPRODUCT(($AS$11:$AS$170&lt;=100)*($AW$11:$AW$170&lt;&gt;""))-SUMPRODUCT(($AA$11:$AA$170&lt;92)*($AE$11:$AE$170&lt;&gt;""))-SUMPRODUCT(($AS$11:$AS$170&lt;92)*($AW$11:$AW$170&lt;&gt;""))</f>
        <v>9</v>
      </c>
      <c r="CJ44" s="515">
        <f t="shared" si="55"/>
        <v>1.655555555555553</v>
      </c>
      <c r="CK44" s="516">
        <f t="shared" si="59"/>
        <v>0.13653561919383986</v>
      </c>
      <c r="CL44" s="514">
        <f>SUMIF($AJ$11:$AJ$170,"&lt;=100",$AN$11:$AN$170)+SUMIF($BB$11:$BB$170,"&lt;=100",$BF$11:$BF$170)-SUMIF($AJ$11:$AJ$170,"&lt;92",$AN$11:$AN$170)-SUMIF($BB$11:$BB$170,"&lt;92",$BF$11:$BF$170)</f>
        <v>20.299999999999955</v>
      </c>
      <c r="CM44" s="515">
        <f>SUMIF($AJ$11:$AJ$170,"&lt;=100",$BY$11:$BY$170)+SUMIF($BB$11:$BB$170,"&lt;=100",$CD$11:$CD$170)-SUMIF($AJ$11:$AJ$170,"&lt;92",$BY$11:$BY$170)-SUMIF($BB$11:$BB$170,"&lt;92",$CD$11:$CD$170)</f>
        <v>43.329999999999757</v>
      </c>
      <c r="CN44" s="515">
        <f>SUMPRODUCT(($AJ$11:$AJ$170&lt;=100)*($AN$11:$AN$170&lt;&gt;""))+SUMPRODUCT(($BB$11:$BB$170&lt;=100)*($BF$11:$BF$170&lt;&gt;""))-SUMPRODUCT(($AJ$11:$AJ$170&lt;92)*($AN$11:$AN$170&lt;&gt;""))-SUMPRODUCT(($BB$11:$BB$170&lt;92)*($BF$11:$BF$170&lt;&gt;""))</f>
        <v>10</v>
      </c>
      <c r="CO44" s="515">
        <f t="shared" si="56"/>
        <v>2.0299999999999954</v>
      </c>
      <c r="CP44" s="516">
        <f t="shared" si="60"/>
        <v>0.1535143858622573</v>
      </c>
      <c r="CQ44" s="514">
        <f t="shared" si="57"/>
        <v>35.199999999999932</v>
      </c>
      <c r="CR44" s="515">
        <f t="shared" si="57"/>
        <v>69.339999999999918</v>
      </c>
      <c r="CS44" s="515">
        <f t="shared" si="57"/>
        <v>19</v>
      </c>
      <c r="CT44" s="515">
        <f t="shared" si="58"/>
        <v>1.8526315789473649</v>
      </c>
      <c r="CU44" s="516">
        <f t="shared" si="61"/>
        <v>0.10985594529441114</v>
      </c>
      <c r="CV44" s="476"/>
      <c r="CW44" s="345"/>
      <c r="CX44" s="345"/>
      <c r="CY44" s="345"/>
      <c r="CZ44" s="345"/>
      <c r="DA44" s="345"/>
      <c r="DB44" s="345"/>
      <c r="DC44" s="345"/>
      <c r="DD44" s="345"/>
      <c r="DE44" s="345"/>
      <c r="DF44" s="345"/>
      <c r="DG44" s="345"/>
      <c r="DH44" s="345"/>
      <c r="DI44" s="345"/>
      <c r="DJ44" s="345"/>
      <c r="DK44" s="345"/>
      <c r="DL44" s="345"/>
      <c r="DM44" s="345"/>
      <c r="DN44" s="345"/>
      <c r="DO44" s="345"/>
      <c r="DP44" s="345"/>
      <c r="DQ44" s="345"/>
      <c r="DR44" s="345"/>
      <c r="DS44" s="345"/>
      <c r="DT44" s="345"/>
      <c r="DU44" s="345"/>
      <c r="DV44" s="345"/>
      <c r="DW44" s="345"/>
      <c r="DX44" s="345"/>
      <c r="DY44" s="345"/>
      <c r="DZ44" s="345"/>
      <c r="EA44" s="345"/>
      <c r="EB44" s="345"/>
      <c r="EC44" s="345"/>
      <c r="ED44" s="345"/>
      <c r="EE44" s="345"/>
      <c r="EF44" s="345"/>
      <c r="EG44" s="345"/>
      <c r="EH44" s="345"/>
      <c r="EI44" s="345"/>
      <c r="EJ44" s="345"/>
      <c r="EK44" s="345"/>
      <c r="EL44" s="345"/>
      <c r="EM44" s="345"/>
      <c r="EN44" s="345"/>
      <c r="EO44" s="345"/>
      <c r="EP44" s="345"/>
      <c r="EQ44" s="345"/>
      <c r="ER44" s="345"/>
      <c r="ES44" s="345"/>
      <c r="ET44" s="345"/>
      <c r="EU44" s="345"/>
      <c r="EV44" s="345"/>
      <c r="EW44" s="345"/>
      <c r="EX44" s="345"/>
      <c r="EY44" s="345"/>
      <c r="EZ44" s="345"/>
      <c r="FA44" s="345"/>
      <c r="FB44" s="345"/>
      <c r="FC44" s="345"/>
      <c r="FD44" s="345"/>
      <c r="FE44" s="345"/>
      <c r="FF44" s="345"/>
      <c r="FG44" s="345"/>
      <c r="FH44" s="345"/>
      <c r="FI44" s="345"/>
      <c r="FJ44" s="345"/>
      <c r="FK44" s="345"/>
      <c r="FL44" s="345"/>
      <c r="FM44" s="345"/>
      <c r="FN44" s="345"/>
      <c r="FO44" s="345"/>
      <c r="FP44" s="345"/>
      <c r="FQ44" s="345"/>
      <c r="FR44" s="345"/>
      <c r="FS44" s="345"/>
      <c r="FT44" s="345"/>
      <c r="FU44" s="345"/>
      <c r="FV44" s="345"/>
      <c r="FW44" s="345"/>
      <c r="FX44" s="345"/>
      <c r="FY44" s="345"/>
      <c r="FZ44" s="345"/>
      <c r="GA44" s="345"/>
      <c r="GB44" s="345"/>
      <c r="GC44" s="345"/>
      <c r="GD44" s="345"/>
      <c r="GE44" s="345"/>
      <c r="GF44" s="345"/>
      <c r="GG44" s="345"/>
      <c r="GH44" s="345"/>
      <c r="GI44" s="345"/>
      <c r="GJ44" s="345"/>
      <c r="GK44" s="345"/>
      <c r="GL44" s="345"/>
      <c r="GM44" s="345"/>
      <c r="GN44" s="345"/>
      <c r="GO44" s="345"/>
      <c r="GP44" s="345"/>
      <c r="GQ44" s="345"/>
      <c r="GR44" s="345"/>
      <c r="GS44" s="345"/>
      <c r="GT44" s="345"/>
      <c r="GU44" s="345"/>
    </row>
    <row r="45" spans="1:203" ht="12.75" customHeight="1" thickBot="1">
      <c r="A45" s="465">
        <f t="shared" si="31"/>
        <v>2</v>
      </c>
      <c r="B45" s="1108">
        <v>35</v>
      </c>
      <c r="C45" s="1109">
        <v>-1</v>
      </c>
      <c r="D45" s="398">
        <v>225.4</v>
      </c>
      <c r="E45" s="1120"/>
      <c r="F45" s="465">
        <f t="shared" si="36"/>
        <v>2</v>
      </c>
      <c r="G45" s="1108">
        <v>35</v>
      </c>
      <c r="H45" s="1109">
        <v>-1</v>
      </c>
      <c r="I45" s="398">
        <v>225.4</v>
      </c>
      <c r="J45" s="1120"/>
      <c r="K45" s="465"/>
      <c r="L45" s="465"/>
      <c r="M45" s="465">
        <f t="shared" si="23"/>
        <v>2</v>
      </c>
      <c r="N45" s="1108">
        <v>35</v>
      </c>
      <c r="O45" s="1109">
        <v>1</v>
      </c>
      <c r="P45" s="1110">
        <v>230.2</v>
      </c>
      <c r="Q45" s="1120"/>
      <c r="R45" s="465">
        <f t="shared" si="24"/>
        <v>2</v>
      </c>
      <c r="S45" s="1108">
        <v>35</v>
      </c>
      <c r="T45" s="1109">
        <v>-1</v>
      </c>
      <c r="U45" s="1110">
        <v>224.5</v>
      </c>
      <c r="V45" s="1120"/>
      <c r="W45" s="371"/>
      <c r="X45" s="494">
        <f t="shared" si="0"/>
        <v>225.4</v>
      </c>
      <c r="Y45" s="495" t="str">
        <f>IF('Feuilles=description générale'!$E$13="","",IF(X45="","",IF(X45&gt;('Feuilles=description générale'!$E$11+'Feuilles=description générale'!$E$10),"",100*(X45-'Feuilles=description générale'!$E$10)/('Feuilles=description générale'!$E$11))))</f>
        <v/>
      </c>
      <c r="Z45" s="495">
        <f>IF('Feuilles=description générale'!$E$13="","",IF(X45="","",IF(X45&lt;=('Feuilles=description générale'!$E$11+'Feuilles=description générale'!$E$10),"",100*(X45-'Feuilles=description générale'!$E$11-'Feuilles=description générale'!$E$10)/('Feuilles=description générale'!$E$12))))</f>
        <v>37.481710990618808</v>
      </c>
      <c r="AA45" s="1112">
        <f>IF('Feuilles=description générale'!$E$13="","",IF(X45="","",100*(X45-'Feuilles=description générale'!$E$10)/('Feuilles=description générale'!$E$13-'Feuilles=description générale'!$E$10)))</f>
        <v>52.953367875647672</v>
      </c>
      <c r="AB45" s="497">
        <f t="shared" si="1"/>
        <v>3</v>
      </c>
      <c r="AC45" s="500">
        <f t="shared" si="32"/>
        <v>3</v>
      </c>
      <c r="AD45" s="494">
        <f t="shared" si="2"/>
        <v>5.5</v>
      </c>
      <c r="AE45" s="499" t="str">
        <f t="shared" si="3"/>
        <v/>
      </c>
      <c r="AF45" s="371"/>
      <c r="AG45" s="494">
        <f t="shared" si="4"/>
        <v>225.4</v>
      </c>
      <c r="AH45" s="495" t="str">
        <f>IF('Feuilles=description générale'!$E$13="","",IF(AG45="","",IF(AG45&gt;('Feuilles=description générale'!$E$11+'Feuilles=description générale'!$E$10),"",100*(AG45-'Feuilles=description générale'!$E$10)/('Feuilles=description générale'!$E$11))))</f>
        <v/>
      </c>
      <c r="AI45" s="495">
        <f>IF('Feuilles=description générale'!$E$13="","",IF(AG45="","",IF(AG45&lt;=('Feuilles=description générale'!$E$11+'Feuilles=description générale'!$E$10),"",100*(AG45-'Feuilles=description générale'!$E$11-'Feuilles=description générale'!$E$10)/('Feuilles=description générale'!$E$12))))</f>
        <v>37.481710990618808</v>
      </c>
      <c r="AJ45" s="496">
        <f>IF('Feuilles=description générale'!$E$13="","",IF(AG45="","",100*(AG45-'Feuilles=description générale'!$E$10)/('Feuilles=description générale'!$E$13-'Feuilles=description générale'!$E$10)))</f>
        <v>52.953367875647672</v>
      </c>
      <c r="AK45" s="1113">
        <f t="shared" si="5"/>
        <v>2</v>
      </c>
      <c r="AL45" s="498">
        <f t="shared" si="6"/>
        <v>2</v>
      </c>
      <c r="AM45" s="494">
        <f t="shared" si="7"/>
        <v>6</v>
      </c>
      <c r="AN45" s="499" t="str">
        <f t="shared" si="8"/>
        <v/>
      </c>
      <c r="AO45" s="371"/>
      <c r="AP45" s="494">
        <f t="shared" si="9"/>
        <v>230.2</v>
      </c>
      <c r="AQ45" s="495" t="str">
        <f>IF('Feuilles=description générale'!$E$13="","",IF(AP45="","",IF(AP45&gt;('Feuilles=description générale'!$E$25+'Feuilles=description générale'!$E$24),"",100*(AP45-'Feuilles=description générale'!$E$24)/('Feuilles=description générale'!$E$25))))</f>
        <v/>
      </c>
      <c r="AR45" s="495">
        <f>IF('Feuilles=description générale'!$E$27="","",IF(AP45="","",IF(AP45&lt;=('Feuilles=description générale'!$E$25+'Feuilles=description générale'!$E$24),"",100*(AP45-'Feuilles=description générale'!$E$25-'Feuilles=description générale'!$E$24)/('Feuilles=description générale'!$E$26))))</f>
        <v>36.258879242304658</v>
      </c>
      <c r="AS45" s="496">
        <f>IF('Feuilles=description générale'!$E$27="","",IF(AP45="","",100*(AP45-'Feuilles=description générale'!$E$24)/('Feuilles=description générale'!$E$27-'Feuilles=description générale'!$E$24)))</f>
        <v>50.64776338303593</v>
      </c>
      <c r="AT45" s="497">
        <f t="shared" si="10"/>
        <v>1</v>
      </c>
      <c r="AU45" s="500" t="str">
        <f t="shared" si="11"/>
        <v/>
      </c>
      <c r="AV45" s="494" t="str">
        <f t="shared" si="12"/>
        <v/>
      </c>
      <c r="AW45" s="499">
        <f t="shared" si="13"/>
        <v>3.2000000000000171</v>
      </c>
      <c r="AX45" s="371"/>
      <c r="AY45" s="494">
        <f t="shared" si="14"/>
        <v>224.5</v>
      </c>
      <c r="AZ45" s="495" t="str">
        <f>IF('Feuilles=description générale'!$E$13="","",IF(AY45="","",IF(AY45&gt;('Feuilles=description générale'!$E$25+'Feuilles=description générale'!$E$24),"",100*(AY45-'Feuilles=description générale'!$E$24)/('Feuilles=description générale'!$E$25))))</f>
        <v/>
      </c>
      <c r="BA45" s="495">
        <f>IF('Feuilles=description générale'!$E$27="","",IF(AY45="","",IF(AY45&lt;=('Feuilles=description générale'!$E$25+'Feuilles=description générale'!$E$24),"",100*(AY45-'Feuilles=description générale'!$E$25-'Feuilles=description générale'!$E$24)/('Feuilles=description générale'!$E$26))))</f>
        <v>34.459352801894241</v>
      </c>
      <c r="BB45" s="496">
        <f>IF('Feuilles=description générale'!$E$27="","",IF(AY45="","",100*(AY45-'Feuilles=description générale'!$E$24)/('Feuilles=description générale'!$E$27-'Feuilles=description générale'!$E$24)))</f>
        <v>49.254461011977511</v>
      </c>
      <c r="BC45" s="497">
        <f t="shared" si="15"/>
        <v>2</v>
      </c>
      <c r="BD45" s="500">
        <f t="shared" si="16"/>
        <v>2</v>
      </c>
      <c r="BE45" s="494">
        <f t="shared" si="17"/>
        <v>6.3000000000000114</v>
      </c>
      <c r="BF45" s="499" t="str">
        <f t="shared" si="18"/>
        <v/>
      </c>
      <c r="BG45" s="476"/>
      <c r="BH45" s="551"/>
      <c r="BI45" s="552"/>
      <c r="BJ45" s="555"/>
      <c r="BK45" s="556"/>
      <c r="BL45" s="557"/>
      <c r="BM45" s="555"/>
      <c r="BN45" s="555"/>
      <c r="BO45" s="555"/>
      <c r="BP45" s="557"/>
      <c r="BQ45" s="557"/>
      <c r="BR45" s="554"/>
      <c r="BS45" s="554"/>
      <c r="BT45" s="554"/>
      <c r="BU45" s="568"/>
      <c r="BV45" s="1114">
        <f t="shared" si="19"/>
        <v>30.25</v>
      </c>
      <c r="BW45" s="1114" t="str">
        <f t="shared" si="19"/>
        <v/>
      </c>
      <c r="BX45" s="1114">
        <f t="shared" si="20"/>
        <v>36</v>
      </c>
      <c r="BY45" s="1115" t="str">
        <f t="shared" si="20"/>
        <v/>
      </c>
      <c r="BZ45" s="477"/>
      <c r="CA45" s="1114" t="str">
        <f t="shared" si="21"/>
        <v/>
      </c>
      <c r="CB45" s="1114">
        <f t="shared" si="21"/>
        <v>10.240000000000109</v>
      </c>
      <c r="CC45" s="1114">
        <f t="shared" si="22"/>
        <v>39.69000000000014</v>
      </c>
      <c r="CD45" s="1115" t="str">
        <f t="shared" si="22"/>
        <v/>
      </c>
      <c r="CE45" s="568"/>
      <c r="CF45" s="501">
        <v>100</v>
      </c>
      <c r="CG45" s="1188">
        <f>CG25</f>
        <v>0.01</v>
      </c>
      <c r="CH45" s="1119">
        <f t="shared" ref="CH45:CP45" si="62">CH25</f>
        <v>0</v>
      </c>
      <c r="CI45" s="1119">
        <f t="shared" si="62"/>
        <v>1</v>
      </c>
      <c r="CJ45" s="1119">
        <f t="shared" si="62"/>
        <v>0</v>
      </c>
      <c r="CK45" s="680">
        <f t="shared" si="62"/>
        <v>0</v>
      </c>
      <c r="CL45" s="1188">
        <f t="shared" si="62"/>
        <v>0.01</v>
      </c>
      <c r="CM45" s="1119">
        <f t="shared" si="62"/>
        <v>0</v>
      </c>
      <c r="CN45" s="1119">
        <f t="shared" si="62"/>
        <v>1</v>
      </c>
      <c r="CO45" s="1119">
        <f t="shared" si="62"/>
        <v>0</v>
      </c>
      <c r="CP45" s="680">
        <f t="shared" si="62"/>
        <v>0</v>
      </c>
      <c r="CQ45" s="1188">
        <f t="shared" ref="CQ45" si="63">CG45+CL45</f>
        <v>0.02</v>
      </c>
      <c r="CR45" s="1119">
        <f t="shared" ref="CR45" si="64">CH45+CM45</f>
        <v>0</v>
      </c>
      <c r="CS45" s="1119">
        <f t="shared" ref="CS45" si="65">CI45+CN45</f>
        <v>2</v>
      </c>
      <c r="CT45" s="1192">
        <f t="shared" ref="CT45" si="66">IF(CS45=0,0,IF(CS45="","",CQ45/CS45))</f>
        <v>0.01</v>
      </c>
      <c r="CU45" s="680">
        <f t="shared" ref="CU45" si="67">IF(CS45&lt;2,0,IF((CR45/CS45-CT45*CT45)/(CS45-1)&lt;0,0,SQRT((CR45/CS45-CT45*CT45)/(CS45-1))))</f>
        <v>0</v>
      </c>
      <c r="CV45" s="476"/>
      <c r="CW45" s="345"/>
      <c r="CX45" s="345"/>
      <c r="CY45" s="345"/>
      <c r="CZ45" s="345"/>
      <c r="DA45" s="345"/>
      <c r="DB45" s="345"/>
      <c r="DC45" s="345"/>
      <c r="DD45" s="345"/>
      <c r="DE45" s="345"/>
      <c r="DF45" s="345"/>
      <c r="DG45" s="345"/>
      <c r="DH45" s="345"/>
      <c r="DI45" s="345"/>
      <c r="DJ45" s="345"/>
      <c r="DK45" s="345"/>
      <c r="DL45" s="345"/>
      <c r="DM45" s="345"/>
      <c r="DN45" s="345"/>
      <c r="DO45" s="345"/>
      <c r="DP45" s="345"/>
      <c r="DQ45" s="345"/>
      <c r="DR45" s="345"/>
      <c r="DS45" s="345"/>
      <c r="DT45" s="345"/>
      <c r="DU45" s="345"/>
      <c r="DV45" s="345"/>
      <c r="DW45" s="345"/>
      <c r="DX45" s="345"/>
      <c r="DY45" s="345"/>
      <c r="DZ45" s="345"/>
      <c r="EA45" s="345"/>
      <c r="EB45" s="345"/>
      <c r="EC45" s="345"/>
      <c r="ED45" s="345"/>
      <c r="EE45" s="345"/>
      <c r="EF45" s="345"/>
      <c r="EG45" s="345"/>
      <c r="EH45" s="345"/>
      <c r="EI45" s="345"/>
      <c r="EJ45" s="345"/>
      <c r="EK45" s="345"/>
      <c r="EL45" s="345"/>
      <c r="EM45" s="345"/>
      <c r="EN45" s="345"/>
      <c r="EO45" s="345"/>
      <c r="EP45" s="345"/>
      <c r="EQ45" s="345"/>
      <c r="ER45" s="345"/>
      <c r="ES45" s="345"/>
      <c r="ET45" s="345"/>
      <c r="EU45" s="345"/>
      <c r="EV45" s="345"/>
      <c r="EW45" s="345"/>
      <c r="EX45" s="345"/>
      <c r="EY45" s="345"/>
      <c r="EZ45" s="345"/>
      <c r="FA45" s="345"/>
      <c r="FB45" s="345"/>
      <c r="FC45" s="345"/>
      <c r="FD45" s="345"/>
      <c r="FE45" s="345"/>
      <c r="FF45" s="345"/>
      <c r="FG45" s="345"/>
      <c r="FH45" s="345"/>
      <c r="FI45" s="345"/>
      <c r="FJ45" s="345"/>
      <c r="FK45" s="345"/>
      <c r="FL45" s="345"/>
      <c r="FM45" s="345"/>
      <c r="FN45" s="345"/>
      <c r="FO45" s="345"/>
      <c r="FP45" s="345"/>
      <c r="FQ45" s="345"/>
      <c r="FR45" s="345"/>
      <c r="FS45" s="345"/>
      <c r="FT45" s="345"/>
      <c r="FU45" s="345"/>
      <c r="FV45" s="345"/>
      <c r="FW45" s="345"/>
      <c r="FX45" s="345"/>
      <c r="FY45" s="345"/>
      <c r="FZ45" s="345"/>
      <c r="GA45" s="345"/>
      <c r="GB45" s="345"/>
      <c r="GC45" s="345"/>
      <c r="GD45" s="345"/>
      <c r="GE45" s="345"/>
      <c r="GF45" s="345"/>
      <c r="GG45" s="345"/>
      <c r="GH45" s="345"/>
      <c r="GI45" s="345"/>
      <c r="GJ45" s="345"/>
      <c r="GK45" s="345"/>
      <c r="GL45" s="345"/>
      <c r="GM45" s="345"/>
      <c r="GN45" s="345"/>
      <c r="GO45" s="345"/>
      <c r="GP45" s="345"/>
      <c r="GQ45" s="345"/>
      <c r="GR45" s="345"/>
      <c r="GS45" s="345"/>
      <c r="GT45" s="345"/>
      <c r="GU45" s="345"/>
    </row>
    <row r="46" spans="1:203" ht="12.75" customHeight="1">
      <c r="A46" s="465">
        <f t="shared" si="31"/>
        <v>2</v>
      </c>
      <c r="B46" s="1108">
        <v>36</v>
      </c>
      <c r="C46" s="1109">
        <v>1</v>
      </c>
      <c r="D46" s="398">
        <v>230.9</v>
      </c>
      <c r="E46" s="1120"/>
      <c r="F46" s="465">
        <f t="shared" si="36"/>
        <v>2</v>
      </c>
      <c r="G46" s="1108">
        <v>36</v>
      </c>
      <c r="H46" s="1109">
        <v>1</v>
      </c>
      <c r="I46" s="398">
        <v>231.4</v>
      </c>
      <c r="J46" s="1120"/>
      <c r="K46" s="465"/>
      <c r="L46" s="465"/>
      <c r="M46" s="465">
        <f t="shared" si="23"/>
        <v>2</v>
      </c>
      <c r="N46" s="1108">
        <v>36</v>
      </c>
      <c r="O46" s="1109">
        <v>0</v>
      </c>
      <c r="P46" s="1110">
        <v>233.4</v>
      </c>
      <c r="Q46" s="1120"/>
      <c r="R46" s="465">
        <f t="shared" si="24"/>
        <v>2</v>
      </c>
      <c r="S46" s="1108">
        <v>36</v>
      </c>
      <c r="T46" s="1109">
        <v>1</v>
      </c>
      <c r="U46" s="1110">
        <v>230.8</v>
      </c>
      <c r="V46" s="1120"/>
      <c r="W46" s="371"/>
      <c r="X46" s="494">
        <f t="shared" si="0"/>
        <v>230.9</v>
      </c>
      <c r="Y46" s="495" t="str">
        <f>IF('Feuilles=description générale'!$E$13="","",IF(X46="","",IF(X46&gt;('Feuilles=description générale'!$E$11+'Feuilles=description générale'!$E$10),"",100*(X46-'Feuilles=description générale'!$E$10)/('Feuilles=description générale'!$E$11))))</f>
        <v/>
      </c>
      <c r="Z46" s="495">
        <f>IF('Feuilles=description générale'!$E$13="","",IF(X46="","",IF(X46&lt;=('Feuilles=description générale'!$E$11+'Feuilles=description générale'!$E$10),"",100*(X46-'Feuilles=description générale'!$E$11-'Feuilles=description générale'!$E$10)/('Feuilles=description générale'!$E$12))))</f>
        <v>39.375161373612187</v>
      </c>
      <c r="AA46" s="1112">
        <f>IF('Feuilles=description générale'!$E$13="","",IF(X46="","",100*(X46-'Feuilles=description générale'!$E$10)/('Feuilles=description générale'!$E$13-'Feuilles=description générale'!$E$10)))</f>
        <v>54.37823834196891</v>
      </c>
      <c r="AB46" s="497">
        <f t="shared" si="1"/>
        <v>1</v>
      </c>
      <c r="AC46" s="500" t="str">
        <f t="shared" si="32"/>
        <v/>
      </c>
      <c r="AD46" s="494" t="str">
        <f t="shared" si="2"/>
        <v/>
      </c>
      <c r="AE46" s="499">
        <f t="shared" si="3"/>
        <v>1.6999999999999886</v>
      </c>
      <c r="AF46" s="371"/>
      <c r="AG46" s="494">
        <f t="shared" si="4"/>
        <v>231.4</v>
      </c>
      <c r="AH46" s="495" t="str">
        <f>IF('Feuilles=description générale'!$E$13="","",IF(AG46="","",IF(AG46&gt;('Feuilles=description générale'!$E$11+'Feuilles=description générale'!$E$10),"",100*(AG46-'Feuilles=description générale'!$E$10)/('Feuilles=description générale'!$E$11))))</f>
        <v/>
      </c>
      <c r="AI46" s="495">
        <f>IF('Feuilles=description générale'!$E$13="","",IF(AG46="","",IF(AG46&lt;=('Feuilles=description générale'!$E$11+'Feuilles=description générale'!$E$10),"",100*(AG46-'Feuilles=description générale'!$E$11-'Feuilles=description générale'!$E$10)/('Feuilles=description générale'!$E$12))))</f>
        <v>39.547293226611579</v>
      </c>
      <c r="AJ46" s="496">
        <f>IF('Feuilles=description générale'!$E$13="","",IF(AG46="","",100*(AG46-'Feuilles=description générale'!$E$10)/('Feuilles=description générale'!$E$13-'Feuilles=description générale'!$E$10)))</f>
        <v>54.50777202072539</v>
      </c>
      <c r="AK46" s="1113">
        <f t="shared" si="5"/>
        <v>1</v>
      </c>
      <c r="AL46" s="498" t="str">
        <f t="shared" si="6"/>
        <v/>
      </c>
      <c r="AM46" s="494" t="str">
        <f t="shared" si="7"/>
        <v/>
      </c>
      <c r="AN46" s="499">
        <f t="shared" si="8"/>
        <v>1.9000000000000057</v>
      </c>
      <c r="AO46" s="371"/>
      <c r="AP46" s="494">
        <f t="shared" si="9"/>
        <v>233.4</v>
      </c>
      <c r="AQ46" s="495" t="str">
        <f>IF('Feuilles=description générale'!$E$13="","",IF(AP46="","",IF(AP46&gt;('Feuilles=description générale'!$E$25+'Feuilles=description générale'!$E$24),"",100*(AP46-'Feuilles=description générale'!$E$24)/('Feuilles=description générale'!$E$25))))</f>
        <v/>
      </c>
      <c r="AR46" s="495">
        <f>IF('Feuilles=description générale'!$E$27="","",IF(AP46="","",IF(AP46&lt;=('Feuilles=description générale'!$E$25+'Feuilles=description générale'!$E$24),"",100*(AP46-'Feuilles=description générale'!$E$25-'Feuilles=description générale'!$E$24)/('Feuilles=description générale'!$E$26))))</f>
        <v>37.269139700078931</v>
      </c>
      <c r="AS46" s="496">
        <f>IF('Feuilles=description générale'!$E$27="","",IF(AP46="","",100*(AP46-'Feuilles=description générale'!$E$24)/('Feuilles=description générale'!$E$27-'Feuilles=description générale'!$E$24)))</f>
        <v>51.429968222928373</v>
      </c>
      <c r="AT46" s="497">
        <f t="shared" si="10"/>
        <v>2</v>
      </c>
      <c r="AU46" s="500" t="str">
        <f t="shared" si="11"/>
        <v/>
      </c>
      <c r="AV46" s="494" t="str">
        <f t="shared" si="12"/>
        <v/>
      </c>
      <c r="AW46" s="499">
        <f t="shared" si="13"/>
        <v>1.7999999999999829</v>
      </c>
      <c r="AX46" s="371"/>
      <c r="AY46" s="494">
        <f t="shared" si="14"/>
        <v>230.8</v>
      </c>
      <c r="AZ46" s="495" t="str">
        <f>IF('Feuilles=description générale'!$E$13="","",IF(AY46="","",IF(AY46&gt;('Feuilles=description générale'!$E$25+'Feuilles=description générale'!$E$24),"",100*(AY46-'Feuilles=description générale'!$E$24)/('Feuilles=description générale'!$E$25))))</f>
        <v/>
      </c>
      <c r="BA46" s="495">
        <f>IF('Feuilles=description générale'!$E$27="","",IF(AY46="","",IF(AY46&lt;=('Feuilles=description générale'!$E$25+'Feuilles=description générale'!$E$24),"",100*(AY46-'Feuilles=description générale'!$E$25-'Feuilles=description générale'!$E$24)/('Feuilles=description générale'!$E$26))))</f>
        <v>36.448303078137336</v>
      </c>
      <c r="BB46" s="496">
        <f>IF('Feuilles=description générale'!$E$27="","",IF(AY46="","",100*(AY46-'Feuilles=description générale'!$E$24)/('Feuilles=description générale'!$E$27-'Feuilles=description générale'!$E$24)))</f>
        <v>50.794426790515764</v>
      </c>
      <c r="BC46" s="497">
        <f t="shared" si="15"/>
        <v>1</v>
      </c>
      <c r="BD46" s="500" t="str">
        <f t="shared" si="16"/>
        <v/>
      </c>
      <c r="BE46" s="494" t="str">
        <f t="shared" si="17"/>
        <v/>
      </c>
      <c r="BF46" s="499">
        <f t="shared" si="18"/>
        <v>1.5</v>
      </c>
      <c r="BG46" s="476"/>
      <c r="BH46" s="551"/>
      <c r="BI46" s="552"/>
      <c r="BJ46" s="558"/>
      <c r="BK46" s="558"/>
      <c r="BL46" s="558"/>
      <c r="BM46" s="558"/>
      <c r="BN46" s="558"/>
      <c r="BO46" s="558"/>
      <c r="BP46" s="558"/>
      <c r="BQ46" s="558"/>
      <c r="BR46" s="558"/>
      <c r="BS46" s="554"/>
      <c r="BT46" s="554"/>
      <c r="BU46" s="568"/>
      <c r="BV46" s="1114" t="str">
        <f t="shared" si="19"/>
        <v/>
      </c>
      <c r="BW46" s="1114">
        <f t="shared" si="19"/>
        <v>2.8899999999999615</v>
      </c>
      <c r="BX46" s="1114" t="str">
        <f t="shared" si="20"/>
        <v/>
      </c>
      <c r="BY46" s="1115">
        <f t="shared" si="20"/>
        <v>3.6100000000000216</v>
      </c>
      <c r="BZ46" s="477"/>
      <c r="CA46" s="1114" t="str">
        <f t="shared" si="21"/>
        <v/>
      </c>
      <c r="CB46" s="1114">
        <f t="shared" si="21"/>
        <v>3.2399999999999385</v>
      </c>
      <c r="CC46" s="1114" t="str">
        <f t="shared" si="22"/>
        <v/>
      </c>
      <c r="CD46" s="1115">
        <f t="shared" si="22"/>
        <v>2.25</v>
      </c>
      <c r="CE46" s="568"/>
      <c r="CF46" s="517"/>
      <c r="CG46" s="1123"/>
      <c r="CH46" s="1123"/>
      <c r="CI46" s="1123"/>
      <c r="CJ46" s="1123"/>
      <c r="CK46" s="1123"/>
      <c r="CL46" s="1123"/>
      <c r="CM46" s="1123"/>
      <c r="CN46" s="1123"/>
      <c r="CO46" s="1123"/>
      <c r="CP46" s="1123"/>
      <c r="CQ46" s="1123"/>
      <c r="CR46" s="1123"/>
      <c r="CS46" s="1123"/>
      <c r="CT46" s="1123"/>
      <c r="CU46" s="1123"/>
      <c r="CV46" s="476"/>
      <c r="CW46" s="345"/>
      <c r="CX46" s="345"/>
      <c r="CY46" s="345"/>
      <c r="CZ46" s="345"/>
      <c r="DA46" s="345"/>
      <c r="DB46" s="345"/>
      <c r="DC46" s="345"/>
      <c r="DD46" s="345"/>
      <c r="DE46" s="345"/>
      <c r="DF46" s="345"/>
      <c r="DG46" s="345"/>
      <c r="DH46" s="345"/>
      <c r="DI46" s="345"/>
      <c r="DJ46" s="345"/>
      <c r="DK46" s="345"/>
      <c r="DL46" s="345"/>
      <c r="DM46" s="345"/>
      <c r="DN46" s="345"/>
      <c r="DO46" s="345"/>
      <c r="DP46" s="345"/>
      <c r="DQ46" s="345"/>
      <c r="DR46" s="345"/>
      <c r="DS46" s="345"/>
      <c r="DT46" s="345"/>
      <c r="DU46" s="345"/>
      <c r="DV46" s="345"/>
      <c r="DW46" s="345"/>
      <c r="DX46" s="345"/>
      <c r="DY46" s="345"/>
      <c r="DZ46" s="345"/>
      <c r="EA46" s="345"/>
      <c r="EB46" s="345"/>
      <c r="EC46" s="345"/>
      <c r="ED46" s="345"/>
      <c r="EE46" s="345"/>
      <c r="EF46" s="345"/>
      <c r="EG46" s="345"/>
      <c r="EH46" s="345"/>
      <c r="EI46" s="345"/>
      <c r="EJ46" s="345"/>
      <c r="EK46" s="345"/>
      <c r="EL46" s="345"/>
      <c r="EM46" s="345"/>
      <c r="EN46" s="345"/>
      <c r="EO46" s="345"/>
      <c r="EP46" s="345"/>
      <c r="EQ46" s="345"/>
      <c r="ER46" s="345"/>
      <c r="ES46" s="345"/>
      <c r="ET46" s="345"/>
      <c r="EU46" s="345"/>
      <c r="EV46" s="345"/>
      <c r="EW46" s="345"/>
      <c r="EX46" s="345"/>
      <c r="EY46" s="345"/>
      <c r="EZ46" s="345"/>
      <c r="FA46" s="345"/>
      <c r="FB46" s="345"/>
      <c r="FC46" s="345"/>
      <c r="FD46" s="345"/>
      <c r="FE46" s="345"/>
      <c r="FF46" s="345"/>
      <c r="FG46" s="345"/>
      <c r="FH46" s="345"/>
      <c r="FI46" s="345"/>
      <c r="FJ46" s="345"/>
      <c r="FK46" s="345"/>
      <c r="FL46" s="345"/>
      <c r="FM46" s="345"/>
      <c r="FN46" s="345"/>
      <c r="FO46" s="345"/>
      <c r="FP46" s="345"/>
      <c r="FQ46" s="345"/>
      <c r="FR46" s="345"/>
      <c r="FS46" s="345"/>
      <c r="FT46" s="345"/>
      <c r="FU46" s="345"/>
      <c r="FV46" s="345"/>
      <c r="FW46" s="345"/>
      <c r="FX46" s="345"/>
      <c r="FY46" s="345"/>
      <c r="FZ46" s="345"/>
      <c r="GA46" s="345"/>
      <c r="GB46" s="345"/>
      <c r="GC46" s="345"/>
      <c r="GD46" s="345"/>
      <c r="GE46" s="345"/>
      <c r="GF46" s="345"/>
      <c r="GG46" s="345"/>
      <c r="GH46" s="345"/>
      <c r="GI46" s="345"/>
      <c r="GJ46" s="345"/>
      <c r="GK46" s="345"/>
      <c r="GL46" s="345"/>
      <c r="GM46" s="345"/>
      <c r="GN46" s="345"/>
      <c r="GO46" s="345"/>
      <c r="GP46" s="345"/>
      <c r="GQ46" s="345"/>
      <c r="GR46" s="345"/>
      <c r="GS46" s="345"/>
      <c r="GT46" s="345"/>
      <c r="GU46" s="345"/>
    </row>
    <row r="47" spans="1:203" ht="12.75" customHeight="1" thickBot="1">
      <c r="A47" s="465">
        <f t="shared" si="31"/>
        <v>2</v>
      </c>
      <c r="B47" s="1108">
        <v>37</v>
      </c>
      <c r="C47" s="1109">
        <v>-1</v>
      </c>
      <c r="D47" s="398">
        <v>232.6</v>
      </c>
      <c r="E47" s="1120"/>
      <c r="F47" s="465">
        <f t="shared" si="36"/>
        <v>2</v>
      </c>
      <c r="G47" s="1108">
        <v>37</v>
      </c>
      <c r="H47" s="1109">
        <v>0</v>
      </c>
      <c r="I47" s="398">
        <v>233.3</v>
      </c>
      <c r="J47" s="1120"/>
      <c r="K47" s="465"/>
      <c r="L47" s="465"/>
      <c r="M47" s="465">
        <f t="shared" si="23"/>
        <v>2</v>
      </c>
      <c r="N47" s="1108">
        <v>37</v>
      </c>
      <c r="O47" s="1109">
        <v>-1</v>
      </c>
      <c r="P47" s="1110">
        <v>235.2</v>
      </c>
      <c r="Q47" s="1120"/>
      <c r="R47" s="465">
        <f t="shared" si="24"/>
        <v>2</v>
      </c>
      <c r="S47" s="1108">
        <v>37</v>
      </c>
      <c r="T47" s="1109">
        <v>0</v>
      </c>
      <c r="U47" s="1110">
        <v>232.3</v>
      </c>
      <c r="V47" s="1120"/>
      <c r="W47" s="371"/>
      <c r="X47" s="494">
        <f t="shared" si="0"/>
        <v>232.6</v>
      </c>
      <c r="Y47" s="495" t="str">
        <f>IF('Feuilles=description générale'!$E$13="","",IF(X47="","",IF(X47&gt;('Feuilles=description générale'!$E$11+'Feuilles=description générale'!$E$10),"",100*(X47-'Feuilles=description générale'!$E$10)/('Feuilles=description générale'!$E$11))))</f>
        <v/>
      </c>
      <c r="Z47" s="495">
        <f>IF('Feuilles=description générale'!$E$13="","",IF(X47="","",IF(X47&lt;=('Feuilles=description générale'!$E$11+'Feuilles=description générale'!$E$10),"",100*(X47-'Feuilles=description générale'!$E$11-'Feuilles=description générale'!$E$10)/('Feuilles=description générale'!$E$12))))</f>
        <v>39.960409673810126</v>
      </c>
      <c r="AA47" s="1112">
        <f>IF('Feuilles=description générale'!$E$13="","",IF(X47="","",100*(X47-'Feuilles=description générale'!$E$10)/('Feuilles=description générale'!$E$13-'Feuilles=description générale'!$E$10)))</f>
        <v>54.818652849740936</v>
      </c>
      <c r="AB47" s="497">
        <f t="shared" si="1"/>
        <v>2</v>
      </c>
      <c r="AC47" s="500">
        <f t="shared" si="32"/>
        <v>2</v>
      </c>
      <c r="AD47" s="494">
        <f t="shared" si="2"/>
        <v>5.3000000000000114</v>
      </c>
      <c r="AE47" s="499" t="str">
        <f t="shared" si="3"/>
        <v/>
      </c>
      <c r="AF47" s="371"/>
      <c r="AG47" s="494">
        <f t="shared" si="4"/>
        <v>233.3</v>
      </c>
      <c r="AH47" s="495" t="str">
        <f>IF('Feuilles=description générale'!$E$13="","",IF(AG47="","",IF(AG47&gt;('Feuilles=description générale'!$E$11+'Feuilles=description générale'!$E$10),"",100*(AG47-'Feuilles=description générale'!$E$10)/('Feuilles=description générale'!$E$11))))</f>
        <v/>
      </c>
      <c r="AI47" s="495">
        <f>IF('Feuilles=description générale'!$E$13="","",IF(AG47="","",IF(AG47&lt;=('Feuilles=description générale'!$E$11+'Feuilles=description générale'!$E$10),"",100*(AG47-'Feuilles=description générale'!$E$11-'Feuilles=description générale'!$E$10)/('Feuilles=description générale'!$E$12))))</f>
        <v>40.201394268009302</v>
      </c>
      <c r="AJ47" s="496">
        <f>IF('Feuilles=description générale'!$E$13="","",IF(AG47="","",100*(AG47-'Feuilles=description générale'!$E$10)/('Feuilles=description générale'!$E$13-'Feuilles=description générale'!$E$10)))</f>
        <v>55</v>
      </c>
      <c r="AK47" s="1113">
        <f t="shared" si="5"/>
        <v>2</v>
      </c>
      <c r="AL47" s="498" t="str">
        <f t="shared" si="6"/>
        <v/>
      </c>
      <c r="AM47" s="494" t="str">
        <f t="shared" si="7"/>
        <v/>
      </c>
      <c r="AN47" s="499">
        <f t="shared" si="8"/>
        <v>1.5</v>
      </c>
      <c r="AO47" s="371"/>
      <c r="AP47" s="494">
        <f t="shared" si="9"/>
        <v>235.2</v>
      </c>
      <c r="AQ47" s="495" t="str">
        <f>IF('Feuilles=description générale'!$E$13="","",IF(AP47="","",IF(AP47&gt;('Feuilles=description générale'!$E$25+'Feuilles=description générale'!$E$24),"",100*(AP47-'Feuilles=description générale'!$E$24)/('Feuilles=description générale'!$E$25))))</f>
        <v/>
      </c>
      <c r="AR47" s="495">
        <f>IF('Feuilles=description générale'!$E$27="","",IF(AP47="","",IF(AP47&lt;=('Feuilles=description générale'!$E$25+'Feuilles=description générale'!$E$24),"",100*(AP47-'Feuilles=description générale'!$E$25-'Feuilles=description générale'!$E$24)/('Feuilles=description générale'!$E$26))))</f>
        <v>37.837411207576956</v>
      </c>
      <c r="AS47" s="496">
        <f>IF('Feuilles=description générale'!$E$27="","",IF(AP47="","",100*(AP47-'Feuilles=description générale'!$E$24)/('Feuilles=description générale'!$E$27-'Feuilles=description générale'!$E$24)))</f>
        <v>51.869958445367878</v>
      </c>
      <c r="AT47" s="497">
        <f t="shared" si="10"/>
        <v>3</v>
      </c>
      <c r="AU47" s="500">
        <f t="shared" si="11"/>
        <v>3</v>
      </c>
      <c r="AV47" s="494">
        <f t="shared" si="12"/>
        <v>5.4000000000000057</v>
      </c>
      <c r="AW47" s="499" t="str">
        <f t="shared" si="13"/>
        <v/>
      </c>
      <c r="AX47" s="371"/>
      <c r="AY47" s="494">
        <f t="shared" si="14"/>
        <v>232.3</v>
      </c>
      <c r="AZ47" s="495" t="str">
        <f>IF('Feuilles=description générale'!$E$13="","",IF(AY47="","",IF(AY47&gt;('Feuilles=description générale'!$E$25+'Feuilles=description générale'!$E$24),"",100*(AY47-'Feuilles=description générale'!$E$24)/('Feuilles=description générale'!$E$25))))</f>
        <v/>
      </c>
      <c r="BA47" s="495">
        <f>IF('Feuilles=description générale'!$E$27="","",IF(AY47="","",IF(AY47&lt;=('Feuilles=description générale'!$E$25+'Feuilles=description générale'!$E$24),"",100*(AY47-'Feuilles=description générale'!$E$25-'Feuilles=description générale'!$E$24)/('Feuilles=description générale'!$E$26))))</f>
        <v>36.921862667719026</v>
      </c>
      <c r="BB47" s="496">
        <f>IF('Feuilles=description générale'!$E$27="","",IF(AY47="","",100*(AY47-'Feuilles=description générale'!$E$24)/('Feuilles=description générale'!$E$27-'Feuilles=description générale'!$E$24)))</f>
        <v>51.161085309215345</v>
      </c>
      <c r="BC47" s="497">
        <f t="shared" si="15"/>
        <v>2</v>
      </c>
      <c r="BD47" s="500" t="str">
        <f t="shared" si="16"/>
        <v/>
      </c>
      <c r="BE47" s="494" t="str">
        <f t="shared" si="17"/>
        <v/>
      </c>
      <c r="BF47" s="499">
        <f t="shared" si="18"/>
        <v>2</v>
      </c>
      <c r="BG47" s="476"/>
      <c r="BH47" s="551"/>
      <c r="BI47" s="552"/>
      <c r="BJ47" s="558"/>
      <c r="BK47" s="558"/>
      <c r="BL47" s="558"/>
      <c r="BM47" s="558"/>
      <c r="BN47" s="558"/>
      <c r="BO47" s="558"/>
      <c r="BP47" s="558"/>
      <c r="BQ47" s="558"/>
      <c r="BR47" s="558"/>
      <c r="BS47" s="559"/>
      <c r="BT47" s="559"/>
      <c r="BU47" s="568"/>
      <c r="BV47" s="1114">
        <f t="shared" si="19"/>
        <v>28.090000000000121</v>
      </c>
      <c r="BW47" s="1114" t="str">
        <f t="shared" si="19"/>
        <v/>
      </c>
      <c r="BX47" s="1114" t="str">
        <f t="shared" si="20"/>
        <v/>
      </c>
      <c r="BY47" s="1115">
        <f t="shared" si="20"/>
        <v>2.25</v>
      </c>
      <c r="BZ47" s="477"/>
      <c r="CA47" s="1114">
        <f t="shared" si="21"/>
        <v>29.160000000000061</v>
      </c>
      <c r="CB47" s="1114" t="str">
        <f t="shared" si="21"/>
        <v/>
      </c>
      <c r="CC47" s="1114" t="str">
        <f t="shared" si="22"/>
        <v/>
      </c>
      <c r="CD47" s="1115">
        <f t="shared" si="22"/>
        <v>4</v>
      </c>
      <c r="CE47" s="568"/>
      <c r="CF47" s="551"/>
      <c r="CG47" s="552"/>
      <c r="CH47" s="552"/>
      <c r="CI47" s="552"/>
      <c r="CJ47" s="552"/>
      <c r="CK47" s="552"/>
      <c r="CL47" s="552"/>
      <c r="CM47" s="552"/>
      <c r="CN47" s="552"/>
      <c r="CO47" s="552"/>
      <c r="CP47" s="552"/>
      <c r="CQ47" s="552"/>
      <c r="CR47" s="552"/>
      <c r="CS47" s="552"/>
      <c r="CT47" s="552"/>
      <c r="CU47" s="552"/>
      <c r="CV47" s="476"/>
      <c r="CW47" s="345"/>
      <c r="CX47" s="345"/>
      <c r="CY47" s="345"/>
      <c r="CZ47" s="345"/>
      <c r="DA47" s="345"/>
      <c r="DB47" s="345"/>
      <c r="DC47" s="345"/>
      <c r="DD47" s="345"/>
      <c r="DE47" s="345"/>
      <c r="DF47" s="345"/>
      <c r="DG47" s="345"/>
      <c r="DH47" s="345"/>
      <c r="DI47" s="345"/>
      <c r="DJ47" s="345"/>
      <c r="DK47" s="345"/>
      <c r="DL47" s="345"/>
      <c r="DM47" s="345"/>
      <c r="DN47" s="345"/>
      <c r="DO47" s="345"/>
      <c r="DP47" s="345"/>
      <c r="DQ47" s="345"/>
      <c r="DR47" s="345"/>
      <c r="DS47" s="345"/>
      <c r="DT47" s="345"/>
      <c r="DU47" s="345"/>
      <c r="DV47" s="345"/>
      <c r="DW47" s="345"/>
      <c r="DX47" s="345"/>
      <c r="DY47" s="345"/>
      <c r="DZ47" s="345"/>
      <c r="EA47" s="345"/>
      <c r="EB47" s="345"/>
      <c r="EC47" s="345"/>
      <c r="ED47" s="345"/>
      <c r="EE47" s="345"/>
      <c r="EF47" s="345"/>
      <c r="EG47" s="345"/>
      <c r="EH47" s="345"/>
      <c r="EI47" s="345"/>
      <c r="EJ47" s="345"/>
      <c r="EK47" s="345"/>
      <c r="EL47" s="345"/>
      <c r="EM47" s="345"/>
      <c r="EN47" s="345"/>
      <c r="EO47" s="345"/>
      <c r="EP47" s="345"/>
      <c r="EQ47" s="345"/>
      <c r="ER47" s="345"/>
      <c r="ES47" s="345"/>
      <c r="ET47" s="345"/>
      <c r="EU47" s="345"/>
      <c r="EV47" s="345"/>
      <c r="EW47" s="345"/>
      <c r="EX47" s="345"/>
      <c r="EY47" s="345"/>
      <c r="EZ47" s="345"/>
      <c r="FA47" s="345"/>
      <c r="FB47" s="345"/>
      <c r="FC47" s="345"/>
      <c r="FD47" s="345"/>
      <c r="FE47" s="345"/>
      <c r="FF47" s="345"/>
      <c r="FG47" s="345"/>
      <c r="FH47" s="345"/>
      <c r="FI47" s="345"/>
      <c r="FJ47" s="345"/>
      <c r="FK47" s="345"/>
      <c r="FL47" s="345"/>
      <c r="FM47" s="345"/>
      <c r="FN47" s="345"/>
      <c r="FO47" s="345"/>
      <c r="FP47" s="345"/>
      <c r="FQ47" s="345"/>
      <c r="FR47" s="345"/>
      <c r="FS47" s="345"/>
      <c r="FT47" s="345"/>
      <c r="FU47" s="345"/>
      <c r="FV47" s="345"/>
      <c r="FW47" s="345"/>
      <c r="FX47" s="345"/>
      <c r="FY47" s="345"/>
      <c r="FZ47" s="345"/>
      <c r="GA47" s="345"/>
      <c r="GB47" s="345"/>
      <c r="GC47" s="345"/>
      <c r="GD47" s="345"/>
      <c r="GE47" s="345"/>
      <c r="GF47" s="345"/>
      <c r="GG47" s="345"/>
      <c r="GH47" s="345"/>
      <c r="GI47" s="345"/>
      <c r="GJ47" s="345"/>
      <c r="GK47" s="345"/>
      <c r="GL47" s="345"/>
      <c r="GM47" s="345"/>
      <c r="GN47" s="345"/>
      <c r="GO47" s="345"/>
      <c r="GP47" s="345"/>
      <c r="GQ47" s="345"/>
      <c r="GR47" s="345"/>
      <c r="GS47" s="345"/>
      <c r="GT47" s="345"/>
      <c r="GU47" s="345"/>
    </row>
    <row r="48" spans="1:203" ht="12.75" customHeight="1">
      <c r="A48" s="465">
        <f t="shared" si="31"/>
        <v>2</v>
      </c>
      <c r="B48" s="1108">
        <v>38</v>
      </c>
      <c r="C48" s="1109">
        <v>1</v>
      </c>
      <c r="D48" s="398">
        <v>237.9</v>
      </c>
      <c r="E48" s="1120"/>
      <c r="F48" s="465">
        <f t="shared" si="36"/>
        <v>2</v>
      </c>
      <c r="G48" s="1108">
        <v>38</v>
      </c>
      <c r="H48" s="1109">
        <v>-1</v>
      </c>
      <c r="I48" s="398">
        <v>234.8</v>
      </c>
      <c r="J48" s="1120"/>
      <c r="K48" s="465"/>
      <c r="L48" s="465"/>
      <c r="M48" s="465">
        <f t="shared" si="23"/>
        <v>2</v>
      </c>
      <c r="N48" s="1108">
        <v>38</v>
      </c>
      <c r="O48" s="1109">
        <v>1</v>
      </c>
      <c r="P48" s="1110">
        <v>240.6</v>
      </c>
      <c r="Q48" s="1120"/>
      <c r="R48" s="465">
        <f t="shared" si="24"/>
        <v>2</v>
      </c>
      <c r="S48" s="1108">
        <v>38</v>
      </c>
      <c r="T48" s="1109">
        <v>-1</v>
      </c>
      <c r="U48" s="1110">
        <v>234.3</v>
      </c>
      <c r="V48" s="1120"/>
      <c r="W48" s="371"/>
      <c r="X48" s="494">
        <f t="shared" si="0"/>
        <v>237.9</v>
      </c>
      <c r="Y48" s="495" t="str">
        <f>IF('Feuilles=description générale'!$E$13="","",IF(X48="","",IF(X48&gt;('Feuilles=description générale'!$E$11+'Feuilles=description générale'!$E$10),"",100*(X48-'Feuilles=description générale'!$E$10)/('Feuilles=description générale'!$E$11))))</f>
        <v/>
      </c>
      <c r="Z48" s="495">
        <f>IF('Feuilles=description générale'!$E$13="","",IF(X48="","",IF(X48&lt;=('Feuilles=description générale'!$E$11+'Feuilles=description générale'!$E$10),"",100*(X48-'Feuilles=description générale'!$E$11-'Feuilles=description générale'!$E$10)/('Feuilles=description générale'!$E$12))))</f>
        <v>41.78500731560375</v>
      </c>
      <c r="AA48" s="1112">
        <f>IF('Feuilles=description générale'!$E$13="","",IF(X48="","",100*(X48-'Feuilles=description générale'!$E$10)/('Feuilles=description générale'!$E$13-'Feuilles=description générale'!$E$10)))</f>
        <v>56.191709844559583</v>
      </c>
      <c r="AB48" s="497">
        <f t="shared" si="1"/>
        <v>1</v>
      </c>
      <c r="AC48" s="500" t="str">
        <f t="shared" si="32"/>
        <v/>
      </c>
      <c r="AD48" s="494" t="str">
        <f t="shared" si="2"/>
        <v/>
      </c>
      <c r="AE48" s="499">
        <f t="shared" si="3"/>
        <v>1.2999999999999829</v>
      </c>
      <c r="AF48" s="371"/>
      <c r="AG48" s="494">
        <f t="shared" si="4"/>
        <v>234.8</v>
      </c>
      <c r="AH48" s="495" t="str">
        <f>IF('Feuilles=description générale'!$E$13="","",IF(AG48="","",IF(AG48&gt;('Feuilles=description générale'!$E$11+'Feuilles=description générale'!$E$10),"",100*(AG48-'Feuilles=description générale'!$E$10)/('Feuilles=description générale'!$E$11))))</f>
        <v/>
      </c>
      <c r="AI48" s="495">
        <f>IF('Feuilles=description générale'!$E$13="","",IF(AG48="","",IF(AG48&lt;=('Feuilles=description générale'!$E$11+'Feuilles=description générale'!$E$10),"",100*(AG48-'Feuilles=description générale'!$E$11-'Feuilles=description générale'!$E$10)/('Feuilles=description générale'!$E$12))))</f>
        <v>40.7177898270075</v>
      </c>
      <c r="AJ48" s="496">
        <f>IF('Feuilles=description générale'!$E$13="","",IF(AG48="","",100*(AG48-'Feuilles=description générale'!$E$10)/('Feuilles=description générale'!$E$13-'Feuilles=description générale'!$E$10)))</f>
        <v>55.388601036269428</v>
      </c>
      <c r="AK48" s="1113">
        <f t="shared" si="5"/>
        <v>3</v>
      </c>
      <c r="AL48" s="498">
        <f t="shared" si="6"/>
        <v>3</v>
      </c>
      <c r="AM48" s="494">
        <f t="shared" si="7"/>
        <v>5.2999999999999829</v>
      </c>
      <c r="AN48" s="499" t="str">
        <f t="shared" si="8"/>
        <v/>
      </c>
      <c r="AO48" s="371"/>
      <c r="AP48" s="494">
        <f t="shared" si="9"/>
        <v>240.6</v>
      </c>
      <c r="AQ48" s="495" t="str">
        <f>IF('Feuilles=description générale'!$E$13="","",IF(AP48="","",IF(AP48&gt;('Feuilles=description générale'!$E$25+'Feuilles=description générale'!$E$24),"",100*(AP48-'Feuilles=description générale'!$E$24)/('Feuilles=description générale'!$E$25))))</f>
        <v/>
      </c>
      <c r="AR48" s="495">
        <f>IF('Feuilles=description générale'!$E$27="","",IF(AP48="","",IF(AP48&lt;=('Feuilles=description générale'!$E$25+'Feuilles=description générale'!$E$24),"",100*(AP48-'Feuilles=description générale'!$E$25-'Feuilles=description générale'!$E$24)/('Feuilles=description générale'!$E$26))))</f>
        <v>39.542225730071031</v>
      </c>
      <c r="AS48" s="496">
        <f>IF('Feuilles=description générale'!$E$27="","",IF(AP48="","",100*(AP48-'Feuilles=description générale'!$E$24)/('Feuilles=description générale'!$E$27-'Feuilles=description générale'!$E$24)))</f>
        <v>53.189929112686379</v>
      </c>
      <c r="AT48" s="497">
        <f t="shared" si="10"/>
        <v>1</v>
      </c>
      <c r="AU48" s="500" t="str">
        <f t="shared" si="11"/>
        <v/>
      </c>
      <c r="AV48" s="494" t="str">
        <f t="shared" si="12"/>
        <v/>
      </c>
      <c r="AW48" s="499">
        <f t="shared" si="13"/>
        <v>1.9000000000000057</v>
      </c>
      <c r="AX48" s="371"/>
      <c r="AY48" s="494">
        <f t="shared" si="14"/>
        <v>234.3</v>
      </c>
      <c r="AZ48" s="495" t="str">
        <f>IF('Feuilles=description générale'!$E$13="","",IF(AY48="","",IF(AY48&gt;('Feuilles=description générale'!$E$25+'Feuilles=description générale'!$E$24),"",100*(AY48-'Feuilles=description générale'!$E$24)/('Feuilles=description générale'!$E$25))))</f>
        <v/>
      </c>
      <c r="BA48" s="495">
        <f>IF('Feuilles=description générale'!$E$27="","",IF(AY48="","",IF(AY48&lt;=('Feuilles=description générale'!$E$25+'Feuilles=description générale'!$E$24),"",100*(AY48-'Feuilles=description générale'!$E$25-'Feuilles=description générale'!$E$24)/('Feuilles=description générale'!$E$26))))</f>
        <v>37.553275453827943</v>
      </c>
      <c r="BB48" s="496">
        <f>IF('Feuilles=description générale'!$E$27="","",IF(AY48="","",100*(AY48-'Feuilles=description générale'!$E$24)/('Feuilles=description générale'!$E$27-'Feuilles=description générale'!$E$24)))</f>
        <v>51.649963334148126</v>
      </c>
      <c r="BC48" s="497">
        <f t="shared" si="15"/>
        <v>3</v>
      </c>
      <c r="BD48" s="500">
        <f t="shared" si="16"/>
        <v>3</v>
      </c>
      <c r="BE48" s="494">
        <f t="shared" si="17"/>
        <v>5.3999999999999773</v>
      </c>
      <c r="BF48" s="499" t="str">
        <f t="shared" si="18"/>
        <v/>
      </c>
      <c r="BG48" s="476"/>
      <c r="BH48" s="551"/>
      <c r="BI48" s="552"/>
      <c r="BJ48" s="558"/>
      <c r="BK48" s="558"/>
      <c r="BL48" s="558"/>
      <c r="BM48" s="558"/>
      <c r="BN48" s="558"/>
      <c r="BO48" s="558"/>
      <c r="BP48" s="558"/>
      <c r="BQ48" s="558"/>
      <c r="BR48" s="558"/>
      <c r="BS48" s="554"/>
      <c r="BT48" s="554"/>
      <c r="BU48" s="568"/>
      <c r="BV48" s="1114" t="str">
        <f t="shared" si="19"/>
        <v/>
      </c>
      <c r="BW48" s="1114">
        <f t="shared" si="19"/>
        <v>1.6899999999999558</v>
      </c>
      <c r="BX48" s="1114">
        <f t="shared" si="20"/>
        <v>28.089999999999819</v>
      </c>
      <c r="BY48" s="1115" t="str">
        <f t="shared" si="20"/>
        <v/>
      </c>
      <c r="BZ48" s="477"/>
      <c r="CA48" s="1114" t="str">
        <f t="shared" si="21"/>
        <v/>
      </c>
      <c r="CB48" s="1114">
        <f t="shared" si="21"/>
        <v>3.6100000000000216</v>
      </c>
      <c r="CC48" s="1114">
        <f t="shared" si="22"/>
        <v>29.159999999999755</v>
      </c>
      <c r="CD48" s="1115" t="str">
        <f t="shared" si="22"/>
        <v/>
      </c>
      <c r="CE48" s="568"/>
      <c r="CF48" s="1465" t="s">
        <v>1226</v>
      </c>
      <c r="CG48" s="1466" t="s">
        <v>1335</v>
      </c>
      <c r="CH48" s="1467"/>
      <c r="CI48" s="1466" t="s">
        <v>1336</v>
      </c>
      <c r="CJ48" s="1467"/>
      <c r="CK48" s="558"/>
      <c r="CL48" s="558"/>
      <c r="CM48" s="558"/>
      <c r="CN48" s="558"/>
      <c r="CO48" s="558"/>
      <c r="CP48" s="558"/>
      <c r="CQ48" s="554"/>
      <c r="CR48" s="554"/>
      <c r="CS48" s="554"/>
      <c r="CT48" s="554"/>
      <c r="CU48" s="554"/>
      <c r="CV48" s="476"/>
      <c r="CW48" s="345"/>
      <c r="CX48" s="345"/>
      <c r="CY48" s="345"/>
      <c r="CZ48" s="345"/>
      <c r="DA48" s="345"/>
      <c r="DB48" s="345"/>
      <c r="DC48" s="345"/>
      <c r="DD48" s="345"/>
      <c r="DE48" s="345"/>
      <c r="DF48" s="345"/>
      <c r="DG48" s="345"/>
      <c r="DH48" s="345"/>
      <c r="DI48" s="345"/>
      <c r="DJ48" s="345"/>
      <c r="DK48" s="345"/>
      <c r="DL48" s="345"/>
      <c r="DM48" s="345"/>
      <c r="DN48" s="345"/>
      <c r="DO48" s="345"/>
      <c r="DP48" s="345"/>
      <c r="DQ48" s="345"/>
      <c r="DR48" s="345"/>
      <c r="DS48" s="345"/>
      <c r="DT48" s="345"/>
      <c r="DU48" s="345"/>
      <c r="DV48" s="345"/>
      <c r="DW48" s="345"/>
      <c r="DX48" s="345"/>
      <c r="DY48" s="345"/>
      <c r="DZ48" s="345"/>
      <c r="EA48" s="345"/>
      <c r="EB48" s="345"/>
      <c r="EC48" s="345"/>
      <c r="ED48" s="345"/>
      <c r="EE48" s="345"/>
      <c r="EF48" s="345"/>
      <c r="EG48" s="345"/>
      <c r="EH48" s="345"/>
      <c r="EI48" s="345"/>
      <c r="EJ48" s="345"/>
      <c r="EK48" s="345"/>
      <c r="EL48" s="345"/>
      <c r="EM48" s="345"/>
      <c r="EN48" s="345"/>
      <c r="EO48" s="345"/>
      <c r="EP48" s="345"/>
      <c r="EQ48" s="345"/>
      <c r="ER48" s="345"/>
      <c r="ES48" s="345"/>
      <c r="ET48" s="345"/>
      <c r="EU48" s="345"/>
      <c r="EV48" s="345"/>
      <c r="EW48" s="345"/>
      <c r="EX48" s="345"/>
      <c r="EY48" s="345"/>
      <c r="EZ48" s="345"/>
      <c r="FA48" s="345"/>
      <c r="FB48" s="345"/>
      <c r="FC48" s="345"/>
      <c r="FD48" s="345"/>
      <c r="FE48" s="345"/>
      <c r="FF48" s="345"/>
      <c r="FG48" s="345"/>
      <c r="FH48" s="345"/>
      <c r="FI48" s="345"/>
      <c r="FJ48" s="345"/>
      <c r="FK48" s="345"/>
      <c r="FL48" s="345"/>
      <c r="FM48" s="345"/>
      <c r="FN48" s="345"/>
      <c r="FO48" s="345"/>
      <c r="FP48" s="345"/>
      <c r="FQ48" s="345"/>
      <c r="FR48" s="345"/>
      <c r="FS48" s="345"/>
      <c r="FT48" s="345"/>
      <c r="FU48" s="345"/>
      <c r="FV48" s="345"/>
      <c r="FW48" s="345"/>
      <c r="FX48" s="345"/>
      <c r="FY48" s="345"/>
      <c r="FZ48" s="345"/>
      <c r="GA48" s="345"/>
      <c r="GB48" s="345"/>
      <c r="GC48" s="345"/>
      <c r="GD48" s="345"/>
      <c r="GE48" s="345"/>
      <c r="GF48" s="345"/>
      <c r="GG48" s="345"/>
      <c r="GH48" s="345"/>
      <c r="GI48" s="345"/>
      <c r="GJ48" s="345"/>
      <c r="GK48" s="345"/>
      <c r="GL48" s="345"/>
      <c r="GM48" s="345"/>
      <c r="GN48" s="345"/>
      <c r="GO48" s="345"/>
      <c r="GP48" s="345"/>
      <c r="GQ48" s="345"/>
      <c r="GR48" s="345"/>
      <c r="GS48" s="345"/>
      <c r="GT48" s="345"/>
      <c r="GU48" s="345"/>
    </row>
    <row r="49" spans="1:203" ht="12.75" customHeight="1">
      <c r="A49" s="465">
        <f t="shared" si="31"/>
        <v>2</v>
      </c>
      <c r="B49" s="1108">
        <v>39</v>
      </c>
      <c r="C49" s="1109">
        <v>0</v>
      </c>
      <c r="D49" s="398">
        <v>239.2</v>
      </c>
      <c r="E49" s="1120"/>
      <c r="F49" s="465">
        <f t="shared" si="36"/>
        <v>2</v>
      </c>
      <c r="G49" s="1108">
        <v>39</v>
      </c>
      <c r="H49" s="1109">
        <v>1</v>
      </c>
      <c r="I49" s="398">
        <v>240.1</v>
      </c>
      <c r="J49" s="1120"/>
      <c r="K49" s="465"/>
      <c r="L49" s="465"/>
      <c r="M49" s="465">
        <f t="shared" si="23"/>
        <v>2</v>
      </c>
      <c r="N49" s="1108">
        <v>39</v>
      </c>
      <c r="O49" s="1109">
        <v>-1</v>
      </c>
      <c r="P49" s="1110">
        <v>242.5</v>
      </c>
      <c r="Q49" s="1120"/>
      <c r="R49" s="465">
        <f t="shared" si="24"/>
        <v>2</v>
      </c>
      <c r="S49" s="1108">
        <v>39</v>
      </c>
      <c r="T49" s="1109">
        <v>1</v>
      </c>
      <c r="U49" s="1110">
        <v>239.7</v>
      </c>
      <c r="V49" s="1120"/>
      <c r="W49" s="371"/>
      <c r="X49" s="494">
        <f t="shared" si="0"/>
        <v>239.2</v>
      </c>
      <c r="Y49" s="495" t="str">
        <f>IF('Feuilles=description générale'!$E$13="","",IF(X49="","",IF(X49&gt;('Feuilles=description générale'!$E$11+'Feuilles=description générale'!$E$10),"",100*(X49-'Feuilles=description générale'!$E$10)/('Feuilles=description générale'!$E$11))))</f>
        <v/>
      </c>
      <c r="Z49" s="495">
        <f>IF('Feuilles=description générale'!$E$13="","",IF(X49="","",IF(X49&lt;=('Feuilles=description générale'!$E$11+'Feuilles=description générale'!$E$10),"",100*(X49-'Feuilles=description générale'!$E$11-'Feuilles=description générale'!$E$10)/('Feuilles=description générale'!$E$12))))</f>
        <v>42.232550133402192</v>
      </c>
      <c r="AA49" s="1112">
        <f>IF('Feuilles=description générale'!$E$13="","",IF(X49="","",100*(X49-'Feuilles=description générale'!$E$10)/('Feuilles=description générale'!$E$13-'Feuilles=description générale'!$E$10)))</f>
        <v>56.528497409326427</v>
      </c>
      <c r="AB49" s="497">
        <f t="shared" si="1"/>
        <v>2</v>
      </c>
      <c r="AC49" s="500" t="str">
        <f t="shared" si="32"/>
        <v/>
      </c>
      <c r="AD49" s="494" t="str">
        <f t="shared" si="2"/>
        <v/>
      </c>
      <c r="AE49" s="499">
        <f t="shared" si="3"/>
        <v>0.80000000000001137</v>
      </c>
      <c r="AF49" s="371"/>
      <c r="AG49" s="494">
        <f t="shared" si="4"/>
        <v>240.1</v>
      </c>
      <c r="AH49" s="495" t="str">
        <f>IF('Feuilles=description générale'!$E$13="","",IF(AG49="","",IF(AG49&gt;('Feuilles=description générale'!$E$11+'Feuilles=description générale'!$E$10),"",100*(AG49-'Feuilles=description générale'!$E$10)/('Feuilles=description générale'!$E$11))))</f>
        <v/>
      </c>
      <c r="AI49" s="495">
        <f>IF('Feuilles=description générale'!$E$13="","",IF(AG49="","",IF(AG49&lt;=('Feuilles=description générale'!$E$11+'Feuilles=description générale'!$E$10),"",100*(AG49-'Feuilles=description générale'!$E$11-'Feuilles=description générale'!$E$10)/('Feuilles=description générale'!$E$12))))</f>
        <v>42.542387468801095</v>
      </c>
      <c r="AJ49" s="496">
        <f>IF('Feuilles=description générale'!$E$13="","",IF(AG49="","",100*(AG49-'Feuilles=description générale'!$E$10)/('Feuilles=description générale'!$E$13-'Feuilles=description générale'!$E$10)))</f>
        <v>56.761658031088082</v>
      </c>
      <c r="AK49" s="1113">
        <f t="shared" si="5"/>
        <v>1</v>
      </c>
      <c r="AL49" s="498" t="str">
        <f t="shared" si="6"/>
        <v/>
      </c>
      <c r="AM49" s="494" t="str">
        <f t="shared" si="7"/>
        <v/>
      </c>
      <c r="AN49" s="499">
        <f t="shared" si="8"/>
        <v>1.3000000000000114</v>
      </c>
      <c r="AO49" s="371"/>
      <c r="AP49" s="494">
        <f t="shared" si="9"/>
        <v>242.5</v>
      </c>
      <c r="AQ49" s="495" t="str">
        <f>IF('Feuilles=description générale'!$E$13="","",IF(AP49="","",IF(AP49&gt;('Feuilles=description générale'!$E$25+'Feuilles=description générale'!$E$24),"",100*(AP49-'Feuilles=description générale'!$E$24)/('Feuilles=description générale'!$E$25))))</f>
        <v/>
      </c>
      <c r="AR49" s="495">
        <f>IF('Feuilles=description générale'!$E$27="","",IF(AP49="","",IF(AP49&lt;=('Feuilles=description générale'!$E$25+'Feuilles=description générale'!$E$24),"",100*(AP49-'Feuilles=description générale'!$E$25-'Feuilles=description générale'!$E$24)/('Feuilles=description générale'!$E$26))))</f>
        <v>40.142067876874506</v>
      </c>
      <c r="AS49" s="496">
        <f>IF('Feuilles=description générale'!$E$27="","",IF(AP49="","",100*(AP49-'Feuilles=description générale'!$E$24)/('Feuilles=description générale'!$E$27-'Feuilles=description générale'!$E$24)))</f>
        <v>53.654363236372525</v>
      </c>
      <c r="AT49" s="497">
        <f t="shared" si="10"/>
        <v>2</v>
      </c>
      <c r="AU49" s="500">
        <f t="shared" si="11"/>
        <v>2</v>
      </c>
      <c r="AV49" s="494">
        <f t="shared" si="12"/>
        <v>3.4000000000000057</v>
      </c>
      <c r="AW49" s="499" t="str">
        <f t="shared" si="13"/>
        <v/>
      </c>
      <c r="AX49" s="371"/>
      <c r="AY49" s="494">
        <f t="shared" si="14"/>
        <v>239.7</v>
      </c>
      <c r="AZ49" s="495" t="str">
        <f>IF('Feuilles=description générale'!$E$13="","",IF(AY49="","",IF(AY49&gt;('Feuilles=description générale'!$E$25+'Feuilles=description générale'!$E$24),"",100*(AY49-'Feuilles=description générale'!$E$24)/('Feuilles=description générale'!$E$25))))</f>
        <v/>
      </c>
      <c r="BA49" s="495">
        <f>IF('Feuilles=description générale'!$E$27="","",IF(AY49="","",IF(AY49&lt;=('Feuilles=description générale'!$E$25+'Feuilles=description générale'!$E$24),"",100*(AY49-'Feuilles=description générale'!$E$25-'Feuilles=description générale'!$E$24)/('Feuilles=description générale'!$E$26))))</f>
        <v>39.258089976322019</v>
      </c>
      <c r="BB49" s="496">
        <f>IF('Feuilles=description générale'!$E$27="","",IF(AY49="","",100*(AY49-'Feuilles=description générale'!$E$24)/('Feuilles=description générale'!$E$27-'Feuilles=description générale'!$E$24)))</f>
        <v>52.969934001466633</v>
      </c>
      <c r="BC49" s="497">
        <f t="shared" si="15"/>
        <v>1</v>
      </c>
      <c r="BD49" s="500" t="str">
        <f t="shared" si="16"/>
        <v/>
      </c>
      <c r="BE49" s="494" t="str">
        <f t="shared" si="17"/>
        <v/>
      </c>
      <c r="BF49" s="499">
        <f t="shared" si="18"/>
        <v>2</v>
      </c>
      <c r="BG49" s="476"/>
      <c r="BH49" s="551"/>
      <c r="BI49" s="552"/>
      <c r="BJ49" s="560"/>
      <c r="BK49" s="560"/>
      <c r="BL49" s="560"/>
      <c r="BM49" s="560"/>
      <c r="BN49" s="560"/>
      <c r="BO49" s="560"/>
      <c r="BP49" s="560"/>
      <c r="BQ49" s="560"/>
      <c r="BR49" s="560"/>
      <c r="BS49" s="560"/>
      <c r="BT49" s="560"/>
      <c r="BU49" s="568"/>
      <c r="BV49" s="1114" t="str">
        <f t="shared" si="19"/>
        <v/>
      </c>
      <c r="BW49" s="1114">
        <f t="shared" si="19"/>
        <v>0.64000000000001822</v>
      </c>
      <c r="BX49" s="1114" t="str">
        <f t="shared" si="20"/>
        <v/>
      </c>
      <c r="BY49" s="1115">
        <f t="shared" si="20"/>
        <v>1.6900000000000295</v>
      </c>
      <c r="BZ49" s="477"/>
      <c r="CA49" s="1114">
        <f t="shared" si="21"/>
        <v>11.560000000000038</v>
      </c>
      <c r="CB49" s="1114" t="str">
        <f t="shared" si="21"/>
        <v/>
      </c>
      <c r="CC49" s="1114" t="str">
        <f t="shared" si="22"/>
        <v/>
      </c>
      <c r="CD49" s="1115">
        <f t="shared" si="22"/>
        <v>4</v>
      </c>
      <c r="CE49" s="568"/>
      <c r="CF49" s="1455"/>
      <c r="CG49" s="1468"/>
      <c r="CH49" s="1469"/>
      <c r="CI49" s="1468"/>
      <c r="CJ49" s="1469"/>
      <c r="CK49" s="560"/>
      <c r="CL49" s="560"/>
      <c r="CM49" s="560"/>
      <c r="CN49" s="560"/>
      <c r="CO49" s="560"/>
      <c r="CP49" s="560"/>
      <c r="CQ49" s="560"/>
      <c r="CR49" s="560"/>
      <c r="CS49" s="560"/>
      <c r="CT49" s="560"/>
      <c r="CU49" s="560"/>
      <c r="CV49" s="476"/>
      <c r="CW49" s="345"/>
      <c r="CX49" s="345"/>
      <c r="CY49" s="345"/>
      <c r="CZ49" s="345"/>
      <c r="DA49" s="345"/>
      <c r="DB49" s="345"/>
      <c r="DC49" s="345"/>
      <c r="DD49" s="345"/>
      <c r="DE49" s="345"/>
      <c r="DF49" s="345"/>
      <c r="DG49" s="345"/>
      <c r="DH49" s="345"/>
      <c r="DI49" s="345"/>
      <c r="DJ49" s="345"/>
      <c r="DK49" s="345"/>
      <c r="DL49" s="345"/>
      <c r="DM49" s="345"/>
      <c r="DN49" s="345"/>
      <c r="DO49" s="345"/>
      <c r="DP49" s="345"/>
      <c r="DQ49" s="345"/>
      <c r="DR49" s="345"/>
      <c r="DS49" s="345"/>
      <c r="DT49" s="345"/>
      <c r="DU49" s="345"/>
      <c r="DV49" s="345"/>
      <c r="DW49" s="345"/>
      <c r="DX49" s="345"/>
      <c r="DY49" s="345"/>
      <c r="DZ49" s="345"/>
      <c r="EA49" s="345"/>
      <c r="EB49" s="345"/>
      <c r="EC49" s="345"/>
      <c r="ED49" s="345"/>
      <c r="EE49" s="345"/>
      <c r="EF49" s="345"/>
      <c r="EG49" s="345"/>
      <c r="EH49" s="345"/>
      <c r="EI49" s="345"/>
      <c r="EJ49" s="345"/>
      <c r="EK49" s="345"/>
      <c r="EL49" s="345"/>
      <c r="EM49" s="345"/>
      <c r="EN49" s="345"/>
      <c r="EO49" s="345"/>
      <c r="EP49" s="345"/>
      <c r="EQ49" s="345"/>
      <c r="ER49" s="345"/>
      <c r="ES49" s="345"/>
      <c r="ET49" s="345"/>
      <c r="EU49" s="345"/>
      <c r="EV49" s="345"/>
      <c r="EW49" s="345"/>
      <c r="EX49" s="345"/>
      <c r="EY49" s="345"/>
      <c r="EZ49" s="345"/>
      <c r="FA49" s="345"/>
      <c r="FB49" s="345"/>
      <c r="FC49" s="345"/>
      <c r="FD49" s="345"/>
      <c r="FE49" s="345"/>
      <c r="FF49" s="345"/>
      <c r="FG49" s="345"/>
      <c r="FH49" s="345"/>
      <c r="FI49" s="345"/>
      <c r="FJ49" s="345"/>
      <c r="FK49" s="345"/>
      <c r="FL49" s="345"/>
      <c r="FM49" s="345"/>
      <c r="FN49" s="345"/>
      <c r="FO49" s="345"/>
      <c r="FP49" s="345"/>
      <c r="FQ49" s="345"/>
      <c r="FR49" s="345"/>
      <c r="FS49" s="345"/>
      <c r="FT49" s="345"/>
      <c r="FU49" s="345"/>
      <c r="FV49" s="345"/>
      <c r="FW49" s="345"/>
      <c r="FX49" s="345"/>
      <c r="FY49" s="345"/>
      <c r="FZ49" s="345"/>
      <c r="GA49" s="345"/>
      <c r="GB49" s="345"/>
      <c r="GC49" s="345"/>
      <c r="GD49" s="345"/>
      <c r="GE49" s="345"/>
      <c r="GF49" s="345"/>
      <c r="GG49" s="345"/>
      <c r="GH49" s="345"/>
      <c r="GI49" s="345"/>
      <c r="GJ49" s="345"/>
      <c r="GK49" s="345"/>
      <c r="GL49" s="345"/>
      <c r="GM49" s="345"/>
      <c r="GN49" s="345"/>
      <c r="GO49" s="345"/>
      <c r="GP49" s="345"/>
      <c r="GQ49" s="345"/>
      <c r="GR49" s="345"/>
      <c r="GS49" s="345"/>
      <c r="GT49" s="345"/>
      <c r="GU49" s="345"/>
    </row>
    <row r="50" spans="1:203" ht="12.75" customHeight="1" thickBot="1">
      <c r="A50" s="465">
        <f t="shared" si="31"/>
        <v>2</v>
      </c>
      <c r="B50" s="1108">
        <v>40</v>
      </c>
      <c r="C50" s="1109">
        <v>-1</v>
      </c>
      <c r="D50" s="398">
        <v>240</v>
      </c>
      <c r="E50" s="1120"/>
      <c r="F50" s="465">
        <f t="shared" si="36"/>
        <v>2</v>
      </c>
      <c r="G50" s="1108">
        <v>40</v>
      </c>
      <c r="H50" s="1109">
        <v>-1</v>
      </c>
      <c r="I50" s="398">
        <v>241.4</v>
      </c>
      <c r="J50" s="1120"/>
      <c r="K50" s="465"/>
      <c r="L50" s="465"/>
      <c r="M50" s="465">
        <f t="shared" si="23"/>
        <v>2</v>
      </c>
      <c r="N50" s="1108">
        <v>40</v>
      </c>
      <c r="O50" s="1109">
        <v>1</v>
      </c>
      <c r="P50" s="1110">
        <v>245.9</v>
      </c>
      <c r="Q50" s="1120"/>
      <c r="R50" s="465">
        <f t="shared" si="24"/>
        <v>2</v>
      </c>
      <c r="S50" s="1108">
        <v>40</v>
      </c>
      <c r="T50" s="1109">
        <v>0</v>
      </c>
      <c r="U50" s="1110">
        <v>241.7</v>
      </c>
      <c r="V50" s="1120"/>
      <c r="W50" s="371"/>
      <c r="X50" s="494">
        <f t="shared" si="0"/>
        <v>240</v>
      </c>
      <c r="Y50" s="495" t="str">
        <f>IF('Feuilles=description générale'!$E$13="","",IF(X50="","",IF(X50&gt;('Feuilles=description générale'!$E$11+'Feuilles=description générale'!$E$10),"",100*(X50-'Feuilles=description générale'!$E$10)/('Feuilles=description générale'!$E$11))))</f>
        <v/>
      </c>
      <c r="Z50" s="495">
        <f>IF('Feuilles=description générale'!$E$13="","",IF(X50="","",IF(X50&lt;=('Feuilles=description générale'!$E$11+'Feuilles=description générale'!$E$10),"",100*(X50-'Feuilles=description générale'!$E$11-'Feuilles=description générale'!$E$10)/('Feuilles=description générale'!$E$12))))</f>
        <v>42.507961098201228</v>
      </c>
      <c r="AA50" s="1112">
        <f>IF('Feuilles=description générale'!$E$13="","",IF(X50="","",100*(X50-'Feuilles=description générale'!$E$10)/('Feuilles=description générale'!$E$13-'Feuilles=description générale'!$E$10)))</f>
        <v>56.73575129533679</v>
      </c>
      <c r="AB50" s="497">
        <f t="shared" si="1"/>
        <v>3</v>
      </c>
      <c r="AC50" s="500">
        <f t="shared" si="32"/>
        <v>3</v>
      </c>
      <c r="AD50" s="494">
        <f t="shared" si="2"/>
        <v>6.1999999999999886</v>
      </c>
      <c r="AE50" s="499" t="str">
        <f t="shared" si="3"/>
        <v/>
      </c>
      <c r="AF50" s="371"/>
      <c r="AG50" s="494">
        <f t="shared" si="4"/>
        <v>241.4</v>
      </c>
      <c r="AH50" s="495" t="str">
        <f>IF('Feuilles=description générale'!$E$13="","",IF(AG50="","",IF(AG50&gt;('Feuilles=description générale'!$E$11+'Feuilles=description générale'!$E$10),"",100*(AG50-'Feuilles=description générale'!$E$10)/('Feuilles=description générale'!$E$11))))</f>
        <v/>
      </c>
      <c r="AI50" s="495">
        <f>IF('Feuilles=description générale'!$E$13="","",IF(AG50="","",IF(AG50&lt;=('Feuilles=description générale'!$E$11+'Feuilles=description générale'!$E$10),"",100*(AG50-'Feuilles=description générale'!$E$11-'Feuilles=description générale'!$E$10)/('Feuilles=description générale'!$E$12))))</f>
        <v>42.989930286599531</v>
      </c>
      <c r="AJ50" s="496">
        <f>IF('Feuilles=description générale'!$E$13="","",IF(AG50="","",100*(AG50-'Feuilles=description générale'!$E$10)/('Feuilles=description générale'!$E$13-'Feuilles=description générale'!$E$10)))</f>
        <v>57.098445595854919</v>
      </c>
      <c r="AK50" s="1113">
        <f t="shared" si="5"/>
        <v>2</v>
      </c>
      <c r="AL50" s="498">
        <f t="shared" si="6"/>
        <v>2</v>
      </c>
      <c r="AM50" s="494">
        <f t="shared" si="7"/>
        <v>4.0999999999999943</v>
      </c>
      <c r="AN50" s="499" t="str">
        <f t="shared" si="8"/>
        <v/>
      </c>
      <c r="AO50" s="371"/>
      <c r="AP50" s="494">
        <f t="shared" si="9"/>
        <v>245.9</v>
      </c>
      <c r="AQ50" s="495" t="str">
        <f>IF('Feuilles=description générale'!$E$13="","",IF(AP50="","",IF(AP50&gt;('Feuilles=description générale'!$E$25+'Feuilles=description générale'!$E$24),"",100*(AP50-'Feuilles=description générale'!$E$24)/('Feuilles=description générale'!$E$25))))</f>
        <v/>
      </c>
      <c r="AR50" s="495">
        <f>IF('Feuilles=description générale'!$E$27="","",IF(AP50="","",IF(AP50&lt;=('Feuilles=description générale'!$E$25+'Feuilles=description générale'!$E$24),"",100*(AP50-'Feuilles=description générale'!$E$25-'Feuilles=description générale'!$E$24)/('Feuilles=description générale'!$E$26))))</f>
        <v>41.215469613259671</v>
      </c>
      <c r="AS50" s="496">
        <f>IF('Feuilles=description générale'!$E$27="","",IF(AP50="","",100*(AP50-'Feuilles=description générale'!$E$24)/('Feuilles=description générale'!$E$27-'Feuilles=description générale'!$E$24)))</f>
        <v>54.485455878758245</v>
      </c>
      <c r="AT50" s="497">
        <f t="shared" si="10"/>
        <v>1</v>
      </c>
      <c r="AU50" s="500" t="str">
        <f t="shared" si="11"/>
        <v/>
      </c>
      <c r="AV50" s="494" t="str">
        <f t="shared" si="12"/>
        <v/>
      </c>
      <c r="AW50" s="499">
        <f t="shared" si="13"/>
        <v>1.2999999999999829</v>
      </c>
      <c r="AX50" s="371"/>
      <c r="AY50" s="494">
        <f t="shared" si="14"/>
        <v>241.7</v>
      </c>
      <c r="AZ50" s="495" t="str">
        <f>IF('Feuilles=description générale'!$E$13="","",IF(AY50="","",IF(AY50&gt;('Feuilles=description générale'!$E$25+'Feuilles=description générale'!$E$24),"",100*(AY50-'Feuilles=description générale'!$E$24)/('Feuilles=description générale'!$E$25))))</f>
        <v/>
      </c>
      <c r="BA50" s="495">
        <f>IF('Feuilles=description générale'!$E$27="","",IF(AY50="","",IF(AY50&lt;=('Feuilles=description générale'!$E$25+'Feuilles=description générale'!$E$24),"",100*(AY50-'Feuilles=description générale'!$E$25-'Feuilles=description générale'!$E$24)/('Feuilles=description générale'!$E$26))))</f>
        <v>39.889502762430936</v>
      </c>
      <c r="BB50" s="496">
        <f>IF('Feuilles=description générale'!$E$27="","",IF(AY50="","",100*(AY50-'Feuilles=description générale'!$E$24)/('Feuilles=description générale'!$E$27-'Feuilles=description générale'!$E$24)))</f>
        <v>53.458812026399407</v>
      </c>
      <c r="BC50" s="497">
        <f t="shared" si="15"/>
        <v>2</v>
      </c>
      <c r="BD50" s="500" t="str">
        <f t="shared" si="16"/>
        <v/>
      </c>
      <c r="BE50" s="494" t="str">
        <f t="shared" si="17"/>
        <v/>
      </c>
      <c r="BF50" s="499">
        <f t="shared" si="18"/>
        <v>2.1000000000000227</v>
      </c>
      <c r="BG50" s="476"/>
      <c r="BH50" s="551"/>
      <c r="BI50" s="552"/>
      <c r="BJ50" s="560"/>
      <c r="BK50" s="560"/>
      <c r="BL50" s="560"/>
      <c r="BM50" s="560"/>
      <c r="BN50" s="560"/>
      <c r="BO50" s="560"/>
      <c r="BP50" s="560"/>
      <c r="BQ50" s="560"/>
      <c r="BR50" s="560"/>
      <c r="BS50" s="560"/>
      <c r="BT50" s="560"/>
      <c r="BU50" s="568"/>
      <c r="BV50" s="1114">
        <f t="shared" si="19"/>
        <v>38.439999999999856</v>
      </c>
      <c r="BW50" s="1114" t="str">
        <f t="shared" si="19"/>
        <v/>
      </c>
      <c r="BX50" s="1114">
        <f t="shared" si="20"/>
        <v>16.809999999999953</v>
      </c>
      <c r="BY50" s="1115" t="str">
        <f t="shared" si="20"/>
        <v/>
      </c>
      <c r="BZ50" s="477"/>
      <c r="CA50" s="1114" t="str">
        <f t="shared" si="21"/>
        <v/>
      </c>
      <c r="CB50" s="1114">
        <f t="shared" si="21"/>
        <v>1.6899999999999558</v>
      </c>
      <c r="CC50" s="1114" t="str">
        <f t="shared" si="22"/>
        <v/>
      </c>
      <c r="CD50" s="1115">
        <f t="shared" si="22"/>
        <v>4.4100000000000952</v>
      </c>
      <c r="CE50" s="568"/>
      <c r="CF50" s="1455"/>
      <c r="CG50" s="1468"/>
      <c r="CH50" s="1469"/>
      <c r="CI50" s="1468"/>
      <c r="CJ50" s="1469"/>
      <c r="CK50" s="560"/>
      <c r="CL50" s="560"/>
      <c r="CM50" s="560"/>
      <c r="CN50" s="560"/>
      <c r="CO50" s="560"/>
      <c r="CP50" s="560"/>
      <c r="CQ50" s="560"/>
      <c r="CR50" s="560"/>
      <c r="CS50" s="560"/>
      <c r="CT50" s="560"/>
      <c r="CU50" s="560"/>
      <c r="CV50" s="476"/>
      <c r="CW50" s="345"/>
      <c r="CX50" s="345"/>
      <c r="CY50" s="345"/>
      <c r="CZ50" s="345"/>
      <c r="DA50" s="345"/>
      <c r="DB50" s="345"/>
      <c r="DC50" s="345"/>
      <c r="DD50" s="345"/>
      <c r="DE50" s="345"/>
      <c r="DF50" s="345"/>
      <c r="DG50" s="345"/>
      <c r="DH50" s="345"/>
      <c r="DI50" s="345"/>
      <c r="DJ50" s="345"/>
      <c r="DK50" s="345"/>
      <c r="DL50" s="345"/>
      <c r="DM50" s="345"/>
      <c r="DN50" s="345"/>
      <c r="DO50" s="345"/>
      <c r="DP50" s="345"/>
      <c r="DQ50" s="345"/>
      <c r="DR50" s="345"/>
      <c r="DS50" s="345"/>
      <c r="DT50" s="345"/>
      <c r="DU50" s="345"/>
      <c r="DV50" s="345"/>
      <c r="DW50" s="345"/>
      <c r="DX50" s="345"/>
      <c r="DY50" s="345"/>
      <c r="DZ50" s="345"/>
      <c r="EA50" s="345"/>
      <c r="EB50" s="345"/>
      <c r="EC50" s="345"/>
      <c r="ED50" s="345"/>
      <c r="EE50" s="345"/>
      <c r="EF50" s="345"/>
      <c r="EG50" s="345"/>
      <c r="EH50" s="345"/>
      <c r="EI50" s="345"/>
      <c r="EJ50" s="345"/>
      <c r="EK50" s="345"/>
      <c r="EL50" s="345"/>
      <c r="EM50" s="345"/>
      <c r="EN50" s="345"/>
      <c r="EO50" s="345"/>
      <c r="EP50" s="345"/>
      <c r="EQ50" s="345"/>
      <c r="ER50" s="345"/>
      <c r="ES50" s="345"/>
      <c r="ET50" s="345"/>
      <c r="EU50" s="345"/>
      <c r="EV50" s="345"/>
      <c r="EW50" s="345"/>
      <c r="EX50" s="345"/>
      <c r="EY50" s="345"/>
      <c r="EZ50" s="345"/>
      <c r="FA50" s="345"/>
      <c r="FB50" s="345"/>
      <c r="FC50" s="345"/>
      <c r="FD50" s="345"/>
      <c r="FE50" s="345"/>
      <c r="FF50" s="345"/>
      <c r="FG50" s="345"/>
      <c r="FH50" s="345"/>
      <c r="FI50" s="345"/>
      <c r="FJ50" s="345"/>
      <c r="FK50" s="345"/>
      <c r="FL50" s="345"/>
      <c r="FM50" s="345"/>
      <c r="FN50" s="345"/>
      <c r="FO50" s="345"/>
      <c r="FP50" s="345"/>
      <c r="FQ50" s="345"/>
      <c r="FR50" s="345"/>
      <c r="FS50" s="345"/>
      <c r="FT50" s="345"/>
      <c r="FU50" s="345"/>
      <c r="FV50" s="345"/>
      <c r="FW50" s="345"/>
      <c r="FX50" s="345"/>
      <c r="FY50" s="345"/>
      <c r="FZ50" s="345"/>
      <c r="GA50" s="345"/>
      <c r="GB50" s="345"/>
      <c r="GC50" s="345"/>
      <c r="GD50" s="345"/>
      <c r="GE50" s="345"/>
      <c r="GF50" s="345"/>
      <c r="GG50" s="345"/>
      <c r="GH50" s="345"/>
      <c r="GI50" s="345"/>
      <c r="GJ50" s="345"/>
      <c r="GK50" s="345"/>
      <c r="GL50" s="345"/>
      <c r="GM50" s="345"/>
      <c r="GN50" s="345"/>
      <c r="GO50" s="345"/>
      <c r="GP50" s="345"/>
      <c r="GQ50" s="345"/>
      <c r="GR50" s="345"/>
      <c r="GS50" s="345"/>
      <c r="GT50" s="345"/>
      <c r="GU50" s="345"/>
    </row>
    <row r="51" spans="1:203" ht="12.75" customHeight="1" thickBot="1">
      <c r="A51" s="465">
        <f t="shared" si="31"/>
        <v>2</v>
      </c>
      <c r="B51" s="1108">
        <v>41</v>
      </c>
      <c r="C51" s="1109">
        <v>1</v>
      </c>
      <c r="D51" s="398">
        <v>246.2</v>
      </c>
      <c r="E51" s="1120"/>
      <c r="F51" s="465">
        <f t="shared" si="36"/>
        <v>2</v>
      </c>
      <c r="G51" s="1108">
        <v>41</v>
      </c>
      <c r="H51" s="1109">
        <v>1</v>
      </c>
      <c r="I51" s="398">
        <v>245.5</v>
      </c>
      <c r="J51" s="1120"/>
      <c r="K51" s="465"/>
      <c r="L51" s="465"/>
      <c r="M51" s="465">
        <f t="shared" si="23"/>
        <v>2</v>
      </c>
      <c r="N51" s="1108">
        <v>41</v>
      </c>
      <c r="O51" s="1109">
        <v>-1</v>
      </c>
      <c r="P51" s="398">
        <v>247.2</v>
      </c>
      <c r="Q51" s="1120"/>
      <c r="R51" s="465">
        <f t="shared" si="24"/>
        <v>2</v>
      </c>
      <c r="S51" s="1108">
        <v>41</v>
      </c>
      <c r="T51" s="1109">
        <v>-1</v>
      </c>
      <c r="U51" s="1110">
        <v>243.8</v>
      </c>
      <c r="V51" s="1120"/>
      <c r="W51" s="371"/>
      <c r="X51" s="494">
        <f t="shared" si="0"/>
        <v>246.2</v>
      </c>
      <c r="Y51" s="495" t="str">
        <f>IF('Feuilles=description générale'!$E$13="","",IF(X51="","",IF(X51&gt;('Feuilles=description générale'!$E$11+'Feuilles=description générale'!$E$10),"",100*(X51-'Feuilles=description générale'!$E$10)/('Feuilles=description générale'!$E$11))))</f>
        <v/>
      </c>
      <c r="Z51" s="495">
        <f>IF('Feuilles=description générale'!$E$13="","",IF(X51="","",IF(X51&lt;=('Feuilles=description générale'!$E$11+'Feuilles=description générale'!$E$10),"",100*(X51-'Feuilles=description générale'!$E$11-'Feuilles=description générale'!$E$10)/('Feuilles=description générale'!$E$12))))</f>
        <v>44.642396075393755</v>
      </c>
      <c r="AA51" s="1112">
        <f>IF('Feuilles=description générale'!$E$13="","",IF(X51="","",100*(X51-'Feuilles=description générale'!$E$10)/('Feuilles=description générale'!$E$13-'Feuilles=description générale'!$E$10)))</f>
        <v>58.3419689119171</v>
      </c>
      <c r="AB51" s="497">
        <f t="shared" si="1"/>
        <v>1</v>
      </c>
      <c r="AC51" s="500" t="str">
        <f t="shared" si="32"/>
        <v/>
      </c>
      <c r="AD51" s="494" t="str">
        <f t="shared" si="2"/>
        <v/>
      </c>
      <c r="AE51" s="499">
        <f t="shared" si="3"/>
        <v>1.1000000000000227</v>
      </c>
      <c r="AF51" s="371"/>
      <c r="AG51" s="494">
        <f t="shared" si="4"/>
        <v>245.5</v>
      </c>
      <c r="AH51" s="495" t="str">
        <f>IF('Feuilles=description générale'!$E$13="","",IF(AG51="","",IF(AG51&gt;('Feuilles=description générale'!$E$11+'Feuilles=description générale'!$E$10),"",100*(AG51-'Feuilles=description générale'!$E$10)/('Feuilles=description générale'!$E$11))))</f>
        <v/>
      </c>
      <c r="AI51" s="495">
        <f>IF('Feuilles=description générale'!$E$13="","",IF(AG51="","",IF(AG51&lt;=('Feuilles=description générale'!$E$11+'Feuilles=description générale'!$E$10),"",100*(AG51-'Feuilles=description générale'!$E$11-'Feuilles=description générale'!$E$10)/('Feuilles=description générale'!$E$12))))</f>
        <v>44.4014114811946</v>
      </c>
      <c r="AJ51" s="496">
        <f>IF('Feuilles=description générale'!$E$13="","",IF(AG51="","",100*(AG51-'Feuilles=description générale'!$E$10)/('Feuilles=description générale'!$E$13-'Feuilles=description générale'!$E$10)))</f>
        <v>58.160621761658028</v>
      </c>
      <c r="AK51" s="1113">
        <f t="shared" si="5"/>
        <v>1</v>
      </c>
      <c r="AL51" s="498" t="str">
        <f t="shared" si="6"/>
        <v/>
      </c>
      <c r="AM51" s="494" t="str">
        <f t="shared" si="7"/>
        <v/>
      </c>
      <c r="AN51" s="499">
        <f t="shared" si="8"/>
        <v>1.5</v>
      </c>
      <c r="AO51" s="371"/>
      <c r="AP51" s="494">
        <f t="shared" si="9"/>
        <v>247.2</v>
      </c>
      <c r="AQ51" s="495" t="str">
        <f>IF('Feuilles=description générale'!$E$13="","",IF(AP51="","",IF(AP51&gt;('Feuilles=description générale'!$E$25+'Feuilles=description générale'!$E$24),"",100*(AP51-'Feuilles=description générale'!$E$24)/('Feuilles=description générale'!$E$25))))</f>
        <v/>
      </c>
      <c r="AR51" s="495">
        <f>IF('Feuilles=description générale'!$E$27="","",IF(AP51="","",IF(AP51&lt;=('Feuilles=description générale'!$E$25+'Feuilles=description générale'!$E$24),"",100*(AP51-'Feuilles=description générale'!$E$25-'Feuilles=description générale'!$E$24)/('Feuilles=description générale'!$E$26))))</f>
        <v>41.625887924230469</v>
      </c>
      <c r="AS51" s="496">
        <f>IF('Feuilles=description générale'!$E$27="","",IF(AP51="","",100*(AP51-'Feuilles=description générale'!$E$24)/('Feuilles=description générale'!$E$27-'Feuilles=description générale'!$E$24)))</f>
        <v>54.803226594964556</v>
      </c>
      <c r="AT51" s="497">
        <f t="shared" si="10"/>
        <v>2</v>
      </c>
      <c r="AU51" s="500">
        <f t="shared" si="11"/>
        <v>2</v>
      </c>
      <c r="AV51" s="494">
        <f t="shared" si="12"/>
        <v>4</v>
      </c>
      <c r="AW51" s="499" t="str">
        <f t="shared" si="13"/>
        <v/>
      </c>
      <c r="AX51" s="371"/>
      <c r="AY51" s="494">
        <f t="shared" si="14"/>
        <v>243.8</v>
      </c>
      <c r="AZ51" s="495" t="str">
        <f>IF('Feuilles=description générale'!$E$13="","",IF(AY51="","",IF(AY51&gt;('Feuilles=description générale'!$E$25+'Feuilles=description générale'!$E$24),"",100*(AY51-'Feuilles=description générale'!$E$24)/('Feuilles=description générale'!$E$25))))</f>
        <v/>
      </c>
      <c r="BA51" s="495">
        <f>IF('Feuilles=description générale'!$E$27="","",IF(AY51="","",IF(AY51&lt;=('Feuilles=description générale'!$E$25+'Feuilles=description générale'!$E$24),"",100*(AY51-'Feuilles=description générale'!$E$25-'Feuilles=description générale'!$E$24)/('Feuilles=description générale'!$E$26))))</f>
        <v>40.552486187845311</v>
      </c>
      <c r="BB51" s="496">
        <f>IF('Feuilles=description générale'!$E$27="","",IF(AY51="","",100*(AY51-'Feuilles=description générale'!$E$24)/('Feuilles=description générale'!$E$27-'Feuilles=description générale'!$E$24)))</f>
        <v>53.97213395257883</v>
      </c>
      <c r="BC51" s="497">
        <f t="shared" si="15"/>
        <v>3</v>
      </c>
      <c r="BD51" s="500">
        <f t="shared" si="16"/>
        <v>3</v>
      </c>
      <c r="BE51" s="494">
        <f t="shared" si="17"/>
        <v>6.7999999999999829</v>
      </c>
      <c r="BF51" s="499" t="str">
        <f t="shared" si="18"/>
        <v/>
      </c>
      <c r="BG51" s="476"/>
      <c r="BH51" s="551"/>
      <c r="BI51" s="552"/>
      <c r="BJ51" s="560"/>
      <c r="BK51" s="560"/>
      <c r="BL51" s="560"/>
      <c r="BM51" s="560"/>
      <c r="BN51" s="560"/>
      <c r="BO51" s="560"/>
      <c r="BP51" s="560"/>
      <c r="BQ51" s="560"/>
      <c r="BR51" s="560"/>
      <c r="BS51" s="560"/>
      <c r="BT51" s="560"/>
      <c r="BU51" s="568"/>
      <c r="BV51" s="1114" t="str">
        <f t="shared" si="19"/>
        <v/>
      </c>
      <c r="BW51" s="1114">
        <f t="shared" si="19"/>
        <v>1.2100000000000499</v>
      </c>
      <c r="BX51" s="1114" t="str">
        <f t="shared" si="20"/>
        <v/>
      </c>
      <c r="BY51" s="1115">
        <f t="shared" si="20"/>
        <v>2.25</v>
      </c>
      <c r="BZ51" s="477"/>
      <c r="CA51" s="1114">
        <f t="shared" si="21"/>
        <v>16</v>
      </c>
      <c r="CB51" s="1114" t="str">
        <f t="shared" si="21"/>
        <v/>
      </c>
      <c r="CC51" s="1114">
        <f t="shared" si="22"/>
        <v>46.239999999999768</v>
      </c>
      <c r="CD51" s="1115" t="str">
        <f t="shared" si="22"/>
        <v/>
      </c>
      <c r="CE51" s="568"/>
      <c r="CF51" s="1456"/>
      <c r="CG51" s="1124" t="s">
        <v>1283</v>
      </c>
      <c r="CH51" s="1125" t="s">
        <v>1333</v>
      </c>
      <c r="CI51" s="1124" t="s">
        <v>1283</v>
      </c>
      <c r="CJ51" s="1125" t="s">
        <v>1333</v>
      </c>
      <c r="CK51" s="566"/>
      <c r="CL51" s="566"/>
      <c r="CM51" s="566"/>
      <c r="CN51" s="566"/>
      <c r="CO51" s="566"/>
      <c r="CP51" s="566"/>
      <c r="CQ51" s="566"/>
      <c r="CR51" s="566"/>
      <c r="CS51" s="566"/>
      <c r="CT51" s="566"/>
      <c r="CU51" s="566"/>
      <c r="CV51" s="476"/>
      <c r="CW51" s="345"/>
      <c r="CX51" s="345"/>
      <c r="CY51" s="345"/>
      <c r="CZ51" s="345"/>
      <c r="DA51" s="345"/>
      <c r="DB51" s="345"/>
      <c r="DC51" s="345"/>
      <c r="DD51" s="345"/>
      <c r="DE51" s="345"/>
      <c r="DF51" s="345"/>
      <c r="DG51" s="345"/>
      <c r="DH51" s="345"/>
      <c r="DI51" s="345"/>
      <c r="DJ51" s="345"/>
      <c r="DK51" s="345"/>
      <c r="DL51" s="345"/>
      <c r="DM51" s="345"/>
      <c r="DN51" s="345"/>
      <c r="DO51" s="345"/>
      <c r="DP51" s="345"/>
      <c r="DQ51" s="345"/>
      <c r="DR51" s="345"/>
      <c r="DS51" s="345"/>
      <c r="DT51" s="345"/>
      <c r="DU51" s="345"/>
      <c r="DV51" s="345"/>
      <c r="DW51" s="345"/>
      <c r="DX51" s="345"/>
      <c r="DY51" s="345"/>
      <c r="DZ51" s="345"/>
      <c r="EA51" s="345"/>
      <c r="EB51" s="345"/>
      <c r="EC51" s="345"/>
      <c r="ED51" s="345"/>
      <c r="EE51" s="345"/>
      <c r="EF51" s="345"/>
      <c r="EG51" s="345"/>
      <c r="EH51" s="345"/>
      <c r="EI51" s="345"/>
      <c r="EJ51" s="345"/>
      <c r="EK51" s="345"/>
      <c r="EL51" s="345"/>
      <c r="EM51" s="345"/>
      <c r="EN51" s="345"/>
      <c r="EO51" s="345"/>
      <c r="EP51" s="345"/>
      <c r="EQ51" s="345"/>
      <c r="ER51" s="345"/>
      <c r="ES51" s="345"/>
      <c r="ET51" s="345"/>
      <c r="EU51" s="345"/>
      <c r="EV51" s="345"/>
      <c r="EW51" s="345"/>
      <c r="EX51" s="345"/>
      <c r="EY51" s="345"/>
      <c r="EZ51" s="345"/>
      <c r="FA51" s="345"/>
      <c r="FB51" s="345"/>
      <c r="FC51" s="345"/>
      <c r="FD51" s="345"/>
      <c r="FE51" s="345"/>
      <c r="FF51" s="345"/>
      <c r="FG51" s="345"/>
      <c r="FH51" s="345"/>
      <c r="FI51" s="345"/>
      <c r="FJ51" s="345"/>
      <c r="FK51" s="345"/>
      <c r="FL51" s="345"/>
      <c r="FM51" s="345"/>
      <c r="FN51" s="345"/>
      <c r="FO51" s="345"/>
      <c r="FP51" s="345"/>
      <c r="FQ51" s="345"/>
      <c r="FR51" s="345"/>
      <c r="FS51" s="345"/>
      <c r="FT51" s="345"/>
      <c r="FU51" s="345"/>
      <c r="FV51" s="345"/>
      <c r="FW51" s="345"/>
      <c r="FX51" s="345"/>
      <c r="FY51" s="345"/>
      <c r="FZ51" s="345"/>
      <c r="GA51" s="345"/>
      <c r="GB51" s="345"/>
      <c r="GC51" s="345"/>
      <c r="GD51" s="345"/>
      <c r="GE51" s="345"/>
      <c r="GF51" s="345"/>
      <c r="GG51" s="345"/>
      <c r="GH51" s="345"/>
      <c r="GI51" s="345"/>
      <c r="GJ51" s="345"/>
      <c r="GK51" s="345"/>
      <c r="GL51" s="345"/>
      <c r="GM51" s="345"/>
      <c r="GN51" s="345"/>
      <c r="GO51" s="345"/>
      <c r="GP51" s="345"/>
      <c r="GQ51" s="345"/>
      <c r="GR51" s="345"/>
      <c r="GS51" s="345"/>
      <c r="GT51" s="345"/>
      <c r="GU51" s="345"/>
    </row>
    <row r="52" spans="1:203" ht="12.75" customHeight="1">
      <c r="A52" s="465">
        <f t="shared" si="31"/>
        <v>2</v>
      </c>
      <c r="B52" s="1108">
        <v>42</v>
      </c>
      <c r="C52" s="1109">
        <v>0</v>
      </c>
      <c r="D52" s="398">
        <v>247.3</v>
      </c>
      <c r="E52" s="1120"/>
      <c r="F52" s="465">
        <f t="shared" si="36"/>
        <v>2</v>
      </c>
      <c r="G52" s="1108">
        <v>42</v>
      </c>
      <c r="H52" s="1109">
        <v>-1</v>
      </c>
      <c r="I52" s="398">
        <v>247</v>
      </c>
      <c r="J52" s="1120"/>
      <c r="K52" s="465"/>
      <c r="L52" s="465"/>
      <c r="M52" s="465">
        <f t="shared" si="23"/>
        <v>2</v>
      </c>
      <c r="N52" s="1108">
        <v>42</v>
      </c>
      <c r="O52" s="1109">
        <v>1</v>
      </c>
      <c r="P52" s="398">
        <v>251.2</v>
      </c>
      <c r="Q52" s="1120"/>
      <c r="R52" s="465">
        <f t="shared" si="24"/>
        <v>2</v>
      </c>
      <c r="S52" s="1108">
        <v>42</v>
      </c>
      <c r="T52" s="1109">
        <v>1</v>
      </c>
      <c r="U52" s="1110">
        <v>250.6</v>
      </c>
      <c r="V52" s="1120"/>
      <c r="W52" s="371"/>
      <c r="X52" s="494">
        <f t="shared" si="0"/>
        <v>247.3</v>
      </c>
      <c r="Y52" s="495" t="str">
        <f>IF('Feuilles=description générale'!$E$13="","",IF(X52="","",IF(X52&gt;('Feuilles=description générale'!$E$11+'Feuilles=description générale'!$E$10),"",100*(X52-'Feuilles=description générale'!$E$10)/('Feuilles=description générale'!$E$11))))</f>
        <v/>
      </c>
      <c r="Z52" s="495">
        <f>IF('Feuilles=description générale'!$E$13="","",IF(X52="","",IF(X52&lt;=('Feuilles=description générale'!$E$11+'Feuilles=description générale'!$E$10),"",100*(X52-'Feuilles=description générale'!$E$11-'Feuilles=description générale'!$E$10)/('Feuilles=description générale'!$E$12))))</f>
        <v>45.021086151992435</v>
      </c>
      <c r="AA52" s="1112">
        <f>IF('Feuilles=description générale'!$E$13="","",IF(X52="","",100*(X52-'Feuilles=description générale'!$E$10)/('Feuilles=description générale'!$E$13-'Feuilles=description générale'!$E$10)))</f>
        <v>58.626943005181346</v>
      </c>
      <c r="AB52" s="497">
        <f t="shared" si="1"/>
        <v>2</v>
      </c>
      <c r="AC52" s="500" t="str">
        <f t="shared" si="32"/>
        <v/>
      </c>
      <c r="AD52" s="494" t="str">
        <f t="shared" si="2"/>
        <v/>
      </c>
      <c r="AE52" s="499">
        <f t="shared" si="3"/>
        <v>1.3999999999999773</v>
      </c>
      <c r="AF52" s="371"/>
      <c r="AG52" s="494">
        <f t="shared" si="4"/>
        <v>247</v>
      </c>
      <c r="AH52" s="495" t="str">
        <f>IF('Feuilles=description générale'!$E$13="","",IF(AG52="","",IF(AG52&gt;('Feuilles=description générale'!$E$11+'Feuilles=description générale'!$E$10),"",100*(AG52-'Feuilles=description générale'!$E$10)/('Feuilles=description générale'!$E$11))))</f>
        <v/>
      </c>
      <c r="AI52" s="495">
        <f>IF('Feuilles=description générale'!$E$13="","",IF(AG52="","",IF(AG52&lt;=('Feuilles=description générale'!$E$11+'Feuilles=description générale'!$E$10),"",100*(AG52-'Feuilles=description générale'!$E$11-'Feuilles=description générale'!$E$10)/('Feuilles=description générale'!$E$12))))</f>
        <v>44.917807040192791</v>
      </c>
      <c r="AJ52" s="496">
        <f>IF('Feuilles=description générale'!$E$13="","",IF(AG52="","",100*(AG52-'Feuilles=description générale'!$E$10)/('Feuilles=description générale'!$E$13-'Feuilles=description générale'!$E$10)))</f>
        <v>58.549222797927463</v>
      </c>
      <c r="AK52" s="1113">
        <f t="shared" si="5"/>
        <v>2</v>
      </c>
      <c r="AL52" s="498">
        <f t="shared" si="6"/>
        <v>2</v>
      </c>
      <c r="AM52" s="494">
        <f t="shared" si="7"/>
        <v>5.4000000000000057</v>
      </c>
      <c r="AN52" s="499" t="str">
        <f t="shared" si="8"/>
        <v/>
      </c>
      <c r="AO52" s="371"/>
      <c r="AP52" s="494">
        <f t="shared" si="9"/>
        <v>251.2</v>
      </c>
      <c r="AQ52" s="495" t="str">
        <f>IF('Feuilles=description générale'!$E$13="","",IF(AP52="","",IF(AP52&gt;('Feuilles=description générale'!$E$25+'Feuilles=description générale'!$E$24),"",100*(AP52-'Feuilles=description générale'!$E$24)/('Feuilles=description générale'!$E$25))))</f>
        <v/>
      </c>
      <c r="AR52" s="495">
        <f>IF('Feuilles=description générale'!$E$27="","",IF(AP52="","",IF(AP52&lt;=('Feuilles=description générale'!$E$25+'Feuilles=description générale'!$E$24),"",100*(AP52-'Feuilles=description générale'!$E$25-'Feuilles=description générale'!$E$24)/('Feuilles=description générale'!$E$26))))</f>
        <v>42.888713496448304</v>
      </c>
      <c r="AS52" s="496">
        <f>IF('Feuilles=description générale'!$E$27="","",IF(AP52="","",100*(AP52-'Feuilles=description générale'!$E$24)/('Feuilles=description générale'!$E$27-'Feuilles=description générale'!$E$24)))</f>
        <v>55.780982644830111</v>
      </c>
      <c r="AT52" s="497">
        <f t="shared" si="10"/>
        <v>1</v>
      </c>
      <c r="AU52" s="500" t="str">
        <f t="shared" si="11"/>
        <v/>
      </c>
      <c r="AV52" s="494" t="str">
        <f t="shared" si="12"/>
        <v/>
      </c>
      <c r="AW52" s="499">
        <f t="shared" si="13"/>
        <v>3.1000000000000227</v>
      </c>
      <c r="AX52" s="371"/>
      <c r="AY52" s="494">
        <f t="shared" si="14"/>
        <v>250.6</v>
      </c>
      <c r="AZ52" s="495" t="str">
        <f>IF('Feuilles=description générale'!$E$13="","",IF(AY52="","",IF(AY52&gt;('Feuilles=description générale'!$E$25+'Feuilles=description générale'!$E$24),"",100*(AY52-'Feuilles=description générale'!$E$24)/('Feuilles=description générale'!$E$25))))</f>
        <v/>
      </c>
      <c r="BA52" s="495">
        <f>IF('Feuilles=description générale'!$E$27="","",IF(AY52="","",IF(AY52&lt;=('Feuilles=description générale'!$E$25+'Feuilles=description générale'!$E$24),"",100*(AY52-'Feuilles=description générale'!$E$25-'Feuilles=description générale'!$E$24)/('Feuilles=description générale'!$E$26))))</f>
        <v>42.699289660615626</v>
      </c>
      <c r="BB52" s="496">
        <f>IF('Feuilles=description générale'!$E$27="","",IF(AY52="","",100*(AY52-'Feuilles=description générale'!$E$24)/('Feuilles=description générale'!$E$27-'Feuilles=description générale'!$E$24)))</f>
        <v>55.634319237350276</v>
      </c>
      <c r="BC52" s="497">
        <f t="shared" si="15"/>
        <v>1</v>
      </c>
      <c r="BD52" s="500" t="str">
        <f t="shared" si="16"/>
        <v/>
      </c>
      <c r="BE52" s="494" t="str">
        <f t="shared" si="17"/>
        <v/>
      </c>
      <c r="BF52" s="499">
        <f t="shared" si="18"/>
        <v>2</v>
      </c>
      <c r="BG52" s="476"/>
      <c r="BH52" s="551"/>
      <c r="BI52" s="552"/>
      <c r="BJ52" s="560"/>
      <c r="BK52" s="560"/>
      <c r="BL52" s="560"/>
      <c r="BM52" s="560"/>
      <c r="BN52" s="560"/>
      <c r="BO52" s="560"/>
      <c r="BP52" s="560"/>
      <c r="BQ52" s="560"/>
      <c r="BR52" s="560"/>
      <c r="BS52" s="560"/>
      <c r="BT52" s="560"/>
      <c r="BU52" s="568"/>
      <c r="BV52" s="1114" t="str">
        <f t="shared" si="19"/>
        <v/>
      </c>
      <c r="BW52" s="1114">
        <f t="shared" si="19"/>
        <v>1.9599999999999362</v>
      </c>
      <c r="BX52" s="1114">
        <f t="shared" si="20"/>
        <v>29.160000000000061</v>
      </c>
      <c r="BY52" s="1115" t="str">
        <f t="shared" si="20"/>
        <v/>
      </c>
      <c r="BZ52" s="477"/>
      <c r="CA52" s="1114" t="str">
        <f t="shared" si="21"/>
        <v/>
      </c>
      <c r="CB52" s="1114">
        <f t="shared" si="21"/>
        <v>9.6100000000001415</v>
      </c>
      <c r="CC52" s="1114" t="str">
        <f t="shared" si="22"/>
        <v/>
      </c>
      <c r="CD52" s="1115">
        <f t="shared" si="22"/>
        <v>4</v>
      </c>
      <c r="CE52" s="568"/>
      <c r="CF52" s="1126">
        <f>IF(SUMIF($BI$30:$BI$42,1,$BH$30:$BH$42)=0,"",SUMIF($BI$30:$BI$42,1,$BH$30:$BH$42))</f>
        <v>1E-4</v>
      </c>
      <c r="CG52" s="506">
        <f>IF($CF52="","",IF(SUMIF($CF$13:$CF$25,$CF52,CT$13:CT$25)=0,1.2,SUMIF($CF$13:$CF$25,$CF52,CT$13:CT$25)))</f>
        <v>3.65</v>
      </c>
      <c r="CH52" s="508">
        <f>IF($CF52="","",IF(SUMIF($CF$13:$CF$25,$CF52,CU$13:CU$25)=0,0.12,SUMIF($CF$13:$CF$25,$CF52,CU$13:CU$25)))</f>
        <v>0.59707620954112695</v>
      </c>
      <c r="CI52" s="506">
        <f>IF($CF52="","",IF(SUMIF($CF$33:$CF$45,$CF52,CT$33:CT$45)=0,0.6,SUMIF($CF$33:$CF$45,$CF52,CT$33:CT$45)))</f>
        <v>3.65</v>
      </c>
      <c r="CJ52" s="508">
        <f>IF($CF52="","",IF(SUMIF($CF$33:$CF$45,$CF52,CU$33:CU$45)=0,0.1,SUMIF($CF$33:$CF$45,$CF52,CU$33:CU$45)))</f>
        <v>0.59707620954112695</v>
      </c>
      <c r="CK52" s="566"/>
      <c r="CL52" s="566"/>
      <c r="CM52" s="566"/>
      <c r="CN52" s="566"/>
      <c r="CO52" s="566"/>
      <c r="CP52" s="566"/>
      <c r="CQ52" s="566"/>
      <c r="CR52" s="566"/>
      <c r="CS52" s="566"/>
      <c r="CT52" s="566"/>
      <c r="CU52" s="566"/>
      <c r="CV52" s="476"/>
      <c r="CW52" s="345"/>
      <c r="CX52" s="345"/>
      <c r="CY52" s="345"/>
      <c r="CZ52" s="345"/>
      <c r="DA52" s="345"/>
      <c r="DB52" s="345"/>
      <c r="DC52" s="345"/>
      <c r="DD52" s="345"/>
      <c r="DE52" s="345"/>
      <c r="DF52" s="345"/>
      <c r="DG52" s="345"/>
      <c r="DH52" s="345"/>
      <c r="DI52" s="345"/>
      <c r="DJ52" s="345"/>
      <c r="DK52" s="345"/>
      <c r="DL52" s="345"/>
      <c r="DM52" s="345"/>
      <c r="DN52" s="345"/>
      <c r="DO52" s="345"/>
      <c r="DP52" s="345"/>
      <c r="DQ52" s="345"/>
      <c r="DR52" s="345"/>
      <c r="DS52" s="345"/>
      <c r="DT52" s="345"/>
      <c r="DU52" s="345"/>
      <c r="DV52" s="345"/>
      <c r="DW52" s="345"/>
      <c r="DX52" s="345"/>
      <c r="DY52" s="345"/>
      <c r="DZ52" s="345"/>
      <c r="EA52" s="345"/>
      <c r="EB52" s="345"/>
      <c r="EC52" s="345"/>
      <c r="ED52" s="345"/>
      <c r="EE52" s="345"/>
      <c r="EF52" s="345"/>
      <c r="EG52" s="345"/>
      <c r="EH52" s="345"/>
      <c r="EI52" s="345"/>
      <c r="EJ52" s="345"/>
      <c r="EK52" s="345"/>
      <c r="EL52" s="345"/>
      <c r="EM52" s="345"/>
      <c r="EN52" s="345"/>
      <c r="EO52" s="345"/>
      <c r="EP52" s="345"/>
      <c r="EQ52" s="345"/>
      <c r="ER52" s="345"/>
      <c r="ES52" s="345"/>
      <c r="ET52" s="345"/>
      <c r="EU52" s="345"/>
      <c r="EV52" s="345"/>
      <c r="EW52" s="345"/>
      <c r="EX52" s="345"/>
      <c r="EY52" s="345"/>
      <c r="EZ52" s="345"/>
      <c r="FA52" s="345"/>
      <c r="FB52" s="345"/>
      <c r="FC52" s="345"/>
      <c r="FD52" s="345"/>
      <c r="FE52" s="345"/>
      <c r="FF52" s="345"/>
      <c r="FG52" s="345"/>
      <c r="FH52" s="345"/>
      <c r="FI52" s="345"/>
      <c r="FJ52" s="345"/>
      <c r="FK52" s="345"/>
      <c r="FL52" s="345"/>
      <c r="FM52" s="345"/>
      <c r="FN52" s="345"/>
      <c r="FO52" s="345"/>
      <c r="FP52" s="345"/>
      <c r="FQ52" s="345"/>
      <c r="FR52" s="345"/>
      <c r="FS52" s="345"/>
      <c r="FT52" s="345"/>
      <c r="FU52" s="345"/>
      <c r="FV52" s="345"/>
      <c r="FW52" s="345"/>
      <c r="FX52" s="345"/>
      <c r="FY52" s="345"/>
      <c r="FZ52" s="345"/>
      <c r="GA52" s="345"/>
      <c r="GB52" s="345"/>
      <c r="GC52" s="345"/>
      <c r="GD52" s="345"/>
      <c r="GE52" s="345"/>
      <c r="GF52" s="345"/>
      <c r="GG52" s="345"/>
      <c r="GH52" s="345"/>
      <c r="GI52" s="345"/>
      <c r="GJ52" s="345"/>
      <c r="GK52" s="345"/>
      <c r="GL52" s="345"/>
      <c r="GM52" s="345"/>
      <c r="GN52" s="345"/>
      <c r="GO52" s="345"/>
      <c r="GP52" s="345"/>
      <c r="GQ52" s="345"/>
      <c r="GR52" s="345"/>
      <c r="GS52" s="345"/>
      <c r="GT52" s="345"/>
      <c r="GU52" s="345"/>
    </row>
    <row r="53" spans="1:203" ht="12.75" customHeight="1">
      <c r="A53" s="465">
        <f t="shared" si="31"/>
        <v>2</v>
      </c>
      <c r="B53" s="1108">
        <v>43</v>
      </c>
      <c r="C53" s="1109">
        <v>-1</v>
      </c>
      <c r="D53" s="398">
        <v>248.7</v>
      </c>
      <c r="E53" s="1120"/>
      <c r="F53" s="465">
        <f t="shared" si="36"/>
        <v>2</v>
      </c>
      <c r="G53" s="1108">
        <v>43</v>
      </c>
      <c r="H53" s="1109">
        <v>1</v>
      </c>
      <c r="I53" s="398">
        <v>252.4</v>
      </c>
      <c r="J53" s="1120"/>
      <c r="K53" s="465"/>
      <c r="L53" s="465"/>
      <c r="M53" s="465">
        <f t="shared" si="23"/>
        <v>2</v>
      </c>
      <c r="N53" s="1108">
        <v>43</v>
      </c>
      <c r="O53" s="1109">
        <v>-1</v>
      </c>
      <c r="P53" s="398">
        <v>254.3</v>
      </c>
      <c r="Q53" s="1120"/>
      <c r="R53" s="465">
        <f t="shared" si="24"/>
        <v>2</v>
      </c>
      <c r="S53" s="1108">
        <v>43</v>
      </c>
      <c r="T53" s="1109">
        <v>0</v>
      </c>
      <c r="U53" s="1110">
        <v>252.6</v>
      </c>
      <c r="V53" s="1120"/>
      <c r="W53" s="371"/>
      <c r="X53" s="494">
        <f t="shared" si="0"/>
        <v>248.7</v>
      </c>
      <c r="Y53" s="495" t="str">
        <f>IF('Feuilles=description générale'!$E$13="","",IF(X53="","",IF(X53&gt;('Feuilles=description générale'!$E$11+'Feuilles=description générale'!$E$10),"",100*(X53-'Feuilles=description générale'!$E$10)/('Feuilles=description générale'!$E$11))))</f>
        <v/>
      </c>
      <c r="Z53" s="495">
        <f>IF('Feuilles=description générale'!$E$13="","",IF(X53="","",IF(X53&lt;=('Feuilles=description générale'!$E$11+'Feuilles=description générale'!$E$10),"",100*(X53-'Feuilles=description générale'!$E$11-'Feuilles=description générale'!$E$10)/('Feuilles=description générale'!$E$12))))</f>
        <v>45.503055340390745</v>
      </c>
      <c r="AA53" s="1112">
        <f>IF('Feuilles=description générale'!$E$13="","",IF(X53="","",100*(X53-'Feuilles=description générale'!$E$10)/('Feuilles=description générale'!$E$13-'Feuilles=description générale'!$E$10)))</f>
        <v>58.989637305699482</v>
      </c>
      <c r="AB53" s="497">
        <f t="shared" si="1"/>
        <v>3</v>
      </c>
      <c r="AC53" s="500">
        <f t="shared" si="32"/>
        <v>3</v>
      </c>
      <c r="AD53" s="494">
        <f t="shared" si="2"/>
        <v>5.8000000000000114</v>
      </c>
      <c r="AE53" s="499" t="str">
        <f t="shared" si="3"/>
        <v/>
      </c>
      <c r="AF53" s="371"/>
      <c r="AG53" s="494">
        <f t="shared" si="4"/>
        <v>252.4</v>
      </c>
      <c r="AH53" s="495" t="str">
        <f>IF('Feuilles=description générale'!$E$13="","",IF(AG53="","",IF(AG53&gt;('Feuilles=description générale'!$E$11+'Feuilles=description générale'!$E$10),"",100*(AG53-'Feuilles=description générale'!$E$10)/('Feuilles=description générale'!$E$11))))</f>
        <v/>
      </c>
      <c r="AI53" s="495">
        <f>IF('Feuilles=description générale'!$E$13="","",IF(AG53="","",IF(AG53&lt;=('Feuilles=description générale'!$E$11+'Feuilles=description générale'!$E$10),"",100*(AG53-'Feuilles=description générale'!$E$11-'Feuilles=description générale'!$E$10)/('Feuilles=description générale'!$E$12))))</f>
        <v>46.776831052586274</v>
      </c>
      <c r="AJ53" s="496">
        <f>IF('Feuilles=description générale'!$E$13="","",IF(AG53="","",100*(AG53-'Feuilles=description générale'!$E$10)/('Feuilles=description générale'!$E$13-'Feuilles=description générale'!$E$10)))</f>
        <v>59.948186528497409</v>
      </c>
      <c r="AK53" s="1113">
        <f t="shared" si="5"/>
        <v>1</v>
      </c>
      <c r="AL53" s="498" t="str">
        <f t="shared" si="6"/>
        <v/>
      </c>
      <c r="AM53" s="494" t="str">
        <f t="shared" si="7"/>
        <v/>
      </c>
      <c r="AN53" s="499">
        <f t="shared" si="8"/>
        <v>1.5</v>
      </c>
      <c r="AO53" s="371"/>
      <c r="AP53" s="494">
        <f t="shared" si="9"/>
        <v>254.3</v>
      </c>
      <c r="AQ53" s="495" t="str">
        <f>IF('Feuilles=description générale'!$E$13="","",IF(AP53="","",IF(AP53&gt;('Feuilles=description générale'!$E$25+'Feuilles=description générale'!$E$24),"",100*(AP53-'Feuilles=description générale'!$E$24)/('Feuilles=description générale'!$E$25))))</f>
        <v/>
      </c>
      <c r="AR53" s="495">
        <f>IF('Feuilles=description générale'!$E$27="","",IF(AP53="","",IF(AP53&lt;=('Feuilles=description générale'!$E$25+'Feuilles=description générale'!$E$24),"",100*(AP53-'Feuilles=description générale'!$E$25-'Feuilles=description générale'!$E$24)/('Feuilles=description générale'!$E$26))))</f>
        <v>43.867403314917134</v>
      </c>
      <c r="AS53" s="496">
        <f>IF('Feuilles=description générale'!$E$27="","",IF(AP53="","",100*(AP53-'Feuilles=description générale'!$E$24)/('Feuilles=description générale'!$E$27-'Feuilles=description générale'!$E$24)))</f>
        <v>56.53874358347592</v>
      </c>
      <c r="AT53" s="497">
        <f t="shared" si="10"/>
        <v>2</v>
      </c>
      <c r="AU53" s="500">
        <f t="shared" si="11"/>
        <v>2</v>
      </c>
      <c r="AV53" s="494">
        <f t="shared" si="12"/>
        <v>5</v>
      </c>
      <c r="AW53" s="499" t="str">
        <f t="shared" si="13"/>
        <v/>
      </c>
      <c r="AX53" s="371"/>
      <c r="AY53" s="494">
        <f t="shared" si="14"/>
        <v>252.6</v>
      </c>
      <c r="AZ53" s="495" t="str">
        <f>IF('Feuilles=description générale'!$E$13="","",IF(AY53="","",IF(AY53&gt;('Feuilles=description générale'!$E$25+'Feuilles=description générale'!$E$24),"",100*(AY53-'Feuilles=description générale'!$E$24)/('Feuilles=description générale'!$E$25))))</f>
        <v/>
      </c>
      <c r="BA53" s="495">
        <f>IF('Feuilles=description générale'!$E$27="","",IF(AY53="","",IF(AY53&lt;=('Feuilles=description générale'!$E$25+'Feuilles=description générale'!$E$24),"",100*(AY53-'Feuilles=description générale'!$E$25-'Feuilles=description générale'!$E$24)/('Feuilles=description générale'!$E$26))))</f>
        <v>43.330702446724544</v>
      </c>
      <c r="BB53" s="496">
        <f>IF('Feuilles=description générale'!$E$27="","",IF(AY53="","",100*(AY53-'Feuilles=description générale'!$E$24)/('Feuilles=description générale'!$E$27-'Feuilles=description générale'!$E$24)))</f>
        <v>56.123197262283057</v>
      </c>
      <c r="BC53" s="497">
        <f t="shared" si="15"/>
        <v>2</v>
      </c>
      <c r="BD53" s="500" t="str">
        <f t="shared" si="16"/>
        <v/>
      </c>
      <c r="BE53" s="494" t="str">
        <f t="shared" si="17"/>
        <v/>
      </c>
      <c r="BF53" s="499">
        <f t="shared" si="18"/>
        <v>1.5999999999999943</v>
      </c>
      <c r="BG53" s="476"/>
      <c r="BH53" s="551"/>
      <c r="BI53" s="552"/>
      <c r="BJ53" s="561"/>
      <c r="BK53" s="561"/>
      <c r="BL53" s="561"/>
      <c r="BM53" s="561"/>
      <c r="BN53" s="561"/>
      <c r="BO53" s="561"/>
      <c r="BP53" s="561"/>
      <c r="BQ53" s="561"/>
      <c r="BR53" s="561"/>
      <c r="BS53" s="561"/>
      <c r="BT53" s="561"/>
      <c r="BU53" s="568"/>
      <c r="BV53" s="1114">
        <f t="shared" si="19"/>
        <v>33.640000000000128</v>
      </c>
      <c r="BW53" s="1114" t="str">
        <f t="shared" si="19"/>
        <v/>
      </c>
      <c r="BX53" s="1114" t="str">
        <f t="shared" si="20"/>
        <v/>
      </c>
      <c r="BY53" s="1115">
        <f t="shared" si="20"/>
        <v>2.25</v>
      </c>
      <c r="BZ53" s="477"/>
      <c r="CA53" s="1114">
        <f t="shared" si="21"/>
        <v>25</v>
      </c>
      <c r="CB53" s="1114" t="str">
        <f t="shared" si="21"/>
        <v/>
      </c>
      <c r="CC53" s="1114" t="str">
        <f t="shared" si="22"/>
        <v/>
      </c>
      <c r="CD53" s="1115">
        <f t="shared" si="22"/>
        <v>2.5599999999999818</v>
      </c>
      <c r="CE53" s="568"/>
      <c r="CF53" s="509">
        <f>IF(SUMIF($BI$30:$BI$42,2,$BH$30:$BH$42)=0,"",SUMIF($BI$30:$BI$42,2,$BH$30:$BH$42))</f>
        <v>3.5</v>
      </c>
      <c r="CG53" s="510">
        <f t="shared" ref="CG53:CH64" si="68">IF($CF53="","",SUMIF($CF$13:$CF$25,$CF53,CT$13:CT$25))</f>
        <v>9.9500000000000028</v>
      </c>
      <c r="CH53" s="512">
        <f t="shared" si="68"/>
        <v>1.5713582235335983</v>
      </c>
      <c r="CI53" s="510">
        <f t="shared" ref="CI53:CJ64" si="69">IF($CF53="","",SUMIF($CF$33:$CF$45,$CF53,CT$33:CT$45))</f>
        <v>4.5599999999999996</v>
      </c>
      <c r="CJ53" s="512">
        <f t="shared" si="69"/>
        <v>1.2757742747053644</v>
      </c>
      <c r="CK53" s="561"/>
      <c r="CL53" s="561"/>
      <c r="CM53" s="561"/>
      <c r="CN53" s="561"/>
      <c r="CO53" s="561"/>
      <c r="CP53" s="561"/>
      <c r="CQ53" s="561"/>
      <c r="CR53" s="561"/>
      <c r="CS53" s="561"/>
      <c r="CT53" s="561"/>
      <c r="CU53" s="561"/>
      <c r="CV53" s="476"/>
      <c r="CW53" s="345"/>
      <c r="CX53" s="345"/>
      <c r="CY53" s="345"/>
      <c r="CZ53" s="345"/>
      <c r="DA53" s="345"/>
      <c r="DB53" s="345"/>
      <c r="DC53" s="345"/>
      <c r="DD53" s="345"/>
      <c r="DE53" s="345"/>
      <c r="DF53" s="345"/>
      <c r="DG53" s="345"/>
      <c r="DH53" s="345"/>
      <c r="DI53" s="345"/>
      <c r="DJ53" s="345"/>
      <c r="DK53" s="345"/>
      <c r="DL53" s="345"/>
      <c r="DM53" s="345"/>
      <c r="DN53" s="345"/>
      <c r="DO53" s="345"/>
      <c r="DP53" s="345"/>
      <c r="DQ53" s="345"/>
      <c r="DR53" s="345"/>
      <c r="DS53" s="345"/>
      <c r="DT53" s="345"/>
      <c r="DU53" s="345"/>
      <c r="DV53" s="345"/>
      <c r="DW53" s="345"/>
      <c r="DX53" s="345"/>
      <c r="DY53" s="345"/>
      <c r="DZ53" s="345"/>
      <c r="EA53" s="345"/>
      <c r="EB53" s="345"/>
      <c r="EC53" s="345"/>
      <c r="ED53" s="345"/>
      <c r="EE53" s="345"/>
      <c r="EF53" s="345"/>
      <c r="EG53" s="345"/>
      <c r="EH53" s="345"/>
      <c r="EI53" s="345"/>
      <c r="EJ53" s="345"/>
      <c r="EK53" s="345"/>
      <c r="EL53" s="345"/>
      <c r="EM53" s="345"/>
      <c r="EN53" s="345"/>
      <c r="EO53" s="345"/>
      <c r="EP53" s="345"/>
      <c r="EQ53" s="345"/>
      <c r="ER53" s="345"/>
      <c r="ES53" s="345"/>
      <c r="ET53" s="345"/>
      <c r="EU53" s="345"/>
      <c r="EV53" s="345"/>
      <c r="EW53" s="345"/>
      <c r="EX53" s="345"/>
      <c r="EY53" s="345"/>
      <c r="EZ53" s="345"/>
      <c r="FA53" s="345"/>
      <c r="FB53" s="345"/>
      <c r="FC53" s="345"/>
      <c r="FD53" s="345"/>
      <c r="FE53" s="345"/>
      <c r="FF53" s="345"/>
      <c r="FG53" s="345"/>
      <c r="FH53" s="345"/>
      <c r="FI53" s="345"/>
      <c r="FJ53" s="345"/>
      <c r="FK53" s="345"/>
      <c r="FL53" s="345"/>
      <c r="FM53" s="345"/>
      <c r="FN53" s="345"/>
      <c r="FO53" s="345"/>
      <c r="FP53" s="345"/>
      <c r="FQ53" s="345"/>
      <c r="FR53" s="345"/>
      <c r="FS53" s="345"/>
      <c r="FT53" s="345"/>
      <c r="FU53" s="345"/>
      <c r="FV53" s="345"/>
      <c r="FW53" s="345"/>
      <c r="FX53" s="345"/>
      <c r="FY53" s="345"/>
      <c r="FZ53" s="345"/>
      <c r="GA53" s="345"/>
      <c r="GB53" s="345"/>
      <c r="GC53" s="345"/>
      <c r="GD53" s="345"/>
      <c r="GE53" s="345"/>
      <c r="GF53" s="345"/>
      <c r="GG53" s="345"/>
      <c r="GH53" s="345"/>
      <c r="GI53" s="345"/>
      <c r="GJ53" s="345"/>
      <c r="GK53" s="345"/>
      <c r="GL53" s="345"/>
      <c r="GM53" s="345"/>
      <c r="GN53" s="345"/>
      <c r="GO53" s="345"/>
      <c r="GP53" s="345"/>
      <c r="GQ53" s="345"/>
      <c r="GR53" s="345"/>
      <c r="GS53" s="345"/>
      <c r="GT53" s="345"/>
      <c r="GU53" s="345"/>
    </row>
    <row r="54" spans="1:203" ht="12.75" customHeight="1">
      <c r="A54" s="465">
        <f t="shared" si="31"/>
        <v>2</v>
      </c>
      <c r="B54" s="1108">
        <v>44</v>
      </c>
      <c r="C54" s="1109">
        <v>1</v>
      </c>
      <c r="D54" s="398">
        <v>254.5</v>
      </c>
      <c r="E54" s="1120"/>
      <c r="F54" s="465">
        <f t="shared" si="36"/>
        <v>2</v>
      </c>
      <c r="G54" s="1108">
        <v>44</v>
      </c>
      <c r="H54" s="1109">
        <v>0</v>
      </c>
      <c r="I54" s="398">
        <v>253.9</v>
      </c>
      <c r="J54" s="1120"/>
      <c r="K54" s="465"/>
      <c r="L54" s="465"/>
      <c r="M54" s="465">
        <f t="shared" si="23"/>
        <v>2</v>
      </c>
      <c r="N54" s="1108">
        <v>44</v>
      </c>
      <c r="O54" s="1109">
        <v>1</v>
      </c>
      <c r="P54" s="398">
        <v>259.3</v>
      </c>
      <c r="Q54" s="1120"/>
      <c r="R54" s="465">
        <f t="shared" si="24"/>
        <v>2</v>
      </c>
      <c r="S54" s="1108">
        <v>44</v>
      </c>
      <c r="T54" s="1109">
        <v>-1</v>
      </c>
      <c r="U54" s="1110">
        <v>254.2</v>
      </c>
      <c r="V54" s="1120"/>
      <c r="W54" s="371"/>
      <c r="X54" s="494">
        <f t="shared" si="0"/>
        <v>254.5</v>
      </c>
      <c r="Y54" s="495" t="str">
        <f>IF('Feuilles=description générale'!$E$13="","",IF(X54="","",IF(X54&gt;('Feuilles=description générale'!$E$11+'Feuilles=description générale'!$E$10),"",100*(X54-'Feuilles=description générale'!$E$10)/('Feuilles=description générale'!$E$11))))</f>
        <v/>
      </c>
      <c r="Z54" s="495">
        <f>IF('Feuilles=description générale'!$E$13="","",IF(X54="","",IF(X54&lt;=('Feuilles=description générale'!$E$11+'Feuilles=description générale'!$E$10),"",100*(X54-'Feuilles=description générale'!$E$11-'Feuilles=description générale'!$E$10)/('Feuilles=description générale'!$E$12))))</f>
        <v>47.499784835183753</v>
      </c>
      <c r="AA54" s="1112">
        <f>IF('Feuilles=description générale'!$E$13="","",IF(X54="","",100*(X54-'Feuilles=description générale'!$E$10)/('Feuilles=description générale'!$E$13-'Feuilles=description générale'!$E$10)))</f>
        <v>60.49222797927461</v>
      </c>
      <c r="AB54" s="497">
        <f t="shared" si="1"/>
        <v>1</v>
      </c>
      <c r="AC54" s="500" t="str">
        <f t="shared" si="32"/>
        <v/>
      </c>
      <c r="AD54" s="494" t="str">
        <f t="shared" si="2"/>
        <v/>
      </c>
      <c r="AE54" s="499">
        <f t="shared" si="3"/>
        <v>61.399999999999977</v>
      </c>
      <c r="AF54" s="371"/>
      <c r="AG54" s="494">
        <f t="shared" si="4"/>
        <v>253.9</v>
      </c>
      <c r="AH54" s="495" t="str">
        <f>IF('Feuilles=description générale'!$E$13="","",IF(AG54="","",IF(AG54&gt;('Feuilles=description générale'!$E$11+'Feuilles=description générale'!$E$10),"",100*(AG54-'Feuilles=description générale'!$E$10)/('Feuilles=description générale'!$E$11))))</f>
        <v/>
      </c>
      <c r="AI54" s="495">
        <f>IF('Feuilles=description générale'!$E$13="","",IF(AG54="","",IF(AG54&lt;=('Feuilles=description générale'!$E$11+'Feuilles=description générale'!$E$10),"",100*(AG54-'Feuilles=description générale'!$E$11-'Feuilles=description générale'!$E$10)/('Feuilles=description générale'!$E$12))))</f>
        <v>47.293226611584473</v>
      </c>
      <c r="AJ54" s="496">
        <f>IF('Feuilles=description générale'!$E$13="","",IF(AG54="","",100*(AG54-'Feuilles=description générale'!$E$10)/('Feuilles=description générale'!$E$13-'Feuilles=description générale'!$E$10)))</f>
        <v>60.336787564766837</v>
      </c>
      <c r="AK54" s="1113">
        <f t="shared" si="5"/>
        <v>2</v>
      </c>
      <c r="AL54" s="498" t="str">
        <f t="shared" si="6"/>
        <v/>
      </c>
      <c r="AM54" s="494" t="str">
        <f t="shared" si="7"/>
        <v/>
      </c>
      <c r="AN54" s="499">
        <f t="shared" si="8"/>
        <v>1.5</v>
      </c>
      <c r="AO54" s="371"/>
      <c r="AP54" s="494">
        <f t="shared" si="9"/>
        <v>259.3</v>
      </c>
      <c r="AQ54" s="495" t="str">
        <f>IF('Feuilles=description générale'!$E$13="","",IF(AP54="","",IF(AP54&gt;('Feuilles=description générale'!$E$25+'Feuilles=description générale'!$E$24),"",100*(AP54-'Feuilles=description générale'!$E$24)/('Feuilles=description générale'!$E$25))))</f>
        <v/>
      </c>
      <c r="AR54" s="495">
        <f>IF('Feuilles=description générale'!$E$27="","",IF(AP54="","",IF(AP54&lt;=('Feuilles=description générale'!$E$25+'Feuilles=description générale'!$E$24),"",100*(AP54-'Feuilles=description générale'!$E$25-'Feuilles=description générale'!$E$24)/('Feuilles=description générale'!$E$26))))</f>
        <v>45.445935280189431</v>
      </c>
      <c r="AS54" s="496">
        <f>IF('Feuilles=description générale'!$E$27="","",IF(AP54="","",100*(AP54-'Feuilles=description générale'!$E$24)/('Feuilles=description générale'!$E$27-'Feuilles=description générale'!$E$24)))</f>
        <v>57.760938645807869</v>
      </c>
      <c r="AT54" s="497">
        <f t="shared" si="10"/>
        <v>1</v>
      </c>
      <c r="AU54" s="500" t="str">
        <f t="shared" si="11"/>
        <v/>
      </c>
      <c r="AV54" s="494" t="str">
        <f t="shared" si="12"/>
        <v/>
      </c>
      <c r="AW54" s="499">
        <f t="shared" si="13"/>
        <v>1.8999999999999773</v>
      </c>
      <c r="AX54" s="371"/>
      <c r="AY54" s="494">
        <f t="shared" si="14"/>
        <v>254.2</v>
      </c>
      <c r="AZ54" s="495" t="str">
        <f>IF('Feuilles=description générale'!$E$13="","",IF(AY54="","",IF(AY54&gt;('Feuilles=description générale'!$E$25+'Feuilles=description générale'!$E$24),"",100*(AY54-'Feuilles=description générale'!$E$24)/('Feuilles=description générale'!$E$25))))</f>
        <v/>
      </c>
      <c r="BA54" s="495">
        <f>IF('Feuilles=description générale'!$E$27="","",IF(AY54="","",IF(AY54&lt;=('Feuilles=description générale'!$E$25+'Feuilles=description générale'!$E$24),"",100*(AY54-'Feuilles=description générale'!$E$25-'Feuilles=description générale'!$E$24)/('Feuilles=description générale'!$E$26))))</f>
        <v>43.835832675611684</v>
      </c>
      <c r="BB54" s="496">
        <f>IF('Feuilles=description générale'!$E$27="","",IF(AY54="","",100*(AY54-'Feuilles=description générale'!$E$24)/('Feuilles=description générale'!$E$27-'Feuilles=description générale'!$E$24)))</f>
        <v>56.514299682229279</v>
      </c>
      <c r="BC54" s="497">
        <f t="shared" si="15"/>
        <v>3</v>
      </c>
      <c r="BD54" s="500">
        <f t="shared" si="16"/>
        <v>3</v>
      </c>
      <c r="BE54" s="494">
        <f t="shared" si="17"/>
        <v>5.1000000000000227</v>
      </c>
      <c r="BF54" s="499" t="str">
        <f t="shared" si="18"/>
        <v/>
      </c>
      <c r="BG54" s="476"/>
      <c r="BH54" s="551"/>
      <c r="BI54" s="552"/>
      <c r="BJ54" s="561"/>
      <c r="BK54" s="561"/>
      <c r="BL54" s="561"/>
      <c r="BM54" s="561"/>
      <c r="BN54" s="561"/>
      <c r="BO54" s="561"/>
      <c r="BP54" s="561"/>
      <c r="BQ54" s="561"/>
      <c r="BR54" s="561"/>
      <c r="BS54" s="561"/>
      <c r="BT54" s="561"/>
      <c r="BU54" s="568"/>
      <c r="BV54" s="1114" t="str">
        <f t="shared" si="19"/>
        <v/>
      </c>
      <c r="BW54" s="1114">
        <f t="shared" si="19"/>
        <v>3769.9599999999973</v>
      </c>
      <c r="BX54" s="1114" t="str">
        <f t="shared" si="20"/>
        <v/>
      </c>
      <c r="BY54" s="1115">
        <f t="shared" si="20"/>
        <v>2.25</v>
      </c>
      <c r="BZ54" s="477"/>
      <c r="CA54" s="1114" t="str">
        <f t="shared" si="21"/>
        <v/>
      </c>
      <c r="CB54" s="1114">
        <f t="shared" si="21"/>
        <v>3.6099999999999137</v>
      </c>
      <c r="CC54" s="1114">
        <f t="shared" si="22"/>
        <v>26.010000000000232</v>
      </c>
      <c r="CD54" s="1115" t="str">
        <f t="shared" si="22"/>
        <v/>
      </c>
      <c r="CE54" s="568"/>
      <c r="CF54" s="509">
        <f>IF(SUMIF($BI$30:$BI$42,3,$BH$30:$BH$42)=0,"",SUMIF($BI$30:$BI$42,3,$BH$30:$BH$42))</f>
        <v>7</v>
      </c>
      <c r="CG54" s="510">
        <f t="shared" si="68"/>
        <v>2.7380952380952386</v>
      </c>
      <c r="CH54" s="512">
        <f t="shared" si="68"/>
        <v>1.1136699560350258</v>
      </c>
      <c r="CI54" s="510">
        <f t="shared" si="69"/>
        <v>3.0499999999999972</v>
      </c>
      <c r="CJ54" s="512">
        <f t="shared" si="69"/>
        <v>0.25000000000001421</v>
      </c>
      <c r="CK54" s="561"/>
      <c r="CL54" s="561"/>
      <c r="CM54" s="561"/>
      <c r="CN54" s="561"/>
      <c r="CO54" s="561"/>
      <c r="CP54" s="561"/>
      <c r="CQ54" s="561"/>
      <c r="CR54" s="561"/>
      <c r="CS54" s="561"/>
      <c r="CT54" s="561"/>
      <c r="CU54" s="561"/>
      <c r="CV54" s="476"/>
      <c r="CW54" s="345"/>
      <c r="CX54" s="345"/>
      <c r="CY54" s="345"/>
      <c r="CZ54" s="345"/>
      <c r="DA54" s="345"/>
      <c r="DB54" s="345"/>
      <c r="DC54" s="345"/>
      <c r="DD54" s="345"/>
      <c r="DE54" s="345"/>
      <c r="DF54" s="345"/>
      <c r="DG54" s="345"/>
      <c r="DH54" s="345"/>
      <c r="DI54" s="345"/>
      <c r="DJ54" s="345"/>
      <c r="DK54" s="345"/>
      <c r="DL54" s="345"/>
      <c r="DM54" s="345"/>
      <c r="DN54" s="345"/>
      <c r="DO54" s="345"/>
      <c r="DP54" s="345"/>
      <c r="DQ54" s="345"/>
      <c r="DR54" s="345"/>
      <c r="DS54" s="345"/>
      <c r="DT54" s="345"/>
      <c r="DU54" s="345"/>
      <c r="DV54" s="345"/>
      <c r="DW54" s="345"/>
      <c r="DX54" s="345"/>
      <c r="DY54" s="345"/>
      <c r="DZ54" s="345"/>
      <c r="EA54" s="345"/>
      <c r="EB54" s="345"/>
      <c r="EC54" s="345"/>
      <c r="ED54" s="345"/>
      <c r="EE54" s="345"/>
      <c r="EF54" s="345"/>
      <c r="EG54" s="345"/>
      <c r="EH54" s="345"/>
      <c r="EI54" s="345"/>
      <c r="EJ54" s="345"/>
      <c r="EK54" s="345"/>
      <c r="EL54" s="345"/>
      <c r="EM54" s="345"/>
      <c r="EN54" s="345"/>
      <c r="EO54" s="345"/>
      <c r="EP54" s="345"/>
      <c r="EQ54" s="345"/>
      <c r="ER54" s="345"/>
      <c r="ES54" s="345"/>
      <c r="ET54" s="345"/>
      <c r="EU54" s="345"/>
      <c r="EV54" s="345"/>
      <c r="EW54" s="345"/>
      <c r="EX54" s="345"/>
      <c r="EY54" s="345"/>
      <c r="EZ54" s="345"/>
      <c r="FA54" s="345"/>
      <c r="FB54" s="345"/>
      <c r="FC54" s="345"/>
      <c r="FD54" s="345"/>
      <c r="FE54" s="345"/>
      <c r="FF54" s="345"/>
      <c r="FG54" s="345"/>
      <c r="FH54" s="345"/>
      <c r="FI54" s="345"/>
      <c r="FJ54" s="345"/>
      <c r="FK54" s="345"/>
      <c r="FL54" s="345"/>
      <c r="FM54" s="345"/>
      <c r="FN54" s="345"/>
      <c r="FO54" s="345"/>
      <c r="FP54" s="345"/>
      <c r="FQ54" s="345"/>
      <c r="FR54" s="345"/>
      <c r="FS54" s="345"/>
      <c r="FT54" s="345"/>
      <c r="FU54" s="345"/>
      <c r="FV54" s="345"/>
      <c r="FW54" s="345"/>
      <c r="FX54" s="345"/>
      <c r="FY54" s="345"/>
      <c r="FZ54" s="345"/>
      <c r="GA54" s="345"/>
      <c r="GB54" s="345"/>
      <c r="GC54" s="345"/>
      <c r="GD54" s="345"/>
      <c r="GE54" s="345"/>
      <c r="GF54" s="345"/>
      <c r="GG54" s="345"/>
      <c r="GH54" s="345"/>
      <c r="GI54" s="345"/>
      <c r="GJ54" s="345"/>
      <c r="GK54" s="345"/>
      <c r="GL54" s="345"/>
      <c r="GM54" s="345"/>
      <c r="GN54" s="345"/>
      <c r="GO54" s="345"/>
      <c r="GP54" s="345"/>
      <c r="GQ54" s="345"/>
      <c r="GR54" s="345"/>
      <c r="GS54" s="345"/>
      <c r="GT54" s="345"/>
      <c r="GU54" s="345"/>
    </row>
    <row r="55" spans="1:203" ht="12.75" customHeight="1">
      <c r="A55" s="465">
        <f t="shared" si="31"/>
        <v>2</v>
      </c>
      <c r="B55" s="1108">
        <v>45</v>
      </c>
      <c r="C55" s="1109">
        <v>-1</v>
      </c>
      <c r="D55" s="398">
        <v>315.89999999999998</v>
      </c>
      <c r="E55" s="1120"/>
      <c r="F55" s="465">
        <f t="shared" si="36"/>
        <v>2</v>
      </c>
      <c r="G55" s="1108">
        <v>45</v>
      </c>
      <c r="H55" s="1109">
        <v>-1</v>
      </c>
      <c r="I55" s="398">
        <v>255.4</v>
      </c>
      <c r="J55" s="1120"/>
      <c r="K55" s="465"/>
      <c r="L55" s="465"/>
      <c r="M55" s="465">
        <f t="shared" si="23"/>
        <v>2</v>
      </c>
      <c r="N55" s="1108">
        <v>45</v>
      </c>
      <c r="O55" s="1109">
        <v>0</v>
      </c>
      <c r="P55" s="398">
        <v>261.2</v>
      </c>
      <c r="Q55" s="1120"/>
      <c r="R55" s="465">
        <f t="shared" si="24"/>
        <v>2</v>
      </c>
      <c r="S55" s="1108">
        <v>45</v>
      </c>
      <c r="T55" s="1109">
        <v>1</v>
      </c>
      <c r="U55" s="1110">
        <v>259.3</v>
      </c>
      <c r="V55" s="1120"/>
      <c r="W55" s="371"/>
      <c r="X55" s="494">
        <f t="shared" si="0"/>
        <v>315.89999999999998</v>
      </c>
      <c r="Y55" s="495" t="str">
        <f>IF('Feuilles=description générale'!$E$13="","",IF(X55="","",IF(X55&gt;('Feuilles=description générale'!$E$11+'Feuilles=description générale'!$E$10),"",100*(X55-'Feuilles=description générale'!$E$10)/('Feuilles=description générale'!$E$11))))</f>
        <v/>
      </c>
      <c r="Z55" s="495">
        <f>IF('Feuilles=description générale'!$E$13="","",IF(X55="","",IF(X55&lt;=('Feuilles=description générale'!$E$11+'Feuilles=description générale'!$E$10),"",100*(X55-'Feuilles=description générale'!$E$11-'Feuilles=description générale'!$E$10)/('Feuilles=description générale'!$E$12))))</f>
        <v>68.637576383509767</v>
      </c>
      <c r="AA55" s="1112">
        <f>IF('Feuilles=description générale'!$E$13="","",IF(X55="","",100*(X55-'Feuilles=description générale'!$E$10)/('Feuilles=description générale'!$E$13-'Feuilles=description générale'!$E$10)))</f>
        <v>76.398963730569932</v>
      </c>
      <c r="AB55" s="497">
        <f t="shared" si="1"/>
        <v>2</v>
      </c>
      <c r="AC55" s="500">
        <f t="shared" si="32"/>
        <v>2</v>
      </c>
      <c r="AD55" s="494">
        <f t="shared" si="2"/>
        <v>-55.899999999999977</v>
      </c>
      <c r="AE55" s="499" t="str">
        <f t="shared" si="3"/>
        <v/>
      </c>
      <c r="AF55" s="371"/>
      <c r="AG55" s="494">
        <f t="shared" si="4"/>
        <v>255.4</v>
      </c>
      <c r="AH55" s="495" t="str">
        <f>IF('Feuilles=description générale'!$E$13="","",IF(AG55="","",IF(AG55&gt;('Feuilles=description générale'!$E$11+'Feuilles=description générale'!$E$10),"",100*(AG55-'Feuilles=description générale'!$E$10)/('Feuilles=description générale'!$E$11))))</f>
        <v/>
      </c>
      <c r="AI55" s="495">
        <f>IF('Feuilles=description générale'!$E$13="","",IF(AG55="","",IF(AG55&lt;=('Feuilles=description générale'!$E$11+'Feuilles=description générale'!$E$10),"",100*(AG55-'Feuilles=description générale'!$E$11-'Feuilles=description générale'!$E$10)/('Feuilles=description générale'!$E$12))))</f>
        <v>47.809622170582664</v>
      </c>
      <c r="AJ55" s="496">
        <f>IF('Feuilles=description générale'!$E$13="","",IF(AG55="","",100*(AG55-'Feuilles=description générale'!$E$10)/('Feuilles=description générale'!$E$13-'Feuilles=description générale'!$E$10)))</f>
        <v>60.725388601036272</v>
      </c>
      <c r="AK55" s="1113">
        <f t="shared" si="5"/>
        <v>3</v>
      </c>
      <c r="AL55" s="498">
        <f t="shared" si="6"/>
        <v>3</v>
      </c>
      <c r="AM55" s="494">
        <f t="shared" si="7"/>
        <v>4.7999999999999829</v>
      </c>
      <c r="AN55" s="499" t="str">
        <f t="shared" si="8"/>
        <v/>
      </c>
      <c r="AO55" s="371"/>
      <c r="AP55" s="494">
        <f t="shared" si="9"/>
        <v>261.2</v>
      </c>
      <c r="AQ55" s="495" t="str">
        <f>IF('Feuilles=description générale'!$E$13="","",IF(AP55="","",IF(AP55&gt;('Feuilles=description générale'!$E$25+'Feuilles=description générale'!$E$24),"",100*(AP55-'Feuilles=description générale'!$E$24)/('Feuilles=description générale'!$E$25))))</f>
        <v/>
      </c>
      <c r="AR55" s="495">
        <f>IF('Feuilles=description générale'!$E$27="","",IF(AP55="","",IF(AP55&lt;=('Feuilles=description générale'!$E$25+'Feuilles=description générale'!$E$24),"",100*(AP55-'Feuilles=description générale'!$E$25-'Feuilles=description générale'!$E$24)/('Feuilles=description générale'!$E$26))))</f>
        <v>46.045777426992899</v>
      </c>
      <c r="AS55" s="496">
        <f>IF('Feuilles=description générale'!$E$27="","",IF(AP55="","",100*(AP55-'Feuilles=description générale'!$E$24)/('Feuilles=description générale'!$E$27-'Feuilles=description générale'!$E$24)))</f>
        <v>58.225372769494008</v>
      </c>
      <c r="AT55" s="497">
        <f t="shared" si="10"/>
        <v>2</v>
      </c>
      <c r="AU55" s="500" t="str">
        <f t="shared" si="11"/>
        <v/>
      </c>
      <c r="AV55" s="494" t="str">
        <f t="shared" si="12"/>
        <v/>
      </c>
      <c r="AW55" s="499">
        <f t="shared" si="13"/>
        <v>1.8000000000000114</v>
      </c>
      <c r="AX55" s="371"/>
      <c r="AY55" s="494">
        <f t="shared" si="14"/>
        <v>259.3</v>
      </c>
      <c r="AZ55" s="495" t="str">
        <f>IF('Feuilles=description générale'!$E$13="","",IF(AY55="","",IF(AY55&gt;('Feuilles=description générale'!$E$25+'Feuilles=description générale'!$E$24),"",100*(AY55-'Feuilles=description générale'!$E$24)/('Feuilles=description générale'!$E$25))))</f>
        <v/>
      </c>
      <c r="BA55" s="495">
        <f>IF('Feuilles=description générale'!$E$27="","",IF(AY55="","",IF(AY55&lt;=('Feuilles=description générale'!$E$25+'Feuilles=description générale'!$E$24),"",100*(AY55-'Feuilles=description générale'!$E$25-'Feuilles=description générale'!$E$24)/('Feuilles=description générale'!$E$26))))</f>
        <v>45.445935280189431</v>
      </c>
      <c r="BB55" s="496">
        <f>IF('Feuilles=description générale'!$E$27="","",IF(AY55="","",100*(AY55-'Feuilles=description générale'!$E$24)/('Feuilles=description générale'!$E$27-'Feuilles=description générale'!$E$24)))</f>
        <v>57.760938645807869</v>
      </c>
      <c r="BC55" s="497">
        <f t="shared" si="15"/>
        <v>1</v>
      </c>
      <c r="BD55" s="500" t="str">
        <f t="shared" si="16"/>
        <v/>
      </c>
      <c r="BE55" s="494" t="str">
        <f t="shared" si="17"/>
        <v/>
      </c>
      <c r="BF55" s="499">
        <f t="shared" si="18"/>
        <v>3.6999999999999886</v>
      </c>
      <c r="BG55" s="476"/>
      <c r="BH55" s="551"/>
      <c r="BI55" s="552"/>
      <c r="BJ55" s="562"/>
      <c r="BK55" s="562"/>
      <c r="BL55" s="562"/>
      <c r="BM55" s="562"/>
      <c r="BN55" s="562"/>
      <c r="BO55" s="562"/>
      <c r="BP55" s="562"/>
      <c r="BQ55" s="562"/>
      <c r="BR55" s="562"/>
      <c r="BS55" s="562"/>
      <c r="BT55" s="562"/>
      <c r="BU55" s="568"/>
      <c r="BV55" s="1114">
        <f t="shared" si="19"/>
        <v>3124.8099999999977</v>
      </c>
      <c r="BW55" s="1114" t="str">
        <f t="shared" si="19"/>
        <v/>
      </c>
      <c r="BX55" s="1114">
        <f t="shared" si="20"/>
        <v>23.039999999999836</v>
      </c>
      <c r="BY55" s="1115" t="str">
        <f t="shared" si="20"/>
        <v/>
      </c>
      <c r="BZ55" s="477"/>
      <c r="CA55" s="1114" t="str">
        <f t="shared" si="21"/>
        <v/>
      </c>
      <c r="CB55" s="1114">
        <f t="shared" si="21"/>
        <v>3.2400000000000411</v>
      </c>
      <c r="CC55" s="1114" t="str">
        <f t="shared" si="22"/>
        <v/>
      </c>
      <c r="CD55" s="1115">
        <f t="shared" si="22"/>
        <v>13.689999999999916</v>
      </c>
      <c r="CE55" s="568"/>
      <c r="CF55" s="509">
        <f>IF(SUMIF($BI$30:$BI$42,4,$BH$30:$BH$42)=0,"",SUMIF($BI$30:$BI$42,4,$BH$30:$BH$42))</f>
        <v>11.5</v>
      </c>
      <c r="CG55" s="510">
        <f t="shared" si="68"/>
        <v>14.840000000000003</v>
      </c>
      <c r="CH55" s="512">
        <f t="shared" si="68"/>
        <v>1.7045820602129951</v>
      </c>
      <c r="CI55" s="510">
        <f t="shared" si="69"/>
        <v>2.6499999999999986</v>
      </c>
      <c r="CJ55" s="512">
        <f t="shared" si="69"/>
        <v>0.85391256382996805</v>
      </c>
      <c r="CK55" s="562"/>
      <c r="CL55" s="562"/>
      <c r="CM55" s="562"/>
      <c r="CN55" s="562"/>
      <c r="CO55" s="562"/>
      <c r="CP55" s="562"/>
      <c r="CQ55" s="562"/>
      <c r="CR55" s="562"/>
      <c r="CS55" s="562"/>
      <c r="CT55" s="562"/>
      <c r="CU55" s="562"/>
      <c r="CV55" s="476"/>
      <c r="CW55" s="345"/>
      <c r="CX55" s="345"/>
      <c r="CY55" s="345"/>
      <c r="CZ55" s="345"/>
      <c r="DA55" s="345"/>
      <c r="DB55" s="345"/>
      <c r="DC55" s="345"/>
      <c r="DD55" s="345"/>
      <c r="DE55" s="345"/>
      <c r="DF55" s="345"/>
      <c r="DG55" s="345"/>
      <c r="DH55" s="345"/>
      <c r="DI55" s="345"/>
      <c r="DJ55" s="345"/>
      <c r="DK55" s="345"/>
      <c r="DL55" s="345"/>
      <c r="DM55" s="345"/>
      <c r="DN55" s="345"/>
      <c r="DO55" s="345"/>
      <c r="DP55" s="345"/>
      <c r="DQ55" s="345"/>
      <c r="DR55" s="345"/>
      <c r="DS55" s="345"/>
      <c r="DT55" s="345"/>
      <c r="DU55" s="345"/>
      <c r="DV55" s="345"/>
      <c r="DW55" s="345"/>
      <c r="DX55" s="345"/>
      <c r="DY55" s="345"/>
      <c r="DZ55" s="345"/>
      <c r="EA55" s="345"/>
      <c r="EB55" s="345"/>
      <c r="EC55" s="345"/>
      <c r="ED55" s="345"/>
      <c r="EE55" s="345"/>
      <c r="EF55" s="345"/>
      <c r="EG55" s="345"/>
      <c r="EH55" s="345"/>
      <c r="EI55" s="345"/>
      <c r="EJ55" s="345"/>
      <c r="EK55" s="345"/>
      <c r="EL55" s="345"/>
      <c r="EM55" s="345"/>
      <c r="EN55" s="345"/>
      <c r="EO55" s="345"/>
      <c r="EP55" s="345"/>
      <c r="EQ55" s="345"/>
      <c r="ER55" s="345"/>
      <c r="ES55" s="345"/>
      <c r="ET55" s="345"/>
      <c r="EU55" s="345"/>
      <c r="EV55" s="345"/>
      <c r="EW55" s="345"/>
      <c r="EX55" s="345"/>
      <c r="EY55" s="345"/>
      <c r="EZ55" s="345"/>
      <c r="FA55" s="345"/>
      <c r="FB55" s="345"/>
      <c r="FC55" s="345"/>
      <c r="FD55" s="345"/>
      <c r="FE55" s="345"/>
      <c r="FF55" s="345"/>
      <c r="FG55" s="345"/>
      <c r="FH55" s="345"/>
      <c r="FI55" s="345"/>
      <c r="FJ55" s="345"/>
      <c r="FK55" s="345"/>
      <c r="FL55" s="345"/>
      <c r="FM55" s="345"/>
      <c r="FN55" s="345"/>
      <c r="FO55" s="345"/>
      <c r="FP55" s="345"/>
      <c r="FQ55" s="345"/>
      <c r="FR55" s="345"/>
      <c r="FS55" s="345"/>
      <c r="FT55" s="345"/>
      <c r="FU55" s="345"/>
      <c r="FV55" s="345"/>
      <c r="FW55" s="345"/>
      <c r="FX55" s="345"/>
      <c r="FY55" s="345"/>
      <c r="FZ55" s="345"/>
      <c r="GA55" s="345"/>
      <c r="GB55" s="345"/>
      <c r="GC55" s="345"/>
      <c r="GD55" s="345"/>
      <c r="GE55" s="345"/>
      <c r="GF55" s="345"/>
      <c r="GG55" s="345"/>
      <c r="GH55" s="345"/>
      <c r="GI55" s="345"/>
      <c r="GJ55" s="345"/>
      <c r="GK55" s="345"/>
      <c r="GL55" s="345"/>
      <c r="GM55" s="345"/>
      <c r="GN55" s="345"/>
      <c r="GO55" s="345"/>
      <c r="GP55" s="345"/>
      <c r="GQ55" s="345"/>
      <c r="GR55" s="345"/>
      <c r="GS55" s="345"/>
      <c r="GT55" s="345"/>
      <c r="GU55" s="345"/>
    </row>
    <row r="56" spans="1:203" ht="12.75" customHeight="1">
      <c r="A56" s="465">
        <f t="shared" si="31"/>
        <v>2</v>
      </c>
      <c r="B56" s="1108">
        <v>46</v>
      </c>
      <c r="C56" s="1109">
        <v>1</v>
      </c>
      <c r="D56" s="398">
        <v>260</v>
      </c>
      <c r="E56" s="1120"/>
      <c r="F56" s="465">
        <f t="shared" si="36"/>
        <v>2</v>
      </c>
      <c r="G56" s="1108">
        <v>46</v>
      </c>
      <c r="H56" s="1109">
        <v>1</v>
      </c>
      <c r="I56" s="398">
        <v>260.2</v>
      </c>
      <c r="J56" s="1120"/>
      <c r="K56" s="465"/>
      <c r="L56" s="465"/>
      <c r="M56" s="465">
        <f t="shared" si="23"/>
        <v>2</v>
      </c>
      <c r="N56" s="1108">
        <v>46</v>
      </c>
      <c r="O56" s="1109">
        <v>-1</v>
      </c>
      <c r="P56" s="398">
        <v>263</v>
      </c>
      <c r="Q56" s="1120"/>
      <c r="R56" s="465">
        <f t="shared" si="24"/>
        <v>2</v>
      </c>
      <c r="S56" s="1108">
        <v>46</v>
      </c>
      <c r="T56" s="1109">
        <v>0</v>
      </c>
      <c r="U56" s="1110">
        <v>263</v>
      </c>
      <c r="V56" s="1120"/>
      <c r="W56" s="371"/>
      <c r="X56" s="494">
        <f t="shared" si="0"/>
        <v>260</v>
      </c>
      <c r="Y56" s="495" t="str">
        <f>IF('Feuilles=description générale'!$E$13="","",IF(X56="","",IF(X56&gt;('Feuilles=description générale'!$E$11+'Feuilles=description générale'!$E$10),"",100*(X56-'Feuilles=description générale'!$E$10)/('Feuilles=description générale'!$E$11))))</f>
        <v/>
      </c>
      <c r="Z56" s="495">
        <f>IF('Feuilles=description générale'!$E$13="","",IF(X56="","",IF(X56&lt;=('Feuilles=description générale'!$E$11+'Feuilles=description générale'!$E$10),"",100*(X56-'Feuilles=description générale'!$E$11-'Feuilles=description générale'!$E$10)/('Feuilles=description générale'!$E$12))))</f>
        <v>49.393235218177125</v>
      </c>
      <c r="AA56" s="1112">
        <f>IF('Feuilles=description générale'!$E$13="","",IF(X56="","",100*(X56-'Feuilles=description générale'!$E$10)/('Feuilles=description générale'!$E$13-'Feuilles=description générale'!$E$10)))</f>
        <v>61.917098445595855</v>
      </c>
      <c r="AB56" s="497">
        <f t="shared" si="1"/>
        <v>1</v>
      </c>
      <c r="AC56" s="500" t="str">
        <f t="shared" si="32"/>
        <v/>
      </c>
      <c r="AD56" s="494" t="str">
        <f t="shared" si="2"/>
        <v/>
      </c>
      <c r="AE56" s="499">
        <f t="shared" si="3"/>
        <v>1.3000000000000114</v>
      </c>
      <c r="AF56" s="371"/>
      <c r="AG56" s="494">
        <f t="shared" si="4"/>
        <v>260.2</v>
      </c>
      <c r="AH56" s="495" t="str">
        <f>IF('Feuilles=description générale'!$E$13="","",IF(AG56="","",IF(AG56&gt;('Feuilles=description générale'!$E$11+'Feuilles=description générale'!$E$10),"",100*(AG56-'Feuilles=description générale'!$E$10)/('Feuilles=description générale'!$E$11))))</f>
        <v/>
      </c>
      <c r="AI56" s="495">
        <f>IF('Feuilles=description générale'!$E$13="","",IF(AG56="","",IF(AG56&lt;=('Feuilles=description générale'!$E$11+'Feuilles=description générale'!$E$10),"",100*(AG56-'Feuilles=description générale'!$E$11-'Feuilles=description générale'!$E$10)/('Feuilles=description générale'!$E$12))))</f>
        <v>49.462087959376888</v>
      </c>
      <c r="AJ56" s="496">
        <f>IF('Feuilles=description générale'!$E$13="","",IF(AG56="","",100*(AG56-'Feuilles=description générale'!$E$10)/('Feuilles=description générale'!$E$13-'Feuilles=description générale'!$E$10)))</f>
        <v>61.968911917098445</v>
      </c>
      <c r="AK56" s="1113">
        <f t="shared" si="5"/>
        <v>1</v>
      </c>
      <c r="AL56" s="498" t="str">
        <f t="shared" si="6"/>
        <v/>
      </c>
      <c r="AM56" s="494" t="str">
        <f t="shared" si="7"/>
        <v/>
      </c>
      <c r="AN56" s="499">
        <f t="shared" si="8"/>
        <v>0.85000000000002274</v>
      </c>
      <c r="AO56" s="371"/>
      <c r="AP56" s="494">
        <f t="shared" si="9"/>
        <v>263</v>
      </c>
      <c r="AQ56" s="495" t="str">
        <f>IF('Feuilles=description générale'!$E$13="","",IF(AP56="","",IF(AP56&gt;('Feuilles=description générale'!$E$25+'Feuilles=description générale'!$E$24),"",100*(AP56-'Feuilles=description générale'!$E$24)/('Feuilles=description générale'!$E$25))))</f>
        <v/>
      </c>
      <c r="AR56" s="495">
        <f>IF('Feuilles=description générale'!$E$27="","",IF(AP56="","",IF(AP56&lt;=('Feuilles=description générale'!$E$25+'Feuilles=description générale'!$E$24),"",100*(AP56-'Feuilles=description générale'!$E$25-'Feuilles=description générale'!$E$24)/('Feuilles=description générale'!$E$26))))</f>
        <v>46.614048934490924</v>
      </c>
      <c r="AS56" s="496">
        <f>IF('Feuilles=description générale'!$E$27="","",IF(AP56="","",100*(AP56-'Feuilles=description générale'!$E$24)/('Feuilles=description générale'!$E$27-'Feuilles=description générale'!$E$24)))</f>
        <v>58.665362991933506</v>
      </c>
      <c r="AT56" s="497">
        <f t="shared" si="10"/>
        <v>3</v>
      </c>
      <c r="AU56" s="500">
        <f t="shared" si="11"/>
        <v>3</v>
      </c>
      <c r="AV56" s="494">
        <f t="shared" si="12"/>
        <v>5.1000000000000227</v>
      </c>
      <c r="AW56" s="499" t="str">
        <f t="shared" si="13"/>
        <v/>
      </c>
      <c r="AX56" s="371"/>
      <c r="AY56" s="494">
        <f t="shared" si="14"/>
        <v>263</v>
      </c>
      <c r="AZ56" s="495" t="str">
        <f>IF('Feuilles=description générale'!$E$13="","",IF(AY56="","",IF(AY56&gt;('Feuilles=description générale'!$E$25+'Feuilles=description générale'!$E$24),"",100*(AY56-'Feuilles=description générale'!$E$24)/('Feuilles=description générale'!$E$25))))</f>
        <v/>
      </c>
      <c r="BA56" s="495">
        <f>IF('Feuilles=description générale'!$E$27="","",IF(AY56="","",IF(AY56&lt;=('Feuilles=description générale'!$E$25+'Feuilles=description générale'!$E$24),"",100*(AY56-'Feuilles=description générale'!$E$25-'Feuilles=description générale'!$E$24)/('Feuilles=description générale'!$E$26))))</f>
        <v>46.614048934490924</v>
      </c>
      <c r="BB56" s="496">
        <f>IF('Feuilles=description générale'!$E$27="","",IF(AY56="","",100*(AY56-'Feuilles=description générale'!$E$24)/('Feuilles=description générale'!$E$27-'Feuilles=description générale'!$E$24)))</f>
        <v>58.665362991933506</v>
      </c>
      <c r="BC56" s="497">
        <f t="shared" si="15"/>
        <v>2</v>
      </c>
      <c r="BD56" s="500" t="str">
        <f t="shared" si="16"/>
        <v/>
      </c>
      <c r="BE56" s="494" t="str">
        <f t="shared" si="17"/>
        <v/>
      </c>
      <c r="BF56" s="499">
        <f t="shared" si="18"/>
        <v>1.5</v>
      </c>
      <c r="BG56" s="476"/>
      <c r="BH56" s="551"/>
      <c r="BI56" s="552"/>
      <c r="BJ56" s="562"/>
      <c r="BK56" s="562"/>
      <c r="BL56" s="562"/>
      <c r="BM56" s="562"/>
      <c r="BN56" s="562"/>
      <c r="BO56" s="562"/>
      <c r="BP56" s="562"/>
      <c r="BQ56" s="562"/>
      <c r="BR56" s="562"/>
      <c r="BS56" s="562"/>
      <c r="BT56" s="562"/>
      <c r="BU56" s="568"/>
      <c r="BV56" s="1114" t="str">
        <f t="shared" si="19"/>
        <v/>
      </c>
      <c r="BW56" s="1114">
        <f t="shared" si="19"/>
        <v>1.6900000000000295</v>
      </c>
      <c r="BX56" s="1114" t="str">
        <f t="shared" si="20"/>
        <v/>
      </c>
      <c r="BY56" s="1115">
        <f t="shared" si="20"/>
        <v>0.72250000000003867</v>
      </c>
      <c r="BZ56" s="477"/>
      <c r="CA56" s="1114">
        <f t="shared" si="21"/>
        <v>26.010000000000232</v>
      </c>
      <c r="CB56" s="1114" t="str">
        <f t="shared" si="21"/>
        <v/>
      </c>
      <c r="CC56" s="1114" t="str">
        <f t="shared" si="22"/>
        <v/>
      </c>
      <c r="CD56" s="1115">
        <f t="shared" si="22"/>
        <v>2.25</v>
      </c>
      <c r="CE56" s="568"/>
      <c r="CF56" s="509">
        <f>IF(SUMIF($BI$30:$BI$42,5,$BH$30:$BH$42)=0,"",SUMIF($BI$30:$BI$42,5,$BH$30:$BH$42))</f>
        <v>17</v>
      </c>
      <c r="CG56" s="510">
        <f t="shared" si="68"/>
        <v>16.716666666666669</v>
      </c>
      <c r="CH56" s="512">
        <f t="shared" si="68"/>
        <v>1.1688788550477587</v>
      </c>
      <c r="CI56" s="510">
        <f t="shared" si="69"/>
        <v>1.7</v>
      </c>
      <c r="CJ56" s="512">
        <f t="shared" si="69"/>
        <v>0.11401754250991677</v>
      </c>
      <c r="CK56" s="562"/>
      <c r="CL56" s="562"/>
      <c r="CM56" s="562"/>
      <c r="CN56" s="562"/>
      <c r="CO56" s="562"/>
      <c r="CP56" s="562"/>
      <c r="CQ56" s="562"/>
      <c r="CR56" s="562"/>
      <c r="CS56" s="562"/>
      <c r="CT56" s="562"/>
      <c r="CU56" s="562"/>
      <c r="CV56" s="476"/>
      <c r="CW56" s="345"/>
      <c r="CX56" s="345"/>
      <c r="CY56" s="345"/>
      <c r="CZ56" s="345"/>
      <c r="DA56" s="345"/>
      <c r="DB56" s="345"/>
      <c r="DC56" s="345"/>
      <c r="DD56" s="345"/>
      <c r="DE56" s="345"/>
      <c r="DF56" s="345"/>
      <c r="DG56" s="345"/>
      <c r="DH56" s="345"/>
      <c r="DI56" s="345"/>
      <c r="DJ56" s="345"/>
      <c r="DK56" s="345"/>
      <c r="DL56" s="345"/>
      <c r="DM56" s="345"/>
      <c r="DN56" s="345"/>
      <c r="DO56" s="345"/>
      <c r="DP56" s="345"/>
      <c r="DQ56" s="345"/>
      <c r="DR56" s="345"/>
      <c r="DS56" s="345"/>
      <c r="DT56" s="345"/>
      <c r="DU56" s="345"/>
      <c r="DV56" s="345"/>
      <c r="DW56" s="345"/>
      <c r="DX56" s="345"/>
      <c r="DY56" s="345"/>
      <c r="DZ56" s="345"/>
      <c r="EA56" s="345"/>
      <c r="EB56" s="345"/>
      <c r="EC56" s="345"/>
      <c r="ED56" s="345"/>
      <c r="EE56" s="345"/>
      <c r="EF56" s="345"/>
      <c r="EG56" s="345"/>
      <c r="EH56" s="345"/>
      <c r="EI56" s="345"/>
      <c r="EJ56" s="345"/>
      <c r="EK56" s="345"/>
      <c r="EL56" s="345"/>
      <c r="EM56" s="345"/>
      <c r="EN56" s="345"/>
      <c r="EO56" s="345"/>
      <c r="EP56" s="345"/>
      <c r="EQ56" s="345"/>
      <c r="ER56" s="345"/>
      <c r="ES56" s="345"/>
      <c r="ET56" s="345"/>
      <c r="EU56" s="345"/>
      <c r="EV56" s="345"/>
      <c r="EW56" s="345"/>
      <c r="EX56" s="345"/>
      <c r="EY56" s="345"/>
      <c r="EZ56" s="345"/>
      <c r="FA56" s="345"/>
      <c r="FB56" s="345"/>
      <c r="FC56" s="345"/>
      <c r="FD56" s="345"/>
      <c r="FE56" s="345"/>
      <c r="FF56" s="345"/>
      <c r="FG56" s="345"/>
      <c r="FH56" s="345"/>
      <c r="FI56" s="345"/>
      <c r="FJ56" s="345"/>
      <c r="FK56" s="345"/>
      <c r="FL56" s="345"/>
      <c r="FM56" s="345"/>
      <c r="FN56" s="345"/>
      <c r="FO56" s="345"/>
      <c r="FP56" s="345"/>
      <c r="FQ56" s="345"/>
      <c r="FR56" s="345"/>
      <c r="FS56" s="345"/>
      <c r="FT56" s="345"/>
      <c r="FU56" s="345"/>
      <c r="FV56" s="345"/>
      <c r="FW56" s="345"/>
      <c r="FX56" s="345"/>
      <c r="FY56" s="345"/>
      <c r="FZ56" s="345"/>
      <c r="GA56" s="345"/>
      <c r="GB56" s="345"/>
      <c r="GC56" s="345"/>
      <c r="GD56" s="345"/>
      <c r="GE56" s="345"/>
      <c r="GF56" s="345"/>
      <c r="GG56" s="345"/>
      <c r="GH56" s="345"/>
      <c r="GI56" s="345"/>
      <c r="GJ56" s="345"/>
      <c r="GK56" s="345"/>
      <c r="GL56" s="345"/>
      <c r="GM56" s="345"/>
      <c r="GN56" s="345"/>
      <c r="GO56" s="345"/>
      <c r="GP56" s="345"/>
      <c r="GQ56" s="345"/>
      <c r="GR56" s="345"/>
      <c r="GS56" s="345"/>
      <c r="GT56" s="345"/>
      <c r="GU56" s="345"/>
    </row>
    <row r="57" spans="1:203" ht="12.75" customHeight="1">
      <c r="A57" s="465">
        <f t="shared" si="31"/>
        <v>2</v>
      </c>
      <c r="B57" s="1108">
        <v>47</v>
      </c>
      <c r="C57" s="1109">
        <v>-1</v>
      </c>
      <c r="D57" s="398">
        <v>261.3</v>
      </c>
      <c r="E57" s="1120"/>
      <c r="F57" s="465">
        <f t="shared" si="36"/>
        <v>2</v>
      </c>
      <c r="G57" s="1108">
        <v>47</v>
      </c>
      <c r="H57" s="1109">
        <v>-1</v>
      </c>
      <c r="I57" s="398">
        <v>261.05</v>
      </c>
      <c r="J57" s="1120"/>
      <c r="K57" s="465"/>
      <c r="L57" s="465"/>
      <c r="M57" s="465">
        <f t="shared" si="23"/>
        <v>2</v>
      </c>
      <c r="N57" s="1108">
        <v>47</v>
      </c>
      <c r="O57" s="1109">
        <v>1</v>
      </c>
      <c r="P57" s="398">
        <v>268.10000000000002</v>
      </c>
      <c r="Q57" s="1120"/>
      <c r="R57" s="465">
        <f t="shared" si="24"/>
        <v>2</v>
      </c>
      <c r="S57" s="1108">
        <v>47</v>
      </c>
      <c r="T57" s="1109">
        <v>-1</v>
      </c>
      <c r="U57" s="1110">
        <v>264.5</v>
      </c>
      <c r="V57" s="1120"/>
      <c r="W57" s="371"/>
      <c r="X57" s="494">
        <f t="shared" si="0"/>
        <v>261.3</v>
      </c>
      <c r="Y57" s="495" t="str">
        <f>IF('Feuilles=description générale'!$E$13="","",IF(X57="","",IF(X57&gt;('Feuilles=description générale'!$E$11+'Feuilles=description générale'!$E$10),"",100*(X57-'Feuilles=description générale'!$E$10)/('Feuilles=description générale'!$E$11))))</f>
        <v/>
      </c>
      <c r="Z57" s="495">
        <f>IF('Feuilles=description générale'!$E$13="","",IF(X57="","",IF(X57&lt;=('Feuilles=description générale'!$E$11+'Feuilles=description générale'!$E$10),"",100*(X57-'Feuilles=description générale'!$E$11-'Feuilles=description générale'!$E$10)/('Feuilles=description générale'!$E$12))))</f>
        <v>49.840778035975568</v>
      </c>
      <c r="AA57" s="1112">
        <f>IF('Feuilles=description générale'!$E$13="","",IF(X57="","",100*(X57-'Feuilles=description générale'!$E$10)/('Feuilles=description générale'!$E$13-'Feuilles=description générale'!$E$10)))</f>
        <v>62.253886010362692</v>
      </c>
      <c r="AB57" s="497">
        <f t="shared" si="1"/>
        <v>2</v>
      </c>
      <c r="AC57" s="500">
        <f t="shared" si="32"/>
        <v>2</v>
      </c>
      <c r="AD57" s="494">
        <f t="shared" si="2"/>
        <v>6.0999999999999659</v>
      </c>
      <c r="AE57" s="499" t="str">
        <f t="shared" si="3"/>
        <v/>
      </c>
      <c r="AF57" s="371"/>
      <c r="AG57" s="494">
        <f t="shared" si="4"/>
        <v>261.05</v>
      </c>
      <c r="AH57" s="495" t="str">
        <f>IF('Feuilles=description générale'!$E$13="","",IF(AG57="","",IF(AG57&gt;('Feuilles=description générale'!$E$11+'Feuilles=description générale'!$E$10),"",100*(AG57-'Feuilles=description générale'!$E$10)/('Feuilles=description générale'!$E$11))))</f>
        <v/>
      </c>
      <c r="AI57" s="495">
        <f>IF('Feuilles=description générale'!$E$13="","",IF(AG57="","",IF(AG57&lt;=('Feuilles=description générale'!$E$11+'Feuilles=description générale'!$E$10),"",100*(AG57-'Feuilles=description générale'!$E$11-'Feuilles=description générale'!$E$10)/('Feuilles=description générale'!$E$12))))</f>
        <v>49.754712109475868</v>
      </c>
      <c r="AJ57" s="496">
        <f>IF('Feuilles=description générale'!$E$13="","",IF(AG57="","",100*(AG57-'Feuilles=description générale'!$E$10)/('Feuilles=description générale'!$E$13-'Feuilles=description générale'!$E$10)))</f>
        <v>62.189119170984455</v>
      </c>
      <c r="AK57" s="1113">
        <f t="shared" si="5"/>
        <v>2</v>
      </c>
      <c r="AL57" s="498">
        <f t="shared" si="6"/>
        <v>2</v>
      </c>
      <c r="AM57" s="494">
        <f t="shared" si="7"/>
        <v>3.9499999999999886</v>
      </c>
      <c r="AN57" s="499" t="str">
        <f t="shared" si="8"/>
        <v/>
      </c>
      <c r="AO57" s="371"/>
      <c r="AP57" s="494">
        <f t="shared" si="9"/>
        <v>268.10000000000002</v>
      </c>
      <c r="AQ57" s="495" t="str">
        <f>IF('Feuilles=description générale'!$E$13="","",IF(AP57="","",IF(AP57&gt;('Feuilles=description générale'!$E$25+'Feuilles=description générale'!$E$24),"",100*(AP57-'Feuilles=description générale'!$E$24)/('Feuilles=description générale'!$E$25))))</f>
        <v/>
      </c>
      <c r="AR57" s="495">
        <f>IF('Feuilles=description générale'!$E$27="","",IF(AP57="","",IF(AP57&lt;=('Feuilles=description générale'!$E$25+'Feuilles=description générale'!$E$24),"",100*(AP57-'Feuilles=description générale'!$E$25-'Feuilles=description générale'!$E$24)/('Feuilles=description générale'!$E$26))))</f>
        <v>48.224151539068679</v>
      </c>
      <c r="AS57" s="496">
        <f>IF('Feuilles=description générale'!$E$27="","",IF(AP57="","",100*(AP57-'Feuilles=description générale'!$E$24)/('Feuilles=description générale'!$E$27-'Feuilles=description générale'!$E$24)))</f>
        <v>59.912001955512103</v>
      </c>
      <c r="AT57" s="497">
        <f t="shared" si="10"/>
        <v>1</v>
      </c>
      <c r="AU57" s="500" t="str">
        <f t="shared" si="11"/>
        <v/>
      </c>
      <c r="AV57" s="494" t="str">
        <f t="shared" si="12"/>
        <v/>
      </c>
      <c r="AW57" s="499">
        <f t="shared" si="13"/>
        <v>1.5999999999999659</v>
      </c>
      <c r="AX57" s="371"/>
      <c r="AY57" s="494">
        <f t="shared" si="14"/>
        <v>264.5</v>
      </c>
      <c r="AZ57" s="495" t="str">
        <f>IF('Feuilles=description générale'!$E$13="","",IF(AY57="","",IF(AY57&gt;('Feuilles=description générale'!$E$25+'Feuilles=description générale'!$E$24),"",100*(AY57-'Feuilles=description générale'!$E$24)/('Feuilles=description générale'!$E$25))))</f>
        <v/>
      </c>
      <c r="BA57" s="495">
        <f>IF('Feuilles=description générale'!$E$27="","",IF(AY57="","",IF(AY57&lt;=('Feuilles=description générale'!$E$25+'Feuilles=description générale'!$E$24),"",100*(AY57-'Feuilles=description générale'!$E$25-'Feuilles=description générale'!$E$24)/('Feuilles=description générale'!$E$26))))</f>
        <v>47.087608524072614</v>
      </c>
      <c r="BB57" s="496">
        <f>IF('Feuilles=description générale'!$E$27="","",IF(AY57="","",100*(AY57-'Feuilles=description générale'!$E$24)/('Feuilles=description générale'!$E$27-'Feuilles=description générale'!$E$24)))</f>
        <v>59.032021510633093</v>
      </c>
      <c r="BC57" s="497">
        <f t="shared" si="15"/>
        <v>3</v>
      </c>
      <c r="BD57" s="500">
        <f t="shared" si="16"/>
        <v>3</v>
      </c>
      <c r="BE57" s="494">
        <f t="shared" si="17"/>
        <v>5.5</v>
      </c>
      <c r="BF57" s="499" t="str">
        <f t="shared" si="18"/>
        <v/>
      </c>
      <c r="BG57" s="476"/>
      <c r="BH57" s="563"/>
      <c r="BI57" s="562"/>
      <c r="BJ57" s="562"/>
      <c r="BK57" s="562"/>
      <c r="BL57" s="562"/>
      <c r="BM57" s="562"/>
      <c r="BN57" s="562"/>
      <c r="BO57" s="562"/>
      <c r="BP57" s="562"/>
      <c r="BQ57" s="562"/>
      <c r="BR57" s="562"/>
      <c r="BS57" s="562"/>
      <c r="BT57" s="562"/>
      <c r="BU57" s="568"/>
      <c r="BV57" s="1114">
        <f t="shared" si="19"/>
        <v>37.209999999999582</v>
      </c>
      <c r="BW57" s="1114" t="str">
        <f t="shared" si="19"/>
        <v/>
      </c>
      <c r="BX57" s="1114">
        <f t="shared" si="20"/>
        <v>15.60249999999991</v>
      </c>
      <c r="BY57" s="1115" t="str">
        <f t="shared" si="20"/>
        <v/>
      </c>
      <c r="BZ57" s="477"/>
      <c r="CA57" s="1114" t="str">
        <f t="shared" si="21"/>
        <v/>
      </c>
      <c r="CB57" s="1114">
        <f t="shared" si="21"/>
        <v>2.5599999999998908</v>
      </c>
      <c r="CC57" s="1114">
        <f t="shared" si="22"/>
        <v>30.25</v>
      </c>
      <c r="CD57" s="1115" t="str">
        <f t="shared" si="22"/>
        <v/>
      </c>
      <c r="CE57" s="568"/>
      <c r="CF57" s="509">
        <f>IF(SUMIF($BI$30:$BI$42,6,$BH$30:$BH$42)=0,"",SUMIF($BI$30:$BI$42,6,$BH$30:$BH$42))</f>
        <v>24</v>
      </c>
      <c r="CG57" s="510">
        <f t="shared" si="68"/>
        <v>14.542857142857139</v>
      </c>
      <c r="CH57" s="512">
        <f t="shared" si="68"/>
        <v>1.1882073618244708</v>
      </c>
      <c r="CI57" s="510">
        <f t="shared" si="69"/>
        <v>1.6250000000000018</v>
      </c>
      <c r="CJ57" s="512">
        <f t="shared" si="69"/>
        <v>3.1339158526399347E-2</v>
      </c>
      <c r="CK57" s="562"/>
      <c r="CL57" s="562"/>
      <c r="CM57" s="562"/>
      <c r="CN57" s="562"/>
      <c r="CO57" s="562"/>
      <c r="CP57" s="562"/>
      <c r="CQ57" s="562"/>
      <c r="CR57" s="562"/>
      <c r="CS57" s="562"/>
      <c r="CT57" s="562"/>
      <c r="CU57" s="562"/>
      <c r="CV57" s="476"/>
      <c r="CW57" s="345"/>
      <c r="CX57" s="345"/>
      <c r="CY57" s="345"/>
      <c r="CZ57" s="345"/>
      <c r="DA57" s="345"/>
      <c r="DB57" s="345"/>
      <c r="DC57" s="345"/>
      <c r="DD57" s="345"/>
      <c r="DE57" s="345"/>
      <c r="DF57" s="345"/>
      <c r="DG57" s="345"/>
      <c r="DH57" s="345"/>
      <c r="DI57" s="345"/>
      <c r="DJ57" s="345"/>
      <c r="DK57" s="345"/>
      <c r="DL57" s="345"/>
      <c r="DM57" s="345"/>
      <c r="DN57" s="345"/>
      <c r="DO57" s="345"/>
      <c r="DP57" s="345"/>
      <c r="DQ57" s="345"/>
      <c r="DR57" s="345"/>
      <c r="DS57" s="345"/>
      <c r="DT57" s="345"/>
      <c r="DU57" s="345"/>
      <c r="DV57" s="345"/>
      <c r="DW57" s="345"/>
      <c r="DX57" s="345"/>
      <c r="DY57" s="345"/>
      <c r="DZ57" s="345"/>
      <c r="EA57" s="345"/>
      <c r="EB57" s="345"/>
      <c r="EC57" s="345"/>
      <c r="ED57" s="345"/>
      <c r="EE57" s="345"/>
      <c r="EF57" s="345"/>
      <c r="EG57" s="345"/>
      <c r="EH57" s="345"/>
      <c r="EI57" s="345"/>
      <c r="EJ57" s="345"/>
      <c r="EK57" s="345"/>
      <c r="EL57" s="345"/>
      <c r="EM57" s="345"/>
      <c r="EN57" s="345"/>
      <c r="EO57" s="345"/>
      <c r="EP57" s="345"/>
      <c r="EQ57" s="345"/>
      <c r="ER57" s="345"/>
      <c r="ES57" s="345"/>
      <c r="ET57" s="345"/>
      <c r="EU57" s="345"/>
      <c r="EV57" s="345"/>
      <c r="EW57" s="345"/>
      <c r="EX57" s="345"/>
      <c r="EY57" s="345"/>
      <c r="EZ57" s="345"/>
      <c r="FA57" s="345"/>
      <c r="FB57" s="345"/>
      <c r="FC57" s="345"/>
      <c r="FD57" s="345"/>
      <c r="FE57" s="345"/>
      <c r="FF57" s="345"/>
      <c r="FG57" s="345"/>
      <c r="FH57" s="345"/>
      <c r="FI57" s="345"/>
      <c r="FJ57" s="345"/>
      <c r="FK57" s="345"/>
      <c r="FL57" s="345"/>
      <c r="FM57" s="345"/>
      <c r="FN57" s="345"/>
      <c r="FO57" s="345"/>
      <c r="FP57" s="345"/>
      <c r="FQ57" s="345"/>
      <c r="FR57" s="345"/>
      <c r="FS57" s="345"/>
      <c r="FT57" s="345"/>
      <c r="FU57" s="345"/>
      <c r="FV57" s="345"/>
      <c r="FW57" s="345"/>
      <c r="FX57" s="345"/>
      <c r="FY57" s="345"/>
      <c r="FZ57" s="345"/>
      <c r="GA57" s="345"/>
      <c r="GB57" s="345"/>
      <c r="GC57" s="345"/>
      <c r="GD57" s="345"/>
      <c r="GE57" s="345"/>
      <c r="GF57" s="345"/>
      <c r="GG57" s="345"/>
      <c r="GH57" s="345"/>
      <c r="GI57" s="345"/>
      <c r="GJ57" s="345"/>
      <c r="GK57" s="345"/>
      <c r="GL57" s="345"/>
      <c r="GM57" s="345"/>
      <c r="GN57" s="345"/>
      <c r="GO57" s="345"/>
      <c r="GP57" s="345"/>
      <c r="GQ57" s="345"/>
      <c r="GR57" s="345"/>
      <c r="GS57" s="345"/>
      <c r="GT57" s="345"/>
      <c r="GU57" s="345"/>
    </row>
    <row r="58" spans="1:203" ht="12.75" customHeight="1">
      <c r="A58" s="465">
        <f t="shared" si="31"/>
        <v>2</v>
      </c>
      <c r="B58" s="1108">
        <v>48</v>
      </c>
      <c r="C58" s="1109">
        <v>1</v>
      </c>
      <c r="D58" s="398">
        <v>267.39999999999998</v>
      </c>
      <c r="E58" s="1120"/>
      <c r="F58" s="465">
        <f t="shared" si="36"/>
        <v>2</v>
      </c>
      <c r="G58" s="1108">
        <v>48</v>
      </c>
      <c r="H58" s="1109">
        <v>1</v>
      </c>
      <c r="I58" s="398">
        <v>265</v>
      </c>
      <c r="J58" s="1120"/>
      <c r="K58" s="465"/>
      <c r="L58" s="465"/>
      <c r="M58" s="465">
        <f t="shared" si="23"/>
        <v>2</v>
      </c>
      <c r="N58" s="1108">
        <v>48</v>
      </c>
      <c r="O58" s="1109">
        <v>-1</v>
      </c>
      <c r="P58" s="398">
        <v>269.7</v>
      </c>
      <c r="Q58" s="1120"/>
      <c r="R58" s="465">
        <f t="shared" si="24"/>
        <v>2</v>
      </c>
      <c r="S58" s="1108">
        <v>48</v>
      </c>
      <c r="T58" s="1109">
        <v>1</v>
      </c>
      <c r="U58" s="1110">
        <v>270</v>
      </c>
      <c r="V58" s="1120"/>
      <c r="W58" s="371"/>
      <c r="X58" s="494">
        <f t="shared" si="0"/>
        <v>267.39999999999998</v>
      </c>
      <c r="Y58" s="495" t="str">
        <f>IF('Feuilles=description générale'!$E$13="","",IF(X58="","",IF(X58&gt;('Feuilles=description générale'!$E$11+'Feuilles=description générale'!$E$10),"",100*(X58-'Feuilles=description générale'!$E$10)/('Feuilles=description générale'!$E$11))))</f>
        <v/>
      </c>
      <c r="Z58" s="495">
        <f>IF('Feuilles=description générale'!$E$13="","",IF(X58="","",IF(X58&lt;=('Feuilles=description générale'!$E$11+'Feuilles=description générale'!$E$10),"",100*(X58-'Feuilles=description générale'!$E$11-'Feuilles=description générale'!$E$10)/('Feuilles=description générale'!$E$12))))</f>
        <v>51.940786642568206</v>
      </c>
      <c r="AA58" s="1112">
        <f>IF('Feuilles=description générale'!$E$13="","",IF(X58="","",100*(X58-'Feuilles=description générale'!$E$10)/('Feuilles=description générale'!$E$13-'Feuilles=description générale'!$E$10)))</f>
        <v>63.834196891191702</v>
      </c>
      <c r="AB58" s="497">
        <f t="shared" si="1"/>
        <v>1</v>
      </c>
      <c r="AC58" s="500" t="str">
        <f t="shared" si="32"/>
        <v/>
      </c>
      <c r="AD58" s="494" t="str">
        <f t="shared" si="2"/>
        <v/>
      </c>
      <c r="AE58" s="499">
        <f t="shared" si="3"/>
        <v>1.7000000000000455</v>
      </c>
      <c r="AF58" s="371"/>
      <c r="AG58" s="494">
        <f t="shared" si="4"/>
        <v>265</v>
      </c>
      <c r="AH58" s="495" t="str">
        <f>IF('Feuilles=description générale'!$E$13="","",IF(AG58="","",IF(AG58&gt;('Feuilles=description générale'!$E$11+'Feuilles=description générale'!$E$10),"",100*(AG58-'Feuilles=description générale'!$E$10)/('Feuilles=description générale'!$E$11))))</f>
        <v/>
      </c>
      <c r="AI58" s="495">
        <f>IF('Feuilles=description générale'!$E$13="","",IF(AG58="","",IF(AG58&lt;=('Feuilles=description générale'!$E$11+'Feuilles=description générale'!$E$10),"",100*(AG58-'Feuilles=description générale'!$E$11-'Feuilles=description générale'!$E$10)/('Feuilles=description générale'!$E$12))))</f>
        <v>51.114553748171105</v>
      </c>
      <c r="AJ58" s="496">
        <f>IF('Feuilles=description générale'!$E$13="","",IF(AG58="","",100*(AG58-'Feuilles=description générale'!$E$10)/('Feuilles=description générale'!$E$13-'Feuilles=description générale'!$E$10)))</f>
        <v>63.212435233160619</v>
      </c>
      <c r="AK58" s="1113">
        <f t="shared" si="5"/>
        <v>1</v>
      </c>
      <c r="AL58" s="498" t="str">
        <f t="shared" si="6"/>
        <v/>
      </c>
      <c r="AM58" s="494" t="str">
        <f t="shared" si="7"/>
        <v/>
      </c>
      <c r="AN58" s="499">
        <f t="shared" si="8"/>
        <v>1.3000000000000114</v>
      </c>
      <c r="AO58" s="371"/>
      <c r="AP58" s="494">
        <f t="shared" si="9"/>
        <v>269.7</v>
      </c>
      <c r="AQ58" s="495" t="str">
        <f>IF('Feuilles=description générale'!$E$13="","",IF(AP58="","",IF(AP58&gt;('Feuilles=description générale'!$E$25+'Feuilles=description générale'!$E$24),"",100*(AP58-'Feuilles=description générale'!$E$24)/('Feuilles=description générale'!$E$25))))</f>
        <v/>
      </c>
      <c r="AR58" s="495">
        <f>IF('Feuilles=description générale'!$E$27="","",IF(AP58="","",IF(AP58&lt;=('Feuilles=description générale'!$E$25+'Feuilles=description générale'!$E$24),"",100*(AP58-'Feuilles=description générale'!$E$25-'Feuilles=description générale'!$E$24)/('Feuilles=description générale'!$E$26))))</f>
        <v>48.729281767955804</v>
      </c>
      <c r="AS58" s="496">
        <f>IF('Feuilles=description générale'!$E$27="","",IF(AP58="","",100*(AP58-'Feuilles=description générale'!$E$24)/('Feuilles=description générale'!$E$27-'Feuilles=description générale'!$E$24)))</f>
        <v>60.303104375458318</v>
      </c>
      <c r="AT58" s="497">
        <f t="shared" si="10"/>
        <v>2</v>
      </c>
      <c r="AU58" s="500">
        <f t="shared" si="11"/>
        <v>2</v>
      </c>
      <c r="AV58" s="494">
        <f t="shared" si="12"/>
        <v>4.4000000000000341</v>
      </c>
      <c r="AW58" s="499" t="str">
        <f t="shared" si="13"/>
        <v/>
      </c>
      <c r="AX58" s="371"/>
      <c r="AY58" s="494">
        <f t="shared" si="14"/>
        <v>270</v>
      </c>
      <c r="AZ58" s="495" t="str">
        <f>IF('Feuilles=description générale'!$E$13="","",IF(AY58="","",IF(AY58&gt;('Feuilles=description générale'!$E$25+'Feuilles=description générale'!$E$24),"",100*(AY58-'Feuilles=description générale'!$E$24)/('Feuilles=description générale'!$E$25))))</f>
        <v/>
      </c>
      <c r="BA58" s="495">
        <f>IF('Feuilles=description générale'!$E$27="","",IF(AY58="","",IF(AY58&lt;=('Feuilles=description générale'!$E$25+'Feuilles=description générale'!$E$24),"",100*(AY58-'Feuilles=description générale'!$E$25-'Feuilles=description générale'!$E$24)/('Feuilles=description générale'!$E$26))))</f>
        <v>48.823993685872139</v>
      </c>
      <c r="BB58" s="496">
        <f>IF('Feuilles=description générale'!$E$27="","",IF(AY58="","",100*(AY58-'Feuilles=description générale'!$E$24)/('Feuilles=description générale'!$E$27-'Feuilles=description générale'!$E$24)))</f>
        <v>60.376436079198236</v>
      </c>
      <c r="BC58" s="497">
        <f t="shared" si="15"/>
        <v>1</v>
      </c>
      <c r="BD58" s="500" t="str">
        <f t="shared" si="16"/>
        <v/>
      </c>
      <c r="BE58" s="494" t="str">
        <f t="shared" si="17"/>
        <v/>
      </c>
      <c r="BF58" s="499">
        <f t="shared" si="18"/>
        <v>2.6000000000000227</v>
      </c>
      <c r="BG58" s="476"/>
      <c r="BH58" s="563"/>
      <c r="BI58" s="562"/>
      <c r="BJ58" s="562"/>
      <c r="BK58" s="562"/>
      <c r="BL58" s="562"/>
      <c r="BM58" s="562"/>
      <c r="BN58" s="562"/>
      <c r="BO58" s="562"/>
      <c r="BP58" s="562"/>
      <c r="BQ58" s="562"/>
      <c r="BR58" s="562"/>
      <c r="BS58" s="562"/>
      <c r="BT58" s="562"/>
      <c r="BU58" s="568"/>
      <c r="BV58" s="1114" t="str">
        <f t="shared" si="19"/>
        <v/>
      </c>
      <c r="BW58" s="1114">
        <f t="shared" si="19"/>
        <v>2.8900000000001547</v>
      </c>
      <c r="BX58" s="1114" t="str">
        <f t="shared" si="20"/>
        <v/>
      </c>
      <c r="BY58" s="1115">
        <f t="shared" si="20"/>
        <v>1.6900000000000295</v>
      </c>
      <c r="BZ58" s="477"/>
      <c r="CA58" s="1114">
        <f t="shared" si="21"/>
        <v>19.360000000000301</v>
      </c>
      <c r="CB58" s="1114" t="str">
        <f t="shared" si="21"/>
        <v/>
      </c>
      <c r="CC58" s="1114" t="str">
        <f t="shared" si="22"/>
        <v/>
      </c>
      <c r="CD58" s="1115">
        <f t="shared" si="22"/>
        <v>6.7600000000001179</v>
      </c>
      <c r="CE58" s="568"/>
      <c r="CF58" s="509">
        <f>IF(SUMIF($BI$30:$BI$42,7,$BH$30:$BH$42)=0,"",SUMIF($BI$30:$BI$42,7,$BH$30:$BH$42))</f>
        <v>32</v>
      </c>
      <c r="CG58" s="510">
        <f t="shared" si="68"/>
        <v>11.8775</v>
      </c>
      <c r="CH58" s="512">
        <f t="shared" si="68"/>
        <v>1.018896023715308</v>
      </c>
      <c r="CI58" s="510">
        <f t="shared" si="69"/>
        <v>1.7125000000000021</v>
      </c>
      <c r="CJ58" s="512">
        <f t="shared" si="69"/>
        <v>8.9517556139246335E-2</v>
      </c>
      <c r="CK58" s="562"/>
      <c r="CL58" s="562"/>
      <c r="CM58" s="562"/>
      <c r="CN58" s="562"/>
      <c r="CO58" s="562"/>
      <c r="CP58" s="562"/>
      <c r="CQ58" s="562"/>
      <c r="CR58" s="562"/>
      <c r="CS58" s="562"/>
      <c r="CT58" s="562"/>
      <c r="CU58" s="562"/>
      <c r="CV58" s="476"/>
      <c r="CW58" s="345"/>
      <c r="CX58" s="345"/>
      <c r="CY58" s="345"/>
      <c r="CZ58" s="345"/>
      <c r="DA58" s="345"/>
      <c r="DB58" s="345"/>
      <c r="DC58" s="345"/>
      <c r="DD58" s="345"/>
      <c r="DE58" s="345"/>
      <c r="DF58" s="345"/>
      <c r="DG58" s="345"/>
      <c r="DH58" s="345"/>
      <c r="DI58" s="345"/>
      <c r="DJ58" s="345"/>
      <c r="DK58" s="345"/>
      <c r="DL58" s="345"/>
      <c r="DM58" s="345"/>
      <c r="DN58" s="345"/>
      <c r="DO58" s="345"/>
      <c r="DP58" s="345"/>
      <c r="DQ58" s="345"/>
      <c r="DR58" s="345"/>
      <c r="DS58" s="345"/>
      <c r="DT58" s="345"/>
      <c r="DU58" s="345"/>
      <c r="DV58" s="345"/>
      <c r="DW58" s="345"/>
      <c r="DX58" s="345"/>
      <c r="DY58" s="345"/>
      <c r="DZ58" s="345"/>
      <c r="EA58" s="345"/>
      <c r="EB58" s="345"/>
      <c r="EC58" s="345"/>
      <c r="ED58" s="345"/>
      <c r="EE58" s="345"/>
      <c r="EF58" s="345"/>
      <c r="EG58" s="345"/>
      <c r="EH58" s="345"/>
      <c r="EI58" s="345"/>
      <c r="EJ58" s="345"/>
      <c r="EK58" s="345"/>
      <c r="EL58" s="345"/>
      <c r="EM58" s="345"/>
      <c r="EN58" s="345"/>
      <c r="EO58" s="345"/>
      <c r="EP58" s="345"/>
      <c r="EQ58" s="345"/>
      <c r="ER58" s="345"/>
      <c r="ES58" s="345"/>
      <c r="ET58" s="345"/>
      <c r="EU58" s="345"/>
      <c r="EV58" s="345"/>
      <c r="EW58" s="345"/>
      <c r="EX58" s="345"/>
      <c r="EY58" s="345"/>
      <c r="EZ58" s="345"/>
      <c r="FA58" s="345"/>
      <c r="FB58" s="345"/>
      <c r="FC58" s="345"/>
      <c r="FD58" s="345"/>
      <c r="FE58" s="345"/>
      <c r="FF58" s="345"/>
      <c r="FG58" s="345"/>
      <c r="FH58" s="345"/>
      <c r="FI58" s="345"/>
      <c r="FJ58" s="345"/>
      <c r="FK58" s="345"/>
      <c r="FL58" s="345"/>
      <c r="FM58" s="345"/>
      <c r="FN58" s="345"/>
      <c r="FO58" s="345"/>
      <c r="FP58" s="345"/>
      <c r="FQ58" s="345"/>
      <c r="FR58" s="345"/>
      <c r="FS58" s="345"/>
      <c r="FT58" s="345"/>
      <c r="FU58" s="345"/>
      <c r="FV58" s="345"/>
      <c r="FW58" s="345"/>
      <c r="FX58" s="345"/>
      <c r="FY58" s="345"/>
      <c r="FZ58" s="345"/>
      <c r="GA58" s="345"/>
      <c r="GB58" s="345"/>
      <c r="GC58" s="345"/>
      <c r="GD58" s="345"/>
      <c r="GE58" s="345"/>
      <c r="GF58" s="345"/>
      <c r="GG58" s="345"/>
      <c r="GH58" s="345"/>
      <c r="GI58" s="345"/>
      <c r="GJ58" s="345"/>
      <c r="GK58" s="345"/>
      <c r="GL58" s="345"/>
      <c r="GM58" s="345"/>
      <c r="GN58" s="345"/>
      <c r="GO58" s="345"/>
      <c r="GP58" s="345"/>
      <c r="GQ58" s="345"/>
      <c r="GR58" s="345"/>
      <c r="GS58" s="345"/>
      <c r="GT58" s="345"/>
      <c r="GU58" s="345"/>
    </row>
    <row r="59" spans="1:203" ht="12.75" customHeight="1">
      <c r="A59" s="465">
        <f t="shared" si="31"/>
        <v>2</v>
      </c>
      <c r="B59" s="1108">
        <v>49</v>
      </c>
      <c r="C59" s="1109">
        <v>-1</v>
      </c>
      <c r="D59" s="398">
        <v>269.10000000000002</v>
      </c>
      <c r="E59" s="1120"/>
      <c r="F59" s="465">
        <f t="shared" si="36"/>
        <v>2</v>
      </c>
      <c r="G59" s="1108">
        <v>49</v>
      </c>
      <c r="H59" s="1109">
        <v>-1</v>
      </c>
      <c r="I59" s="398">
        <v>266.3</v>
      </c>
      <c r="J59" s="1120"/>
      <c r="K59" s="465"/>
      <c r="L59" s="465"/>
      <c r="M59" s="465">
        <f t="shared" si="23"/>
        <v>2</v>
      </c>
      <c r="N59" s="1108">
        <v>49</v>
      </c>
      <c r="O59" s="1109">
        <v>1</v>
      </c>
      <c r="P59" s="398">
        <v>274.10000000000002</v>
      </c>
      <c r="Q59" s="1120"/>
      <c r="R59" s="465">
        <f t="shared" si="24"/>
        <v>2</v>
      </c>
      <c r="S59" s="1108">
        <v>49</v>
      </c>
      <c r="T59" s="1109">
        <v>0</v>
      </c>
      <c r="U59" s="1110">
        <v>272.60000000000002</v>
      </c>
      <c r="V59" s="1120"/>
      <c r="W59" s="371"/>
      <c r="X59" s="494">
        <f t="shared" si="0"/>
        <v>269.10000000000002</v>
      </c>
      <c r="Y59" s="495" t="str">
        <f>IF('Feuilles=description générale'!$E$13="","",IF(X59="","",IF(X59&gt;('Feuilles=description générale'!$E$11+'Feuilles=description générale'!$E$10),"",100*(X59-'Feuilles=description générale'!$E$10)/('Feuilles=description générale'!$E$11))))</f>
        <v/>
      </c>
      <c r="Z59" s="495">
        <f>IF('Feuilles=description générale'!$E$13="","",IF(X59="","",IF(X59&lt;=('Feuilles=description générale'!$E$11+'Feuilles=description générale'!$E$10),"",100*(X59-'Feuilles=description générale'!$E$11-'Feuilles=description générale'!$E$10)/('Feuilles=description générale'!$E$12))))</f>
        <v>52.526034942766167</v>
      </c>
      <c r="AA59" s="1112">
        <f>IF('Feuilles=description générale'!$E$13="","",IF(X59="","",100*(X59-'Feuilles=description générale'!$E$10)/('Feuilles=description générale'!$E$13-'Feuilles=description générale'!$E$10)))</f>
        <v>64.274611398963742</v>
      </c>
      <c r="AB59" s="497">
        <f t="shared" si="1"/>
        <v>2</v>
      </c>
      <c r="AC59" s="500">
        <f t="shared" si="32"/>
        <v>2</v>
      </c>
      <c r="AD59" s="494">
        <f t="shared" si="2"/>
        <v>2.8999999999999773</v>
      </c>
      <c r="AE59" s="499" t="str">
        <f t="shared" si="3"/>
        <v/>
      </c>
      <c r="AF59" s="371"/>
      <c r="AG59" s="494">
        <f t="shared" si="4"/>
        <v>266.3</v>
      </c>
      <c r="AH59" s="495" t="str">
        <f>IF('Feuilles=description générale'!$E$13="","",IF(AG59="","",IF(AG59&gt;('Feuilles=description générale'!$E$11+'Feuilles=description générale'!$E$10),"",100*(AG59-'Feuilles=description générale'!$E$10)/('Feuilles=description générale'!$E$11))))</f>
        <v/>
      </c>
      <c r="AI59" s="495">
        <f>IF('Feuilles=description générale'!$E$13="","",IF(AG59="","",IF(AG59&lt;=('Feuilles=description générale'!$E$11+'Feuilles=description générale'!$E$10),"",100*(AG59-'Feuilles=description générale'!$E$11-'Feuilles=description générale'!$E$10)/('Feuilles=description générale'!$E$12))))</f>
        <v>51.56209656596954</v>
      </c>
      <c r="AJ59" s="496">
        <f>IF('Feuilles=description générale'!$E$13="","",IF(AG59="","",100*(AG59-'Feuilles=description générale'!$E$10)/('Feuilles=description générale'!$E$13-'Feuilles=description générale'!$E$10)))</f>
        <v>63.549222797927463</v>
      </c>
      <c r="AK59" s="1113">
        <f t="shared" si="5"/>
        <v>2</v>
      </c>
      <c r="AL59" s="498">
        <f t="shared" si="6"/>
        <v>2</v>
      </c>
      <c r="AM59" s="494">
        <f t="shared" si="7"/>
        <v>5.5</v>
      </c>
      <c r="AN59" s="499" t="str">
        <f t="shared" si="8"/>
        <v/>
      </c>
      <c r="AO59" s="371"/>
      <c r="AP59" s="494">
        <f t="shared" si="9"/>
        <v>274.10000000000002</v>
      </c>
      <c r="AQ59" s="495" t="str">
        <f>IF('Feuilles=description générale'!$E$13="","",IF(AP59="","",IF(AP59&gt;('Feuilles=description générale'!$E$25+'Feuilles=description générale'!$E$24),"",100*(AP59-'Feuilles=description générale'!$E$24)/('Feuilles=description générale'!$E$25))))</f>
        <v/>
      </c>
      <c r="AR59" s="495">
        <f>IF('Feuilles=description générale'!$E$27="","",IF(AP59="","",IF(AP59&lt;=('Feuilles=description générale'!$E$25+'Feuilles=description générale'!$E$24),"",100*(AP59-'Feuilles=description générale'!$E$25-'Feuilles=description générale'!$E$24)/('Feuilles=description générale'!$E$26))))</f>
        <v>50.118389897395431</v>
      </c>
      <c r="AS59" s="496">
        <f>IF('Feuilles=description générale'!$E$27="","",IF(AP59="","",100*(AP59-'Feuilles=description générale'!$E$24)/('Feuilles=description générale'!$E$27-'Feuilles=description générale'!$E$24)))</f>
        <v>61.378636030310446</v>
      </c>
      <c r="AT59" s="497">
        <f t="shared" si="10"/>
        <v>1</v>
      </c>
      <c r="AU59" s="500" t="str">
        <f t="shared" si="11"/>
        <v/>
      </c>
      <c r="AV59" s="494" t="str">
        <f t="shared" si="12"/>
        <v/>
      </c>
      <c r="AW59" s="499">
        <f t="shared" si="13"/>
        <v>1.6999999999999886</v>
      </c>
      <c r="AX59" s="371"/>
      <c r="AY59" s="494">
        <f t="shared" si="14"/>
        <v>272.60000000000002</v>
      </c>
      <c r="AZ59" s="495" t="str">
        <f>IF('Feuilles=description générale'!$E$13="","",IF(AY59="","",IF(AY59&gt;('Feuilles=description générale'!$E$25+'Feuilles=description générale'!$E$24),"",100*(AY59-'Feuilles=description générale'!$E$24)/('Feuilles=description générale'!$E$25))))</f>
        <v/>
      </c>
      <c r="BA59" s="495">
        <f>IF('Feuilles=description générale'!$E$27="","",IF(AY59="","",IF(AY59&lt;=('Feuilles=description générale'!$E$25+'Feuilles=description générale'!$E$24),"",100*(AY59-'Feuilles=description générale'!$E$25-'Feuilles=description générale'!$E$24)/('Feuilles=description générale'!$E$26))))</f>
        <v>49.644830307813741</v>
      </c>
      <c r="BB59" s="496">
        <f>IF('Feuilles=description générale'!$E$27="","",IF(AY59="","",100*(AY59-'Feuilles=description générale'!$E$24)/('Feuilles=description générale'!$E$27-'Feuilles=description générale'!$E$24)))</f>
        <v>61.011977511610858</v>
      </c>
      <c r="BC59" s="497">
        <f t="shared" si="15"/>
        <v>2</v>
      </c>
      <c r="BD59" s="500" t="str">
        <f t="shared" si="16"/>
        <v/>
      </c>
      <c r="BE59" s="494" t="str">
        <f t="shared" si="17"/>
        <v/>
      </c>
      <c r="BF59" s="499">
        <f t="shared" si="18"/>
        <v>2.0999999999999659</v>
      </c>
      <c r="BG59" s="476"/>
      <c r="BH59" s="563"/>
      <c r="BI59" s="562"/>
      <c r="BJ59" s="562"/>
      <c r="BK59" s="562"/>
      <c r="BL59" s="562"/>
      <c r="BM59" s="562"/>
      <c r="BN59" s="562"/>
      <c r="BO59" s="562"/>
      <c r="BP59" s="562"/>
      <c r="BQ59" s="562"/>
      <c r="BR59" s="562"/>
      <c r="BS59" s="562"/>
      <c r="BT59" s="562"/>
      <c r="BU59" s="568"/>
      <c r="BV59" s="1114">
        <f t="shared" si="19"/>
        <v>8.4099999999998687</v>
      </c>
      <c r="BW59" s="1114" t="str">
        <f t="shared" si="19"/>
        <v/>
      </c>
      <c r="BX59" s="1114">
        <f t="shared" si="20"/>
        <v>30.25</v>
      </c>
      <c r="BY59" s="1115" t="str">
        <f t="shared" si="20"/>
        <v/>
      </c>
      <c r="BZ59" s="477"/>
      <c r="CA59" s="1114" t="str">
        <f t="shared" si="21"/>
        <v/>
      </c>
      <c r="CB59" s="1114">
        <f t="shared" si="21"/>
        <v>2.8899999999999615</v>
      </c>
      <c r="CC59" s="1114" t="str">
        <f t="shared" si="22"/>
        <v/>
      </c>
      <c r="CD59" s="1115">
        <f t="shared" si="22"/>
        <v>4.4099999999998571</v>
      </c>
      <c r="CE59" s="568"/>
      <c r="CF59" s="509">
        <f>IF(SUMIF($BI$30:$BI$42,8,$BH$30:$BH$42)=0,"",SUMIF($BI$30:$BI$42,8,$BH$30:$BH$42))</f>
        <v>44</v>
      </c>
      <c r="CG59" s="510">
        <f t="shared" si="68"/>
        <v>9.0576923076923066</v>
      </c>
      <c r="CH59" s="512">
        <f t="shared" si="68"/>
        <v>1.7475536578263486</v>
      </c>
      <c r="CI59" s="510">
        <f t="shared" si="69"/>
        <v>0.76857142857142857</v>
      </c>
      <c r="CJ59" s="512">
        <f t="shared" si="69"/>
        <v>1.0691831833733771</v>
      </c>
      <c r="CK59" s="562"/>
      <c r="CL59" s="562"/>
      <c r="CM59" s="562"/>
      <c r="CN59" s="562"/>
      <c r="CO59" s="562"/>
      <c r="CP59" s="562"/>
      <c r="CQ59" s="562"/>
      <c r="CR59" s="562"/>
      <c r="CS59" s="562"/>
      <c r="CT59" s="562"/>
      <c r="CU59" s="562"/>
      <c r="CV59" s="476"/>
      <c r="CW59" s="345"/>
      <c r="CX59" s="345"/>
      <c r="CY59" s="345"/>
      <c r="CZ59" s="345"/>
      <c r="DA59" s="345"/>
      <c r="DB59" s="345"/>
      <c r="DC59" s="345"/>
      <c r="DD59" s="345"/>
      <c r="DE59" s="345"/>
      <c r="DF59" s="345"/>
      <c r="DG59" s="345"/>
      <c r="DH59" s="345"/>
      <c r="DI59" s="345"/>
      <c r="DJ59" s="345"/>
      <c r="DK59" s="345"/>
      <c r="DL59" s="345"/>
      <c r="DM59" s="345"/>
      <c r="DN59" s="345"/>
      <c r="DO59" s="345"/>
      <c r="DP59" s="345"/>
      <c r="DQ59" s="345"/>
      <c r="DR59" s="345"/>
      <c r="DS59" s="345"/>
      <c r="DT59" s="345"/>
      <c r="DU59" s="345"/>
      <c r="DV59" s="345"/>
      <c r="DW59" s="345"/>
      <c r="DX59" s="345"/>
      <c r="DY59" s="345"/>
      <c r="DZ59" s="345"/>
      <c r="EA59" s="345"/>
      <c r="EB59" s="345"/>
      <c r="EC59" s="345"/>
      <c r="ED59" s="345"/>
      <c r="EE59" s="345"/>
      <c r="EF59" s="345"/>
      <c r="EG59" s="345"/>
      <c r="EH59" s="345"/>
      <c r="EI59" s="345"/>
      <c r="EJ59" s="345"/>
      <c r="EK59" s="345"/>
      <c r="EL59" s="345"/>
      <c r="EM59" s="345"/>
      <c r="EN59" s="345"/>
      <c r="EO59" s="345"/>
      <c r="EP59" s="345"/>
      <c r="EQ59" s="345"/>
      <c r="ER59" s="345"/>
      <c r="ES59" s="345"/>
      <c r="ET59" s="345"/>
      <c r="EU59" s="345"/>
      <c r="EV59" s="345"/>
      <c r="EW59" s="345"/>
      <c r="EX59" s="345"/>
      <c r="EY59" s="345"/>
      <c r="EZ59" s="345"/>
      <c r="FA59" s="345"/>
      <c r="FB59" s="345"/>
      <c r="FC59" s="345"/>
      <c r="FD59" s="345"/>
      <c r="FE59" s="345"/>
      <c r="FF59" s="345"/>
      <c r="FG59" s="345"/>
      <c r="FH59" s="345"/>
      <c r="FI59" s="345"/>
      <c r="FJ59" s="345"/>
      <c r="FK59" s="345"/>
      <c r="FL59" s="345"/>
      <c r="FM59" s="345"/>
      <c r="FN59" s="345"/>
      <c r="FO59" s="345"/>
      <c r="FP59" s="345"/>
      <c r="FQ59" s="345"/>
      <c r="FR59" s="345"/>
      <c r="FS59" s="345"/>
      <c r="FT59" s="345"/>
      <c r="FU59" s="345"/>
      <c r="FV59" s="345"/>
      <c r="FW59" s="345"/>
      <c r="FX59" s="345"/>
      <c r="FY59" s="345"/>
      <c r="FZ59" s="345"/>
      <c r="GA59" s="345"/>
      <c r="GB59" s="345"/>
      <c r="GC59" s="345"/>
      <c r="GD59" s="345"/>
      <c r="GE59" s="345"/>
      <c r="GF59" s="345"/>
      <c r="GG59" s="345"/>
      <c r="GH59" s="345"/>
      <c r="GI59" s="345"/>
      <c r="GJ59" s="345"/>
      <c r="GK59" s="345"/>
      <c r="GL59" s="345"/>
      <c r="GM59" s="345"/>
      <c r="GN59" s="345"/>
      <c r="GO59" s="345"/>
      <c r="GP59" s="345"/>
      <c r="GQ59" s="345"/>
      <c r="GR59" s="345"/>
      <c r="GS59" s="345"/>
      <c r="GT59" s="345"/>
      <c r="GU59" s="345"/>
    </row>
    <row r="60" spans="1:203" ht="12.75" customHeight="1">
      <c r="A60" s="465">
        <f t="shared" si="31"/>
        <v>2</v>
      </c>
      <c r="B60" s="1108">
        <v>50</v>
      </c>
      <c r="C60" s="1109">
        <v>1</v>
      </c>
      <c r="D60" s="398">
        <v>272</v>
      </c>
      <c r="E60" s="1120"/>
      <c r="F60" s="465">
        <f t="shared" si="36"/>
        <v>2</v>
      </c>
      <c r="G60" s="1108">
        <v>50</v>
      </c>
      <c r="H60" s="1109">
        <v>1</v>
      </c>
      <c r="I60" s="398">
        <v>271.8</v>
      </c>
      <c r="J60" s="1120"/>
      <c r="K60" s="465"/>
      <c r="L60" s="465"/>
      <c r="M60" s="465">
        <f t="shared" si="23"/>
        <v>2</v>
      </c>
      <c r="N60" s="1108">
        <v>50</v>
      </c>
      <c r="O60" s="1109">
        <v>-1</v>
      </c>
      <c r="P60" s="398">
        <v>275.8</v>
      </c>
      <c r="Q60" s="1120"/>
      <c r="R60" s="465">
        <f t="shared" si="24"/>
        <v>2</v>
      </c>
      <c r="S60" s="1108">
        <v>50</v>
      </c>
      <c r="T60" s="1109">
        <v>-1</v>
      </c>
      <c r="U60" s="1110">
        <v>274.7</v>
      </c>
      <c r="V60" s="1120"/>
      <c r="W60" s="371"/>
      <c r="X60" s="494">
        <f t="shared" si="0"/>
        <v>272</v>
      </c>
      <c r="Y60" s="495" t="str">
        <f>IF('Feuilles=description générale'!$E$13="","",IF(X60="","",IF(X60&gt;('Feuilles=description générale'!$E$11+'Feuilles=description générale'!$E$10),"",100*(X60-'Feuilles=description générale'!$E$10)/('Feuilles=description générale'!$E$11))))</f>
        <v/>
      </c>
      <c r="Z60" s="495">
        <f>IF('Feuilles=description générale'!$E$13="","",IF(X60="","",IF(X60&lt;=('Feuilles=description générale'!$E$11+'Feuilles=description générale'!$E$10),"",100*(X60-'Feuilles=description générale'!$E$11-'Feuilles=description générale'!$E$10)/('Feuilles=description générale'!$E$12))))</f>
        <v>53.524399690162667</v>
      </c>
      <c r="AA60" s="1112">
        <f>IF('Feuilles=description générale'!$E$13="","",IF(X60="","",100*(X60-'Feuilles=description générale'!$E$10)/('Feuilles=description générale'!$E$13-'Feuilles=description générale'!$E$10)))</f>
        <v>65.025906735751292</v>
      </c>
      <c r="AB60" s="497">
        <f t="shared" si="1"/>
        <v>1</v>
      </c>
      <c r="AC60" s="500" t="str">
        <f t="shared" si="32"/>
        <v/>
      </c>
      <c r="AD60" s="494" t="str">
        <f t="shared" si="2"/>
        <v/>
      </c>
      <c r="AE60" s="499">
        <f t="shared" si="3"/>
        <v>1.3000000000000114</v>
      </c>
      <c r="AF60" s="371"/>
      <c r="AG60" s="494">
        <f t="shared" si="4"/>
        <v>271.8</v>
      </c>
      <c r="AH60" s="495" t="str">
        <f>IF('Feuilles=description générale'!$E$13="","",IF(AG60="","",IF(AG60&gt;('Feuilles=description générale'!$E$11+'Feuilles=description générale'!$E$10),"",100*(AG60-'Feuilles=description générale'!$E$10)/('Feuilles=description générale'!$E$11))))</f>
        <v/>
      </c>
      <c r="AI60" s="495">
        <f>IF('Feuilles=description générale'!$E$13="","",IF(AG60="","",IF(AG60&lt;=('Feuilles=description générale'!$E$11+'Feuilles=description générale'!$E$10),"",100*(AG60-'Feuilles=description générale'!$E$11-'Feuilles=description générale'!$E$10)/('Feuilles=description générale'!$E$12))))</f>
        <v>53.455546948962912</v>
      </c>
      <c r="AJ60" s="496">
        <f>IF('Feuilles=description générale'!$E$13="","",IF(AG60="","",100*(AG60-'Feuilles=description générale'!$E$10)/('Feuilles=description générale'!$E$13-'Feuilles=description générale'!$E$10)))</f>
        <v>64.974093264248708</v>
      </c>
      <c r="AK60" s="1113">
        <f t="shared" si="5"/>
        <v>1</v>
      </c>
      <c r="AL60" s="498" t="str">
        <f t="shared" si="6"/>
        <v/>
      </c>
      <c r="AM60" s="494" t="str">
        <f t="shared" si="7"/>
        <v/>
      </c>
      <c r="AN60" s="499">
        <f t="shared" si="8"/>
        <v>1.8999999999999773</v>
      </c>
      <c r="AO60" s="371"/>
      <c r="AP60" s="494">
        <f t="shared" si="9"/>
        <v>275.8</v>
      </c>
      <c r="AQ60" s="495" t="str">
        <f>IF('Feuilles=description générale'!$E$13="","",IF(AP60="","",IF(AP60&gt;('Feuilles=description générale'!$E$25+'Feuilles=description générale'!$E$24),"",100*(AP60-'Feuilles=description générale'!$E$24)/('Feuilles=description générale'!$E$25))))</f>
        <v/>
      </c>
      <c r="AR60" s="495">
        <f>IF('Feuilles=description générale'!$E$27="","",IF(AP60="","",IF(AP60&lt;=('Feuilles=description générale'!$E$25+'Feuilles=description générale'!$E$24),"",100*(AP60-'Feuilles=description générale'!$E$25-'Feuilles=description générale'!$E$24)/('Feuilles=description générale'!$E$26))))</f>
        <v>50.655090765588007</v>
      </c>
      <c r="AS60" s="496">
        <f>IF('Feuilles=description générale'!$E$27="","",IF(AP60="","",100*(AP60-'Feuilles=description générale'!$E$24)/('Feuilles=description générale'!$E$27-'Feuilles=description générale'!$E$24)))</f>
        <v>61.794182351503295</v>
      </c>
      <c r="AT60" s="497">
        <f t="shared" si="10"/>
        <v>2</v>
      </c>
      <c r="AU60" s="500">
        <f t="shared" si="11"/>
        <v>2</v>
      </c>
      <c r="AV60" s="494">
        <f t="shared" si="12"/>
        <v>4.3999999999999773</v>
      </c>
      <c r="AW60" s="499" t="str">
        <f t="shared" si="13"/>
        <v/>
      </c>
      <c r="AX60" s="371"/>
      <c r="AY60" s="494">
        <f t="shared" si="14"/>
        <v>274.7</v>
      </c>
      <c r="AZ60" s="495" t="str">
        <f>IF('Feuilles=description générale'!$E$13="","",IF(AY60="","",IF(AY60&gt;('Feuilles=description générale'!$E$25+'Feuilles=description générale'!$E$24),"",100*(AY60-'Feuilles=description générale'!$E$24)/('Feuilles=description générale'!$E$25))))</f>
        <v/>
      </c>
      <c r="BA60" s="495">
        <f>IF('Feuilles=description générale'!$E$27="","",IF(AY60="","",IF(AY60&lt;=('Feuilles=description générale'!$E$25+'Feuilles=description générale'!$E$24),"",100*(AY60-'Feuilles=description générale'!$E$25-'Feuilles=description générale'!$E$24)/('Feuilles=description générale'!$E$26))))</f>
        <v>50.307813733228095</v>
      </c>
      <c r="BB60" s="496">
        <f>IF('Feuilles=description générale'!$E$27="","",IF(AY60="","",100*(AY60-'Feuilles=description générale'!$E$24)/('Feuilles=description générale'!$E$27-'Feuilles=description générale'!$E$24)))</f>
        <v>61.525299437790267</v>
      </c>
      <c r="BC60" s="497">
        <f t="shared" si="15"/>
        <v>3</v>
      </c>
      <c r="BD60" s="500">
        <f t="shared" si="16"/>
        <v>3</v>
      </c>
      <c r="BE60" s="494">
        <f t="shared" si="17"/>
        <v>4.6000000000000227</v>
      </c>
      <c r="BF60" s="499" t="str">
        <f t="shared" si="18"/>
        <v/>
      </c>
      <c r="BG60" s="476"/>
      <c r="BH60" s="563"/>
      <c r="BI60" s="562"/>
      <c r="BJ60" s="562"/>
      <c r="BK60" s="562"/>
      <c r="BL60" s="562"/>
      <c r="BM60" s="562"/>
      <c r="BN60" s="562"/>
      <c r="BO60" s="562"/>
      <c r="BP60" s="562"/>
      <c r="BQ60" s="562"/>
      <c r="BR60" s="562"/>
      <c r="BS60" s="562"/>
      <c r="BT60" s="562"/>
      <c r="BU60" s="568"/>
      <c r="BV60" s="1114" t="str">
        <f t="shared" si="19"/>
        <v/>
      </c>
      <c r="BW60" s="1114">
        <f t="shared" si="19"/>
        <v>1.6900000000000295</v>
      </c>
      <c r="BX60" s="1114" t="str">
        <f t="shared" si="20"/>
        <v/>
      </c>
      <c r="BY60" s="1115">
        <f t="shared" si="20"/>
        <v>3.6099999999999137</v>
      </c>
      <c r="BZ60" s="477"/>
      <c r="CA60" s="1114">
        <f t="shared" si="21"/>
        <v>19.3599999999998</v>
      </c>
      <c r="CB60" s="1114" t="str">
        <f t="shared" si="21"/>
        <v/>
      </c>
      <c r="CC60" s="1114">
        <f t="shared" si="22"/>
        <v>21.16000000000021</v>
      </c>
      <c r="CD60" s="1115" t="str">
        <f t="shared" si="22"/>
        <v/>
      </c>
      <c r="CE60" s="568"/>
      <c r="CF60" s="509">
        <f>IF(SUMIF($BI$30:$BI$42,9,$BH$30:$BH$42)=0,"",SUMIF($BI$30:$BI$42,9,$BH$30:$BH$42))</f>
        <v>60</v>
      </c>
      <c r="CG60" s="510">
        <f t="shared" si="68"/>
        <v>4.6897058823529401</v>
      </c>
      <c r="CH60" s="512">
        <f t="shared" si="68"/>
        <v>0.16945676300041607</v>
      </c>
      <c r="CI60" s="510">
        <f t="shared" si="69"/>
        <v>2.8770000000000016</v>
      </c>
      <c r="CJ60" s="512">
        <f t="shared" si="69"/>
        <v>1.1970484193913566</v>
      </c>
      <c r="CK60" s="562"/>
      <c r="CL60" s="562"/>
      <c r="CM60" s="562"/>
      <c r="CN60" s="562"/>
      <c r="CO60" s="562"/>
      <c r="CP60" s="562"/>
      <c r="CQ60" s="562"/>
      <c r="CR60" s="562"/>
      <c r="CS60" s="562"/>
      <c r="CT60" s="562"/>
      <c r="CU60" s="562"/>
      <c r="CV60" s="476"/>
      <c r="CW60" s="345"/>
      <c r="CX60" s="345"/>
      <c r="CY60" s="345"/>
      <c r="CZ60" s="345"/>
      <c r="DA60" s="345"/>
      <c r="DB60" s="345"/>
      <c r="DC60" s="345"/>
      <c r="DD60" s="345"/>
      <c r="DE60" s="345"/>
      <c r="DF60" s="345"/>
      <c r="DG60" s="345"/>
      <c r="DH60" s="345"/>
      <c r="DI60" s="345"/>
      <c r="DJ60" s="345"/>
      <c r="DK60" s="345"/>
      <c r="DL60" s="345"/>
      <c r="DM60" s="345"/>
      <c r="DN60" s="345"/>
      <c r="DO60" s="345"/>
      <c r="DP60" s="345"/>
      <c r="DQ60" s="345"/>
      <c r="DR60" s="345"/>
      <c r="DS60" s="345"/>
      <c r="DT60" s="345"/>
      <c r="DU60" s="345"/>
      <c r="DV60" s="345"/>
      <c r="DW60" s="345"/>
      <c r="DX60" s="345"/>
      <c r="DY60" s="345"/>
      <c r="DZ60" s="345"/>
      <c r="EA60" s="345"/>
      <c r="EB60" s="345"/>
      <c r="EC60" s="345"/>
      <c r="ED60" s="345"/>
      <c r="EE60" s="345"/>
      <c r="EF60" s="345"/>
      <c r="EG60" s="345"/>
      <c r="EH60" s="345"/>
      <c r="EI60" s="345"/>
      <c r="EJ60" s="345"/>
      <c r="EK60" s="345"/>
      <c r="EL60" s="345"/>
      <c r="EM60" s="345"/>
      <c r="EN60" s="345"/>
      <c r="EO60" s="345"/>
      <c r="EP60" s="345"/>
      <c r="EQ60" s="345"/>
      <c r="ER60" s="345"/>
      <c r="ES60" s="345"/>
      <c r="ET60" s="345"/>
      <c r="EU60" s="345"/>
      <c r="EV60" s="345"/>
      <c r="EW60" s="345"/>
      <c r="EX60" s="345"/>
      <c r="EY60" s="345"/>
      <c r="EZ60" s="345"/>
      <c r="FA60" s="345"/>
      <c r="FB60" s="345"/>
      <c r="FC60" s="345"/>
      <c r="FD60" s="345"/>
      <c r="FE60" s="345"/>
      <c r="FF60" s="345"/>
      <c r="FG60" s="345"/>
      <c r="FH60" s="345"/>
      <c r="FI60" s="345"/>
      <c r="FJ60" s="345"/>
      <c r="FK60" s="345"/>
      <c r="FL60" s="345"/>
      <c r="FM60" s="345"/>
      <c r="FN60" s="345"/>
      <c r="FO60" s="345"/>
      <c r="FP60" s="345"/>
      <c r="FQ60" s="345"/>
      <c r="FR60" s="345"/>
      <c r="FS60" s="345"/>
      <c r="FT60" s="345"/>
      <c r="FU60" s="345"/>
      <c r="FV60" s="345"/>
      <c r="FW60" s="345"/>
      <c r="FX60" s="345"/>
      <c r="FY60" s="345"/>
      <c r="FZ60" s="345"/>
      <c r="GA60" s="345"/>
      <c r="GB60" s="345"/>
      <c r="GC60" s="345"/>
      <c r="GD60" s="345"/>
      <c r="GE60" s="345"/>
      <c r="GF60" s="345"/>
      <c r="GG60" s="345"/>
      <c r="GH60" s="345"/>
      <c r="GI60" s="345"/>
      <c r="GJ60" s="345"/>
      <c r="GK60" s="345"/>
      <c r="GL60" s="345"/>
      <c r="GM60" s="345"/>
      <c r="GN60" s="345"/>
      <c r="GO60" s="345"/>
      <c r="GP60" s="345"/>
      <c r="GQ60" s="345"/>
      <c r="GR60" s="345"/>
      <c r="GS60" s="345"/>
      <c r="GT60" s="345"/>
      <c r="GU60" s="345"/>
    </row>
    <row r="61" spans="1:203" ht="12.75" customHeight="1">
      <c r="A61" s="465">
        <f t="shared" si="31"/>
        <v>2</v>
      </c>
      <c r="B61" s="1108">
        <v>51</v>
      </c>
      <c r="C61" s="1109">
        <v>-1</v>
      </c>
      <c r="D61" s="398">
        <v>273.3</v>
      </c>
      <c r="E61" s="1120"/>
      <c r="F61" s="465">
        <f t="shared" si="36"/>
        <v>2</v>
      </c>
      <c r="G61" s="1108">
        <v>51</v>
      </c>
      <c r="H61" s="1109">
        <v>0</v>
      </c>
      <c r="I61" s="398">
        <v>273.7</v>
      </c>
      <c r="J61" s="1120"/>
      <c r="K61" s="465"/>
      <c r="L61" s="465"/>
      <c r="M61" s="465">
        <f t="shared" si="23"/>
        <v>2</v>
      </c>
      <c r="N61" s="1108">
        <v>51</v>
      </c>
      <c r="O61" s="1109">
        <v>1</v>
      </c>
      <c r="P61" s="398">
        <v>280.2</v>
      </c>
      <c r="Q61" s="1120"/>
      <c r="R61" s="465">
        <f t="shared" si="24"/>
        <v>2</v>
      </c>
      <c r="S61" s="1108">
        <v>51</v>
      </c>
      <c r="T61" s="1109">
        <v>1</v>
      </c>
      <c r="U61" s="1110">
        <v>279.3</v>
      </c>
      <c r="V61" s="1120"/>
      <c r="W61" s="371"/>
      <c r="X61" s="494">
        <f t="shared" si="0"/>
        <v>273.3</v>
      </c>
      <c r="Y61" s="495" t="str">
        <f>IF('Feuilles=description générale'!$E$13="","",IF(X61="","",IF(X61&gt;('Feuilles=description générale'!$E$11+'Feuilles=description générale'!$E$10),"",100*(X61-'Feuilles=description générale'!$E$10)/('Feuilles=description générale'!$E$11))))</f>
        <v/>
      </c>
      <c r="Z61" s="495">
        <f>IF('Feuilles=description générale'!$E$13="","",IF(X61="","",IF(X61&lt;=('Feuilles=description générale'!$E$11+'Feuilles=description générale'!$E$10),"",100*(X61-'Feuilles=description générale'!$E$11-'Feuilles=description générale'!$E$10)/('Feuilles=description générale'!$E$12))))</f>
        <v>53.97194250796111</v>
      </c>
      <c r="AA61" s="1112">
        <f>IF('Feuilles=description générale'!$E$13="","",IF(X61="","",100*(X61-'Feuilles=description générale'!$E$10)/('Feuilles=description générale'!$E$13-'Feuilles=description générale'!$E$10)))</f>
        <v>65.362694300518129</v>
      </c>
      <c r="AB61" s="497">
        <f t="shared" si="1"/>
        <v>2</v>
      </c>
      <c r="AC61" s="500">
        <f t="shared" si="32"/>
        <v>2</v>
      </c>
      <c r="AD61" s="494">
        <f t="shared" si="2"/>
        <v>5.3999999999999773</v>
      </c>
      <c r="AE61" s="499" t="str">
        <f t="shared" si="3"/>
        <v/>
      </c>
      <c r="AF61" s="371"/>
      <c r="AG61" s="494">
        <f t="shared" si="4"/>
        <v>273.7</v>
      </c>
      <c r="AH61" s="495" t="str">
        <f>IF('Feuilles=description générale'!$E$13="","",IF(AG61="","",IF(AG61&gt;('Feuilles=description générale'!$E$11+'Feuilles=description générale'!$E$10),"",100*(AG61-'Feuilles=description générale'!$E$10)/('Feuilles=description générale'!$E$11))))</f>
        <v/>
      </c>
      <c r="AI61" s="495">
        <f>IF('Feuilles=description générale'!$E$13="","",IF(AG61="","",IF(AG61&lt;=('Feuilles=description générale'!$E$11+'Feuilles=description générale'!$E$10),"",100*(AG61-'Feuilles=description générale'!$E$11-'Feuilles=description générale'!$E$10)/('Feuilles=description générale'!$E$12))))</f>
        <v>54.109647990360621</v>
      </c>
      <c r="AJ61" s="496">
        <f>IF('Feuilles=description générale'!$E$13="","",IF(AG61="","",100*(AG61-'Feuilles=description générale'!$E$10)/('Feuilles=description générale'!$E$13-'Feuilles=description générale'!$E$10)))</f>
        <v>65.466321243523311</v>
      </c>
      <c r="AK61" s="1113">
        <f t="shared" si="5"/>
        <v>2</v>
      </c>
      <c r="AL61" s="498" t="str">
        <f t="shared" si="6"/>
        <v/>
      </c>
      <c r="AM61" s="494" t="str">
        <f t="shared" si="7"/>
        <v/>
      </c>
      <c r="AN61" s="499">
        <f t="shared" si="8"/>
        <v>1.3000000000000114</v>
      </c>
      <c r="AO61" s="371"/>
      <c r="AP61" s="494">
        <f t="shared" si="9"/>
        <v>280.2</v>
      </c>
      <c r="AQ61" s="495" t="str">
        <f>IF('Feuilles=description générale'!$E$13="","",IF(AP61="","",IF(AP61&gt;('Feuilles=description générale'!$E$25+'Feuilles=description générale'!$E$24),"",100*(AP61-'Feuilles=description générale'!$E$24)/('Feuilles=description générale'!$E$25))))</f>
        <v/>
      </c>
      <c r="AR61" s="495">
        <f>IF('Feuilles=description générale'!$E$27="","",IF(AP61="","",IF(AP61&lt;=('Feuilles=description générale'!$E$25+'Feuilles=description générale'!$E$24),"",100*(AP61-'Feuilles=description générale'!$E$25-'Feuilles=description générale'!$E$24)/('Feuilles=description générale'!$E$26))))</f>
        <v>52.044198895027627</v>
      </c>
      <c r="AS61" s="496">
        <f>IF('Feuilles=description générale'!$E$27="","",IF(AP61="","",100*(AP61-'Feuilles=description générale'!$E$24)/('Feuilles=description générale'!$E$27-'Feuilles=description générale'!$E$24)))</f>
        <v>62.869714006355409</v>
      </c>
      <c r="AT61" s="497">
        <f t="shared" si="10"/>
        <v>1</v>
      </c>
      <c r="AU61" s="500" t="str">
        <f t="shared" si="11"/>
        <v/>
      </c>
      <c r="AV61" s="494" t="str">
        <f t="shared" si="12"/>
        <v/>
      </c>
      <c r="AW61" s="499">
        <f t="shared" si="13"/>
        <v>1.3000000000000114</v>
      </c>
      <c r="AX61" s="371"/>
      <c r="AY61" s="494">
        <f t="shared" si="14"/>
        <v>279.3</v>
      </c>
      <c r="AZ61" s="495" t="str">
        <f>IF('Feuilles=description générale'!$E$13="","",IF(AY61="","",IF(AY61&gt;('Feuilles=description générale'!$E$25+'Feuilles=description générale'!$E$24),"",100*(AY61-'Feuilles=description générale'!$E$24)/('Feuilles=description générale'!$E$25))))</f>
        <v/>
      </c>
      <c r="BA61" s="495">
        <f>IF('Feuilles=description générale'!$E$27="","",IF(AY61="","",IF(AY61&lt;=('Feuilles=description générale'!$E$25+'Feuilles=description générale'!$E$24),"",100*(AY61-'Feuilles=description générale'!$E$25-'Feuilles=description générale'!$E$24)/('Feuilles=description générale'!$E$26))))</f>
        <v>51.760063141278614</v>
      </c>
      <c r="BB61" s="496">
        <f>IF('Feuilles=description générale'!$E$27="","",IF(AY61="","",100*(AY61-'Feuilles=description générale'!$E$24)/('Feuilles=description générale'!$E$27-'Feuilles=description générale'!$E$24)))</f>
        <v>62.649718895135663</v>
      </c>
      <c r="BC61" s="497">
        <f t="shared" si="15"/>
        <v>1</v>
      </c>
      <c r="BD61" s="500" t="str">
        <f t="shared" si="16"/>
        <v/>
      </c>
      <c r="BE61" s="494" t="str">
        <f t="shared" si="17"/>
        <v/>
      </c>
      <c r="BF61" s="499">
        <f t="shared" si="18"/>
        <v>2.5</v>
      </c>
      <c r="BG61" s="476"/>
      <c r="BH61" s="563"/>
      <c r="BI61" s="562"/>
      <c r="BJ61" s="562"/>
      <c r="BK61" s="562"/>
      <c r="BL61" s="562"/>
      <c r="BM61" s="562"/>
      <c r="BN61" s="562"/>
      <c r="BO61" s="562"/>
      <c r="BP61" s="562"/>
      <c r="BQ61" s="562"/>
      <c r="BR61" s="562"/>
      <c r="BS61" s="562"/>
      <c r="BT61" s="562"/>
      <c r="BU61" s="568"/>
      <c r="BV61" s="1114">
        <f t="shared" si="19"/>
        <v>29.159999999999755</v>
      </c>
      <c r="BW61" s="1114" t="str">
        <f t="shared" si="19"/>
        <v/>
      </c>
      <c r="BX61" s="1114" t="str">
        <f t="shared" si="20"/>
        <v/>
      </c>
      <c r="BY61" s="1115">
        <f t="shared" si="20"/>
        <v>1.6900000000000295</v>
      </c>
      <c r="BZ61" s="477"/>
      <c r="CA61" s="1114" t="str">
        <f t="shared" si="21"/>
        <v/>
      </c>
      <c r="CB61" s="1114">
        <f t="shared" si="21"/>
        <v>1.6900000000000295</v>
      </c>
      <c r="CC61" s="1114" t="str">
        <f t="shared" si="22"/>
        <v/>
      </c>
      <c r="CD61" s="1115">
        <f t="shared" si="22"/>
        <v>6.25</v>
      </c>
      <c r="CE61" s="568"/>
      <c r="CF61" s="509">
        <f>IF(SUMIF($BI$30:$BI$42,10,$BH$30:$BH$42)=0,"",SUMIF($BI$30:$BI$42,10,$BH$30:$BH$42))</f>
        <v>76</v>
      </c>
      <c r="CG61" s="510">
        <f t="shared" si="68"/>
        <v>2.4355555555555575</v>
      </c>
      <c r="CH61" s="512">
        <f t="shared" si="68"/>
        <v>1.3290927472769523</v>
      </c>
      <c r="CI61" s="510">
        <f t="shared" si="69"/>
        <v>1.6067796610169485</v>
      </c>
      <c r="CJ61" s="512">
        <f t="shared" si="69"/>
        <v>8.6092335096451506E-2</v>
      </c>
      <c r="CK61" s="562"/>
      <c r="CL61" s="562"/>
      <c r="CM61" s="562"/>
      <c r="CN61" s="562"/>
      <c r="CO61" s="562"/>
      <c r="CP61" s="562"/>
      <c r="CQ61" s="562"/>
      <c r="CR61" s="562"/>
      <c r="CS61" s="562"/>
      <c r="CT61" s="562"/>
      <c r="CU61" s="562"/>
      <c r="CV61" s="476"/>
      <c r="CW61" s="345"/>
      <c r="CX61" s="345"/>
      <c r="CY61" s="345"/>
      <c r="CZ61" s="345"/>
      <c r="DA61" s="345"/>
      <c r="DB61" s="345"/>
      <c r="DC61" s="345"/>
      <c r="DD61" s="345"/>
      <c r="DE61" s="345"/>
      <c r="DF61" s="345"/>
      <c r="DG61" s="345"/>
      <c r="DH61" s="345"/>
      <c r="DI61" s="345"/>
      <c r="DJ61" s="345"/>
      <c r="DK61" s="345"/>
      <c r="DL61" s="345"/>
      <c r="DM61" s="345"/>
      <c r="DN61" s="345"/>
      <c r="DO61" s="345"/>
      <c r="DP61" s="345"/>
      <c r="DQ61" s="345"/>
      <c r="DR61" s="345"/>
      <c r="DS61" s="345"/>
      <c r="DT61" s="345"/>
      <c r="DU61" s="345"/>
      <c r="DV61" s="345"/>
      <c r="DW61" s="345"/>
      <c r="DX61" s="345"/>
      <c r="DY61" s="345"/>
      <c r="DZ61" s="345"/>
      <c r="EA61" s="345"/>
      <c r="EB61" s="345"/>
      <c r="EC61" s="345"/>
      <c r="ED61" s="345"/>
      <c r="EE61" s="345"/>
      <c r="EF61" s="345"/>
      <c r="EG61" s="345"/>
      <c r="EH61" s="345"/>
      <c r="EI61" s="345"/>
      <c r="EJ61" s="345"/>
      <c r="EK61" s="345"/>
      <c r="EL61" s="345"/>
      <c r="EM61" s="345"/>
      <c r="EN61" s="345"/>
      <c r="EO61" s="345"/>
      <c r="EP61" s="345"/>
      <c r="EQ61" s="345"/>
      <c r="ER61" s="345"/>
      <c r="ES61" s="345"/>
      <c r="ET61" s="345"/>
      <c r="EU61" s="345"/>
      <c r="EV61" s="345"/>
      <c r="EW61" s="345"/>
      <c r="EX61" s="345"/>
      <c r="EY61" s="345"/>
      <c r="EZ61" s="345"/>
      <c r="FA61" s="345"/>
      <c r="FB61" s="345"/>
      <c r="FC61" s="345"/>
      <c r="FD61" s="345"/>
      <c r="FE61" s="345"/>
      <c r="FF61" s="345"/>
      <c r="FG61" s="345"/>
      <c r="FH61" s="345"/>
      <c r="FI61" s="345"/>
      <c r="FJ61" s="345"/>
      <c r="FK61" s="345"/>
      <c r="FL61" s="345"/>
      <c r="FM61" s="345"/>
      <c r="FN61" s="345"/>
      <c r="FO61" s="345"/>
      <c r="FP61" s="345"/>
      <c r="FQ61" s="345"/>
      <c r="FR61" s="345"/>
      <c r="FS61" s="345"/>
      <c r="FT61" s="345"/>
      <c r="FU61" s="345"/>
      <c r="FV61" s="345"/>
      <c r="FW61" s="345"/>
      <c r="FX61" s="345"/>
      <c r="FY61" s="345"/>
      <c r="FZ61" s="345"/>
      <c r="GA61" s="345"/>
      <c r="GB61" s="345"/>
      <c r="GC61" s="345"/>
      <c r="GD61" s="345"/>
      <c r="GE61" s="345"/>
      <c r="GF61" s="345"/>
      <c r="GG61" s="345"/>
      <c r="GH61" s="345"/>
      <c r="GI61" s="345"/>
      <c r="GJ61" s="345"/>
      <c r="GK61" s="345"/>
      <c r="GL61" s="345"/>
      <c r="GM61" s="345"/>
      <c r="GN61" s="345"/>
      <c r="GO61" s="345"/>
      <c r="GP61" s="345"/>
      <c r="GQ61" s="345"/>
      <c r="GR61" s="345"/>
      <c r="GS61" s="345"/>
      <c r="GT61" s="345"/>
      <c r="GU61" s="345"/>
    </row>
    <row r="62" spans="1:203" ht="12.75" customHeight="1">
      <c r="A62" s="465">
        <f t="shared" si="31"/>
        <v>2</v>
      </c>
      <c r="B62" s="1108">
        <v>52</v>
      </c>
      <c r="C62" s="1109">
        <v>1</v>
      </c>
      <c r="D62" s="398">
        <v>278.7</v>
      </c>
      <c r="E62" s="1120"/>
      <c r="F62" s="465">
        <f t="shared" si="36"/>
        <v>2</v>
      </c>
      <c r="G62" s="1108">
        <v>52</v>
      </c>
      <c r="H62" s="1109">
        <v>-1</v>
      </c>
      <c r="I62" s="398">
        <v>275</v>
      </c>
      <c r="J62" s="1120"/>
      <c r="K62" s="465"/>
      <c r="L62" s="465"/>
      <c r="M62" s="465">
        <f t="shared" si="23"/>
        <v>2</v>
      </c>
      <c r="N62" s="1108">
        <v>52</v>
      </c>
      <c r="O62" s="1109">
        <v>-1</v>
      </c>
      <c r="P62" s="398">
        <v>281.5</v>
      </c>
      <c r="Q62" s="1120"/>
      <c r="R62" s="465">
        <f t="shared" si="24"/>
        <v>2</v>
      </c>
      <c r="S62" s="1108">
        <v>52</v>
      </c>
      <c r="T62" s="1109">
        <v>0</v>
      </c>
      <c r="U62" s="1110">
        <v>281.8</v>
      </c>
      <c r="V62" s="1120"/>
      <c r="W62" s="371"/>
      <c r="X62" s="494">
        <f t="shared" si="0"/>
        <v>278.7</v>
      </c>
      <c r="Y62" s="495" t="str">
        <f>IF('Feuilles=description générale'!$E$13="","",IF(X62="","",IF(X62&gt;('Feuilles=description générale'!$E$11+'Feuilles=description générale'!$E$10),"",100*(X62-'Feuilles=description générale'!$E$10)/('Feuilles=description générale'!$E$11))))</f>
        <v/>
      </c>
      <c r="Z62" s="495">
        <f>IF('Feuilles=description générale'!$E$13="","",IF(X62="","",IF(X62&lt;=('Feuilles=description générale'!$E$11+'Feuilles=description générale'!$E$10),"",100*(X62-'Feuilles=description générale'!$E$11-'Feuilles=description générale'!$E$10)/('Feuilles=description générale'!$E$12))))</f>
        <v>55.830966520354593</v>
      </c>
      <c r="AA62" s="1112">
        <f>IF('Feuilles=description générale'!$E$13="","",IF(X62="","",100*(X62-'Feuilles=description générale'!$E$10)/('Feuilles=description générale'!$E$13-'Feuilles=description générale'!$E$10)))</f>
        <v>66.761658031088089</v>
      </c>
      <c r="AB62" s="497">
        <f t="shared" si="1"/>
        <v>1</v>
      </c>
      <c r="AC62" s="500" t="str">
        <f t="shared" si="32"/>
        <v/>
      </c>
      <c r="AD62" s="494" t="str">
        <f t="shared" si="2"/>
        <v/>
      </c>
      <c r="AE62" s="499">
        <f t="shared" si="3"/>
        <v>1.4000000000000341</v>
      </c>
      <c r="AF62" s="371"/>
      <c r="AG62" s="494">
        <f t="shared" si="4"/>
        <v>275</v>
      </c>
      <c r="AH62" s="495" t="str">
        <f>IF('Feuilles=description générale'!$E$13="","",IF(AG62="","",IF(AG62&gt;('Feuilles=description générale'!$E$11+'Feuilles=description générale'!$E$10),"",100*(AG62-'Feuilles=description générale'!$E$10)/('Feuilles=description générale'!$E$11))))</f>
        <v/>
      </c>
      <c r="AI62" s="495">
        <f>IF('Feuilles=description générale'!$E$13="","",IF(AG62="","",IF(AG62&lt;=('Feuilles=description générale'!$E$11+'Feuilles=description générale'!$E$10),"",100*(AG62-'Feuilles=description générale'!$E$11-'Feuilles=description générale'!$E$10)/('Feuilles=description générale'!$E$12))))</f>
        <v>54.557190808159049</v>
      </c>
      <c r="AJ62" s="496">
        <f>IF('Feuilles=description générale'!$E$13="","",IF(AG62="","",100*(AG62-'Feuilles=description générale'!$E$10)/('Feuilles=description générale'!$E$13-'Feuilles=description générale'!$E$10)))</f>
        <v>65.803108808290162</v>
      </c>
      <c r="AK62" s="1113">
        <f t="shared" si="5"/>
        <v>3</v>
      </c>
      <c r="AL62" s="498">
        <f t="shared" si="6"/>
        <v>3</v>
      </c>
      <c r="AM62" s="494">
        <f t="shared" si="7"/>
        <v>3.3000000000000114</v>
      </c>
      <c r="AN62" s="499" t="str">
        <f t="shared" si="8"/>
        <v/>
      </c>
      <c r="AO62" s="371"/>
      <c r="AP62" s="494">
        <f t="shared" si="9"/>
        <v>281.5</v>
      </c>
      <c r="AQ62" s="495" t="str">
        <f>IF('Feuilles=description générale'!$E$13="","",IF(AP62="","",IF(AP62&gt;('Feuilles=description générale'!$E$25+'Feuilles=description générale'!$E$24),"",100*(AP62-'Feuilles=description générale'!$E$24)/('Feuilles=description générale'!$E$25))))</f>
        <v/>
      </c>
      <c r="AR62" s="495">
        <f>IF('Feuilles=description générale'!$E$27="","",IF(AP62="","",IF(AP62&lt;=('Feuilles=description générale'!$E$25+'Feuilles=description générale'!$E$24),"",100*(AP62-'Feuilles=description générale'!$E$25-'Feuilles=description générale'!$E$24)/('Feuilles=description générale'!$E$26))))</f>
        <v>52.454617205998424</v>
      </c>
      <c r="AS62" s="496">
        <f>IF('Feuilles=description générale'!$E$27="","",IF(AP62="","",100*(AP62-'Feuilles=description générale'!$E$24)/('Feuilles=description générale'!$E$27-'Feuilles=description générale'!$E$24)))</f>
        <v>63.18748472256172</v>
      </c>
      <c r="AT62" s="497">
        <f t="shared" si="10"/>
        <v>2</v>
      </c>
      <c r="AU62" s="500">
        <f t="shared" si="11"/>
        <v>2</v>
      </c>
      <c r="AV62" s="494">
        <f t="shared" si="12"/>
        <v>4</v>
      </c>
      <c r="AW62" s="499" t="str">
        <f t="shared" si="13"/>
        <v/>
      </c>
      <c r="AX62" s="371"/>
      <c r="AY62" s="494">
        <f t="shared" si="14"/>
        <v>281.8</v>
      </c>
      <c r="AZ62" s="495" t="str">
        <f>IF('Feuilles=description générale'!$E$13="","",IF(AY62="","",IF(AY62&gt;('Feuilles=description générale'!$E$25+'Feuilles=description générale'!$E$24),"",100*(AY62-'Feuilles=description générale'!$E$24)/('Feuilles=description générale'!$E$25))))</f>
        <v/>
      </c>
      <c r="BA62" s="495">
        <f>IF('Feuilles=description générale'!$E$27="","",IF(AY62="","",IF(AY62&lt;=('Feuilles=description générale'!$E$25+'Feuilles=description générale'!$E$24),"",100*(AY62-'Feuilles=description générale'!$E$25-'Feuilles=description générale'!$E$24)/('Feuilles=description générale'!$E$26))))</f>
        <v>52.54932912391476</v>
      </c>
      <c r="BB62" s="496">
        <f>IF('Feuilles=description générale'!$E$27="","",IF(AY62="","",100*(AY62-'Feuilles=description générale'!$E$24)/('Feuilles=description générale'!$E$27-'Feuilles=description générale'!$E$24)))</f>
        <v>63.260816426301638</v>
      </c>
      <c r="BC62" s="497">
        <f t="shared" si="15"/>
        <v>2</v>
      </c>
      <c r="BD62" s="500" t="str">
        <f t="shared" si="16"/>
        <v/>
      </c>
      <c r="BE62" s="494" t="str">
        <f t="shared" si="17"/>
        <v/>
      </c>
      <c r="BF62" s="499">
        <f t="shared" si="18"/>
        <v>1.5</v>
      </c>
      <c r="BG62" s="476"/>
      <c r="BH62" s="563"/>
      <c r="BI62" s="562"/>
      <c r="BJ62" s="562"/>
      <c r="BK62" s="562"/>
      <c r="BL62" s="562"/>
      <c r="BM62" s="562"/>
      <c r="BN62" s="562"/>
      <c r="BO62" s="562"/>
      <c r="BP62" s="562"/>
      <c r="BQ62" s="562"/>
      <c r="BR62" s="562"/>
      <c r="BS62" s="562"/>
      <c r="BT62" s="562"/>
      <c r="BU62" s="568"/>
      <c r="BV62" s="1114" t="str">
        <f t="shared" si="19"/>
        <v/>
      </c>
      <c r="BW62" s="1114">
        <f t="shared" si="19"/>
        <v>1.9600000000000954</v>
      </c>
      <c r="BX62" s="1114">
        <f t="shared" si="20"/>
        <v>10.890000000000075</v>
      </c>
      <c r="BY62" s="1115" t="str">
        <f t="shared" si="20"/>
        <v/>
      </c>
      <c r="BZ62" s="477"/>
      <c r="CA62" s="1114">
        <f t="shared" si="21"/>
        <v>16</v>
      </c>
      <c r="CB62" s="1114" t="str">
        <f t="shared" si="21"/>
        <v/>
      </c>
      <c r="CC62" s="1114" t="str">
        <f t="shared" si="22"/>
        <v/>
      </c>
      <c r="CD62" s="1115">
        <f t="shared" si="22"/>
        <v>2.25</v>
      </c>
      <c r="CE62" s="568"/>
      <c r="CF62" s="509">
        <f>IF(SUMIF($BI$30:$BI$42,11,$BH$30:$BH$42)=0,"",SUMIF($BI$30:$BI$42,11,$BH$30:$BH$42))</f>
        <v>88</v>
      </c>
      <c r="CG62" s="510">
        <f t="shared" si="68"/>
        <v>4.0555555555555589</v>
      </c>
      <c r="CH62" s="512">
        <f t="shared" si="68"/>
        <v>0.12890241083003368</v>
      </c>
      <c r="CI62" s="510">
        <f t="shared" si="69"/>
        <v>1.9119999999999937</v>
      </c>
      <c r="CJ62" s="512">
        <f t="shared" si="69"/>
        <v>0.12306096050331643</v>
      </c>
      <c r="CK62" s="562"/>
      <c r="CL62" s="1189"/>
      <c r="CM62" s="562"/>
      <c r="CN62" s="562"/>
      <c r="CO62" s="562"/>
      <c r="CP62" s="562"/>
      <c r="CQ62" s="562"/>
      <c r="CR62" s="562"/>
      <c r="CS62" s="562"/>
      <c r="CT62" s="562"/>
      <c r="CU62" s="562"/>
      <c r="CV62" s="476"/>
      <c r="CW62" s="345"/>
      <c r="CX62" s="345"/>
      <c r="CY62" s="345"/>
      <c r="CZ62" s="345"/>
      <c r="DA62" s="345"/>
      <c r="DB62" s="345"/>
      <c r="DC62" s="345"/>
      <c r="DD62" s="345"/>
      <c r="DE62" s="345"/>
      <c r="DF62" s="345"/>
      <c r="DG62" s="345"/>
      <c r="DH62" s="345"/>
      <c r="DI62" s="345"/>
      <c r="DJ62" s="345"/>
      <c r="DK62" s="345"/>
      <c r="DL62" s="345"/>
      <c r="DM62" s="345"/>
      <c r="DN62" s="345"/>
      <c r="DO62" s="345"/>
      <c r="DP62" s="345"/>
      <c r="DQ62" s="345"/>
      <c r="DR62" s="345"/>
      <c r="DS62" s="345"/>
      <c r="DT62" s="345"/>
      <c r="DU62" s="345"/>
      <c r="DV62" s="345"/>
      <c r="DW62" s="345"/>
      <c r="DX62" s="345"/>
      <c r="DY62" s="345"/>
      <c r="DZ62" s="345"/>
      <c r="EA62" s="345"/>
      <c r="EB62" s="345"/>
      <c r="EC62" s="345"/>
      <c r="ED62" s="345"/>
      <c r="EE62" s="345"/>
      <c r="EF62" s="345"/>
      <c r="EG62" s="345"/>
      <c r="EH62" s="345"/>
      <c r="EI62" s="345"/>
      <c r="EJ62" s="345"/>
      <c r="EK62" s="345"/>
      <c r="EL62" s="345"/>
      <c r="EM62" s="345"/>
      <c r="EN62" s="345"/>
      <c r="EO62" s="345"/>
      <c r="EP62" s="345"/>
      <c r="EQ62" s="345"/>
      <c r="ER62" s="345"/>
      <c r="ES62" s="345"/>
      <c r="ET62" s="345"/>
      <c r="EU62" s="345"/>
      <c r="EV62" s="345"/>
      <c r="EW62" s="345"/>
      <c r="EX62" s="345"/>
      <c r="EY62" s="345"/>
      <c r="EZ62" s="345"/>
      <c r="FA62" s="345"/>
      <c r="FB62" s="345"/>
      <c r="FC62" s="345"/>
      <c r="FD62" s="345"/>
      <c r="FE62" s="345"/>
      <c r="FF62" s="345"/>
      <c r="FG62" s="345"/>
      <c r="FH62" s="345"/>
      <c r="FI62" s="345"/>
      <c r="FJ62" s="345"/>
      <c r="FK62" s="345"/>
      <c r="FL62" s="345"/>
      <c r="FM62" s="345"/>
      <c r="FN62" s="345"/>
      <c r="FO62" s="345"/>
      <c r="FP62" s="345"/>
      <c r="FQ62" s="345"/>
      <c r="FR62" s="345"/>
      <c r="FS62" s="345"/>
      <c r="FT62" s="345"/>
      <c r="FU62" s="345"/>
      <c r="FV62" s="345"/>
      <c r="FW62" s="345"/>
      <c r="FX62" s="345"/>
      <c r="FY62" s="345"/>
      <c r="FZ62" s="345"/>
      <c r="GA62" s="345"/>
      <c r="GB62" s="345"/>
      <c r="GC62" s="345"/>
      <c r="GD62" s="345"/>
      <c r="GE62" s="345"/>
      <c r="GF62" s="345"/>
      <c r="GG62" s="345"/>
      <c r="GH62" s="345"/>
      <c r="GI62" s="345"/>
      <c r="GJ62" s="345"/>
      <c r="GK62" s="345"/>
      <c r="GL62" s="345"/>
      <c r="GM62" s="345"/>
      <c r="GN62" s="345"/>
      <c r="GO62" s="345"/>
      <c r="GP62" s="345"/>
      <c r="GQ62" s="345"/>
      <c r="GR62" s="345"/>
      <c r="GS62" s="345"/>
      <c r="GT62" s="345"/>
      <c r="GU62" s="345"/>
    </row>
    <row r="63" spans="1:203" ht="12.75" customHeight="1">
      <c r="A63" s="465">
        <f t="shared" si="31"/>
        <v>2</v>
      </c>
      <c r="B63" s="1108">
        <v>53</v>
      </c>
      <c r="C63" s="1109">
        <v>-1</v>
      </c>
      <c r="D63" s="398">
        <v>280.10000000000002</v>
      </c>
      <c r="E63" s="1120"/>
      <c r="F63" s="465">
        <f t="shared" si="36"/>
        <v>2</v>
      </c>
      <c r="G63" s="1108">
        <v>53</v>
      </c>
      <c r="H63" s="1109">
        <v>1</v>
      </c>
      <c r="I63" s="398">
        <v>278.3</v>
      </c>
      <c r="J63" s="1120"/>
      <c r="K63" s="465"/>
      <c r="L63" s="465"/>
      <c r="M63" s="465">
        <f t="shared" si="23"/>
        <v>2</v>
      </c>
      <c r="N63" s="1108">
        <v>53</v>
      </c>
      <c r="O63" s="1109">
        <v>1</v>
      </c>
      <c r="P63" s="398">
        <v>285.5</v>
      </c>
      <c r="Q63" s="1120"/>
      <c r="R63" s="465">
        <f t="shared" si="24"/>
        <v>2</v>
      </c>
      <c r="S63" s="1108">
        <v>53</v>
      </c>
      <c r="T63" s="1109">
        <v>-1</v>
      </c>
      <c r="U63" s="1110">
        <v>283.3</v>
      </c>
      <c r="V63" s="1120"/>
      <c r="W63" s="371"/>
      <c r="X63" s="494">
        <f t="shared" si="0"/>
        <v>280.10000000000002</v>
      </c>
      <c r="Y63" s="495" t="str">
        <f>IF('Feuilles=description générale'!$E$13="","",IF(X63="","",IF(X63&gt;('Feuilles=description générale'!$E$11+'Feuilles=description générale'!$E$10),"",100*(X63-'Feuilles=description générale'!$E$10)/('Feuilles=description générale'!$E$11))))</f>
        <v/>
      </c>
      <c r="Z63" s="495">
        <f>IF('Feuilles=description générale'!$E$13="","",IF(X63="","",IF(X63&lt;=('Feuilles=description générale'!$E$11+'Feuilles=description générale'!$E$10),"",100*(X63-'Feuilles=description générale'!$E$11-'Feuilles=description générale'!$E$10)/('Feuilles=description générale'!$E$12))))</f>
        <v>56.31293570875291</v>
      </c>
      <c r="AA63" s="1112">
        <f>IF('Feuilles=description générale'!$E$13="","",IF(X63="","",100*(X63-'Feuilles=description générale'!$E$10)/('Feuilles=description générale'!$E$13-'Feuilles=description générale'!$E$10)))</f>
        <v>67.124352331606232</v>
      </c>
      <c r="AB63" s="497">
        <f t="shared" si="1"/>
        <v>2</v>
      </c>
      <c r="AC63" s="500">
        <f t="shared" si="32"/>
        <v>2</v>
      </c>
      <c r="AD63" s="494">
        <f t="shared" si="2"/>
        <v>3.6999999999999886</v>
      </c>
      <c r="AE63" s="499" t="str">
        <f t="shared" si="3"/>
        <v/>
      </c>
      <c r="AF63" s="371"/>
      <c r="AG63" s="494">
        <f t="shared" si="4"/>
        <v>278.3</v>
      </c>
      <c r="AH63" s="495" t="str">
        <f>IF('Feuilles=description générale'!$E$13="","",IF(AG63="","",IF(AG63&gt;('Feuilles=description générale'!$E$11+'Feuilles=description générale'!$E$10),"",100*(AG63-'Feuilles=description générale'!$E$10)/('Feuilles=description générale'!$E$11))))</f>
        <v/>
      </c>
      <c r="AI63" s="495">
        <f>IF('Feuilles=description générale'!$E$13="","",IF(AG63="","",IF(AG63&lt;=('Feuilles=description générale'!$E$11+'Feuilles=description générale'!$E$10),"",100*(AG63-'Feuilles=description générale'!$E$11-'Feuilles=description générale'!$E$10)/('Feuilles=description générale'!$E$12))))</f>
        <v>55.693261037955082</v>
      </c>
      <c r="AJ63" s="496">
        <f>IF('Feuilles=description générale'!$E$13="","",IF(AG63="","",100*(AG63-'Feuilles=description générale'!$E$10)/('Feuilles=description générale'!$E$13-'Feuilles=description générale'!$E$10)))</f>
        <v>66.658031088082907</v>
      </c>
      <c r="AK63" s="1113">
        <f t="shared" si="5"/>
        <v>1</v>
      </c>
      <c r="AL63" s="498" t="str">
        <f t="shared" si="6"/>
        <v/>
      </c>
      <c r="AM63" s="494" t="str">
        <f t="shared" si="7"/>
        <v/>
      </c>
      <c r="AN63" s="499">
        <f t="shared" si="8"/>
        <v>1.1999999999999886</v>
      </c>
      <c r="AO63" s="371"/>
      <c r="AP63" s="494">
        <f t="shared" si="9"/>
        <v>285.5</v>
      </c>
      <c r="AQ63" s="495" t="str">
        <f>IF('Feuilles=description générale'!$E$13="","",IF(AP63="","",IF(AP63&gt;('Feuilles=description générale'!$E$25+'Feuilles=description générale'!$E$24),"",100*(AP63-'Feuilles=description générale'!$E$24)/('Feuilles=description générale'!$E$25))))</f>
        <v/>
      </c>
      <c r="AR63" s="495">
        <f>IF('Feuilles=description générale'!$E$27="","",IF(AP63="","",IF(AP63&lt;=('Feuilles=description générale'!$E$25+'Feuilles=description générale'!$E$24),"",100*(AP63-'Feuilles=description générale'!$E$25-'Feuilles=description générale'!$E$24)/('Feuilles=description générale'!$E$26))))</f>
        <v>53.71744277821626</v>
      </c>
      <c r="AS63" s="496">
        <f>IF('Feuilles=description générale'!$E$27="","",IF(AP63="","",100*(AP63-'Feuilles=description générale'!$E$24)/('Feuilles=description générale'!$E$27-'Feuilles=description générale'!$E$24)))</f>
        <v>64.165240772427282</v>
      </c>
      <c r="AT63" s="497">
        <f t="shared" si="10"/>
        <v>1</v>
      </c>
      <c r="AU63" s="500" t="str">
        <f t="shared" si="11"/>
        <v/>
      </c>
      <c r="AV63" s="494" t="str">
        <f t="shared" si="12"/>
        <v/>
      </c>
      <c r="AW63" s="499">
        <f t="shared" si="13"/>
        <v>1.5</v>
      </c>
      <c r="AX63" s="371"/>
      <c r="AY63" s="494">
        <f t="shared" si="14"/>
        <v>283.3</v>
      </c>
      <c r="AZ63" s="495" t="str">
        <f>IF('Feuilles=description générale'!$E$13="","",IF(AY63="","",IF(AY63&gt;('Feuilles=description générale'!$E$25+'Feuilles=description générale'!$E$24),"",100*(AY63-'Feuilles=description générale'!$E$24)/('Feuilles=description générale'!$E$25))))</f>
        <v/>
      </c>
      <c r="BA63" s="495">
        <f>IF('Feuilles=description générale'!$E$27="","",IF(AY63="","",IF(AY63&lt;=('Feuilles=description générale'!$E$25+'Feuilles=description générale'!$E$24),"",100*(AY63-'Feuilles=description générale'!$E$25-'Feuilles=description générale'!$E$24)/('Feuilles=description générale'!$E$26))))</f>
        <v>53.022888713496449</v>
      </c>
      <c r="BB63" s="496">
        <f>IF('Feuilles=description générale'!$E$27="","",IF(AY63="","",100*(AY63-'Feuilles=description générale'!$E$24)/('Feuilles=description générale'!$E$27-'Feuilles=description générale'!$E$24)))</f>
        <v>63.627474945001218</v>
      </c>
      <c r="BC63" s="497">
        <f t="shared" si="15"/>
        <v>3</v>
      </c>
      <c r="BD63" s="500">
        <f t="shared" si="16"/>
        <v>3</v>
      </c>
      <c r="BE63" s="494">
        <f t="shared" si="17"/>
        <v>3.8999999999999773</v>
      </c>
      <c r="BF63" s="499" t="str">
        <f t="shared" si="18"/>
        <v/>
      </c>
      <c r="BG63" s="476"/>
      <c r="BH63" s="563"/>
      <c r="BI63" s="562"/>
      <c r="BJ63" s="562"/>
      <c r="BK63" s="562"/>
      <c r="BL63" s="562"/>
      <c r="BM63" s="562"/>
      <c r="BN63" s="562"/>
      <c r="BO63" s="562"/>
      <c r="BP63" s="562"/>
      <c r="BQ63" s="562"/>
      <c r="BR63" s="562"/>
      <c r="BS63" s="562"/>
      <c r="BT63" s="562"/>
      <c r="BU63" s="568"/>
      <c r="BV63" s="1114">
        <f t="shared" si="19"/>
        <v>13.689999999999916</v>
      </c>
      <c r="BW63" s="1114" t="str">
        <f t="shared" si="19"/>
        <v/>
      </c>
      <c r="BX63" s="1114" t="str">
        <f t="shared" si="20"/>
        <v/>
      </c>
      <c r="BY63" s="1115">
        <f t="shared" si="20"/>
        <v>1.4399999999999726</v>
      </c>
      <c r="BZ63" s="477"/>
      <c r="CA63" s="1114" t="str">
        <f t="shared" si="21"/>
        <v/>
      </c>
      <c r="CB63" s="1114">
        <f t="shared" si="21"/>
        <v>2.25</v>
      </c>
      <c r="CC63" s="1114">
        <f t="shared" si="22"/>
        <v>15.209999999999823</v>
      </c>
      <c r="CD63" s="1115" t="str">
        <f t="shared" si="22"/>
        <v/>
      </c>
      <c r="CE63" s="568"/>
      <c r="CF63" s="509">
        <f>IF(SUMIF($BI$30:$BI$42,12,$BH$30:$BH$42)=0,"",SUMIF($BI$30:$BI$42,12,$BH$30:$BH$42))</f>
        <v>96</v>
      </c>
      <c r="CG63" s="510">
        <f t="shared" si="68"/>
        <v>3.4000000000000035</v>
      </c>
      <c r="CH63" s="512">
        <f t="shared" si="68"/>
        <v>0.2681560969056821</v>
      </c>
      <c r="CI63" s="510">
        <f t="shared" si="69"/>
        <v>1.8526315789473649</v>
      </c>
      <c r="CJ63" s="512">
        <f t="shared" si="69"/>
        <v>0.10985594529441114</v>
      </c>
      <c r="CK63" s="562"/>
      <c r="CL63" s="1189"/>
      <c r="CM63" s="562"/>
      <c r="CN63" s="562"/>
      <c r="CO63" s="562"/>
      <c r="CP63" s="562"/>
      <c r="CQ63" s="562"/>
      <c r="CR63" s="562"/>
      <c r="CS63" s="562"/>
      <c r="CT63" s="562"/>
      <c r="CU63" s="562"/>
      <c r="CV63" s="476"/>
      <c r="CW63" s="345"/>
      <c r="CX63" s="345"/>
      <c r="CY63" s="345"/>
      <c r="CZ63" s="345"/>
      <c r="DA63" s="345"/>
      <c r="DB63" s="345"/>
      <c r="DC63" s="345"/>
      <c r="DD63" s="345"/>
      <c r="DE63" s="345"/>
      <c r="DF63" s="345"/>
      <c r="DG63" s="345"/>
      <c r="DH63" s="345"/>
      <c r="DI63" s="345"/>
      <c r="DJ63" s="345"/>
      <c r="DK63" s="345"/>
      <c r="DL63" s="345"/>
      <c r="DM63" s="345"/>
      <c r="DN63" s="345"/>
      <c r="DO63" s="345"/>
      <c r="DP63" s="345"/>
      <c r="DQ63" s="345"/>
      <c r="DR63" s="345"/>
      <c r="DS63" s="345"/>
      <c r="DT63" s="345"/>
      <c r="DU63" s="345"/>
      <c r="DV63" s="345"/>
      <c r="DW63" s="345"/>
      <c r="DX63" s="345"/>
      <c r="DY63" s="345"/>
      <c r="DZ63" s="345"/>
      <c r="EA63" s="345"/>
      <c r="EB63" s="345"/>
      <c r="EC63" s="345"/>
      <c r="ED63" s="345"/>
      <c r="EE63" s="345"/>
      <c r="EF63" s="345"/>
      <c r="EG63" s="345"/>
      <c r="EH63" s="345"/>
      <c r="EI63" s="345"/>
      <c r="EJ63" s="345"/>
      <c r="EK63" s="345"/>
      <c r="EL63" s="345"/>
      <c r="EM63" s="345"/>
      <c r="EN63" s="345"/>
      <c r="EO63" s="345"/>
      <c r="EP63" s="345"/>
      <c r="EQ63" s="345"/>
      <c r="ER63" s="345"/>
      <c r="ES63" s="345"/>
      <c r="ET63" s="345"/>
      <c r="EU63" s="345"/>
      <c r="EV63" s="345"/>
      <c r="EW63" s="345"/>
      <c r="EX63" s="345"/>
      <c r="EY63" s="345"/>
      <c r="EZ63" s="345"/>
      <c r="FA63" s="345"/>
      <c r="FB63" s="345"/>
      <c r="FC63" s="345"/>
      <c r="FD63" s="345"/>
      <c r="FE63" s="345"/>
      <c r="FF63" s="345"/>
      <c r="FG63" s="345"/>
      <c r="FH63" s="345"/>
      <c r="FI63" s="345"/>
      <c r="FJ63" s="345"/>
      <c r="FK63" s="345"/>
      <c r="FL63" s="345"/>
      <c r="FM63" s="345"/>
      <c r="FN63" s="345"/>
      <c r="FO63" s="345"/>
      <c r="FP63" s="345"/>
      <c r="FQ63" s="345"/>
      <c r="FR63" s="345"/>
      <c r="FS63" s="345"/>
      <c r="FT63" s="345"/>
      <c r="FU63" s="345"/>
      <c r="FV63" s="345"/>
      <c r="FW63" s="345"/>
      <c r="FX63" s="345"/>
      <c r="FY63" s="345"/>
      <c r="FZ63" s="345"/>
      <c r="GA63" s="345"/>
      <c r="GB63" s="345"/>
      <c r="GC63" s="345"/>
      <c r="GD63" s="345"/>
      <c r="GE63" s="345"/>
      <c r="GF63" s="345"/>
      <c r="GG63" s="345"/>
      <c r="GH63" s="345"/>
      <c r="GI63" s="345"/>
      <c r="GJ63" s="345"/>
      <c r="GK63" s="345"/>
      <c r="GL63" s="345"/>
      <c r="GM63" s="345"/>
      <c r="GN63" s="345"/>
      <c r="GO63" s="345"/>
      <c r="GP63" s="345"/>
      <c r="GQ63" s="345"/>
      <c r="GR63" s="345"/>
      <c r="GS63" s="345"/>
      <c r="GT63" s="345"/>
      <c r="GU63" s="345"/>
    </row>
    <row r="64" spans="1:203" ht="12.75" customHeight="1" thickBot="1">
      <c r="A64" s="465">
        <f t="shared" si="31"/>
        <v>2</v>
      </c>
      <c r="B64" s="1108">
        <v>54</v>
      </c>
      <c r="C64" s="1109">
        <v>1</v>
      </c>
      <c r="D64" s="398">
        <v>283.8</v>
      </c>
      <c r="E64" s="1120"/>
      <c r="F64" s="465">
        <f t="shared" si="36"/>
        <v>2</v>
      </c>
      <c r="G64" s="1108">
        <v>54</v>
      </c>
      <c r="H64" s="1109">
        <v>-1</v>
      </c>
      <c r="I64" s="398">
        <v>279.5</v>
      </c>
      <c r="J64" s="1120"/>
      <c r="K64" s="465"/>
      <c r="L64" s="465"/>
      <c r="M64" s="465">
        <f t="shared" si="23"/>
        <v>2</v>
      </c>
      <c r="N64" s="1108">
        <v>54</v>
      </c>
      <c r="O64" s="1109">
        <v>0</v>
      </c>
      <c r="P64" s="398">
        <v>287</v>
      </c>
      <c r="Q64" s="1120"/>
      <c r="R64" s="465">
        <f t="shared" si="24"/>
        <v>2</v>
      </c>
      <c r="S64" s="1108">
        <v>54</v>
      </c>
      <c r="T64" s="1109">
        <v>1</v>
      </c>
      <c r="U64" s="1110">
        <v>287.2</v>
      </c>
      <c r="V64" s="1120"/>
      <c r="W64" s="371"/>
      <c r="X64" s="494">
        <f t="shared" si="0"/>
        <v>283.8</v>
      </c>
      <c r="Y64" s="495" t="str">
        <f>IF('Feuilles=description générale'!$E$13="","",IF(X64="","",IF(X64&gt;('Feuilles=description générale'!$E$11+'Feuilles=description générale'!$E$10),"",100*(X64-'Feuilles=description générale'!$E$10)/('Feuilles=description générale'!$E$11))))</f>
        <v/>
      </c>
      <c r="Z64" s="495">
        <f>IF('Feuilles=description générale'!$E$13="","",IF(X64="","",IF(X64&lt;=('Feuilles=description générale'!$E$11+'Feuilles=description générale'!$E$10),"",100*(X64-'Feuilles=description générale'!$E$11-'Feuilles=description générale'!$E$10)/('Feuilles=description générale'!$E$12))))</f>
        <v>57.586711420948454</v>
      </c>
      <c r="AA64" s="1112">
        <f>IF('Feuilles=description générale'!$E$13="","",IF(X64="","",100*(X64-'Feuilles=description générale'!$E$10)/('Feuilles=description générale'!$E$13-'Feuilles=description générale'!$E$10)))</f>
        <v>68.082901554404145</v>
      </c>
      <c r="AB64" s="497">
        <f t="shared" si="1"/>
        <v>1</v>
      </c>
      <c r="AC64" s="500" t="str">
        <f t="shared" si="32"/>
        <v/>
      </c>
      <c r="AD64" s="494" t="str">
        <f t="shared" si="2"/>
        <v/>
      </c>
      <c r="AE64" s="499">
        <f t="shared" si="3"/>
        <v>1.3999999999999773</v>
      </c>
      <c r="AF64" s="371"/>
      <c r="AG64" s="494">
        <f t="shared" si="4"/>
        <v>279.5</v>
      </c>
      <c r="AH64" s="495" t="str">
        <f>IF('Feuilles=description générale'!$E$13="","",IF(AG64="","",IF(AG64&gt;('Feuilles=description générale'!$E$11+'Feuilles=description générale'!$E$10),"",100*(AG64-'Feuilles=description générale'!$E$10)/('Feuilles=description générale'!$E$11))))</f>
        <v/>
      </c>
      <c r="AI64" s="495">
        <f>IF('Feuilles=description générale'!$E$13="","",IF(AG64="","",IF(AG64&lt;=('Feuilles=description générale'!$E$11+'Feuilles=description générale'!$E$10),"",100*(AG64-'Feuilles=description générale'!$E$11-'Feuilles=description générale'!$E$10)/('Feuilles=description générale'!$E$12))))</f>
        <v>56.106377485153629</v>
      </c>
      <c r="AJ64" s="496">
        <f>IF('Feuilles=description générale'!$E$13="","",IF(AG64="","",100*(AG64-'Feuilles=description générale'!$E$10)/('Feuilles=description générale'!$E$13-'Feuilles=description générale'!$E$10)))</f>
        <v>66.968911917098453</v>
      </c>
      <c r="AK64" s="1113">
        <f t="shared" si="5"/>
        <v>2</v>
      </c>
      <c r="AL64" s="498">
        <f t="shared" si="6"/>
        <v>2</v>
      </c>
      <c r="AM64" s="494">
        <f t="shared" si="7"/>
        <v>4</v>
      </c>
      <c r="AN64" s="499" t="str">
        <f t="shared" si="8"/>
        <v/>
      </c>
      <c r="AO64" s="371"/>
      <c r="AP64" s="494">
        <f t="shared" si="9"/>
        <v>287</v>
      </c>
      <c r="AQ64" s="495" t="str">
        <f>IF('Feuilles=description générale'!$E$13="","",IF(AP64="","",IF(AP64&gt;('Feuilles=description générale'!$E$25+'Feuilles=description générale'!$E$24),"",100*(AP64-'Feuilles=description générale'!$E$24)/('Feuilles=description générale'!$E$25))))</f>
        <v/>
      </c>
      <c r="AR64" s="495">
        <f>IF('Feuilles=description générale'!$E$27="","",IF(AP64="","",IF(AP64&lt;=('Feuilles=description générale'!$E$25+'Feuilles=description générale'!$E$24),"",100*(AP64-'Feuilles=description générale'!$E$25-'Feuilles=description générale'!$E$24)/('Feuilles=description générale'!$E$26))))</f>
        <v>54.19100236779795</v>
      </c>
      <c r="AS64" s="496">
        <f>IF('Feuilles=description générale'!$E$27="","",IF(AP64="","",100*(AP64-'Feuilles=description générale'!$E$24)/('Feuilles=description générale'!$E$27-'Feuilles=description générale'!$E$24)))</f>
        <v>64.531899291126862</v>
      </c>
      <c r="AT64" s="497">
        <f t="shared" si="10"/>
        <v>2</v>
      </c>
      <c r="AU64" s="500" t="str">
        <f t="shared" si="11"/>
        <v/>
      </c>
      <c r="AV64" s="494" t="str">
        <f t="shared" si="12"/>
        <v/>
      </c>
      <c r="AW64" s="499">
        <f t="shared" si="13"/>
        <v>1</v>
      </c>
      <c r="AX64" s="371"/>
      <c r="AY64" s="494">
        <f t="shared" si="14"/>
        <v>287.2</v>
      </c>
      <c r="AZ64" s="495" t="str">
        <f>IF('Feuilles=description générale'!$E$13="","",IF(AY64="","",IF(AY64&gt;('Feuilles=description générale'!$E$25+'Feuilles=description générale'!$E$24),"",100*(AY64-'Feuilles=description générale'!$E$24)/('Feuilles=description générale'!$E$25))))</f>
        <v/>
      </c>
      <c r="BA64" s="495">
        <f>IF('Feuilles=description générale'!$E$27="","",IF(AY64="","",IF(AY64&lt;=('Feuilles=description générale'!$E$25+'Feuilles=description générale'!$E$24),"",100*(AY64-'Feuilles=description générale'!$E$25-'Feuilles=description générale'!$E$24)/('Feuilles=description générale'!$E$26))))</f>
        <v>54.254143646408842</v>
      </c>
      <c r="BB64" s="496">
        <f>IF('Feuilles=description générale'!$E$27="","",IF(AY64="","",100*(AY64-'Feuilles=description générale'!$E$24)/('Feuilles=description générale'!$E$27-'Feuilles=description générale'!$E$24)))</f>
        <v>64.580787093620131</v>
      </c>
      <c r="BC64" s="497">
        <f t="shared" si="15"/>
        <v>1</v>
      </c>
      <c r="BD64" s="500" t="str">
        <f t="shared" si="16"/>
        <v/>
      </c>
      <c r="BE64" s="494" t="str">
        <f t="shared" si="17"/>
        <v/>
      </c>
      <c r="BF64" s="499">
        <f t="shared" si="18"/>
        <v>3.1999999999999886</v>
      </c>
      <c r="BG64" s="476"/>
      <c r="BH64" s="563"/>
      <c r="BI64" s="562"/>
      <c r="BJ64" s="562"/>
      <c r="BK64" s="562"/>
      <c r="BL64" s="562"/>
      <c r="BM64" s="562"/>
      <c r="BN64" s="562"/>
      <c r="BO64" s="562"/>
      <c r="BP64" s="562"/>
      <c r="BQ64" s="562"/>
      <c r="BR64" s="562"/>
      <c r="BS64" s="562"/>
      <c r="BT64" s="562"/>
      <c r="BU64" s="568"/>
      <c r="BV64" s="1114" t="str">
        <f t="shared" si="19"/>
        <v/>
      </c>
      <c r="BW64" s="1114">
        <f t="shared" si="19"/>
        <v>1.9599999999999362</v>
      </c>
      <c r="BX64" s="1114">
        <f t="shared" si="20"/>
        <v>16</v>
      </c>
      <c r="BY64" s="1115" t="str">
        <f t="shared" si="20"/>
        <v/>
      </c>
      <c r="BZ64" s="477"/>
      <c r="CA64" s="1114" t="str">
        <f t="shared" si="21"/>
        <v/>
      </c>
      <c r="CB64" s="1114">
        <f t="shared" si="21"/>
        <v>1</v>
      </c>
      <c r="CC64" s="1114" t="str">
        <f t="shared" si="22"/>
        <v/>
      </c>
      <c r="CD64" s="1115">
        <f t="shared" si="22"/>
        <v>10.239999999999927</v>
      </c>
      <c r="CE64" s="568"/>
      <c r="CF64" s="1127">
        <f>IF(SUMIF($BI$30:$BI$42,13,$BH$30:$BH$42)=0,"",SUMIF($BI$30:$BI$42,13,$BH$30:$BH$42))</f>
        <v>100</v>
      </c>
      <c r="CG64" s="1190">
        <f t="shared" si="68"/>
        <v>0.01</v>
      </c>
      <c r="CH64" s="1191">
        <f t="shared" si="68"/>
        <v>0</v>
      </c>
      <c r="CI64" s="1190">
        <f t="shared" si="69"/>
        <v>0.01</v>
      </c>
      <c r="CJ64" s="1191">
        <f t="shared" si="69"/>
        <v>0</v>
      </c>
      <c r="CK64" s="562"/>
      <c r="CL64" s="1189"/>
      <c r="CM64" s="562"/>
      <c r="CN64" s="562"/>
      <c r="CO64" s="562"/>
      <c r="CP64" s="562"/>
      <c r="CQ64" s="562"/>
      <c r="CR64" s="562"/>
      <c r="CS64" s="562"/>
      <c r="CT64" s="562"/>
      <c r="CU64" s="562"/>
      <c r="CV64" s="476"/>
      <c r="CW64" s="345"/>
      <c r="CX64" s="345"/>
      <c r="CY64" s="345"/>
      <c r="CZ64" s="345"/>
      <c r="DA64" s="345"/>
      <c r="DB64" s="345"/>
      <c r="DC64" s="345"/>
      <c r="DD64" s="345"/>
      <c r="DE64" s="345"/>
      <c r="DF64" s="345"/>
      <c r="DG64" s="345"/>
      <c r="DH64" s="345"/>
      <c r="DI64" s="345"/>
      <c r="DJ64" s="345"/>
      <c r="DK64" s="345"/>
      <c r="DL64" s="345"/>
      <c r="DM64" s="345"/>
      <c r="DN64" s="345"/>
      <c r="DO64" s="345"/>
      <c r="DP64" s="345"/>
      <c r="DQ64" s="345"/>
      <c r="DR64" s="345"/>
      <c r="DS64" s="345"/>
      <c r="DT64" s="345"/>
      <c r="DU64" s="345"/>
      <c r="DV64" s="345"/>
      <c r="DW64" s="345"/>
      <c r="DX64" s="345"/>
      <c r="DY64" s="345"/>
      <c r="DZ64" s="345"/>
      <c r="EA64" s="345"/>
      <c r="EB64" s="345"/>
      <c r="EC64" s="345"/>
      <c r="ED64" s="345"/>
      <c r="EE64" s="345"/>
      <c r="EF64" s="345"/>
      <c r="EG64" s="345"/>
      <c r="EH64" s="345"/>
      <c r="EI64" s="345"/>
      <c r="EJ64" s="345"/>
      <c r="EK64" s="345"/>
      <c r="EL64" s="345"/>
      <c r="EM64" s="345"/>
      <c r="EN64" s="345"/>
      <c r="EO64" s="345"/>
      <c r="EP64" s="345"/>
      <c r="EQ64" s="345"/>
      <c r="ER64" s="345"/>
      <c r="ES64" s="345"/>
      <c r="ET64" s="345"/>
      <c r="EU64" s="345"/>
      <c r="EV64" s="345"/>
      <c r="EW64" s="345"/>
      <c r="EX64" s="345"/>
      <c r="EY64" s="345"/>
      <c r="EZ64" s="345"/>
      <c r="FA64" s="345"/>
      <c r="FB64" s="345"/>
      <c r="FC64" s="345"/>
      <c r="FD64" s="345"/>
      <c r="FE64" s="345"/>
      <c r="FF64" s="345"/>
      <c r="FG64" s="345"/>
      <c r="FH64" s="345"/>
      <c r="FI64" s="345"/>
      <c r="FJ64" s="345"/>
      <c r="FK64" s="345"/>
      <c r="FL64" s="345"/>
      <c r="FM64" s="345"/>
      <c r="FN64" s="345"/>
      <c r="FO64" s="345"/>
      <c r="FP64" s="345"/>
      <c r="FQ64" s="345"/>
      <c r="FR64" s="345"/>
      <c r="FS64" s="345"/>
      <c r="FT64" s="345"/>
      <c r="FU64" s="345"/>
      <c r="FV64" s="345"/>
      <c r="FW64" s="345"/>
      <c r="FX64" s="345"/>
      <c r="FY64" s="345"/>
      <c r="FZ64" s="345"/>
      <c r="GA64" s="345"/>
      <c r="GB64" s="345"/>
      <c r="GC64" s="345"/>
      <c r="GD64" s="345"/>
      <c r="GE64" s="345"/>
      <c r="GF64" s="345"/>
      <c r="GG64" s="345"/>
      <c r="GH64" s="345"/>
      <c r="GI64" s="345"/>
      <c r="GJ64" s="345"/>
      <c r="GK64" s="345"/>
      <c r="GL64" s="345"/>
      <c r="GM64" s="345"/>
      <c r="GN64" s="345"/>
      <c r="GO64" s="345"/>
      <c r="GP64" s="345"/>
      <c r="GQ64" s="345"/>
      <c r="GR64" s="345"/>
      <c r="GS64" s="345"/>
      <c r="GT64" s="345"/>
      <c r="GU64" s="345"/>
    </row>
    <row r="65" spans="1:203" ht="12.75" customHeight="1">
      <c r="A65" s="465">
        <f t="shared" si="31"/>
        <v>2</v>
      </c>
      <c r="B65" s="1108">
        <v>55</v>
      </c>
      <c r="C65" s="1109">
        <v>-1</v>
      </c>
      <c r="D65" s="398">
        <v>285.2</v>
      </c>
      <c r="E65" s="1120"/>
      <c r="F65" s="465">
        <f t="shared" si="36"/>
        <v>2</v>
      </c>
      <c r="G65" s="1108">
        <v>55</v>
      </c>
      <c r="H65" s="1109">
        <v>1</v>
      </c>
      <c r="I65" s="398">
        <v>283.5</v>
      </c>
      <c r="J65" s="1120"/>
      <c r="K65" s="465"/>
      <c r="L65" s="465"/>
      <c r="M65" s="465">
        <f t="shared" si="23"/>
        <v>2</v>
      </c>
      <c r="N65" s="1108">
        <v>55</v>
      </c>
      <c r="O65" s="1109">
        <v>-1</v>
      </c>
      <c r="P65" s="398">
        <v>288</v>
      </c>
      <c r="Q65" s="1120"/>
      <c r="R65" s="465">
        <f t="shared" si="24"/>
        <v>2</v>
      </c>
      <c r="S65" s="1108">
        <v>55</v>
      </c>
      <c r="T65" s="1109">
        <v>0</v>
      </c>
      <c r="U65" s="1110">
        <v>290.39999999999998</v>
      </c>
      <c r="V65" s="1120"/>
      <c r="W65" s="371"/>
      <c r="X65" s="494">
        <f t="shared" si="0"/>
        <v>285.2</v>
      </c>
      <c r="Y65" s="495" t="str">
        <f>IF('Feuilles=description générale'!$E$13="","",IF(X65="","",IF(X65&gt;('Feuilles=description générale'!$E$11+'Feuilles=description générale'!$E$10),"",100*(X65-'Feuilles=description générale'!$E$10)/('Feuilles=description générale'!$E$11))))</f>
        <v/>
      </c>
      <c r="Z65" s="495">
        <f>IF('Feuilles=description générale'!$E$13="","",IF(X65="","",IF(X65&lt;=('Feuilles=description générale'!$E$11+'Feuilles=description générale'!$E$10),"",100*(X65-'Feuilles=description générale'!$E$11-'Feuilles=description générale'!$E$10)/('Feuilles=description générale'!$E$12))))</f>
        <v>58.068680609346757</v>
      </c>
      <c r="AA65" s="1112">
        <f>IF('Feuilles=description générale'!$E$13="","",IF(X65="","",100*(X65-'Feuilles=description générale'!$E$10)/('Feuilles=description générale'!$E$13-'Feuilles=description générale'!$E$10)))</f>
        <v>68.445595854922274</v>
      </c>
      <c r="AB65" s="497">
        <f t="shared" si="1"/>
        <v>2</v>
      </c>
      <c r="AC65" s="500">
        <f t="shared" si="32"/>
        <v>2</v>
      </c>
      <c r="AD65" s="494">
        <f t="shared" si="2"/>
        <v>4</v>
      </c>
      <c r="AE65" s="499" t="str">
        <f t="shared" si="3"/>
        <v/>
      </c>
      <c r="AF65" s="371"/>
      <c r="AG65" s="494">
        <f t="shared" si="4"/>
        <v>283.5</v>
      </c>
      <c r="AH65" s="495" t="str">
        <f>IF('Feuilles=description générale'!$E$13="","",IF(AG65="","",IF(AG65&gt;('Feuilles=description générale'!$E$11+'Feuilles=description générale'!$E$10),"",100*(AG65-'Feuilles=description générale'!$E$10)/('Feuilles=description générale'!$E$11))))</f>
        <v/>
      </c>
      <c r="AI65" s="495">
        <f>IF('Feuilles=description générale'!$E$13="","",IF(AG65="","",IF(AG65&lt;=('Feuilles=description générale'!$E$11+'Feuilles=description générale'!$E$10),"",100*(AG65-'Feuilles=description générale'!$E$11-'Feuilles=description générale'!$E$10)/('Feuilles=description générale'!$E$12))))</f>
        <v>57.483432309148817</v>
      </c>
      <c r="AJ65" s="496">
        <f>IF('Feuilles=description générale'!$E$13="","",IF(AG65="","",100*(AG65-'Feuilles=description générale'!$E$10)/('Feuilles=description générale'!$E$13-'Feuilles=description générale'!$E$10)))</f>
        <v>68.005181347150256</v>
      </c>
      <c r="AK65" s="1113">
        <f t="shared" si="5"/>
        <v>1</v>
      </c>
      <c r="AL65" s="498" t="str">
        <f t="shared" si="6"/>
        <v/>
      </c>
      <c r="AM65" s="494" t="str">
        <f t="shared" si="7"/>
        <v/>
      </c>
      <c r="AN65" s="499">
        <f t="shared" si="8"/>
        <v>2.1999999999999886</v>
      </c>
      <c r="AO65" s="371"/>
      <c r="AP65" s="494">
        <f t="shared" si="9"/>
        <v>288</v>
      </c>
      <c r="AQ65" s="495" t="str">
        <f>IF('Feuilles=description générale'!$E$13="","",IF(AP65="","",IF(AP65&gt;('Feuilles=description générale'!$E$25+'Feuilles=description générale'!$E$24),"",100*(AP65-'Feuilles=description générale'!$E$24)/('Feuilles=description générale'!$E$25))))</f>
        <v/>
      </c>
      <c r="AR65" s="495">
        <f>IF('Feuilles=description générale'!$E$27="","",IF(AP65="","",IF(AP65&lt;=('Feuilles=description générale'!$E$25+'Feuilles=description générale'!$E$24),"",100*(AP65-'Feuilles=description générale'!$E$25-'Feuilles=description générale'!$E$24)/('Feuilles=description générale'!$E$26))))</f>
        <v>54.506708760852405</v>
      </c>
      <c r="AS65" s="496">
        <f>IF('Feuilles=description générale'!$E$27="","",IF(AP65="","",100*(AP65-'Feuilles=description générale'!$E$24)/('Feuilles=description générale'!$E$27-'Feuilles=description générale'!$E$24)))</f>
        <v>64.776338303593249</v>
      </c>
      <c r="AT65" s="497">
        <f t="shared" si="10"/>
        <v>3</v>
      </c>
      <c r="AU65" s="500">
        <f t="shared" si="11"/>
        <v>3</v>
      </c>
      <c r="AV65" s="494">
        <f t="shared" si="12"/>
        <v>3.8000000000000114</v>
      </c>
      <c r="AW65" s="499" t="str">
        <f t="shared" si="13"/>
        <v/>
      </c>
      <c r="AX65" s="371"/>
      <c r="AY65" s="494">
        <f t="shared" si="14"/>
        <v>290.39999999999998</v>
      </c>
      <c r="AZ65" s="495" t="str">
        <f>IF('Feuilles=description générale'!$E$13="","",IF(AY65="","",IF(AY65&gt;('Feuilles=description générale'!$E$25+'Feuilles=description générale'!$E$24),"",100*(AY65-'Feuilles=description générale'!$E$24)/('Feuilles=description générale'!$E$25))))</f>
        <v/>
      </c>
      <c r="BA65" s="495">
        <f>IF('Feuilles=description générale'!$E$27="","",IF(AY65="","",IF(AY65&lt;=('Feuilles=description générale'!$E$25+'Feuilles=description générale'!$E$24),"",100*(AY65-'Feuilles=description générale'!$E$25-'Feuilles=description générale'!$E$24)/('Feuilles=description générale'!$E$26))))</f>
        <v>55.264404104183107</v>
      </c>
      <c r="BB65" s="496">
        <f>IF('Feuilles=description générale'!$E$27="","",IF(AY65="","",100*(AY65-'Feuilles=description générale'!$E$24)/('Feuilles=description générale'!$E$27-'Feuilles=description générale'!$E$24)))</f>
        <v>65.362991933512575</v>
      </c>
      <c r="BC65" s="497">
        <f t="shared" si="15"/>
        <v>2</v>
      </c>
      <c r="BD65" s="500" t="str">
        <f t="shared" si="16"/>
        <v/>
      </c>
      <c r="BE65" s="494" t="str">
        <f t="shared" si="17"/>
        <v/>
      </c>
      <c r="BF65" s="499">
        <f t="shared" si="18"/>
        <v>1.1000000000000227</v>
      </c>
      <c r="BG65" s="476"/>
      <c r="BH65" s="563"/>
      <c r="BI65" s="562"/>
      <c r="BJ65" s="562"/>
      <c r="BK65" s="562"/>
      <c r="BL65" s="562"/>
      <c r="BM65" s="562"/>
      <c r="BN65" s="562"/>
      <c r="BO65" s="562"/>
      <c r="BP65" s="562"/>
      <c r="BQ65" s="562"/>
      <c r="BR65" s="562"/>
      <c r="BS65" s="562"/>
      <c r="BT65" s="562"/>
      <c r="BU65" s="568"/>
      <c r="BV65" s="1114">
        <f t="shared" si="19"/>
        <v>16</v>
      </c>
      <c r="BW65" s="1114" t="str">
        <f t="shared" si="19"/>
        <v/>
      </c>
      <c r="BX65" s="1114" t="str">
        <f t="shared" si="20"/>
        <v/>
      </c>
      <c r="BY65" s="1115">
        <f t="shared" si="20"/>
        <v>4.8399999999999501</v>
      </c>
      <c r="BZ65" s="477"/>
      <c r="CA65" s="1114">
        <f t="shared" si="21"/>
        <v>14.440000000000087</v>
      </c>
      <c r="CB65" s="1114" t="str">
        <f t="shared" si="21"/>
        <v/>
      </c>
      <c r="CC65" s="1114" t="str">
        <f t="shared" si="22"/>
        <v/>
      </c>
      <c r="CD65" s="1115">
        <f t="shared" si="22"/>
        <v>1.2100000000000499</v>
      </c>
      <c r="CE65" s="568"/>
      <c r="CF65" s="563"/>
      <c r="CG65" s="562"/>
      <c r="CH65" s="562"/>
      <c r="CI65" s="562"/>
      <c r="CJ65" s="562"/>
      <c r="CK65" s="562"/>
      <c r="CL65" s="562"/>
      <c r="CM65" s="562"/>
      <c r="CN65" s="562"/>
      <c r="CO65" s="562"/>
      <c r="CP65" s="562"/>
      <c r="CQ65" s="562"/>
      <c r="CR65" s="562"/>
      <c r="CS65" s="562"/>
      <c r="CT65" s="562"/>
      <c r="CU65" s="562"/>
      <c r="CV65" s="476"/>
      <c r="CW65" s="345"/>
      <c r="CX65" s="345"/>
      <c r="CY65" s="345"/>
      <c r="CZ65" s="345"/>
      <c r="DA65" s="345"/>
      <c r="DB65" s="345"/>
      <c r="DC65" s="345"/>
      <c r="DD65" s="345"/>
      <c r="DE65" s="345"/>
      <c r="DF65" s="345"/>
      <c r="DG65" s="345"/>
      <c r="DH65" s="345"/>
      <c r="DI65" s="345"/>
      <c r="DJ65" s="345"/>
      <c r="DK65" s="345"/>
      <c r="DL65" s="345"/>
      <c r="DM65" s="345"/>
      <c r="DN65" s="345"/>
      <c r="DO65" s="345"/>
      <c r="DP65" s="345"/>
      <c r="DQ65" s="345"/>
      <c r="DR65" s="345"/>
      <c r="DS65" s="345"/>
      <c r="DT65" s="345"/>
      <c r="DU65" s="345"/>
      <c r="DV65" s="345"/>
      <c r="DW65" s="345"/>
      <c r="DX65" s="345"/>
      <c r="DY65" s="345"/>
      <c r="DZ65" s="345"/>
      <c r="EA65" s="345"/>
      <c r="EB65" s="345"/>
      <c r="EC65" s="345"/>
      <c r="ED65" s="345"/>
      <c r="EE65" s="345"/>
      <c r="EF65" s="345"/>
      <c r="EG65" s="345"/>
      <c r="EH65" s="345"/>
      <c r="EI65" s="345"/>
      <c r="EJ65" s="345"/>
      <c r="EK65" s="345"/>
      <c r="EL65" s="345"/>
      <c r="EM65" s="345"/>
      <c r="EN65" s="345"/>
      <c r="EO65" s="345"/>
      <c r="EP65" s="345"/>
      <c r="EQ65" s="345"/>
      <c r="ER65" s="345"/>
      <c r="ES65" s="345"/>
      <c r="ET65" s="345"/>
      <c r="EU65" s="345"/>
      <c r="EV65" s="345"/>
      <c r="EW65" s="345"/>
      <c r="EX65" s="345"/>
      <c r="EY65" s="345"/>
      <c r="EZ65" s="345"/>
      <c r="FA65" s="345"/>
      <c r="FB65" s="345"/>
      <c r="FC65" s="345"/>
      <c r="FD65" s="345"/>
      <c r="FE65" s="345"/>
      <c r="FF65" s="345"/>
      <c r="FG65" s="345"/>
      <c r="FH65" s="345"/>
      <c r="FI65" s="345"/>
      <c r="FJ65" s="345"/>
      <c r="FK65" s="345"/>
      <c r="FL65" s="345"/>
      <c r="FM65" s="345"/>
      <c r="FN65" s="345"/>
      <c r="FO65" s="345"/>
      <c r="FP65" s="345"/>
      <c r="FQ65" s="345"/>
      <c r="FR65" s="345"/>
      <c r="FS65" s="345"/>
      <c r="FT65" s="345"/>
      <c r="FU65" s="345"/>
      <c r="FV65" s="345"/>
      <c r="FW65" s="345"/>
      <c r="FX65" s="345"/>
      <c r="FY65" s="345"/>
      <c r="FZ65" s="345"/>
      <c r="GA65" s="345"/>
      <c r="GB65" s="345"/>
      <c r="GC65" s="345"/>
      <c r="GD65" s="345"/>
      <c r="GE65" s="345"/>
      <c r="GF65" s="345"/>
      <c r="GG65" s="345"/>
      <c r="GH65" s="345"/>
      <c r="GI65" s="345"/>
      <c r="GJ65" s="345"/>
      <c r="GK65" s="345"/>
      <c r="GL65" s="345"/>
      <c r="GM65" s="345"/>
      <c r="GN65" s="345"/>
      <c r="GO65" s="345"/>
      <c r="GP65" s="345"/>
      <c r="GQ65" s="345"/>
      <c r="GR65" s="345"/>
      <c r="GS65" s="345"/>
      <c r="GT65" s="345"/>
      <c r="GU65" s="345"/>
    </row>
    <row r="66" spans="1:203" ht="12.75" customHeight="1">
      <c r="A66" s="465">
        <f t="shared" si="31"/>
        <v>2</v>
      </c>
      <c r="B66" s="1108">
        <v>56</v>
      </c>
      <c r="C66" s="1109">
        <v>1</v>
      </c>
      <c r="D66" s="398">
        <v>289.2</v>
      </c>
      <c r="E66" s="1120"/>
      <c r="F66" s="465">
        <f t="shared" si="36"/>
        <v>2</v>
      </c>
      <c r="G66" s="1108">
        <v>56</v>
      </c>
      <c r="H66" s="1109">
        <v>0</v>
      </c>
      <c r="I66" s="398">
        <v>285.7</v>
      </c>
      <c r="J66" s="1120"/>
      <c r="K66" s="465"/>
      <c r="L66" s="465"/>
      <c r="M66" s="465">
        <f t="shared" si="23"/>
        <v>2</v>
      </c>
      <c r="N66" s="1108">
        <v>56</v>
      </c>
      <c r="O66" s="1109">
        <v>1</v>
      </c>
      <c r="P66" s="398">
        <v>291.8</v>
      </c>
      <c r="Q66" s="1120"/>
      <c r="R66" s="465">
        <f t="shared" si="24"/>
        <v>2</v>
      </c>
      <c r="S66" s="1108">
        <v>56</v>
      </c>
      <c r="T66" s="1109">
        <v>-1</v>
      </c>
      <c r="U66" s="1110">
        <v>291.5</v>
      </c>
      <c r="V66" s="1120"/>
      <c r="W66" s="371"/>
      <c r="X66" s="494">
        <f t="shared" si="0"/>
        <v>289.2</v>
      </c>
      <c r="Y66" s="495" t="str">
        <f>IF('Feuilles=description générale'!$E$13="","",IF(X66="","",IF(X66&gt;('Feuilles=description générale'!$E$11+'Feuilles=description générale'!$E$10),"",100*(X66-'Feuilles=description générale'!$E$10)/('Feuilles=description générale'!$E$11))))</f>
        <v/>
      </c>
      <c r="Z66" s="495">
        <f>IF('Feuilles=description générale'!$E$13="","",IF(X66="","",IF(X66&lt;=('Feuilles=description générale'!$E$11+'Feuilles=description générale'!$E$10),"",100*(X66-'Feuilles=description générale'!$E$11-'Feuilles=description générale'!$E$10)/('Feuilles=description générale'!$E$12))))</f>
        <v>59.445735433341937</v>
      </c>
      <c r="AA66" s="1112">
        <f>IF('Feuilles=description générale'!$E$13="","",IF(X66="","",100*(X66-'Feuilles=description générale'!$E$10)/('Feuilles=description générale'!$E$13-'Feuilles=description générale'!$E$10)))</f>
        <v>69.481865284974091</v>
      </c>
      <c r="AB66" s="497">
        <f t="shared" si="1"/>
        <v>1</v>
      </c>
      <c r="AC66" s="500" t="str">
        <f t="shared" si="32"/>
        <v/>
      </c>
      <c r="AD66" s="494" t="str">
        <f t="shared" si="2"/>
        <v/>
      </c>
      <c r="AE66" s="499">
        <f t="shared" si="3"/>
        <v>3.6000000000000227</v>
      </c>
      <c r="AF66" s="371"/>
      <c r="AG66" s="494">
        <f t="shared" si="4"/>
        <v>285.7</v>
      </c>
      <c r="AH66" s="495" t="str">
        <f>IF('Feuilles=description générale'!$E$13="","",IF(AG66="","",IF(AG66&gt;('Feuilles=description générale'!$E$11+'Feuilles=description générale'!$E$10),"",100*(AG66-'Feuilles=description générale'!$E$10)/('Feuilles=description générale'!$E$11))))</f>
        <v/>
      </c>
      <c r="AI66" s="495">
        <f>IF('Feuilles=description générale'!$E$13="","",IF(AG66="","",IF(AG66&lt;=('Feuilles=description générale'!$E$11+'Feuilles=description générale'!$E$10),"",100*(AG66-'Feuilles=description générale'!$E$11-'Feuilles=description générale'!$E$10)/('Feuilles=description générale'!$E$12))))</f>
        <v>58.240812462346156</v>
      </c>
      <c r="AJ66" s="496">
        <f>IF('Feuilles=description générale'!$E$13="","",IF(AG66="","",100*(AG66-'Feuilles=description générale'!$E$10)/('Feuilles=description générale'!$E$13-'Feuilles=description générale'!$E$10)))</f>
        <v>68.575129533678762</v>
      </c>
      <c r="AK66" s="1113">
        <f t="shared" si="5"/>
        <v>2</v>
      </c>
      <c r="AL66" s="498" t="str">
        <f t="shared" si="6"/>
        <v/>
      </c>
      <c r="AM66" s="494" t="str">
        <f t="shared" si="7"/>
        <v/>
      </c>
      <c r="AN66" s="499">
        <f t="shared" si="8"/>
        <v>1</v>
      </c>
      <c r="AO66" s="371"/>
      <c r="AP66" s="494">
        <f t="shared" si="9"/>
        <v>291.8</v>
      </c>
      <c r="AQ66" s="495" t="str">
        <f>IF('Feuilles=description générale'!$E$13="","",IF(AP66="","",IF(AP66&gt;('Feuilles=description générale'!$E$25+'Feuilles=description générale'!$E$24),"",100*(AP66-'Feuilles=description générale'!$E$24)/('Feuilles=description générale'!$E$25))))</f>
        <v/>
      </c>
      <c r="AR66" s="495">
        <f>IF('Feuilles=description générale'!$E$27="","",IF(AP66="","",IF(AP66&lt;=('Feuilles=description générale'!$E$25+'Feuilles=description générale'!$E$24),"",100*(AP66-'Feuilles=description générale'!$E$25-'Feuilles=description générale'!$E$24)/('Feuilles=description générale'!$E$26))))</f>
        <v>55.706393054459355</v>
      </c>
      <c r="AS66" s="496">
        <f>IF('Feuilles=description générale'!$E$27="","",IF(AP66="","",100*(AP66-'Feuilles=description générale'!$E$24)/('Feuilles=description générale'!$E$27-'Feuilles=description générale'!$E$24)))</f>
        <v>65.705206550965528</v>
      </c>
      <c r="AT66" s="497">
        <f t="shared" si="10"/>
        <v>1</v>
      </c>
      <c r="AU66" s="500" t="str">
        <f t="shared" si="11"/>
        <v/>
      </c>
      <c r="AV66" s="494" t="str">
        <f t="shared" si="12"/>
        <v/>
      </c>
      <c r="AW66" s="499">
        <f t="shared" si="13"/>
        <v>2.1999999999999886</v>
      </c>
      <c r="AX66" s="371"/>
      <c r="AY66" s="494">
        <f t="shared" si="14"/>
        <v>291.5</v>
      </c>
      <c r="AZ66" s="495" t="str">
        <f>IF('Feuilles=description générale'!$E$13="","",IF(AY66="","",IF(AY66&gt;('Feuilles=description générale'!$E$25+'Feuilles=description générale'!$E$24),"",100*(AY66-'Feuilles=description générale'!$E$24)/('Feuilles=description générale'!$E$25))))</f>
        <v/>
      </c>
      <c r="BA66" s="495">
        <f>IF('Feuilles=description générale'!$E$27="","",IF(AY66="","",IF(AY66&lt;=('Feuilles=description générale'!$E$25+'Feuilles=description générale'!$E$24),"",100*(AY66-'Feuilles=description générale'!$E$25-'Feuilles=description générale'!$E$24)/('Feuilles=description générale'!$E$26))))</f>
        <v>55.611681136543012</v>
      </c>
      <c r="BB66" s="496">
        <f>IF('Feuilles=description générale'!$E$27="","",IF(AY66="","",100*(AY66-'Feuilles=description générale'!$E$24)/('Feuilles=description générale'!$E$27-'Feuilles=description générale'!$E$24)))</f>
        <v>65.631874847225617</v>
      </c>
      <c r="BC66" s="497">
        <f t="shared" si="15"/>
        <v>3</v>
      </c>
      <c r="BD66" s="500">
        <f t="shared" si="16"/>
        <v>3</v>
      </c>
      <c r="BE66" s="494">
        <f t="shared" si="17"/>
        <v>4</v>
      </c>
      <c r="BF66" s="499" t="str">
        <f t="shared" si="18"/>
        <v/>
      </c>
      <c r="BG66" s="476"/>
      <c r="BH66" s="563"/>
      <c r="BI66" s="562"/>
      <c r="BJ66" s="562"/>
      <c r="BK66" s="562"/>
      <c r="BL66" s="562"/>
      <c r="BM66" s="562"/>
      <c r="BN66" s="562"/>
      <c r="BO66" s="562"/>
      <c r="BP66" s="562"/>
      <c r="BQ66" s="562"/>
      <c r="BR66" s="562"/>
      <c r="BS66" s="562"/>
      <c r="BT66" s="562"/>
      <c r="BU66" s="568"/>
      <c r="BV66" s="1114" t="str">
        <f t="shared" si="19"/>
        <v/>
      </c>
      <c r="BW66" s="1114">
        <f t="shared" si="19"/>
        <v>12.960000000000164</v>
      </c>
      <c r="BX66" s="1114" t="str">
        <f t="shared" si="20"/>
        <v/>
      </c>
      <c r="BY66" s="1115">
        <f t="shared" si="20"/>
        <v>1</v>
      </c>
      <c r="BZ66" s="477"/>
      <c r="CA66" s="1114" t="str">
        <f t="shared" si="21"/>
        <v/>
      </c>
      <c r="CB66" s="1114">
        <f t="shared" si="21"/>
        <v>4.8399999999999501</v>
      </c>
      <c r="CC66" s="1114">
        <f t="shared" si="22"/>
        <v>16</v>
      </c>
      <c r="CD66" s="1115" t="str">
        <f t="shared" si="22"/>
        <v/>
      </c>
      <c r="CE66" s="568"/>
      <c r="CF66" s="1430"/>
      <c r="CG66" s="1430"/>
      <c r="CH66" s="1430"/>
      <c r="CI66" s="1430"/>
      <c r="CJ66" s="562"/>
      <c r="CK66" s="562"/>
      <c r="CL66" s="562"/>
      <c r="CM66" s="562"/>
      <c r="CN66" s="562"/>
      <c r="CO66" s="562"/>
      <c r="CP66" s="562"/>
      <c r="CQ66" s="562"/>
      <c r="CR66" s="562"/>
      <c r="CS66" s="562"/>
      <c r="CT66" s="562"/>
      <c r="CU66" s="562"/>
      <c r="CV66" s="476"/>
      <c r="CW66" s="345"/>
      <c r="CX66" s="345"/>
      <c r="CY66" s="345"/>
      <c r="CZ66" s="345"/>
      <c r="DA66" s="345"/>
      <c r="DB66" s="345"/>
      <c r="DC66" s="345"/>
      <c r="DD66" s="345"/>
      <c r="DE66" s="345"/>
      <c r="DF66" s="345"/>
      <c r="DG66" s="345"/>
      <c r="DH66" s="345"/>
      <c r="DI66" s="345"/>
      <c r="DJ66" s="345"/>
      <c r="DK66" s="345"/>
      <c r="DL66" s="345"/>
      <c r="DM66" s="345"/>
      <c r="DN66" s="345"/>
      <c r="DO66" s="345"/>
      <c r="DP66" s="345"/>
      <c r="DQ66" s="345"/>
      <c r="DR66" s="345"/>
      <c r="DS66" s="345"/>
      <c r="DT66" s="345"/>
      <c r="DU66" s="345"/>
      <c r="DV66" s="345"/>
      <c r="DW66" s="345"/>
      <c r="DX66" s="345"/>
      <c r="DY66" s="345"/>
      <c r="DZ66" s="345"/>
      <c r="EA66" s="345"/>
      <c r="EB66" s="345"/>
      <c r="EC66" s="345"/>
      <c r="ED66" s="345"/>
      <c r="EE66" s="345"/>
      <c r="EF66" s="345"/>
      <c r="EG66" s="345"/>
      <c r="EH66" s="345"/>
      <c r="EI66" s="345"/>
      <c r="EJ66" s="345"/>
      <c r="EK66" s="345"/>
      <c r="EL66" s="345"/>
      <c r="EM66" s="345"/>
      <c r="EN66" s="345"/>
      <c r="EO66" s="345"/>
      <c r="EP66" s="345"/>
      <c r="EQ66" s="345"/>
      <c r="ER66" s="345"/>
      <c r="ES66" s="345"/>
      <c r="ET66" s="345"/>
      <c r="EU66" s="345"/>
      <c r="EV66" s="345"/>
      <c r="EW66" s="345"/>
      <c r="EX66" s="345"/>
      <c r="EY66" s="345"/>
      <c r="EZ66" s="345"/>
      <c r="FA66" s="345"/>
      <c r="FB66" s="345"/>
      <c r="FC66" s="345"/>
      <c r="FD66" s="345"/>
      <c r="FE66" s="345"/>
      <c r="FF66" s="345"/>
      <c r="FG66" s="345"/>
      <c r="FH66" s="345"/>
      <c r="FI66" s="345"/>
      <c r="FJ66" s="345"/>
      <c r="FK66" s="345"/>
      <c r="FL66" s="345"/>
      <c r="FM66" s="345"/>
      <c r="FN66" s="345"/>
      <c r="FO66" s="345"/>
      <c r="FP66" s="345"/>
      <c r="FQ66" s="345"/>
      <c r="FR66" s="345"/>
      <c r="FS66" s="345"/>
      <c r="FT66" s="345"/>
      <c r="FU66" s="345"/>
      <c r="FV66" s="345"/>
      <c r="FW66" s="345"/>
      <c r="FX66" s="345"/>
      <c r="FY66" s="345"/>
      <c r="FZ66" s="345"/>
      <c r="GA66" s="345"/>
      <c r="GB66" s="345"/>
      <c r="GC66" s="345"/>
      <c r="GD66" s="345"/>
      <c r="GE66" s="345"/>
      <c r="GF66" s="345"/>
      <c r="GG66" s="345"/>
      <c r="GH66" s="345"/>
      <c r="GI66" s="345"/>
      <c r="GJ66" s="345"/>
      <c r="GK66" s="345"/>
      <c r="GL66" s="345"/>
      <c r="GM66" s="345"/>
      <c r="GN66" s="345"/>
      <c r="GO66" s="345"/>
      <c r="GP66" s="345"/>
      <c r="GQ66" s="345"/>
      <c r="GR66" s="345"/>
      <c r="GS66" s="345"/>
      <c r="GT66" s="345"/>
      <c r="GU66" s="345"/>
    </row>
    <row r="67" spans="1:203" ht="12.75" customHeight="1">
      <c r="A67" s="465">
        <f t="shared" si="31"/>
        <v>2</v>
      </c>
      <c r="B67" s="1108">
        <v>57</v>
      </c>
      <c r="C67" s="1109">
        <v>0</v>
      </c>
      <c r="D67" s="398">
        <v>292.8</v>
      </c>
      <c r="E67" s="1120"/>
      <c r="F67" s="465">
        <f t="shared" si="36"/>
        <v>2</v>
      </c>
      <c r="G67" s="1108">
        <v>57</v>
      </c>
      <c r="H67" s="1109">
        <v>-1</v>
      </c>
      <c r="I67" s="398">
        <v>286.7</v>
      </c>
      <c r="J67" s="1120"/>
      <c r="K67" s="465"/>
      <c r="L67" s="465"/>
      <c r="M67" s="465">
        <f t="shared" si="23"/>
        <v>2</v>
      </c>
      <c r="N67" s="1108">
        <v>57</v>
      </c>
      <c r="O67" s="1109">
        <v>0</v>
      </c>
      <c r="P67" s="398">
        <v>294</v>
      </c>
      <c r="Q67" s="1120"/>
      <c r="R67" s="465">
        <f t="shared" si="24"/>
        <v>2</v>
      </c>
      <c r="S67" s="1108">
        <v>57</v>
      </c>
      <c r="T67" s="1109">
        <v>1</v>
      </c>
      <c r="U67" s="1110">
        <v>295.5</v>
      </c>
      <c r="V67" s="1120"/>
      <c r="W67" s="371"/>
      <c r="X67" s="494">
        <f t="shared" si="0"/>
        <v>292.8</v>
      </c>
      <c r="Y67" s="495" t="str">
        <f>IF('Feuilles=description générale'!$E$13="","",IF(X67="","",IF(X67&gt;('Feuilles=description générale'!$E$11+'Feuilles=description générale'!$E$10),"",100*(X67-'Feuilles=description générale'!$E$10)/('Feuilles=description générale'!$E$11))))</f>
        <v/>
      </c>
      <c r="Z67" s="495">
        <f>IF('Feuilles=description générale'!$E$13="","",IF(X67="","",IF(X67&lt;=('Feuilles=description générale'!$E$11+'Feuilles=description générale'!$E$10),"",100*(X67-'Feuilles=description générale'!$E$11-'Feuilles=description générale'!$E$10)/('Feuilles=description générale'!$E$12))))</f>
        <v>60.685084774937607</v>
      </c>
      <c r="AA67" s="1112">
        <f>IF('Feuilles=description générale'!$E$13="","",IF(X67="","",100*(X67-'Feuilles=description générale'!$E$10)/('Feuilles=description générale'!$E$13-'Feuilles=description générale'!$E$10)))</f>
        <v>70.414507772020727</v>
      </c>
      <c r="AB67" s="497">
        <f t="shared" si="1"/>
        <v>2</v>
      </c>
      <c r="AC67" s="500" t="str">
        <f t="shared" si="32"/>
        <v/>
      </c>
      <c r="AD67" s="494" t="str">
        <f t="shared" si="2"/>
        <v/>
      </c>
      <c r="AE67" s="499">
        <f t="shared" si="3"/>
        <v>1.3999999999999773</v>
      </c>
      <c r="AF67" s="371"/>
      <c r="AG67" s="494">
        <f t="shared" si="4"/>
        <v>286.7</v>
      </c>
      <c r="AH67" s="495" t="str">
        <f>IF('Feuilles=description générale'!$E$13="","",IF(AG67="","",IF(AG67&gt;('Feuilles=description générale'!$E$11+'Feuilles=description générale'!$E$10),"",100*(AG67-'Feuilles=description générale'!$E$10)/('Feuilles=description générale'!$E$11))))</f>
        <v/>
      </c>
      <c r="AI67" s="495">
        <f>IF('Feuilles=description générale'!$E$13="","",IF(AG67="","",IF(AG67&lt;=('Feuilles=description générale'!$E$11+'Feuilles=description générale'!$E$10),"",100*(AG67-'Feuilles=description générale'!$E$11-'Feuilles=description générale'!$E$10)/('Feuilles=description générale'!$E$12))))</f>
        <v>58.585076168344948</v>
      </c>
      <c r="AJ67" s="496">
        <f>IF('Feuilles=description générale'!$E$13="","",IF(AG67="","",100*(AG67-'Feuilles=description générale'!$E$10)/('Feuilles=description générale'!$E$13-'Feuilles=description générale'!$E$10)))</f>
        <v>68.834196891191709</v>
      </c>
      <c r="AK67" s="1113">
        <f t="shared" si="5"/>
        <v>3</v>
      </c>
      <c r="AL67" s="498">
        <f t="shared" si="6"/>
        <v>3</v>
      </c>
      <c r="AM67" s="494">
        <f t="shared" si="7"/>
        <v>3.8000000000000114</v>
      </c>
      <c r="AN67" s="499" t="str">
        <f t="shared" si="8"/>
        <v/>
      </c>
      <c r="AO67" s="371"/>
      <c r="AP67" s="494">
        <f t="shared" si="9"/>
        <v>294</v>
      </c>
      <c r="AQ67" s="495" t="str">
        <f>IF('Feuilles=description générale'!$E$13="","",IF(AP67="","",IF(AP67&gt;('Feuilles=description générale'!$E$25+'Feuilles=description générale'!$E$24),"",100*(AP67-'Feuilles=description générale'!$E$24)/('Feuilles=description générale'!$E$25))))</f>
        <v/>
      </c>
      <c r="AR67" s="495">
        <f>IF('Feuilles=description générale'!$E$27="","",IF(AP67="","",IF(AP67&lt;=('Feuilles=description générale'!$E$25+'Feuilles=description générale'!$E$24),"",100*(AP67-'Feuilles=description générale'!$E$25-'Feuilles=description générale'!$E$24)/('Feuilles=description générale'!$E$26))))</f>
        <v>56.400947119179165</v>
      </c>
      <c r="AS67" s="496">
        <f>IF('Feuilles=description générale'!$E$27="","",IF(AP67="","",100*(AP67-'Feuilles=description générale'!$E$24)/('Feuilles=description générale'!$E$27-'Feuilles=description générale'!$E$24)))</f>
        <v>66.242972378391585</v>
      </c>
      <c r="AT67" s="497">
        <f t="shared" si="10"/>
        <v>2</v>
      </c>
      <c r="AU67" s="500" t="str">
        <f t="shared" si="11"/>
        <v/>
      </c>
      <c r="AV67" s="494" t="str">
        <f t="shared" si="12"/>
        <v/>
      </c>
      <c r="AW67" s="499">
        <f t="shared" si="13"/>
        <v>1.3000000000000114</v>
      </c>
      <c r="AX67" s="371"/>
      <c r="AY67" s="494">
        <f t="shared" si="14"/>
        <v>295.5</v>
      </c>
      <c r="AZ67" s="495" t="str">
        <f>IF('Feuilles=description générale'!$E$13="","",IF(AY67="","",IF(AY67&gt;('Feuilles=description générale'!$E$25+'Feuilles=description générale'!$E$24),"",100*(AY67-'Feuilles=description générale'!$E$24)/('Feuilles=description générale'!$E$25))))</f>
        <v/>
      </c>
      <c r="BA67" s="495">
        <f>IF('Feuilles=description générale'!$E$27="","",IF(AY67="","",IF(AY67&lt;=('Feuilles=description générale'!$E$25+'Feuilles=description générale'!$E$24),"",100*(AY67-'Feuilles=description générale'!$E$25-'Feuilles=description générale'!$E$24)/('Feuilles=description générale'!$E$26))))</f>
        <v>56.874506708760855</v>
      </c>
      <c r="BB67" s="496">
        <f>IF('Feuilles=description générale'!$E$27="","",IF(AY67="","",100*(AY67-'Feuilles=description générale'!$E$24)/('Feuilles=description générale'!$E$27-'Feuilles=description générale'!$E$24)))</f>
        <v>66.609630897091165</v>
      </c>
      <c r="BC67" s="497">
        <f t="shared" si="15"/>
        <v>1</v>
      </c>
      <c r="BD67" s="500" t="str">
        <f t="shared" si="16"/>
        <v/>
      </c>
      <c r="BE67" s="494" t="str">
        <f t="shared" si="17"/>
        <v/>
      </c>
      <c r="BF67" s="499">
        <f t="shared" si="18"/>
        <v>1.6999999999999886</v>
      </c>
      <c r="BG67" s="476"/>
      <c r="BH67" s="563"/>
      <c r="BI67" s="562"/>
      <c r="BJ67" s="562"/>
      <c r="BK67" s="562"/>
      <c r="BL67" s="562"/>
      <c r="BM67" s="562"/>
      <c r="BN67" s="562"/>
      <c r="BO67" s="562"/>
      <c r="BP67" s="562"/>
      <c r="BQ67" s="562"/>
      <c r="BR67" s="562"/>
      <c r="BS67" s="562"/>
      <c r="BT67" s="562"/>
      <c r="BU67" s="568"/>
      <c r="BV67" s="1114" t="str">
        <f t="shared" si="19"/>
        <v/>
      </c>
      <c r="BW67" s="1114">
        <f t="shared" si="19"/>
        <v>1.9599999999999362</v>
      </c>
      <c r="BX67" s="1114">
        <f t="shared" si="20"/>
        <v>14.440000000000087</v>
      </c>
      <c r="BY67" s="1115" t="str">
        <f t="shared" si="20"/>
        <v/>
      </c>
      <c r="BZ67" s="477"/>
      <c r="CA67" s="1114" t="str">
        <f t="shared" si="21"/>
        <v/>
      </c>
      <c r="CB67" s="1114">
        <f t="shared" si="21"/>
        <v>1.6900000000000295</v>
      </c>
      <c r="CC67" s="1114" t="str">
        <f t="shared" si="22"/>
        <v/>
      </c>
      <c r="CD67" s="1115">
        <f t="shared" si="22"/>
        <v>2.8899999999999615</v>
      </c>
      <c r="CE67" s="568"/>
      <c r="CF67" s="563"/>
      <c r="CG67" s="1189"/>
      <c r="CH67" s="562"/>
      <c r="CI67" s="562"/>
      <c r="CJ67" s="562"/>
      <c r="CK67" s="562"/>
      <c r="CL67" s="562"/>
      <c r="CM67" s="562"/>
      <c r="CN67" s="562"/>
      <c r="CO67" s="562"/>
      <c r="CP67" s="562"/>
      <c r="CQ67" s="562"/>
      <c r="CR67" s="562"/>
      <c r="CS67" s="562"/>
      <c r="CT67" s="562"/>
      <c r="CU67" s="562"/>
      <c r="CV67" s="476"/>
      <c r="CW67" s="345"/>
      <c r="CX67" s="345"/>
      <c r="CY67" s="345"/>
      <c r="CZ67" s="345"/>
      <c r="DA67" s="345"/>
      <c r="DB67" s="345"/>
      <c r="DC67" s="345"/>
      <c r="DD67" s="345"/>
      <c r="DE67" s="345"/>
      <c r="DF67" s="345"/>
      <c r="DG67" s="345"/>
      <c r="DH67" s="345"/>
      <c r="DI67" s="345"/>
      <c r="DJ67" s="345"/>
      <c r="DK67" s="345"/>
      <c r="DL67" s="345"/>
      <c r="DM67" s="345"/>
      <c r="DN67" s="345"/>
      <c r="DO67" s="345"/>
      <c r="DP67" s="345"/>
      <c r="DQ67" s="345"/>
      <c r="DR67" s="345"/>
      <c r="DS67" s="345"/>
      <c r="DT67" s="345"/>
      <c r="DU67" s="345"/>
      <c r="DV67" s="345"/>
      <c r="DW67" s="345"/>
      <c r="DX67" s="345"/>
      <c r="DY67" s="345"/>
      <c r="DZ67" s="345"/>
      <c r="EA67" s="345"/>
      <c r="EB67" s="345"/>
      <c r="EC67" s="345"/>
      <c r="ED67" s="345"/>
      <c r="EE67" s="345"/>
      <c r="EF67" s="345"/>
      <c r="EG67" s="345"/>
      <c r="EH67" s="345"/>
      <c r="EI67" s="345"/>
      <c r="EJ67" s="345"/>
      <c r="EK67" s="345"/>
      <c r="EL67" s="345"/>
      <c r="EM67" s="345"/>
      <c r="EN67" s="345"/>
      <c r="EO67" s="345"/>
      <c r="EP67" s="345"/>
      <c r="EQ67" s="345"/>
      <c r="ER67" s="345"/>
      <c r="ES67" s="345"/>
      <c r="ET67" s="345"/>
      <c r="EU67" s="345"/>
      <c r="EV67" s="345"/>
      <c r="EW67" s="345"/>
      <c r="EX67" s="345"/>
      <c r="EY67" s="345"/>
      <c r="EZ67" s="345"/>
      <c r="FA67" s="345"/>
      <c r="FB67" s="345"/>
      <c r="FC67" s="345"/>
      <c r="FD67" s="345"/>
      <c r="FE67" s="345"/>
      <c r="FF67" s="345"/>
      <c r="FG67" s="345"/>
      <c r="FH67" s="345"/>
      <c r="FI67" s="345"/>
      <c r="FJ67" s="345"/>
      <c r="FK67" s="345"/>
      <c r="FL67" s="345"/>
      <c r="FM67" s="345"/>
      <c r="FN67" s="345"/>
      <c r="FO67" s="345"/>
      <c r="FP67" s="345"/>
      <c r="FQ67" s="345"/>
      <c r="FR67" s="345"/>
      <c r="FS67" s="345"/>
      <c r="FT67" s="345"/>
      <c r="FU67" s="345"/>
      <c r="FV67" s="345"/>
      <c r="FW67" s="345"/>
      <c r="FX67" s="345"/>
      <c r="FY67" s="345"/>
      <c r="FZ67" s="345"/>
      <c r="GA67" s="345"/>
      <c r="GB67" s="345"/>
      <c r="GC67" s="345"/>
      <c r="GD67" s="345"/>
      <c r="GE67" s="345"/>
      <c r="GF67" s="345"/>
      <c r="GG67" s="345"/>
      <c r="GH67" s="345"/>
      <c r="GI67" s="345"/>
      <c r="GJ67" s="345"/>
      <c r="GK67" s="345"/>
      <c r="GL67" s="345"/>
      <c r="GM67" s="345"/>
      <c r="GN67" s="345"/>
      <c r="GO67" s="345"/>
      <c r="GP67" s="345"/>
      <c r="GQ67" s="345"/>
      <c r="GR67" s="345"/>
      <c r="GS67" s="345"/>
      <c r="GT67" s="345"/>
      <c r="GU67" s="345"/>
    </row>
    <row r="68" spans="1:203" ht="12.75" customHeight="1">
      <c r="A68" s="465">
        <f t="shared" si="31"/>
        <v>2</v>
      </c>
      <c r="B68" s="1108">
        <v>58</v>
      </c>
      <c r="C68" s="1109">
        <v>-1</v>
      </c>
      <c r="D68" s="398">
        <v>294.2</v>
      </c>
      <c r="E68" s="1120"/>
      <c r="F68" s="465">
        <f t="shared" si="36"/>
        <v>2</v>
      </c>
      <c r="G68" s="1108">
        <v>58</v>
      </c>
      <c r="H68" s="1109">
        <v>1</v>
      </c>
      <c r="I68" s="398">
        <v>290.5</v>
      </c>
      <c r="J68" s="1120"/>
      <c r="K68" s="465"/>
      <c r="L68" s="465"/>
      <c r="M68" s="465">
        <f t="shared" si="23"/>
        <v>2</v>
      </c>
      <c r="N68" s="1108">
        <v>58</v>
      </c>
      <c r="O68" s="1109">
        <v>-1</v>
      </c>
      <c r="P68" s="398">
        <v>295.3</v>
      </c>
      <c r="Q68" s="1120"/>
      <c r="R68" s="465">
        <f t="shared" si="24"/>
        <v>2</v>
      </c>
      <c r="S68" s="1108">
        <v>58</v>
      </c>
      <c r="T68" s="1109">
        <v>-1</v>
      </c>
      <c r="U68" s="1110">
        <v>297.2</v>
      </c>
      <c r="V68" s="1120"/>
      <c r="W68" s="371"/>
      <c r="X68" s="494">
        <f t="shared" si="0"/>
        <v>294.2</v>
      </c>
      <c r="Y68" s="495" t="str">
        <f>IF('Feuilles=description générale'!$E$13="","",IF(X68="","",IF(X68&gt;('Feuilles=description générale'!$E$11+'Feuilles=description générale'!$E$10),"",100*(X68-'Feuilles=description générale'!$E$10)/('Feuilles=description générale'!$E$11))))</f>
        <v/>
      </c>
      <c r="Z68" s="495">
        <f>IF('Feuilles=description générale'!$E$13="","",IF(X68="","",IF(X68&lt;=('Feuilles=description générale'!$E$11+'Feuilles=description générale'!$E$10),"",100*(X68-'Feuilles=description générale'!$E$11-'Feuilles=description générale'!$E$10)/('Feuilles=description générale'!$E$12))))</f>
        <v>61.16705396333591</v>
      </c>
      <c r="AA68" s="1112">
        <f>IF('Feuilles=description générale'!$E$13="","",IF(X68="","",100*(X68-'Feuilles=description générale'!$E$10)/('Feuilles=description générale'!$E$13-'Feuilles=description générale'!$E$10)))</f>
        <v>70.777202072538856</v>
      </c>
      <c r="AB68" s="497">
        <f t="shared" si="1"/>
        <v>3</v>
      </c>
      <c r="AC68" s="500">
        <f t="shared" si="32"/>
        <v>3</v>
      </c>
      <c r="AD68" s="494">
        <f t="shared" si="2"/>
        <v>4.1000000000000227</v>
      </c>
      <c r="AE68" s="499" t="str">
        <f t="shared" si="3"/>
        <v/>
      </c>
      <c r="AF68" s="371"/>
      <c r="AG68" s="494">
        <f t="shared" si="4"/>
        <v>290.5</v>
      </c>
      <c r="AH68" s="495" t="str">
        <f>IF('Feuilles=description générale'!$E$13="","",IF(AG68="","",IF(AG68&gt;('Feuilles=description générale'!$E$11+'Feuilles=description générale'!$E$10),"",100*(AG68-'Feuilles=description générale'!$E$10)/('Feuilles=description générale'!$E$11))))</f>
        <v/>
      </c>
      <c r="AI68" s="495">
        <f>IF('Feuilles=description générale'!$E$13="","",IF(AG68="","",IF(AG68&lt;=('Feuilles=description générale'!$E$11+'Feuilles=description générale'!$E$10),"",100*(AG68-'Feuilles=description générale'!$E$11-'Feuilles=description générale'!$E$10)/('Feuilles=description générale'!$E$12))))</f>
        <v>59.89327825114038</v>
      </c>
      <c r="AJ68" s="496">
        <f>IF('Feuilles=description générale'!$E$13="","",IF(AG68="","",100*(AG68-'Feuilles=description générale'!$E$10)/('Feuilles=description générale'!$E$13-'Feuilles=description générale'!$E$10)))</f>
        <v>69.818652849740928</v>
      </c>
      <c r="AK68" s="1113">
        <f t="shared" si="5"/>
        <v>1</v>
      </c>
      <c r="AL68" s="498" t="str">
        <f t="shared" si="6"/>
        <v/>
      </c>
      <c r="AM68" s="494" t="str">
        <f t="shared" si="7"/>
        <v/>
      </c>
      <c r="AN68" s="499">
        <f t="shared" si="8"/>
        <v>0.56000000000000227</v>
      </c>
      <c r="AO68" s="371"/>
      <c r="AP68" s="494">
        <f t="shared" si="9"/>
        <v>295.3</v>
      </c>
      <c r="AQ68" s="495" t="str">
        <f>IF('Feuilles=description générale'!$E$13="","",IF(AP68="","",IF(AP68&gt;('Feuilles=description générale'!$E$25+'Feuilles=description générale'!$E$24),"",100*(AP68-'Feuilles=description générale'!$E$24)/('Feuilles=description générale'!$E$25))))</f>
        <v/>
      </c>
      <c r="AR68" s="495">
        <f>IF('Feuilles=description générale'!$E$27="","",IF(AP68="","",IF(AP68&lt;=('Feuilles=description générale'!$E$25+'Feuilles=description générale'!$E$24),"",100*(AP68-'Feuilles=description générale'!$E$25-'Feuilles=description générale'!$E$24)/('Feuilles=description générale'!$E$26))))</f>
        <v>56.811365430149962</v>
      </c>
      <c r="AS68" s="496">
        <f>IF('Feuilles=description générale'!$E$27="","",IF(AP68="","",100*(AP68-'Feuilles=description générale'!$E$24)/('Feuilles=description générale'!$E$27-'Feuilles=description générale'!$E$24)))</f>
        <v>66.560743094597896</v>
      </c>
      <c r="AT68" s="497">
        <f t="shared" si="10"/>
        <v>3</v>
      </c>
      <c r="AU68" s="500">
        <f t="shared" si="11"/>
        <v>3</v>
      </c>
      <c r="AV68" s="494">
        <f t="shared" si="12"/>
        <v>4.3999999999999773</v>
      </c>
      <c r="AW68" s="499" t="str">
        <f t="shared" si="13"/>
        <v/>
      </c>
      <c r="AX68" s="371"/>
      <c r="AY68" s="494">
        <f t="shared" si="14"/>
        <v>297.2</v>
      </c>
      <c r="AZ68" s="495" t="str">
        <f>IF('Feuilles=description générale'!$E$13="","",IF(AY68="","",IF(AY68&gt;('Feuilles=description générale'!$E$25+'Feuilles=description générale'!$E$24),"",100*(AY68-'Feuilles=description générale'!$E$24)/('Feuilles=description générale'!$E$25))))</f>
        <v/>
      </c>
      <c r="BA68" s="495">
        <f>IF('Feuilles=description générale'!$E$27="","",IF(AY68="","",IF(AY68&lt;=('Feuilles=description générale'!$E$25+'Feuilles=description générale'!$E$24),"",100*(AY68-'Feuilles=description générale'!$E$25-'Feuilles=description générale'!$E$24)/('Feuilles=description générale'!$E$26))))</f>
        <v>57.41120757695343</v>
      </c>
      <c r="BB68" s="496">
        <f>IF('Feuilles=description générale'!$E$27="","",IF(AY68="","",100*(AY68-'Feuilles=description générale'!$E$24)/('Feuilles=description générale'!$E$27-'Feuilles=description générale'!$E$24)))</f>
        <v>67.025177218284028</v>
      </c>
      <c r="BC68" s="497">
        <f t="shared" si="15"/>
        <v>2</v>
      </c>
      <c r="BD68" s="500">
        <f t="shared" si="16"/>
        <v>2</v>
      </c>
      <c r="BE68" s="494">
        <f t="shared" si="17"/>
        <v>5.1000000000000227</v>
      </c>
      <c r="BF68" s="499" t="str">
        <f t="shared" si="18"/>
        <v/>
      </c>
      <c r="BG68" s="476"/>
      <c r="BH68" s="563"/>
      <c r="BI68" s="562"/>
      <c r="BJ68" s="562"/>
      <c r="BK68" s="562"/>
      <c r="BL68" s="562"/>
      <c r="BM68" s="562"/>
      <c r="BN68" s="562"/>
      <c r="BO68" s="562"/>
      <c r="BP68" s="562"/>
      <c r="BQ68" s="562"/>
      <c r="BR68" s="562"/>
      <c r="BS68" s="562"/>
      <c r="BT68" s="562"/>
      <c r="BU68" s="568"/>
      <c r="BV68" s="1114">
        <f t="shared" si="19"/>
        <v>16.810000000000187</v>
      </c>
      <c r="BW68" s="1114" t="str">
        <f t="shared" si="19"/>
        <v/>
      </c>
      <c r="BX68" s="1114" t="str">
        <f t="shared" si="20"/>
        <v/>
      </c>
      <c r="BY68" s="1115">
        <f t="shared" si="20"/>
        <v>0.31360000000000254</v>
      </c>
      <c r="BZ68" s="477"/>
      <c r="CA68" s="1114">
        <f t="shared" si="21"/>
        <v>19.3599999999998</v>
      </c>
      <c r="CB68" s="1114" t="str">
        <f t="shared" si="21"/>
        <v/>
      </c>
      <c r="CC68" s="1114">
        <f t="shared" si="22"/>
        <v>26.010000000000232</v>
      </c>
      <c r="CD68" s="1115" t="str">
        <f t="shared" si="22"/>
        <v/>
      </c>
      <c r="CE68" s="568"/>
      <c r="CF68" s="563"/>
      <c r="CG68" s="562"/>
      <c r="CH68" s="562"/>
      <c r="CI68" s="562"/>
      <c r="CJ68" s="562"/>
      <c r="CK68" s="562"/>
      <c r="CL68" s="562"/>
      <c r="CM68" s="562"/>
      <c r="CN68" s="562"/>
      <c r="CO68" s="562"/>
      <c r="CP68" s="562"/>
      <c r="CQ68" s="562"/>
      <c r="CR68" s="562"/>
      <c r="CS68" s="562"/>
      <c r="CT68" s="562"/>
      <c r="CU68" s="562"/>
      <c r="CV68" s="476"/>
      <c r="CW68" s="345"/>
      <c r="CX68" s="345"/>
      <c r="CY68" s="345"/>
      <c r="CZ68" s="345"/>
      <c r="DA68" s="345"/>
      <c r="DB68" s="345"/>
      <c r="DC68" s="345"/>
      <c r="DD68" s="345"/>
      <c r="DE68" s="345"/>
      <c r="DF68" s="345"/>
      <c r="DG68" s="345"/>
      <c r="DH68" s="345"/>
      <c r="DI68" s="345"/>
      <c r="DJ68" s="345"/>
      <c r="DK68" s="345"/>
      <c r="DL68" s="345"/>
      <c r="DM68" s="345"/>
      <c r="DN68" s="345"/>
      <c r="DO68" s="345"/>
      <c r="DP68" s="345"/>
      <c r="DQ68" s="345"/>
      <c r="DR68" s="345"/>
      <c r="DS68" s="345"/>
      <c r="DT68" s="345"/>
      <c r="DU68" s="345"/>
      <c r="DV68" s="345"/>
      <c r="DW68" s="345"/>
      <c r="DX68" s="345"/>
      <c r="DY68" s="345"/>
      <c r="DZ68" s="345"/>
      <c r="EA68" s="345"/>
      <c r="EB68" s="345"/>
      <c r="EC68" s="345"/>
      <c r="ED68" s="345"/>
      <c r="EE68" s="345"/>
      <c r="EF68" s="345"/>
      <c r="EG68" s="345"/>
      <c r="EH68" s="345"/>
      <c r="EI68" s="345"/>
      <c r="EJ68" s="345"/>
      <c r="EK68" s="345"/>
      <c r="EL68" s="345"/>
      <c r="EM68" s="345"/>
      <c r="EN68" s="345"/>
      <c r="EO68" s="345"/>
      <c r="EP68" s="345"/>
      <c r="EQ68" s="345"/>
      <c r="ER68" s="345"/>
      <c r="ES68" s="345"/>
      <c r="ET68" s="345"/>
      <c r="EU68" s="345"/>
      <c r="EV68" s="345"/>
      <c r="EW68" s="345"/>
      <c r="EX68" s="345"/>
      <c r="EY68" s="345"/>
      <c r="EZ68" s="345"/>
      <c r="FA68" s="345"/>
      <c r="FB68" s="345"/>
      <c r="FC68" s="345"/>
      <c r="FD68" s="345"/>
      <c r="FE68" s="345"/>
      <c r="FF68" s="345"/>
      <c r="FG68" s="345"/>
      <c r="FH68" s="345"/>
      <c r="FI68" s="345"/>
      <c r="FJ68" s="345"/>
      <c r="FK68" s="345"/>
      <c r="FL68" s="345"/>
      <c r="FM68" s="345"/>
      <c r="FN68" s="345"/>
      <c r="FO68" s="345"/>
      <c r="FP68" s="345"/>
      <c r="FQ68" s="345"/>
      <c r="FR68" s="345"/>
      <c r="FS68" s="345"/>
      <c r="FT68" s="345"/>
      <c r="FU68" s="345"/>
      <c r="FV68" s="345"/>
      <c r="FW68" s="345"/>
      <c r="FX68" s="345"/>
      <c r="FY68" s="345"/>
      <c r="FZ68" s="345"/>
      <c r="GA68" s="345"/>
      <c r="GB68" s="345"/>
      <c r="GC68" s="345"/>
      <c r="GD68" s="345"/>
      <c r="GE68" s="345"/>
      <c r="GF68" s="345"/>
      <c r="GG68" s="345"/>
      <c r="GH68" s="345"/>
      <c r="GI68" s="345"/>
      <c r="GJ68" s="345"/>
      <c r="GK68" s="345"/>
      <c r="GL68" s="345"/>
      <c r="GM68" s="345"/>
      <c r="GN68" s="345"/>
      <c r="GO68" s="345"/>
      <c r="GP68" s="345"/>
      <c r="GQ68" s="345"/>
      <c r="GR68" s="345"/>
      <c r="GS68" s="345"/>
      <c r="GT68" s="345"/>
      <c r="GU68" s="345"/>
    </row>
    <row r="69" spans="1:203" ht="12.75" customHeight="1">
      <c r="A69" s="465">
        <f t="shared" si="31"/>
        <v>2</v>
      </c>
      <c r="B69" s="1108">
        <v>59</v>
      </c>
      <c r="C69" s="1109">
        <v>1</v>
      </c>
      <c r="D69" s="398">
        <v>298.3</v>
      </c>
      <c r="E69" s="1120"/>
      <c r="F69" s="465">
        <f t="shared" si="36"/>
        <v>2</v>
      </c>
      <c r="G69" s="1108">
        <v>59</v>
      </c>
      <c r="H69" s="1109">
        <v>-1</v>
      </c>
      <c r="I69" s="398">
        <v>291.06</v>
      </c>
      <c r="J69" s="1120"/>
      <c r="K69" s="465"/>
      <c r="L69" s="465"/>
      <c r="M69" s="465">
        <f t="shared" si="23"/>
        <v>2</v>
      </c>
      <c r="N69" s="1108">
        <v>59</v>
      </c>
      <c r="O69" s="1109">
        <v>1</v>
      </c>
      <c r="P69" s="398">
        <v>299.7</v>
      </c>
      <c r="Q69" s="1120"/>
      <c r="R69" s="465">
        <f t="shared" si="24"/>
        <v>2</v>
      </c>
      <c r="S69" s="1108">
        <v>59</v>
      </c>
      <c r="T69" s="1109">
        <v>1</v>
      </c>
      <c r="U69" s="1110">
        <v>302.3</v>
      </c>
      <c r="V69" s="1120"/>
      <c r="W69" s="371"/>
      <c r="X69" s="494">
        <f t="shared" si="0"/>
        <v>298.3</v>
      </c>
      <c r="Y69" s="495" t="str">
        <f>IF('Feuilles=description générale'!$E$13="","",IF(X69="","",IF(X69&gt;('Feuilles=description générale'!$E$11+'Feuilles=description générale'!$E$10),"",100*(X69-'Feuilles=description générale'!$E$10)/('Feuilles=description générale'!$E$11))))</f>
        <v/>
      </c>
      <c r="Z69" s="495">
        <f>IF('Feuilles=description générale'!$E$13="","",IF(X69="","",IF(X69&lt;=('Feuilles=description générale'!$E$11+'Feuilles=description générale'!$E$10),"",100*(X69-'Feuilles=description générale'!$E$11-'Feuilles=description générale'!$E$10)/('Feuilles=description générale'!$E$12))))</f>
        <v>62.578535157930986</v>
      </c>
      <c r="AA69" s="1112">
        <f>IF('Feuilles=description générale'!$E$13="","",IF(X69="","",100*(X69-'Feuilles=description générale'!$E$10)/('Feuilles=description générale'!$E$13-'Feuilles=description générale'!$E$10)))</f>
        <v>71.839378238341965</v>
      </c>
      <c r="AB69" s="497">
        <f t="shared" si="1"/>
        <v>1</v>
      </c>
      <c r="AC69" s="500" t="str">
        <f t="shared" si="32"/>
        <v/>
      </c>
      <c r="AD69" s="494" t="str">
        <f t="shared" si="2"/>
        <v/>
      </c>
      <c r="AE69" s="499">
        <f t="shared" si="3"/>
        <v>2.3000000000000114</v>
      </c>
      <c r="AF69" s="371"/>
      <c r="AG69" s="494">
        <f t="shared" si="4"/>
        <v>291.06</v>
      </c>
      <c r="AH69" s="495" t="str">
        <f>IF('Feuilles=description générale'!$E$13="","",IF(AG69="","",IF(AG69&gt;('Feuilles=description générale'!$E$11+'Feuilles=description générale'!$E$10),"",100*(AG69-'Feuilles=description générale'!$E$10)/('Feuilles=description générale'!$E$11))))</f>
        <v/>
      </c>
      <c r="AI69" s="495">
        <f>IF('Feuilles=description générale'!$E$13="","",IF(AG69="","",IF(AG69&lt;=('Feuilles=description générale'!$E$11+'Feuilles=description générale'!$E$10),"",100*(AG69-'Feuilles=description générale'!$E$11-'Feuilles=description générale'!$E$10)/('Feuilles=description générale'!$E$12))))</f>
        <v>60.086065926499707</v>
      </c>
      <c r="AJ69" s="496">
        <f>IF('Feuilles=description générale'!$E$13="","",IF(AG69="","",100*(AG69-'Feuilles=description générale'!$E$10)/('Feuilles=description générale'!$E$13-'Feuilles=description générale'!$E$10)))</f>
        <v>69.963730569948183</v>
      </c>
      <c r="AK69" s="1113">
        <f t="shared" si="5"/>
        <v>2</v>
      </c>
      <c r="AL69" s="498">
        <f t="shared" si="6"/>
        <v>2</v>
      </c>
      <c r="AM69" s="494">
        <f t="shared" si="7"/>
        <v>4.7400000000000091</v>
      </c>
      <c r="AN69" s="499" t="str">
        <f t="shared" si="8"/>
        <v/>
      </c>
      <c r="AO69" s="371"/>
      <c r="AP69" s="494">
        <f t="shared" si="9"/>
        <v>299.7</v>
      </c>
      <c r="AQ69" s="495" t="str">
        <f>IF('Feuilles=description générale'!$E$13="","",IF(AP69="","",IF(AP69&gt;('Feuilles=description générale'!$E$25+'Feuilles=description générale'!$E$24),"",100*(AP69-'Feuilles=description générale'!$E$24)/('Feuilles=description générale'!$E$25))))</f>
        <v/>
      </c>
      <c r="AR69" s="495">
        <f>IF('Feuilles=description générale'!$E$27="","",IF(AP69="","",IF(AP69&lt;=('Feuilles=description générale'!$E$25+'Feuilles=description générale'!$E$24),"",100*(AP69-'Feuilles=description générale'!$E$25-'Feuilles=description générale'!$E$24)/('Feuilles=description générale'!$E$26))))</f>
        <v>58.200473559589582</v>
      </c>
      <c r="AS69" s="496">
        <f>IF('Feuilles=description générale'!$E$27="","",IF(AP69="","",100*(AP69-'Feuilles=description générale'!$E$24)/('Feuilles=description générale'!$E$27-'Feuilles=description générale'!$E$24)))</f>
        <v>67.63627474945001</v>
      </c>
      <c r="AT69" s="497">
        <f t="shared" si="10"/>
        <v>1</v>
      </c>
      <c r="AU69" s="500" t="str">
        <f t="shared" si="11"/>
        <v/>
      </c>
      <c r="AV69" s="494" t="str">
        <f t="shared" si="12"/>
        <v/>
      </c>
      <c r="AW69" s="499">
        <f t="shared" si="13"/>
        <v>1.3000000000000114</v>
      </c>
      <c r="AX69" s="371"/>
      <c r="AY69" s="494">
        <f t="shared" si="14"/>
        <v>302.3</v>
      </c>
      <c r="AZ69" s="495" t="str">
        <f>IF('Feuilles=description générale'!$E$13="","",IF(AY69="","",IF(AY69&gt;('Feuilles=description générale'!$E$25+'Feuilles=description générale'!$E$24),"",100*(AY69-'Feuilles=description générale'!$E$24)/('Feuilles=description générale'!$E$25))))</f>
        <v/>
      </c>
      <c r="BA69" s="495">
        <f>IF('Feuilles=description générale'!$E$27="","",IF(AY69="","",IF(AY69&lt;=('Feuilles=description générale'!$E$25+'Feuilles=description générale'!$E$24),"",100*(AY69-'Feuilles=description générale'!$E$25-'Feuilles=description générale'!$E$24)/('Feuilles=description générale'!$E$26))))</f>
        <v>59.021310181531177</v>
      </c>
      <c r="BB69" s="496">
        <f>IF('Feuilles=description générale'!$E$27="","",IF(AY69="","",100*(AY69-'Feuilles=description générale'!$E$24)/('Feuilles=description générale'!$E$27-'Feuilles=description générale'!$E$24)))</f>
        <v>68.271816181862619</v>
      </c>
      <c r="BC69" s="497">
        <f t="shared" si="15"/>
        <v>1</v>
      </c>
      <c r="BD69" s="500" t="str">
        <f t="shared" si="16"/>
        <v/>
      </c>
      <c r="BE69" s="494" t="str">
        <f t="shared" si="17"/>
        <v/>
      </c>
      <c r="BF69" s="499">
        <f t="shared" si="18"/>
        <v>1.0999999999999659</v>
      </c>
      <c r="BG69" s="476"/>
      <c r="BH69" s="563"/>
      <c r="BI69" s="564"/>
      <c r="BJ69" s="564"/>
      <c r="BK69" s="564"/>
      <c r="BL69" s="564"/>
      <c r="BM69" s="564"/>
      <c r="BN69" s="564"/>
      <c r="BO69" s="564"/>
      <c r="BP69" s="564"/>
      <c r="BQ69" s="564"/>
      <c r="BR69" s="564"/>
      <c r="BS69" s="564"/>
      <c r="BT69" s="564"/>
      <c r="BU69" s="568"/>
      <c r="BV69" s="1114" t="str">
        <f t="shared" si="19"/>
        <v/>
      </c>
      <c r="BW69" s="1114">
        <f t="shared" si="19"/>
        <v>5.2900000000000524</v>
      </c>
      <c r="BX69" s="1114">
        <f t="shared" si="20"/>
        <v>22.467600000000086</v>
      </c>
      <c r="BY69" s="1115" t="str">
        <f t="shared" si="20"/>
        <v/>
      </c>
      <c r="BZ69" s="477"/>
      <c r="CA69" s="1114" t="str">
        <f t="shared" si="21"/>
        <v/>
      </c>
      <c r="CB69" s="1114">
        <f t="shared" si="21"/>
        <v>1.6900000000000295</v>
      </c>
      <c r="CC69" s="1114" t="str">
        <f t="shared" si="22"/>
        <v/>
      </c>
      <c r="CD69" s="1115">
        <f t="shared" si="22"/>
        <v>1.2099999999999249</v>
      </c>
      <c r="CE69" s="568"/>
      <c r="CF69" s="563"/>
      <c r="CG69" s="564"/>
      <c r="CH69" s="564"/>
      <c r="CI69" s="564"/>
      <c r="CJ69" s="564"/>
      <c r="CK69" s="564"/>
      <c r="CL69" s="564"/>
      <c r="CM69" s="564"/>
      <c r="CN69" s="564"/>
      <c r="CO69" s="564"/>
      <c r="CP69" s="564"/>
      <c r="CQ69" s="564"/>
      <c r="CR69" s="564"/>
      <c r="CS69" s="564"/>
      <c r="CT69" s="564"/>
      <c r="CU69" s="564"/>
      <c r="CV69" s="476"/>
      <c r="CW69" s="345"/>
      <c r="CX69" s="345"/>
      <c r="CY69" s="345"/>
      <c r="CZ69" s="345"/>
      <c r="DA69" s="345"/>
      <c r="DB69" s="345"/>
      <c r="DC69" s="345"/>
      <c r="DD69" s="345"/>
      <c r="DE69" s="345"/>
      <c r="DF69" s="345"/>
      <c r="DG69" s="345"/>
      <c r="DH69" s="345"/>
      <c r="DI69" s="345"/>
      <c r="DJ69" s="345"/>
      <c r="DK69" s="345"/>
      <c r="DL69" s="345"/>
      <c r="DM69" s="345"/>
      <c r="DN69" s="345"/>
      <c r="DO69" s="345"/>
      <c r="DP69" s="345"/>
      <c r="DQ69" s="345"/>
      <c r="DR69" s="345"/>
      <c r="DS69" s="345"/>
      <c r="DT69" s="345"/>
      <c r="DU69" s="345"/>
      <c r="DV69" s="345"/>
      <c r="DW69" s="345"/>
      <c r="DX69" s="345"/>
      <c r="DY69" s="345"/>
      <c r="DZ69" s="345"/>
      <c r="EA69" s="345"/>
      <c r="EB69" s="345"/>
      <c r="EC69" s="345"/>
      <c r="ED69" s="345"/>
      <c r="EE69" s="345"/>
      <c r="EF69" s="345"/>
      <c r="EG69" s="345"/>
      <c r="EH69" s="345"/>
      <c r="EI69" s="345"/>
      <c r="EJ69" s="345"/>
      <c r="EK69" s="345"/>
      <c r="EL69" s="345"/>
      <c r="EM69" s="345"/>
      <c r="EN69" s="345"/>
      <c r="EO69" s="345"/>
      <c r="EP69" s="345"/>
      <c r="EQ69" s="345"/>
      <c r="ER69" s="345"/>
      <c r="ES69" s="345"/>
      <c r="ET69" s="345"/>
      <c r="EU69" s="345"/>
      <c r="EV69" s="345"/>
      <c r="EW69" s="345"/>
      <c r="EX69" s="345"/>
      <c r="EY69" s="345"/>
      <c r="EZ69" s="345"/>
      <c r="FA69" s="345"/>
      <c r="FB69" s="345"/>
      <c r="FC69" s="345"/>
      <c r="FD69" s="345"/>
      <c r="FE69" s="345"/>
      <c r="FF69" s="345"/>
      <c r="FG69" s="345"/>
      <c r="FH69" s="345"/>
      <c r="FI69" s="345"/>
      <c r="FJ69" s="345"/>
      <c r="FK69" s="345"/>
      <c r="FL69" s="345"/>
      <c r="FM69" s="345"/>
      <c r="FN69" s="345"/>
      <c r="FO69" s="345"/>
      <c r="FP69" s="345"/>
      <c r="FQ69" s="345"/>
      <c r="FR69" s="345"/>
      <c r="FS69" s="345"/>
      <c r="FT69" s="345"/>
      <c r="FU69" s="345"/>
      <c r="FV69" s="345"/>
      <c r="FW69" s="345"/>
      <c r="FX69" s="345"/>
      <c r="FY69" s="345"/>
      <c r="FZ69" s="345"/>
      <c r="GA69" s="345"/>
      <c r="GB69" s="345"/>
      <c r="GC69" s="345"/>
      <c r="GD69" s="345"/>
      <c r="GE69" s="345"/>
      <c r="GF69" s="345"/>
      <c r="GG69" s="345"/>
      <c r="GH69" s="345"/>
      <c r="GI69" s="345"/>
      <c r="GJ69" s="345"/>
      <c r="GK69" s="345"/>
      <c r="GL69" s="345"/>
      <c r="GM69" s="345"/>
      <c r="GN69" s="345"/>
      <c r="GO69" s="345"/>
      <c r="GP69" s="345"/>
      <c r="GQ69" s="345"/>
      <c r="GR69" s="345"/>
      <c r="GS69" s="345"/>
      <c r="GT69" s="345"/>
      <c r="GU69" s="345"/>
    </row>
    <row r="70" spans="1:203" ht="12.75" customHeight="1">
      <c r="A70" s="465">
        <f t="shared" si="31"/>
        <v>2</v>
      </c>
      <c r="B70" s="1108">
        <v>60</v>
      </c>
      <c r="C70" s="1109">
        <v>0</v>
      </c>
      <c r="D70" s="398">
        <v>300.60000000000002</v>
      </c>
      <c r="E70" s="1120"/>
      <c r="F70" s="465">
        <f t="shared" si="36"/>
        <v>2</v>
      </c>
      <c r="G70" s="1108">
        <v>60</v>
      </c>
      <c r="H70" s="1109">
        <v>1</v>
      </c>
      <c r="I70" s="398">
        <v>295.8</v>
      </c>
      <c r="J70" s="1120"/>
      <c r="K70" s="465"/>
      <c r="L70" s="465"/>
      <c r="M70" s="465">
        <f t="shared" si="23"/>
        <v>2</v>
      </c>
      <c r="N70" s="1108">
        <v>60</v>
      </c>
      <c r="O70" s="1109">
        <v>-1</v>
      </c>
      <c r="P70" s="398">
        <v>301</v>
      </c>
      <c r="Q70" s="1120"/>
      <c r="R70" s="465">
        <f t="shared" si="24"/>
        <v>2</v>
      </c>
      <c r="S70" s="1108">
        <v>60</v>
      </c>
      <c r="T70" s="1109">
        <v>0</v>
      </c>
      <c r="U70" s="1110">
        <v>303.39999999999998</v>
      </c>
      <c r="V70" s="1120"/>
      <c r="W70" s="371"/>
      <c r="X70" s="494">
        <f t="shared" si="0"/>
        <v>300.60000000000002</v>
      </c>
      <c r="Y70" s="495" t="str">
        <f>IF('Feuilles=description générale'!$E$13="","",IF(X70="","",IF(X70&gt;('Feuilles=description générale'!$E$11+'Feuilles=description générale'!$E$10),"",100*(X70-'Feuilles=description générale'!$E$10)/('Feuilles=description générale'!$E$11))))</f>
        <v/>
      </c>
      <c r="Z70" s="495">
        <f>IF('Feuilles=description générale'!$E$13="","",IF(X70="","",IF(X70&lt;=('Feuilles=description générale'!$E$11+'Feuilles=description générale'!$E$10),"",100*(X70-'Feuilles=description générale'!$E$11-'Feuilles=description générale'!$E$10)/('Feuilles=description générale'!$E$12))))</f>
        <v>63.370341681728213</v>
      </c>
      <c r="AA70" s="1112">
        <f>IF('Feuilles=description générale'!$E$13="","",IF(X70="","",100*(X70-'Feuilles=description générale'!$E$10)/('Feuilles=description générale'!$E$13-'Feuilles=description générale'!$E$10)))</f>
        <v>72.435233160621777</v>
      </c>
      <c r="AB70" s="497">
        <f t="shared" si="1"/>
        <v>2</v>
      </c>
      <c r="AC70" s="500" t="str">
        <f t="shared" si="32"/>
        <v/>
      </c>
      <c r="AD70" s="494" t="str">
        <f t="shared" si="2"/>
        <v/>
      </c>
      <c r="AE70" s="499">
        <f t="shared" si="3"/>
        <v>1.0999999999999659</v>
      </c>
      <c r="AF70" s="371"/>
      <c r="AG70" s="494">
        <f t="shared" si="4"/>
        <v>295.8</v>
      </c>
      <c r="AH70" s="495" t="str">
        <f>IF('Feuilles=description générale'!$E$13="","",IF(AG70="","",IF(AG70&gt;('Feuilles=description générale'!$E$11+'Feuilles=description générale'!$E$10),"",100*(AG70-'Feuilles=description générale'!$E$10)/('Feuilles=description générale'!$E$11))))</f>
        <v/>
      </c>
      <c r="AI70" s="495">
        <f>IF('Feuilles=description générale'!$E$13="","",IF(AG70="","",IF(AG70&lt;=('Feuilles=description générale'!$E$11+'Feuilles=description générale'!$E$10),"",100*(AG70-'Feuilles=description générale'!$E$11-'Feuilles=description générale'!$E$10)/('Feuilles=description générale'!$E$12))))</f>
        <v>61.717875892933996</v>
      </c>
      <c r="AJ70" s="496">
        <f>IF('Feuilles=description générale'!$E$13="","",IF(AG70="","",100*(AG70-'Feuilles=description générale'!$E$10)/('Feuilles=description générale'!$E$13-'Feuilles=description générale'!$E$10)))</f>
        <v>71.191709844559583</v>
      </c>
      <c r="AK70" s="1113">
        <f t="shared" si="5"/>
        <v>1</v>
      </c>
      <c r="AL70" s="498" t="str">
        <f t="shared" si="6"/>
        <v/>
      </c>
      <c r="AM70" s="494" t="str">
        <f t="shared" si="7"/>
        <v/>
      </c>
      <c r="AN70" s="499">
        <f t="shared" si="8"/>
        <v>1.6999999999999886</v>
      </c>
      <c r="AO70" s="371"/>
      <c r="AP70" s="494">
        <f t="shared" si="9"/>
        <v>301</v>
      </c>
      <c r="AQ70" s="495" t="str">
        <f>IF('Feuilles=description générale'!$E$13="","",IF(AP70="","",IF(AP70&gt;('Feuilles=description générale'!$E$25+'Feuilles=description générale'!$E$24),"",100*(AP70-'Feuilles=description générale'!$E$24)/('Feuilles=description générale'!$E$25))))</f>
        <v/>
      </c>
      <c r="AR70" s="495">
        <f>IF('Feuilles=description générale'!$E$27="","",IF(AP70="","",IF(AP70&lt;=('Feuilles=description générale'!$E$25+'Feuilles=description générale'!$E$24),"",100*(AP70-'Feuilles=description générale'!$E$25-'Feuilles=description générale'!$E$24)/('Feuilles=description générale'!$E$26))))</f>
        <v>58.61089187056038</v>
      </c>
      <c r="AS70" s="496">
        <f>IF('Feuilles=description générale'!$E$27="","",IF(AP70="","",100*(AP70-'Feuilles=description générale'!$E$24)/('Feuilles=description générale'!$E$27-'Feuilles=description générale'!$E$24)))</f>
        <v>67.954045465656321</v>
      </c>
      <c r="AT70" s="497">
        <f t="shared" si="10"/>
        <v>2</v>
      </c>
      <c r="AU70" s="500">
        <f t="shared" si="11"/>
        <v>2</v>
      </c>
      <c r="AV70" s="494">
        <f t="shared" si="12"/>
        <v>2.6999999999999886</v>
      </c>
      <c r="AW70" s="499" t="str">
        <f t="shared" si="13"/>
        <v/>
      </c>
      <c r="AX70" s="371"/>
      <c r="AY70" s="494">
        <f t="shared" si="14"/>
        <v>303.39999999999998</v>
      </c>
      <c r="AZ70" s="495" t="str">
        <f>IF('Feuilles=description générale'!$E$13="","",IF(AY70="","",IF(AY70&gt;('Feuilles=description générale'!$E$25+'Feuilles=description générale'!$E$24),"",100*(AY70-'Feuilles=description générale'!$E$24)/('Feuilles=description générale'!$E$25))))</f>
        <v/>
      </c>
      <c r="BA70" s="495">
        <f>IF('Feuilles=description générale'!$E$27="","",IF(AY70="","",IF(AY70&lt;=('Feuilles=description générale'!$E$25+'Feuilles=description générale'!$E$24),"",100*(AY70-'Feuilles=description générale'!$E$25-'Feuilles=description générale'!$E$24)/('Feuilles=description générale'!$E$26))))</f>
        <v>59.368587213891082</v>
      </c>
      <c r="BB70" s="496">
        <f>IF('Feuilles=description générale'!$E$27="","",IF(AY70="","",100*(AY70-'Feuilles=description générale'!$E$24)/('Feuilles=description générale'!$E$27-'Feuilles=description générale'!$E$24)))</f>
        <v>68.540699095575647</v>
      </c>
      <c r="BC70" s="497">
        <f t="shared" si="15"/>
        <v>2</v>
      </c>
      <c r="BD70" s="500" t="str">
        <f t="shared" si="16"/>
        <v/>
      </c>
      <c r="BE70" s="494" t="str">
        <f t="shared" si="17"/>
        <v/>
      </c>
      <c r="BF70" s="499">
        <f t="shared" si="18"/>
        <v>1.1000000000000227</v>
      </c>
      <c r="BG70" s="476"/>
      <c r="BH70" s="565"/>
      <c r="BI70" s="564"/>
      <c r="BJ70" s="564"/>
      <c r="BK70" s="564"/>
      <c r="BL70" s="564"/>
      <c r="BM70" s="564"/>
      <c r="BN70" s="564"/>
      <c r="BO70" s="564"/>
      <c r="BP70" s="564"/>
      <c r="BQ70" s="554"/>
      <c r="BR70" s="554"/>
      <c r="BS70" s="554"/>
      <c r="BT70" s="554"/>
      <c r="BU70" s="568"/>
      <c r="BV70" s="1114" t="str">
        <f t="shared" si="19"/>
        <v/>
      </c>
      <c r="BW70" s="1114">
        <f t="shared" si="19"/>
        <v>1.2099999999999249</v>
      </c>
      <c r="BX70" s="1114" t="str">
        <f t="shared" si="20"/>
        <v/>
      </c>
      <c r="BY70" s="1115">
        <f t="shared" si="20"/>
        <v>2.8899999999999615</v>
      </c>
      <c r="BZ70" s="477"/>
      <c r="CA70" s="1114">
        <f t="shared" si="21"/>
        <v>7.2899999999999388</v>
      </c>
      <c r="CB70" s="1114" t="str">
        <f t="shared" si="21"/>
        <v/>
      </c>
      <c r="CC70" s="1114" t="str">
        <f t="shared" si="22"/>
        <v/>
      </c>
      <c r="CD70" s="1115">
        <f t="shared" si="22"/>
        <v>1.2100000000000499</v>
      </c>
      <c r="CE70" s="568"/>
      <c r="CF70" s="554"/>
      <c r="CG70" s="554"/>
      <c r="CH70" s="554"/>
      <c r="CI70" s="554"/>
      <c r="CJ70" s="554"/>
      <c r="CK70" s="554"/>
      <c r="CL70" s="554"/>
      <c r="CM70" s="554"/>
      <c r="CN70" s="554"/>
      <c r="CO70" s="554"/>
      <c r="CP70" s="554"/>
      <c r="CQ70" s="554"/>
      <c r="CR70" s="554"/>
      <c r="CS70" s="554"/>
      <c r="CT70" s="554"/>
      <c r="CU70" s="554"/>
      <c r="CV70" s="476"/>
      <c r="CW70" s="345"/>
      <c r="CX70" s="345"/>
      <c r="CY70" s="345"/>
      <c r="CZ70" s="345"/>
      <c r="DA70" s="345"/>
      <c r="DB70" s="345"/>
      <c r="DC70" s="345"/>
      <c r="DD70" s="345"/>
      <c r="DE70" s="345"/>
      <c r="DF70" s="345"/>
      <c r="DG70" s="345"/>
      <c r="DH70" s="345"/>
      <c r="DI70" s="345"/>
      <c r="DJ70" s="345"/>
      <c r="DK70" s="345"/>
      <c r="DL70" s="345"/>
      <c r="DM70" s="345"/>
      <c r="DN70" s="345"/>
      <c r="DO70" s="345"/>
      <c r="DP70" s="345"/>
      <c r="DQ70" s="345"/>
      <c r="DR70" s="345"/>
      <c r="DS70" s="345"/>
      <c r="DT70" s="345"/>
      <c r="DU70" s="345"/>
      <c r="DV70" s="345"/>
      <c r="DW70" s="345"/>
      <c r="DX70" s="345"/>
      <c r="DY70" s="345"/>
      <c r="DZ70" s="345"/>
      <c r="EA70" s="345"/>
      <c r="EB70" s="345"/>
      <c r="EC70" s="345"/>
      <c r="ED70" s="345"/>
      <c r="EE70" s="345"/>
      <c r="EF70" s="345"/>
      <c r="EG70" s="345"/>
      <c r="EH70" s="345"/>
      <c r="EI70" s="345"/>
      <c r="EJ70" s="345"/>
      <c r="EK70" s="345"/>
      <c r="EL70" s="345"/>
      <c r="EM70" s="345"/>
      <c r="EN70" s="345"/>
      <c r="EO70" s="345"/>
      <c r="EP70" s="345"/>
      <c r="EQ70" s="345"/>
      <c r="ER70" s="345"/>
      <c r="ES70" s="345"/>
      <c r="ET70" s="345"/>
      <c r="EU70" s="345"/>
      <c r="EV70" s="345"/>
      <c r="EW70" s="345"/>
      <c r="EX70" s="345"/>
      <c r="EY70" s="345"/>
      <c r="EZ70" s="345"/>
      <c r="FA70" s="345"/>
      <c r="FB70" s="345"/>
      <c r="FC70" s="345"/>
      <c r="FD70" s="345"/>
      <c r="FE70" s="345"/>
      <c r="FF70" s="345"/>
      <c r="FG70" s="345"/>
      <c r="FH70" s="345"/>
      <c r="FI70" s="345"/>
      <c r="FJ70" s="345"/>
      <c r="FK70" s="345"/>
      <c r="FL70" s="345"/>
      <c r="FM70" s="345"/>
      <c r="FN70" s="345"/>
      <c r="FO70" s="345"/>
      <c r="FP70" s="345"/>
      <c r="FQ70" s="345"/>
      <c r="FR70" s="345"/>
      <c r="FS70" s="345"/>
      <c r="FT70" s="345"/>
      <c r="FU70" s="345"/>
      <c r="FV70" s="345"/>
      <c r="FW70" s="345"/>
      <c r="FX70" s="345"/>
      <c r="FY70" s="345"/>
      <c r="FZ70" s="345"/>
      <c r="GA70" s="345"/>
      <c r="GB70" s="345"/>
      <c r="GC70" s="345"/>
      <c r="GD70" s="345"/>
      <c r="GE70" s="345"/>
      <c r="GF70" s="345"/>
      <c r="GG70" s="345"/>
      <c r="GH70" s="345"/>
      <c r="GI70" s="345"/>
      <c r="GJ70" s="345"/>
      <c r="GK70" s="345"/>
      <c r="GL70" s="345"/>
      <c r="GM70" s="345"/>
      <c r="GN70" s="345"/>
      <c r="GO70" s="345"/>
      <c r="GP70" s="345"/>
      <c r="GQ70" s="345"/>
      <c r="GR70" s="345"/>
      <c r="GS70" s="345"/>
      <c r="GT70" s="345"/>
      <c r="GU70" s="345"/>
    </row>
    <row r="71" spans="1:203" ht="12.75" customHeight="1">
      <c r="A71" s="465">
        <f t="shared" si="31"/>
        <v>2</v>
      </c>
      <c r="B71" s="1108">
        <v>61</v>
      </c>
      <c r="C71" s="1109">
        <v>-1</v>
      </c>
      <c r="D71" s="398">
        <v>301.7</v>
      </c>
      <c r="E71" s="1120"/>
      <c r="F71" s="465">
        <f t="shared" si="36"/>
        <v>2</v>
      </c>
      <c r="G71" s="1108">
        <v>61</v>
      </c>
      <c r="H71" s="1109">
        <v>-1</v>
      </c>
      <c r="I71" s="398">
        <v>297.5</v>
      </c>
      <c r="J71" s="1120"/>
      <c r="K71" s="465"/>
      <c r="L71" s="465"/>
      <c r="M71" s="465">
        <f t="shared" si="23"/>
        <v>2</v>
      </c>
      <c r="N71" s="1108">
        <v>61</v>
      </c>
      <c r="O71" s="1109">
        <v>1</v>
      </c>
      <c r="P71" s="398">
        <v>303.7</v>
      </c>
      <c r="Q71" s="1120"/>
      <c r="R71" s="465">
        <f t="shared" si="24"/>
        <v>2</v>
      </c>
      <c r="S71" s="1108">
        <v>61</v>
      </c>
      <c r="T71" s="1109">
        <v>-1</v>
      </c>
      <c r="U71" s="1110">
        <v>304.5</v>
      </c>
      <c r="V71" s="1120"/>
      <c r="W71" s="371"/>
      <c r="X71" s="494">
        <f t="shared" si="0"/>
        <v>301.7</v>
      </c>
      <c r="Y71" s="495" t="str">
        <f>IF('Feuilles=description générale'!$E$13="","",IF(X71="","",IF(X71&gt;('Feuilles=description générale'!$E$11+'Feuilles=description générale'!$E$10),"",100*(X71-'Feuilles=description générale'!$E$10)/('Feuilles=description générale'!$E$11))))</f>
        <v/>
      </c>
      <c r="Z71" s="495">
        <f>IF('Feuilles=description générale'!$E$13="","",IF(X71="","",IF(X71&lt;=('Feuilles=description générale'!$E$11+'Feuilles=description générale'!$E$10),"",100*(X71-'Feuilles=description générale'!$E$11-'Feuilles=description générale'!$E$10)/('Feuilles=description générale'!$E$12))))</f>
        <v>63.749031758326872</v>
      </c>
      <c r="AA71" s="1112">
        <f>IF('Feuilles=description générale'!$E$13="","",IF(X71="","",100*(X71-'Feuilles=description générale'!$E$10)/('Feuilles=description générale'!$E$13-'Feuilles=description générale'!$E$10)))</f>
        <v>72.720207253886016</v>
      </c>
      <c r="AB71" s="497">
        <f t="shared" si="1"/>
        <v>3</v>
      </c>
      <c r="AC71" s="500">
        <f t="shared" si="32"/>
        <v>3</v>
      </c>
      <c r="AD71" s="494">
        <f t="shared" si="2"/>
        <v>3.8000000000000114</v>
      </c>
      <c r="AE71" s="499" t="str">
        <f t="shared" si="3"/>
        <v/>
      </c>
      <c r="AF71" s="371"/>
      <c r="AG71" s="494">
        <f t="shared" si="4"/>
        <v>297.5</v>
      </c>
      <c r="AH71" s="495" t="str">
        <f>IF('Feuilles=description générale'!$E$13="","",IF(AG71="","",IF(AG71&gt;('Feuilles=description générale'!$E$11+'Feuilles=description générale'!$E$10),"",100*(AG71-'Feuilles=description générale'!$E$10)/('Feuilles=description générale'!$E$11))))</f>
        <v/>
      </c>
      <c r="AI71" s="495">
        <f>IF('Feuilles=description générale'!$E$13="","",IF(AG71="","",IF(AG71&lt;=('Feuilles=description générale'!$E$11+'Feuilles=description générale'!$E$10),"",100*(AG71-'Feuilles=description générale'!$E$11-'Feuilles=description générale'!$E$10)/('Feuilles=description générale'!$E$12))))</f>
        <v>62.30312419313195</v>
      </c>
      <c r="AJ71" s="496">
        <f>IF('Feuilles=description générale'!$E$13="","",IF(AG71="","",100*(AG71-'Feuilles=description générale'!$E$10)/('Feuilles=description générale'!$E$13-'Feuilles=description générale'!$E$10)))</f>
        <v>71.632124352331601</v>
      </c>
      <c r="AK71" s="1113">
        <f t="shared" si="5"/>
        <v>2</v>
      </c>
      <c r="AL71" s="498">
        <f t="shared" si="6"/>
        <v>2</v>
      </c>
      <c r="AM71" s="494">
        <f t="shared" si="7"/>
        <v>3.5500000000000114</v>
      </c>
      <c r="AN71" s="499" t="str">
        <f t="shared" si="8"/>
        <v/>
      </c>
      <c r="AO71" s="371"/>
      <c r="AP71" s="494">
        <f t="shared" si="9"/>
        <v>303.7</v>
      </c>
      <c r="AQ71" s="495" t="str">
        <f>IF('Feuilles=description générale'!$E$13="","",IF(AP71="","",IF(AP71&gt;('Feuilles=description générale'!$E$25+'Feuilles=description générale'!$E$24),"",100*(AP71-'Feuilles=description générale'!$E$24)/('Feuilles=description générale'!$E$25))))</f>
        <v/>
      </c>
      <c r="AR71" s="495">
        <f>IF('Feuilles=description générale'!$E$27="","",IF(AP71="","",IF(AP71&lt;=('Feuilles=description générale'!$E$25+'Feuilles=description générale'!$E$24),"",100*(AP71-'Feuilles=description générale'!$E$25-'Feuilles=description générale'!$E$24)/('Feuilles=description générale'!$E$26))))</f>
        <v>59.463299131807418</v>
      </c>
      <c r="AS71" s="496">
        <f>IF('Feuilles=description générale'!$E$27="","",IF(AP71="","",100*(AP71-'Feuilles=description générale'!$E$24)/('Feuilles=description générale'!$E$27-'Feuilles=description générale'!$E$24)))</f>
        <v>68.614030799315572</v>
      </c>
      <c r="AT71" s="497">
        <f t="shared" si="10"/>
        <v>1</v>
      </c>
      <c r="AU71" s="500" t="str">
        <f t="shared" si="11"/>
        <v/>
      </c>
      <c r="AV71" s="494" t="str">
        <f t="shared" si="12"/>
        <v/>
      </c>
      <c r="AW71" s="499">
        <f t="shared" si="13"/>
        <v>1</v>
      </c>
      <c r="AX71" s="371"/>
      <c r="AY71" s="494">
        <f t="shared" si="14"/>
        <v>304.5</v>
      </c>
      <c r="AZ71" s="495" t="str">
        <f>IF('Feuilles=description générale'!$E$13="","",IF(AY71="","",IF(AY71&gt;('Feuilles=description générale'!$E$25+'Feuilles=description générale'!$E$24),"",100*(AY71-'Feuilles=description générale'!$E$24)/('Feuilles=description générale'!$E$25))))</f>
        <v/>
      </c>
      <c r="BA71" s="495">
        <f>IF('Feuilles=description générale'!$E$27="","",IF(AY71="","",IF(AY71&lt;=('Feuilles=description générale'!$E$25+'Feuilles=description générale'!$E$24),"",100*(AY71-'Feuilles=description générale'!$E$25-'Feuilles=description générale'!$E$24)/('Feuilles=description générale'!$E$26))))</f>
        <v>59.715864246250987</v>
      </c>
      <c r="BB71" s="496">
        <f>IF('Feuilles=description générale'!$E$27="","",IF(AY71="","",100*(AY71-'Feuilles=description générale'!$E$24)/('Feuilles=description générale'!$E$27-'Feuilles=description générale'!$E$24)))</f>
        <v>68.809582009288675</v>
      </c>
      <c r="BC71" s="497">
        <f t="shared" si="15"/>
        <v>3</v>
      </c>
      <c r="BD71" s="500">
        <f t="shared" si="16"/>
        <v>3</v>
      </c>
      <c r="BE71" s="494">
        <f t="shared" si="17"/>
        <v>4.8000000000000114</v>
      </c>
      <c r="BF71" s="499" t="str">
        <f t="shared" si="18"/>
        <v/>
      </c>
      <c r="BG71" s="476"/>
      <c r="BH71" s="554"/>
      <c r="BI71" s="560"/>
      <c r="BJ71" s="560"/>
      <c r="BK71" s="560"/>
      <c r="BL71" s="560"/>
      <c r="BM71" s="560"/>
      <c r="BN71" s="560"/>
      <c r="BO71" s="560"/>
      <c r="BP71" s="560"/>
      <c r="BQ71" s="560"/>
      <c r="BR71" s="560"/>
      <c r="BS71" s="560"/>
      <c r="BT71" s="560"/>
      <c r="BU71" s="568"/>
      <c r="BV71" s="1114">
        <f t="shared" si="19"/>
        <v>14.440000000000087</v>
      </c>
      <c r="BW71" s="1114" t="str">
        <f t="shared" si="19"/>
        <v/>
      </c>
      <c r="BX71" s="1114">
        <f t="shared" si="20"/>
        <v>12.602500000000081</v>
      </c>
      <c r="BY71" s="1115" t="str">
        <f t="shared" si="20"/>
        <v/>
      </c>
      <c r="BZ71" s="477"/>
      <c r="CA71" s="1114" t="str">
        <f t="shared" si="21"/>
        <v/>
      </c>
      <c r="CB71" s="1114">
        <f t="shared" si="21"/>
        <v>1</v>
      </c>
      <c r="CC71" s="1114">
        <f t="shared" si="22"/>
        <v>23.040000000000109</v>
      </c>
      <c r="CD71" s="1115" t="str">
        <f t="shared" si="22"/>
        <v/>
      </c>
      <c r="CE71" s="568"/>
      <c r="CF71" s="554"/>
      <c r="CG71" s="560"/>
      <c r="CH71" s="560"/>
      <c r="CI71" s="560"/>
      <c r="CJ71" s="560"/>
      <c r="CK71" s="560"/>
      <c r="CL71" s="560"/>
      <c r="CM71" s="560"/>
      <c r="CN71" s="560"/>
      <c r="CO71" s="560"/>
      <c r="CP71" s="560"/>
      <c r="CQ71" s="560"/>
      <c r="CR71" s="560"/>
      <c r="CS71" s="560"/>
      <c r="CT71" s="560"/>
      <c r="CU71" s="560"/>
      <c r="CV71" s="476"/>
      <c r="CW71" s="345"/>
      <c r="CX71" s="345"/>
      <c r="CY71" s="345"/>
      <c r="CZ71" s="345"/>
      <c r="DA71" s="345"/>
      <c r="DB71" s="345"/>
      <c r="DC71" s="345"/>
      <c r="DD71" s="345"/>
      <c r="DE71" s="345"/>
      <c r="DF71" s="345"/>
      <c r="DG71" s="345"/>
      <c r="DH71" s="345"/>
      <c r="DI71" s="345"/>
      <c r="DJ71" s="345"/>
      <c r="DK71" s="345"/>
      <c r="DL71" s="345"/>
      <c r="DM71" s="345"/>
      <c r="DN71" s="345"/>
      <c r="DO71" s="345"/>
      <c r="DP71" s="345"/>
      <c r="DQ71" s="345"/>
      <c r="DR71" s="345"/>
      <c r="DS71" s="345"/>
      <c r="DT71" s="345"/>
      <c r="DU71" s="345"/>
      <c r="DV71" s="345"/>
      <c r="DW71" s="345"/>
      <c r="DX71" s="345"/>
      <c r="DY71" s="345"/>
      <c r="DZ71" s="345"/>
      <c r="EA71" s="345"/>
      <c r="EB71" s="345"/>
      <c r="EC71" s="345"/>
      <c r="ED71" s="345"/>
      <c r="EE71" s="345"/>
      <c r="EF71" s="345"/>
      <c r="EG71" s="345"/>
      <c r="EH71" s="345"/>
      <c r="EI71" s="345"/>
      <c r="EJ71" s="345"/>
      <c r="EK71" s="345"/>
      <c r="EL71" s="345"/>
      <c r="EM71" s="345"/>
      <c r="EN71" s="345"/>
      <c r="EO71" s="345"/>
      <c r="EP71" s="345"/>
      <c r="EQ71" s="345"/>
      <c r="ER71" s="345"/>
      <c r="ES71" s="345"/>
      <c r="ET71" s="345"/>
      <c r="EU71" s="345"/>
      <c r="EV71" s="345"/>
      <c r="EW71" s="345"/>
      <c r="EX71" s="345"/>
      <c r="EY71" s="345"/>
      <c r="EZ71" s="345"/>
      <c r="FA71" s="345"/>
      <c r="FB71" s="345"/>
      <c r="FC71" s="345"/>
      <c r="FD71" s="345"/>
      <c r="FE71" s="345"/>
      <c r="FF71" s="345"/>
      <c r="FG71" s="345"/>
      <c r="FH71" s="345"/>
      <c r="FI71" s="345"/>
      <c r="FJ71" s="345"/>
      <c r="FK71" s="345"/>
      <c r="FL71" s="345"/>
      <c r="FM71" s="345"/>
      <c r="FN71" s="345"/>
      <c r="FO71" s="345"/>
      <c r="FP71" s="345"/>
      <c r="FQ71" s="345"/>
      <c r="FR71" s="345"/>
      <c r="FS71" s="345"/>
      <c r="FT71" s="345"/>
      <c r="FU71" s="345"/>
      <c r="FV71" s="345"/>
      <c r="FW71" s="345"/>
      <c r="FX71" s="345"/>
      <c r="FY71" s="345"/>
      <c r="FZ71" s="345"/>
      <c r="GA71" s="345"/>
      <c r="GB71" s="345"/>
      <c r="GC71" s="345"/>
      <c r="GD71" s="345"/>
      <c r="GE71" s="345"/>
      <c r="GF71" s="345"/>
      <c r="GG71" s="345"/>
      <c r="GH71" s="345"/>
      <c r="GI71" s="345"/>
      <c r="GJ71" s="345"/>
      <c r="GK71" s="345"/>
      <c r="GL71" s="345"/>
      <c r="GM71" s="345"/>
      <c r="GN71" s="345"/>
      <c r="GO71" s="345"/>
      <c r="GP71" s="345"/>
      <c r="GQ71" s="345"/>
      <c r="GR71" s="345"/>
      <c r="GS71" s="345"/>
      <c r="GT71" s="345"/>
      <c r="GU71" s="345"/>
    </row>
    <row r="72" spans="1:203" ht="12.75" customHeight="1">
      <c r="A72" s="465">
        <f t="shared" si="31"/>
        <v>2</v>
      </c>
      <c r="B72" s="1108">
        <v>62</v>
      </c>
      <c r="C72" s="1109">
        <v>1</v>
      </c>
      <c r="D72" s="398">
        <v>305.5</v>
      </c>
      <c r="E72" s="1120"/>
      <c r="F72" s="465">
        <f t="shared" si="36"/>
        <v>2</v>
      </c>
      <c r="G72" s="1108">
        <v>62</v>
      </c>
      <c r="H72" s="1109">
        <v>1</v>
      </c>
      <c r="I72" s="398">
        <v>301.05</v>
      </c>
      <c r="J72" s="1120"/>
      <c r="K72" s="465"/>
      <c r="L72" s="465"/>
      <c r="M72" s="465">
        <f t="shared" si="23"/>
        <v>2</v>
      </c>
      <c r="N72" s="1108">
        <v>62</v>
      </c>
      <c r="O72" s="1109">
        <v>-1</v>
      </c>
      <c r="P72" s="398">
        <v>304.7</v>
      </c>
      <c r="Q72" s="1120"/>
      <c r="R72" s="465">
        <f t="shared" si="24"/>
        <v>2</v>
      </c>
      <c r="S72" s="1108">
        <v>62</v>
      </c>
      <c r="T72" s="1109">
        <v>1</v>
      </c>
      <c r="U72" s="1110">
        <v>309.3</v>
      </c>
      <c r="V72" s="1120"/>
      <c r="W72" s="371"/>
      <c r="X72" s="494">
        <f t="shared" si="0"/>
        <v>305.5</v>
      </c>
      <c r="Y72" s="495" t="str">
        <f>IF('Feuilles=description générale'!$E$13="","",IF(X72="","",IF(X72&gt;('Feuilles=description générale'!$E$11+'Feuilles=description générale'!$E$10),"",100*(X72-'Feuilles=description générale'!$E$10)/('Feuilles=description générale'!$E$11))))</f>
        <v/>
      </c>
      <c r="Z72" s="495">
        <f>IF('Feuilles=description générale'!$E$13="","",IF(X72="","",IF(X72&lt;=('Feuilles=description générale'!$E$11+'Feuilles=description générale'!$E$10),"",100*(X72-'Feuilles=description générale'!$E$11-'Feuilles=description générale'!$E$10)/('Feuilles=description générale'!$E$12))))</f>
        <v>65.057233841122311</v>
      </c>
      <c r="AA72" s="1112">
        <f>IF('Feuilles=description générale'!$E$13="","",IF(X72="","",100*(X72-'Feuilles=description générale'!$E$10)/('Feuilles=description générale'!$E$13-'Feuilles=description générale'!$E$10)))</f>
        <v>73.704663212435236</v>
      </c>
      <c r="AB72" s="497">
        <f t="shared" si="1"/>
        <v>1</v>
      </c>
      <c r="AC72" s="500" t="str">
        <f t="shared" si="32"/>
        <v/>
      </c>
      <c r="AD72" s="494" t="str">
        <f t="shared" si="2"/>
        <v/>
      </c>
      <c r="AE72" s="499">
        <f t="shared" si="3"/>
        <v>2.1999999999999886</v>
      </c>
      <c r="AF72" s="371"/>
      <c r="AG72" s="494">
        <f t="shared" si="4"/>
        <v>301.05</v>
      </c>
      <c r="AH72" s="495" t="str">
        <f>IF('Feuilles=description générale'!$E$13="","",IF(AG72="","",IF(AG72&gt;('Feuilles=description générale'!$E$11+'Feuilles=description générale'!$E$10),"",100*(AG72-'Feuilles=description générale'!$E$10)/('Feuilles=description générale'!$E$11))))</f>
        <v/>
      </c>
      <c r="AI72" s="495">
        <f>IF('Feuilles=description générale'!$E$13="","",IF(AG72="","",IF(AG72&lt;=('Feuilles=description générale'!$E$11+'Feuilles=description générale'!$E$10),"",100*(AG72-'Feuilles=description générale'!$E$11-'Feuilles=description générale'!$E$10)/('Feuilles=description générale'!$E$12))))</f>
        <v>63.525260349427668</v>
      </c>
      <c r="AJ72" s="496">
        <f>IF('Feuilles=description générale'!$E$13="","",IF(AG72="","",100*(AG72-'Feuilles=description générale'!$E$10)/('Feuilles=description générale'!$E$13-'Feuilles=description générale'!$E$10)))</f>
        <v>72.551813471502584</v>
      </c>
      <c r="AK72" s="1113">
        <f t="shared" si="5"/>
        <v>1</v>
      </c>
      <c r="AL72" s="498" t="str">
        <f t="shared" si="6"/>
        <v/>
      </c>
      <c r="AM72" s="494" t="str">
        <f t="shared" si="7"/>
        <v/>
      </c>
      <c r="AN72" s="499">
        <f t="shared" si="8"/>
        <v>1.9499999999999886</v>
      </c>
      <c r="AO72" s="371"/>
      <c r="AP72" s="494">
        <f t="shared" si="9"/>
        <v>304.7</v>
      </c>
      <c r="AQ72" s="495" t="str">
        <f>IF('Feuilles=description générale'!$E$13="","",IF(AP72="","",IF(AP72&gt;('Feuilles=description générale'!$E$25+'Feuilles=description générale'!$E$24),"",100*(AP72-'Feuilles=description générale'!$E$24)/('Feuilles=description générale'!$E$25))))</f>
        <v/>
      </c>
      <c r="AR72" s="495">
        <f>IF('Feuilles=description générale'!$E$27="","",IF(AP72="","",IF(AP72&lt;=('Feuilles=description générale'!$E$25+'Feuilles=description générale'!$E$24),"",100*(AP72-'Feuilles=description générale'!$E$25-'Feuilles=description générale'!$E$24)/('Feuilles=description générale'!$E$26))))</f>
        <v>59.77900552486188</v>
      </c>
      <c r="AS72" s="496">
        <f>IF('Feuilles=description générale'!$E$27="","",IF(AP72="","",100*(AP72-'Feuilles=description générale'!$E$24)/('Feuilles=description générale'!$E$27-'Feuilles=description générale'!$E$24)))</f>
        <v>68.858469811781958</v>
      </c>
      <c r="AT72" s="497">
        <f t="shared" si="10"/>
        <v>2</v>
      </c>
      <c r="AU72" s="500">
        <f t="shared" si="11"/>
        <v>2</v>
      </c>
      <c r="AV72" s="494">
        <f t="shared" si="12"/>
        <v>3.8000000000000114</v>
      </c>
      <c r="AW72" s="499" t="str">
        <f t="shared" si="13"/>
        <v/>
      </c>
      <c r="AX72" s="371"/>
      <c r="AY72" s="494">
        <f t="shared" si="14"/>
        <v>309.3</v>
      </c>
      <c r="AZ72" s="495" t="str">
        <f>IF('Feuilles=description générale'!$E$13="","",IF(AY72="","",IF(AY72&gt;('Feuilles=description générale'!$E$25+'Feuilles=description générale'!$E$24),"",100*(AY72-'Feuilles=description générale'!$E$24)/('Feuilles=description générale'!$E$25))))</f>
        <v/>
      </c>
      <c r="BA72" s="495">
        <f>IF('Feuilles=description générale'!$E$27="","",IF(AY72="","",IF(AY72&lt;=('Feuilles=description générale'!$E$25+'Feuilles=description générale'!$E$24),"",100*(AY72-'Feuilles=description générale'!$E$25-'Feuilles=description générale'!$E$24)/('Feuilles=description générale'!$E$26))))</f>
        <v>61.231254932912393</v>
      </c>
      <c r="BB72" s="496">
        <f>IF('Feuilles=description générale'!$E$27="","",IF(AY72="","",100*(AY72-'Feuilles=description générale'!$E$24)/('Feuilles=description générale'!$E$27-'Feuilles=description générale'!$E$24)))</f>
        <v>69.982889269127355</v>
      </c>
      <c r="BC72" s="497">
        <f t="shared" si="15"/>
        <v>1</v>
      </c>
      <c r="BD72" s="500" t="str">
        <f t="shared" si="16"/>
        <v/>
      </c>
      <c r="BE72" s="494" t="str">
        <f t="shared" si="17"/>
        <v/>
      </c>
      <c r="BF72" s="499">
        <f t="shared" si="18"/>
        <v>1.3999999999999773</v>
      </c>
      <c r="BG72" s="476"/>
      <c r="BH72" s="566"/>
      <c r="BI72" s="560"/>
      <c r="BJ72" s="560"/>
      <c r="BK72" s="560"/>
      <c r="BL72" s="560"/>
      <c r="BM72" s="560"/>
      <c r="BN72" s="560"/>
      <c r="BO72" s="560"/>
      <c r="BP72" s="560"/>
      <c r="BQ72" s="560"/>
      <c r="BR72" s="560"/>
      <c r="BS72" s="560"/>
      <c r="BT72" s="560"/>
      <c r="BU72" s="568"/>
      <c r="BV72" s="1114" t="str">
        <f t="shared" si="19"/>
        <v/>
      </c>
      <c r="BW72" s="1114">
        <f t="shared" si="19"/>
        <v>4.8399999999999501</v>
      </c>
      <c r="BX72" s="1114" t="str">
        <f t="shared" si="20"/>
        <v/>
      </c>
      <c r="BY72" s="1115">
        <f t="shared" si="20"/>
        <v>3.8024999999999558</v>
      </c>
      <c r="BZ72" s="477"/>
      <c r="CA72" s="1114">
        <f t="shared" si="21"/>
        <v>14.440000000000087</v>
      </c>
      <c r="CB72" s="1114" t="str">
        <f t="shared" si="21"/>
        <v/>
      </c>
      <c r="CC72" s="1114" t="str">
        <f t="shared" si="22"/>
        <v/>
      </c>
      <c r="CD72" s="1115">
        <f t="shared" si="22"/>
        <v>1.9599999999999362</v>
      </c>
      <c r="CE72" s="568"/>
      <c r="CF72" s="554"/>
      <c r="CG72" s="560"/>
      <c r="CH72" s="560"/>
      <c r="CI72" s="560"/>
      <c r="CJ72" s="560"/>
      <c r="CK72" s="560"/>
      <c r="CL72" s="560"/>
      <c r="CM72" s="560"/>
      <c r="CN72" s="560"/>
      <c r="CO72" s="560"/>
      <c r="CP72" s="560"/>
      <c r="CQ72" s="560"/>
      <c r="CR72" s="560"/>
      <c r="CS72" s="560"/>
      <c r="CT72" s="560"/>
      <c r="CU72" s="560"/>
      <c r="CV72" s="476"/>
      <c r="CW72" s="345"/>
      <c r="CX72" s="345"/>
      <c r="CY72" s="345"/>
      <c r="CZ72" s="345"/>
      <c r="DA72" s="345"/>
      <c r="DB72" s="345"/>
      <c r="DC72" s="345"/>
      <c r="DD72" s="345"/>
      <c r="DE72" s="345"/>
      <c r="DF72" s="345"/>
      <c r="DG72" s="345"/>
      <c r="DH72" s="345"/>
      <c r="DI72" s="345"/>
      <c r="DJ72" s="345"/>
      <c r="DK72" s="345"/>
      <c r="DL72" s="345"/>
      <c r="DM72" s="345"/>
      <c r="DN72" s="345"/>
      <c r="DO72" s="345"/>
      <c r="DP72" s="345"/>
      <c r="DQ72" s="345"/>
      <c r="DR72" s="345"/>
      <c r="DS72" s="345"/>
      <c r="DT72" s="345"/>
      <c r="DU72" s="345"/>
      <c r="DV72" s="345"/>
      <c r="DW72" s="345"/>
      <c r="DX72" s="345"/>
      <c r="DY72" s="345"/>
      <c r="DZ72" s="345"/>
      <c r="EA72" s="345"/>
      <c r="EB72" s="345"/>
      <c r="EC72" s="345"/>
      <c r="ED72" s="345"/>
      <c r="EE72" s="345"/>
      <c r="EF72" s="345"/>
      <c r="EG72" s="345"/>
      <c r="EH72" s="345"/>
      <c r="EI72" s="345"/>
      <c r="EJ72" s="345"/>
      <c r="EK72" s="345"/>
      <c r="EL72" s="345"/>
      <c r="EM72" s="345"/>
      <c r="EN72" s="345"/>
      <c r="EO72" s="345"/>
      <c r="EP72" s="345"/>
      <c r="EQ72" s="345"/>
      <c r="ER72" s="345"/>
      <c r="ES72" s="345"/>
      <c r="ET72" s="345"/>
      <c r="EU72" s="345"/>
      <c r="EV72" s="345"/>
      <c r="EW72" s="345"/>
      <c r="EX72" s="345"/>
      <c r="EY72" s="345"/>
      <c r="EZ72" s="345"/>
      <c r="FA72" s="345"/>
      <c r="FB72" s="345"/>
      <c r="FC72" s="345"/>
      <c r="FD72" s="345"/>
      <c r="FE72" s="345"/>
      <c r="FF72" s="345"/>
      <c r="FG72" s="345"/>
      <c r="FH72" s="345"/>
      <c r="FI72" s="345"/>
      <c r="FJ72" s="345"/>
      <c r="FK72" s="345"/>
      <c r="FL72" s="345"/>
      <c r="FM72" s="345"/>
      <c r="FN72" s="345"/>
      <c r="FO72" s="345"/>
      <c r="FP72" s="345"/>
      <c r="FQ72" s="345"/>
      <c r="FR72" s="345"/>
      <c r="FS72" s="345"/>
      <c r="FT72" s="345"/>
      <c r="FU72" s="345"/>
      <c r="FV72" s="345"/>
      <c r="FW72" s="345"/>
      <c r="FX72" s="345"/>
      <c r="FY72" s="345"/>
      <c r="FZ72" s="345"/>
      <c r="GA72" s="345"/>
      <c r="GB72" s="345"/>
      <c r="GC72" s="345"/>
      <c r="GD72" s="345"/>
      <c r="GE72" s="345"/>
      <c r="GF72" s="345"/>
      <c r="GG72" s="345"/>
      <c r="GH72" s="345"/>
      <c r="GI72" s="345"/>
      <c r="GJ72" s="345"/>
      <c r="GK72" s="345"/>
      <c r="GL72" s="345"/>
      <c r="GM72" s="345"/>
      <c r="GN72" s="345"/>
      <c r="GO72" s="345"/>
      <c r="GP72" s="345"/>
      <c r="GQ72" s="345"/>
      <c r="GR72" s="345"/>
      <c r="GS72" s="345"/>
      <c r="GT72" s="345"/>
      <c r="GU72" s="345"/>
    </row>
    <row r="73" spans="1:203" ht="12.75" customHeight="1">
      <c r="A73" s="465">
        <f t="shared" si="31"/>
        <v>2</v>
      </c>
      <c r="B73" s="1108">
        <v>63</v>
      </c>
      <c r="C73" s="1109">
        <v>-1</v>
      </c>
      <c r="D73" s="398">
        <v>307.7</v>
      </c>
      <c r="E73" s="1120"/>
      <c r="F73" s="465">
        <f t="shared" si="36"/>
        <v>2</v>
      </c>
      <c r="G73" s="1108">
        <v>63</v>
      </c>
      <c r="H73" s="1109">
        <v>-1</v>
      </c>
      <c r="I73" s="398">
        <v>303</v>
      </c>
      <c r="J73" s="1120"/>
      <c r="K73" s="465"/>
      <c r="L73" s="465"/>
      <c r="M73" s="465">
        <f t="shared" si="23"/>
        <v>2</v>
      </c>
      <c r="N73" s="1108">
        <v>63</v>
      </c>
      <c r="O73" s="1109">
        <v>1</v>
      </c>
      <c r="P73" s="398">
        <v>308.5</v>
      </c>
      <c r="Q73" s="1120"/>
      <c r="R73" s="465">
        <f t="shared" si="24"/>
        <v>2</v>
      </c>
      <c r="S73" s="1108">
        <v>63</v>
      </c>
      <c r="T73" s="1109">
        <v>-1</v>
      </c>
      <c r="U73" s="1110">
        <v>310.7</v>
      </c>
      <c r="V73" s="1120"/>
      <c r="W73" s="371"/>
      <c r="X73" s="494">
        <f t="shared" si="0"/>
        <v>307.7</v>
      </c>
      <c r="Y73" s="495" t="str">
        <f>IF('Feuilles=description générale'!$E$13="","",IF(X73="","",IF(X73&gt;('Feuilles=description générale'!$E$11+'Feuilles=description générale'!$E$10),"",100*(X73-'Feuilles=description générale'!$E$10)/('Feuilles=description générale'!$E$11))))</f>
        <v/>
      </c>
      <c r="Z73" s="495">
        <f>IF('Feuilles=description générale'!$E$13="","",IF(X73="","",IF(X73&lt;=('Feuilles=description générale'!$E$11+'Feuilles=description générale'!$E$10),"",100*(X73-'Feuilles=description générale'!$E$11-'Feuilles=description générale'!$E$10)/('Feuilles=description générale'!$E$12))))</f>
        <v>65.814613994319643</v>
      </c>
      <c r="AA73" s="1112">
        <f>IF('Feuilles=description générale'!$E$13="","",IF(X73="","",100*(X73-'Feuilles=description générale'!$E$10)/('Feuilles=description générale'!$E$13-'Feuilles=description générale'!$E$10)))</f>
        <v>74.274611398963728</v>
      </c>
      <c r="AB73" s="497">
        <f t="shared" si="1"/>
        <v>2</v>
      </c>
      <c r="AC73" s="500">
        <f t="shared" si="32"/>
        <v>2</v>
      </c>
      <c r="AD73" s="494">
        <f t="shared" si="2"/>
        <v>3.3500000000000227</v>
      </c>
      <c r="AE73" s="499" t="str">
        <f t="shared" si="3"/>
        <v/>
      </c>
      <c r="AF73" s="371"/>
      <c r="AG73" s="494">
        <f t="shared" si="4"/>
        <v>303</v>
      </c>
      <c r="AH73" s="495" t="str">
        <f>IF('Feuilles=description générale'!$E$13="","",IF(AG73="","",IF(AG73&gt;('Feuilles=description générale'!$E$11+'Feuilles=description générale'!$E$10),"",100*(AG73-'Feuilles=description générale'!$E$10)/('Feuilles=description générale'!$E$11))))</f>
        <v/>
      </c>
      <c r="AI73" s="495">
        <f>IF('Feuilles=description générale'!$E$13="","",IF(AG73="","",IF(AG73&lt;=('Feuilles=description générale'!$E$11+'Feuilles=description générale'!$E$10),"",100*(AG73-'Feuilles=description générale'!$E$11-'Feuilles=description générale'!$E$10)/('Feuilles=description générale'!$E$12))))</f>
        <v>64.196574576125315</v>
      </c>
      <c r="AJ73" s="496">
        <f>IF('Feuilles=description générale'!$E$13="","",IF(AG73="","",100*(AG73-'Feuilles=description générale'!$E$10)/('Feuilles=description générale'!$E$13-'Feuilles=description générale'!$E$10)))</f>
        <v>73.056994818652853</v>
      </c>
      <c r="AK73" s="1113">
        <f t="shared" si="5"/>
        <v>2</v>
      </c>
      <c r="AL73" s="498">
        <f t="shared" si="6"/>
        <v>2</v>
      </c>
      <c r="AM73" s="494">
        <f t="shared" si="7"/>
        <v>3</v>
      </c>
      <c r="AN73" s="499" t="str">
        <f t="shared" si="8"/>
        <v/>
      </c>
      <c r="AO73" s="371"/>
      <c r="AP73" s="494">
        <f t="shared" si="9"/>
        <v>308.5</v>
      </c>
      <c r="AQ73" s="495" t="str">
        <f>IF('Feuilles=description générale'!$E$13="","",IF(AP73="","",IF(AP73&gt;('Feuilles=description générale'!$E$25+'Feuilles=description générale'!$E$24),"",100*(AP73-'Feuilles=description générale'!$E$24)/('Feuilles=description générale'!$E$25))))</f>
        <v/>
      </c>
      <c r="AR73" s="495">
        <f>IF('Feuilles=description générale'!$E$27="","",IF(AP73="","",IF(AP73&lt;=('Feuilles=description générale'!$E$25+'Feuilles=description générale'!$E$24),"",100*(AP73-'Feuilles=description générale'!$E$25-'Feuilles=description générale'!$E$24)/('Feuilles=description générale'!$E$26))))</f>
        <v>60.978689818468823</v>
      </c>
      <c r="AS73" s="496">
        <f>IF('Feuilles=description générale'!$E$27="","",IF(AP73="","",100*(AP73-'Feuilles=description générale'!$E$24)/('Feuilles=description générale'!$E$27-'Feuilles=description générale'!$E$24)))</f>
        <v>69.787338059154237</v>
      </c>
      <c r="AT73" s="497">
        <f t="shared" si="10"/>
        <v>1</v>
      </c>
      <c r="AU73" s="500" t="str">
        <f t="shared" si="11"/>
        <v/>
      </c>
      <c r="AV73" s="494" t="str">
        <f t="shared" si="12"/>
        <v/>
      </c>
      <c r="AW73" s="499">
        <f t="shared" si="13"/>
        <v>1.1999999999999886</v>
      </c>
      <c r="AX73" s="371"/>
      <c r="AY73" s="494">
        <f t="shared" si="14"/>
        <v>310.7</v>
      </c>
      <c r="AZ73" s="495" t="str">
        <f>IF('Feuilles=description générale'!$E$13="","",IF(AY73="","",IF(AY73&gt;('Feuilles=description générale'!$E$25+'Feuilles=description générale'!$E$24),"",100*(AY73-'Feuilles=description générale'!$E$24)/('Feuilles=description générale'!$E$25))))</f>
        <v/>
      </c>
      <c r="BA73" s="495">
        <f>IF('Feuilles=description générale'!$E$27="","",IF(AY73="","",IF(AY73&lt;=('Feuilles=description générale'!$E$25+'Feuilles=description générale'!$E$24),"",100*(AY73-'Feuilles=description générale'!$E$25-'Feuilles=description générale'!$E$24)/('Feuilles=description générale'!$E$26))))</f>
        <v>61.673243883188633</v>
      </c>
      <c r="BB73" s="496">
        <f>IF('Feuilles=description générale'!$E$27="","",IF(AY73="","",100*(AY73-'Feuilles=description générale'!$E$24)/('Feuilles=description générale'!$E$27-'Feuilles=description générale'!$E$24)))</f>
        <v>70.325103886580294</v>
      </c>
      <c r="BC73" s="497">
        <f t="shared" si="15"/>
        <v>2</v>
      </c>
      <c r="BD73" s="500">
        <f t="shared" si="16"/>
        <v>2</v>
      </c>
      <c r="BE73" s="494">
        <f t="shared" si="17"/>
        <v>2.5</v>
      </c>
      <c r="BF73" s="499" t="str">
        <f t="shared" si="18"/>
        <v/>
      </c>
      <c r="BG73" s="476"/>
      <c r="BH73" s="561"/>
      <c r="BI73" s="566"/>
      <c r="BJ73" s="566"/>
      <c r="BK73" s="566"/>
      <c r="BL73" s="566"/>
      <c r="BM73" s="566"/>
      <c r="BN73" s="566"/>
      <c r="BO73" s="566"/>
      <c r="BP73" s="566"/>
      <c r="BQ73" s="566"/>
      <c r="BR73" s="566"/>
      <c r="BS73" s="566"/>
      <c r="BT73" s="566"/>
      <c r="BU73" s="568"/>
      <c r="BV73" s="1114">
        <f t="shared" si="19"/>
        <v>11.222500000000153</v>
      </c>
      <c r="BW73" s="1114" t="str">
        <f t="shared" si="19"/>
        <v/>
      </c>
      <c r="BX73" s="1114">
        <f t="shared" si="20"/>
        <v>9</v>
      </c>
      <c r="BY73" s="1115" t="str">
        <f t="shared" si="20"/>
        <v/>
      </c>
      <c r="BZ73" s="477"/>
      <c r="CA73" s="1114" t="str">
        <f t="shared" si="21"/>
        <v/>
      </c>
      <c r="CB73" s="1114">
        <f t="shared" si="21"/>
        <v>1.4399999999999726</v>
      </c>
      <c r="CC73" s="1114">
        <f t="shared" si="22"/>
        <v>6.25</v>
      </c>
      <c r="CD73" s="1115" t="str">
        <f t="shared" si="22"/>
        <v/>
      </c>
      <c r="CE73" s="568"/>
      <c r="CF73" s="561"/>
      <c r="CG73" s="566"/>
      <c r="CH73" s="566"/>
      <c r="CI73" s="566"/>
      <c r="CJ73" s="566"/>
      <c r="CK73" s="566"/>
      <c r="CL73" s="566"/>
      <c r="CM73" s="566"/>
      <c r="CN73" s="566"/>
      <c r="CO73" s="566"/>
      <c r="CP73" s="566"/>
      <c r="CQ73" s="566"/>
      <c r="CR73" s="566"/>
      <c r="CS73" s="566"/>
      <c r="CT73" s="566"/>
      <c r="CU73" s="566"/>
      <c r="CV73" s="476"/>
      <c r="CW73" s="345"/>
      <c r="CX73" s="345"/>
      <c r="CY73" s="345"/>
      <c r="CZ73" s="345"/>
      <c r="DA73" s="345"/>
      <c r="DB73" s="345"/>
      <c r="DC73" s="345"/>
      <c r="DD73" s="345"/>
      <c r="DE73" s="345"/>
      <c r="DF73" s="345"/>
      <c r="DG73" s="345"/>
      <c r="DH73" s="345"/>
      <c r="DI73" s="345"/>
      <c r="DJ73" s="345"/>
      <c r="DK73" s="345"/>
      <c r="DL73" s="345"/>
      <c r="DM73" s="345"/>
      <c r="DN73" s="345"/>
      <c r="DO73" s="345"/>
      <c r="DP73" s="345"/>
      <c r="DQ73" s="345"/>
      <c r="DR73" s="345"/>
      <c r="DS73" s="345"/>
      <c r="DT73" s="345"/>
      <c r="DU73" s="345"/>
      <c r="DV73" s="345"/>
      <c r="DW73" s="345"/>
      <c r="DX73" s="345"/>
      <c r="DY73" s="345"/>
      <c r="DZ73" s="345"/>
      <c r="EA73" s="345"/>
      <c r="EB73" s="345"/>
      <c r="EC73" s="345"/>
      <c r="ED73" s="345"/>
      <c r="EE73" s="345"/>
      <c r="EF73" s="345"/>
      <c r="EG73" s="345"/>
      <c r="EH73" s="345"/>
      <c r="EI73" s="345"/>
      <c r="EJ73" s="345"/>
      <c r="EK73" s="345"/>
      <c r="EL73" s="345"/>
      <c r="EM73" s="345"/>
      <c r="EN73" s="345"/>
      <c r="EO73" s="345"/>
      <c r="EP73" s="345"/>
      <c r="EQ73" s="345"/>
      <c r="ER73" s="345"/>
      <c r="ES73" s="345"/>
      <c r="ET73" s="345"/>
      <c r="EU73" s="345"/>
      <c r="EV73" s="345"/>
      <c r="EW73" s="345"/>
      <c r="EX73" s="345"/>
      <c r="EY73" s="345"/>
      <c r="EZ73" s="345"/>
      <c r="FA73" s="345"/>
      <c r="FB73" s="345"/>
      <c r="FC73" s="345"/>
      <c r="FD73" s="345"/>
      <c r="FE73" s="345"/>
      <c r="FF73" s="345"/>
      <c r="FG73" s="345"/>
      <c r="FH73" s="345"/>
      <c r="FI73" s="345"/>
      <c r="FJ73" s="345"/>
      <c r="FK73" s="345"/>
      <c r="FL73" s="345"/>
      <c r="FM73" s="345"/>
      <c r="FN73" s="345"/>
      <c r="FO73" s="345"/>
      <c r="FP73" s="345"/>
      <c r="FQ73" s="345"/>
      <c r="FR73" s="345"/>
      <c r="FS73" s="345"/>
      <c r="FT73" s="345"/>
      <c r="FU73" s="345"/>
      <c r="FV73" s="345"/>
      <c r="FW73" s="345"/>
      <c r="FX73" s="345"/>
      <c r="FY73" s="345"/>
      <c r="FZ73" s="345"/>
      <c r="GA73" s="345"/>
      <c r="GB73" s="345"/>
      <c r="GC73" s="345"/>
      <c r="GD73" s="345"/>
      <c r="GE73" s="345"/>
      <c r="GF73" s="345"/>
      <c r="GG73" s="345"/>
      <c r="GH73" s="345"/>
      <c r="GI73" s="345"/>
      <c r="GJ73" s="345"/>
      <c r="GK73" s="345"/>
      <c r="GL73" s="345"/>
      <c r="GM73" s="345"/>
      <c r="GN73" s="345"/>
      <c r="GO73" s="345"/>
      <c r="GP73" s="345"/>
      <c r="GQ73" s="345"/>
      <c r="GR73" s="345"/>
      <c r="GS73" s="345"/>
      <c r="GT73" s="345"/>
      <c r="GU73" s="345"/>
    </row>
    <row r="74" spans="1:203" ht="12.75" customHeight="1">
      <c r="A74" s="465">
        <f t="shared" si="31"/>
        <v>2</v>
      </c>
      <c r="B74" s="1108">
        <v>64</v>
      </c>
      <c r="C74" s="1109">
        <v>1</v>
      </c>
      <c r="D74" s="398">
        <v>311.05</v>
      </c>
      <c r="E74" s="1120"/>
      <c r="F74" s="465">
        <f t="shared" si="36"/>
        <v>2</v>
      </c>
      <c r="G74" s="1108">
        <v>64</v>
      </c>
      <c r="H74" s="1109">
        <v>1</v>
      </c>
      <c r="I74" s="398">
        <v>306</v>
      </c>
      <c r="J74" s="1120"/>
      <c r="K74" s="465"/>
      <c r="L74" s="465"/>
      <c r="M74" s="465">
        <f t="shared" si="23"/>
        <v>2</v>
      </c>
      <c r="N74" s="1108">
        <v>64</v>
      </c>
      <c r="O74" s="1109">
        <v>-1</v>
      </c>
      <c r="P74" s="398">
        <v>309.7</v>
      </c>
      <c r="Q74" s="1120"/>
      <c r="R74" s="465">
        <f t="shared" si="24"/>
        <v>2</v>
      </c>
      <c r="S74" s="1108">
        <v>64</v>
      </c>
      <c r="T74" s="1109">
        <v>1</v>
      </c>
      <c r="U74" s="1110">
        <v>313.2</v>
      </c>
      <c r="V74" s="1120"/>
      <c r="W74" s="371"/>
      <c r="X74" s="494">
        <f t="shared" si="0"/>
        <v>311.05</v>
      </c>
      <c r="Y74" s="495" t="str">
        <f>IF('Feuilles=description générale'!$E$13="","",IF(X74="","",IF(X74&gt;('Feuilles=description générale'!$E$11+'Feuilles=description générale'!$E$10),"",100*(X74-'Feuilles=description générale'!$E$10)/('Feuilles=description générale'!$E$11))))</f>
        <v/>
      </c>
      <c r="Z74" s="495">
        <f>IF('Feuilles=description générale'!$E$13="","",IF(X74="","",IF(X74&lt;=('Feuilles=description générale'!$E$11+'Feuilles=description générale'!$E$10),"",100*(X74-'Feuilles=description générale'!$E$11-'Feuilles=description générale'!$E$10)/('Feuilles=description générale'!$E$12))))</f>
        <v>66.967897409415613</v>
      </c>
      <c r="AA74" s="1112">
        <f>IF('Feuilles=description générale'!$E$13="","",IF(X74="","",100*(X74-'Feuilles=description générale'!$E$10)/('Feuilles=description générale'!$E$13-'Feuilles=description générale'!$E$10)))</f>
        <v>75.142487046632127</v>
      </c>
      <c r="AB74" s="497">
        <f t="shared" si="1"/>
        <v>1</v>
      </c>
      <c r="AC74" s="500" t="str">
        <f t="shared" si="32"/>
        <v/>
      </c>
      <c r="AD74" s="494" t="str">
        <f t="shared" si="2"/>
        <v/>
      </c>
      <c r="AE74" s="499">
        <f t="shared" si="3"/>
        <v>2.75</v>
      </c>
      <c r="AF74" s="371"/>
      <c r="AG74" s="494">
        <f t="shared" si="4"/>
        <v>306</v>
      </c>
      <c r="AH74" s="495" t="str">
        <f>IF('Feuilles=description générale'!$E$13="","",IF(AG74="","",IF(AG74&gt;('Feuilles=description générale'!$E$11+'Feuilles=description générale'!$E$10),"",100*(AG74-'Feuilles=description générale'!$E$10)/('Feuilles=description générale'!$E$11))))</f>
        <v/>
      </c>
      <c r="AI74" s="495">
        <f>IF('Feuilles=description générale'!$E$13="","",IF(AG74="","",IF(AG74&lt;=('Feuilles=description générale'!$E$11+'Feuilles=description générale'!$E$10),"",100*(AG74-'Feuilles=description générale'!$E$11-'Feuilles=description générale'!$E$10)/('Feuilles=description générale'!$E$12))))</f>
        <v>65.229365694121711</v>
      </c>
      <c r="AJ74" s="496">
        <f>IF('Feuilles=description générale'!$E$13="","",IF(AG74="","",100*(AG74-'Feuilles=description générale'!$E$10)/('Feuilles=description générale'!$E$13-'Feuilles=description générale'!$E$10)))</f>
        <v>73.834196891191709</v>
      </c>
      <c r="AK74" s="1113">
        <f t="shared" si="5"/>
        <v>1</v>
      </c>
      <c r="AL74" s="498" t="str">
        <f t="shared" si="6"/>
        <v/>
      </c>
      <c r="AM74" s="494" t="str">
        <f t="shared" si="7"/>
        <v/>
      </c>
      <c r="AN74" s="499">
        <f t="shared" si="8"/>
        <v>1.3000000000000114</v>
      </c>
      <c r="AO74" s="371"/>
      <c r="AP74" s="494">
        <f t="shared" si="9"/>
        <v>309.7</v>
      </c>
      <c r="AQ74" s="495" t="str">
        <f>IF('Feuilles=description générale'!$E$13="","",IF(AP74="","",IF(AP74&gt;('Feuilles=description générale'!$E$25+'Feuilles=description générale'!$E$24),"",100*(AP74-'Feuilles=description générale'!$E$24)/('Feuilles=description générale'!$E$25))))</f>
        <v/>
      </c>
      <c r="AR74" s="495">
        <f>IF('Feuilles=description générale'!$E$27="","",IF(AP74="","",IF(AP74&lt;=('Feuilles=description générale'!$E$25+'Feuilles=description générale'!$E$24),"",100*(AP74-'Feuilles=description générale'!$E$25-'Feuilles=description générale'!$E$24)/('Feuilles=description générale'!$E$26))))</f>
        <v>61.357537490134177</v>
      </c>
      <c r="AS74" s="496">
        <f>IF('Feuilles=description générale'!$E$27="","",IF(AP74="","",100*(AP74-'Feuilles=description générale'!$E$24)/('Feuilles=description générale'!$E$27-'Feuilles=description générale'!$E$24)))</f>
        <v>70.080664874113907</v>
      </c>
      <c r="AT74" s="497">
        <f t="shared" si="10"/>
        <v>2</v>
      </c>
      <c r="AU74" s="500">
        <f t="shared" si="11"/>
        <v>2</v>
      </c>
      <c r="AV74" s="494">
        <f t="shared" si="12"/>
        <v>3.3000000000000114</v>
      </c>
      <c r="AW74" s="499" t="str">
        <f t="shared" si="13"/>
        <v/>
      </c>
      <c r="AX74" s="371"/>
      <c r="AY74" s="494">
        <f t="shared" si="14"/>
        <v>313.2</v>
      </c>
      <c r="AZ74" s="495" t="str">
        <f>IF('Feuilles=description générale'!$E$13="","",IF(AY74="","",IF(AY74&gt;('Feuilles=description générale'!$E$25+'Feuilles=description générale'!$E$24),"",100*(AY74-'Feuilles=description générale'!$E$24)/('Feuilles=description générale'!$E$25))))</f>
        <v/>
      </c>
      <c r="BA74" s="495">
        <f>IF('Feuilles=description générale'!$E$27="","",IF(AY74="","",IF(AY74&lt;=('Feuilles=description générale'!$E$25+'Feuilles=description générale'!$E$24),"",100*(AY74-'Feuilles=description générale'!$E$25-'Feuilles=description générale'!$E$24)/('Feuilles=description générale'!$E$26))))</f>
        <v>62.462509865824785</v>
      </c>
      <c r="BB74" s="496">
        <f>IF('Feuilles=description générale'!$E$27="","",IF(AY74="","",100*(AY74-'Feuilles=description générale'!$E$24)/('Feuilles=description générale'!$E$27-'Feuilles=description générale'!$E$24)))</f>
        <v>70.936201417746275</v>
      </c>
      <c r="BC74" s="497">
        <f t="shared" si="15"/>
        <v>1</v>
      </c>
      <c r="BD74" s="500" t="str">
        <f t="shared" si="16"/>
        <v/>
      </c>
      <c r="BE74" s="494" t="str">
        <f t="shared" si="17"/>
        <v/>
      </c>
      <c r="BF74" s="499">
        <f t="shared" si="18"/>
        <v>0.80000000000001137</v>
      </c>
      <c r="BG74" s="476"/>
      <c r="BH74" s="561"/>
      <c r="BI74" s="566"/>
      <c r="BJ74" s="566"/>
      <c r="BK74" s="566"/>
      <c r="BL74" s="566"/>
      <c r="BM74" s="566"/>
      <c r="BN74" s="566"/>
      <c r="BO74" s="566"/>
      <c r="BP74" s="566"/>
      <c r="BQ74" s="566"/>
      <c r="BR74" s="566"/>
      <c r="BS74" s="566"/>
      <c r="BT74" s="566"/>
      <c r="BU74" s="568"/>
      <c r="BV74" s="1114" t="str">
        <f t="shared" si="19"/>
        <v/>
      </c>
      <c r="BW74" s="1114">
        <f t="shared" si="19"/>
        <v>7.5625</v>
      </c>
      <c r="BX74" s="1114" t="str">
        <f t="shared" si="20"/>
        <v/>
      </c>
      <c r="BY74" s="1115">
        <f t="shared" si="20"/>
        <v>1.6900000000000295</v>
      </c>
      <c r="BZ74" s="477"/>
      <c r="CA74" s="1114">
        <f t="shared" si="21"/>
        <v>10.890000000000075</v>
      </c>
      <c r="CB74" s="1114" t="str">
        <f t="shared" si="21"/>
        <v/>
      </c>
      <c r="CC74" s="1114" t="str">
        <f t="shared" si="22"/>
        <v/>
      </c>
      <c r="CD74" s="1115">
        <f t="shared" si="22"/>
        <v>0.64000000000001822</v>
      </c>
      <c r="CE74" s="568"/>
      <c r="CF74" s="561"/>
      <c r="CG74" s="566"/>
      <c r="CH74" s="566"/>
      <c r="CI74" s="566"/>
      <c r="CJ74" s="566"/>
      <c r="CK74" s="566"/>
      <c r="CL74" s="566"/>
      <c r="CM74" s="566"/>
      <c r="CN74" s="566"/>
      <c r="CO74" s="566"/>
      <c r="CP74" s="566"/>
      <c r="CQ74" s="566"/>
      <c r="CR74" s="566"/>
      <c r="CS74" s="566"/>
      <c r="CT74" s="566"/>
      <c r="CU74" s="566"/>
      <c r="CV74" s="476"/>
      <c r="CW74" s="345"/>
      <c r="CX74" s="345"/>
      <c r="CY74" s="345"/>
      <c r="CZ74" s="345"/>
      <c r="DA74" s="345"/>
      <c r="DB74" s="345"/>
      <c r="DC74" s="345"/>
      <c r="DD74" s="345"/>
      <c r="DE74" s="345"/>
      <c r="DF74" s="345"/>
      <c r="DG74" s="345"/>
      <c r="DH74" s="345"/>
      <c r="DI74" s="345"/>
      <c r="DJ74" s="345"/>
      <c r="DK74" s="345"/>
      <c r="DL74" s="345"/>
      <c r="DM74" s="345"/>
      <c r="DN74" s="345"/>
      <c r="DO74" s="345"/>
      <c r="DP74" s="345"/>
      <c r="DQ74" s="345"/>
      <c r="DR74" s="345"/>
      <c r="DS74" s="345"/>
      <c r="DT74" s="345"/>
      <c r="DU74" s="345"/>
      <c r="DV74" s="345"/>
      <c r="DW74" s="345"/>
      <c r="DX74" s="345"/>
      <c r="DY74" s="345"/>
      <c r="DZ74" s="345"/>
      <c r="EA74" s="345"/>
      <c r="EB74" s="345"/>
      <c r="EC74" s="345"/>
      <c r="ED74" s="345"/>
      <c r="EE74" s="345"/>
      <c r="EF74" s="345"/>
      <c r="EG74" s="345"/>
      <c r="EH74" s="345"/>
      <c r="EI74" s="345"/>
      <c r="EJ74" s="345"/>
      <c r="EK74" s="345"/>
      <c r="EL74" s="345"/>
      <c r="EM74" s="345"/>
      <c r="EN74" s="345"/>
      <c r="EO74" s="345"/>
      <c r="EP74" s="345"/>
      <c r="EQ74" s="345"/>
      <c r="ER74" s="345"/>
      <c r="ES74" s="345"/>
      <c r="ET74" s="345"/>
      <c r="EU74" s="345"/>
      <c r="EV74" s="345"/>
      <c r="EW74" s="345"/>
      <c r="EX74" s="345"/>
      <c r="EY74" s="345"/>
      <c r="EZ74" s="345"/>
      <c r="FA74" s="345"/>
      <c r="FB74" s="345"/>
      <c r="FC74" s="345"/>
      <c r="FD74" s="345"/>
      <c r="FE74" s="345"/>
      <c r="FF74" s="345"/>
      <c r="FG74" s="345"/>
      <c r="FH74" s="345"/>
      <c r="FI74" s="345"/>
      <c r="FJ74" s="345"/>
      <c r="FK74" s="345"/>
      <c r="FL74" s="345"/>
      <c r="FM74" s="345"/>
      <c r="FN74" s="345"/>
      <c r="FO74" s="345"/>
      <c r="FP74" s="345"/>
      <c r="FQ74" s="345"/>
      <c r="FR74" s="345"/>
      <c r="FS74" s="345"/>
      <c r="FT74" s="345"/>
      <c r="FU74" s="345"/>
      <c r="FV74" s="345"/>
      <c r="FW74" s="345"/>
      <c r="FX74" s="345"/>
      <c r="FY74" s="345"/>
      <c r="FZ74" s="345"/>
      <c r="GA74" s="345"/>
      <c r="GB74" s="345"/>
      <c r="GC74" s="345"/>
      <c r="GD74" s="345"/>
      <c r="GE74" s="345"/>
      <c r="GF74" s="345"/>
      <c r="GG74" s="345"/>
      <c r="GH74" s="345"/>
      <c r="GI74" s="345"/>
      <c r="GJ74" s="345"/>
      <c r="GK74" s="345"/>
      <c r="GL74" s="345"/>
      <c r="GM74" s="345"/>
      <c r="GN74" s="345"/>
      <c r="GO74" s="345"/>
      <c r="GP74" s="345"/>
      <c r="GQ74" s="345"/>
      <c r="GR74" s="345"/>
      <c r="GS74" s="345"/>
      <c r="GT74" s="345"/>
      <c r="GU74" s="345"/>
    </row>
    <row r="75" spans="1:203" ht="12.75" customHeight="1">
      <c r="A75" s="465">
        <f t="shared" si="31"/>
        <v>2</v>
      </c>
      <c r="B75" s="1108">
        <v>65</v>
      </c>
      <c r="C75" s="1109">
        <v>0</v>
      </c>
      <c r="D75" s="398">
        <v>313.8</v>
      </c>
      <c r="E75" s="1120"/>
      <c r="F75" s="465">
        <f t="shared" si="36"/>
        <v>2</v>
      </c>
      <c r="G75" s="1108">
        <v>65</v>
      </c>
      <c r="H75" s="1109">
        <v>-1</v>
      </c>
      <c r="I75" s="398">
        <v>307.3</v>
      </c>
      <c r="J75" s="1120"/>
      <c r="K75" s="465"/>
      <c r="L75" s="465"/>
      <c r="M75" s="465">
        <f t="shared" si="23"/>
        <v>2</v>
      </c>
      <c r="N75" s="1108">
        <v>65</v>
      </c>
      <c r="O75" s="1109">
        <v>1</v>
      </c>
      <c r="P75" s="398">
        <v>313</v>
      </c>
      <c r="Q75" s="1120"/>
      <c r="R75" s="465">
        <f t="shared" si="24"/>
        <v>2</v>
      </c>
      <c r="S75" s="1108">
        <v>65</v>
      </c>
      <c r="T75" s="1109">
        <v>-1</v>
      </c>
      <c r="U75" s="1110">
        <v>314</v>
      </c>
      <c r="V75" s="1120"/>
      <c r="W75" s="371"/>
      <c r="X75" s="494">
        <f t="shared" si="0"/>
        <v>313.8</v>
      </c>
      <c r="Y75" s="495" t="str">
        <f>IF('Feuilles=description générale'!$E$13="","",IF(X75="","",IF(X75&gt;('Feuilles=description générale'!$E$11+'Feuilles=description générale'!$E$10),"",100*(X75-'Feuilles=description générale'!$E$10)/('Feuilles=description générale'!$E$11))))</f>
        <v/>
      </c>
      <c r="Z75" s="495">
        <f>IF('Feuilles=description générale'!$E$13="","",IF(X75="","",IF(X75&lt;=('Feuilles=description générale'!$E$11+'Feuilles=description générale'!$E$10),"",100*(X75-'Feuilles=description générale'!$E$11-'Feuilles=description générale'!$E$10)/('Feuilles=description générale'!$E$12))))</f>
        <v>67.91462260091231</v>
      </c>
      <c r="AA75" s="1112">
        <f>IF('Feuilles=description générale'!$E$13="","",IF(X75="","",100*(X75-'Feuilles=description générale'!$E$10)/('Feuilles=description générale'!$E$13-'Feuilles=description générale'!$E$10)))</f>
        <v>75.854922279792746</v>
      </c>
      <c r="AB75" s="497">
        <f t="shared" si="1"/>
        <v>2</v>
      </c>
      <c r="AC75" s="500" t="str">
        <f t="shared" si="32"/>
        <v/>
      </c>
      <c r="AD75" s="494" t="str">
        <f t="shared" si="2"/>
        <v/>
      </c>
      <c r="AE75" s="499">
        <f t="shared" si="3"/>
        <v>1.8000000000000114</v>
      </c>
      <c r="AF75" s="371"/>
      <c r="AG75" s="494">
        <f t="shared" si="4"/>
        <v>307.3</v>
      </c>
      <c r="AH75" s="495" t="str">
        <f>IF('Feuilles=description générale'!$E$13="","",IF(AG75="","",IF(AG75&gt;('Feuilles=description générale'!$E$11+'Feuilles=description générale'!$E$10),"",100*(AG75-'Feuilles=description générale'!$E$10)/('Feuilles=description générale'!$E$11))))</f>
        <v/>
      </c>
      <c r="AI75" s="495">
        <f>IF('Feuilles=description générale'!$E$13="","",IF(AG75="","",IF(AG75&lt;=('Feuilles=description générale'!$E$11+'Feuilles=description générale'!$E$10),"",100*(AG75-'Feuilles=description générale'!$E$11-'Feuilles=description générale'!$E$10)/('Feuilles=description générale'!$E$12))))</f>
        <v>65.676908511920132</v>
      </c>
      <c r="AJ75" s="496">
        <f>IF('Feuilles=description générale'!$E$13="","",IF(AG75="","",100*(AG75-'Feuilles=description générale'!$E$10)/('Feuilles=description générale'!$E$13-'Feuilles=description générale'!$E$10)))</f>
        <v>74.170984455958546</v>
      </c>
      <c r="AK75" s="1113">
        <f t="shared" si="5"/>
        <v>2</v>
      </c>
      <c r="AL75" s="498">
        <f t="shared" si="6"/>
        <v>2</v>
      </c>
      <c r="AM75" s="494">
        <f t="shared" si="7"/>
        <v>3.5</v>
      </c>
      <c r="AN75" s="499" t="str">
        <f t="shared" si="8"/>
        <v/>
      </c>
      <c r="AO75" s="371"/>
      <c r="AP75" s="494">
        <f t="shared" si="9"/>
        <v>313</v>
      </c>
      <c r="AQ75" s="495" t="str">
        <f>IF('Feuilles=description générale'!$E$13="","",IF(AP75="","",IF(AP75&gt;('Feuilles=description générale'!$E$25+'Feuilles=description générale'!$E$24),"",100*(AP75-'Feuilles=description générale'!$E$24)/('Feuilles=description générale'!$E$25))))</f>
        <v/>
      </c>
      <c r="AR75" s="495">
        <f>IF('Feuilles=description générale'!$E$27="","",IF(AP75="","",IF(AP75&lt;=('Feuilles=description générale'!$E$25+'Feuilles=description générale'!$E$24),"",100*(AP75-'Feuilles=description générale'!$E$25-'Feuilles=description générale'!$E$24)/('Feuilles=description générale'!$E$26))))</f>
        <v>62.399368587213893</v>
      </c>
      <c r="AS75" s="496">
        <f>IF('Feuilles=description générale'!$E$27="","",IF(AP75="","",100*(AP75-'Feuilles=description générale'!$E$24)/('Feuilles=description générale'!$E$27-'Feuilles=description générale'!$E$24)))</f>
        <v>70.887313615252992</v>
      </c>
      <c r="AT75" s="497">
        <f t="shared" si="10"/>
        <v>1</v>
      </c>
      <c r="AU75" s="500" t="str">
        <f t="shared" si="11"/>
        <v/>
      </c>
      <c r="AV75" s="494" t="str">
        <f t="shared" si="12"/>
        <v/>
      </c>
      <c r="AW75" s="499">
        <f t="shared" si="13"/>
        <v>1.5</v>
      </c>
      <c r="AX75" s="371"/>
      <c r="AY75" s="494">
        <f t="shared" si="14"/>
        <v>314</v>
      </c>
      <c r="AZ75" s="495" t="str">
        <f>IF('Feuilles=description générale'!$E$13="","",IF(AY75="","",IF(AY75&gt;('Feuilles=description générale'!$E$25+'Feuilles=description générale'!$E$24),"",100*(AY75-'Feuilles=description générale'!$E$24)/('Feuilles=description générale'!$E$25))))</f>
        <v/>
      </c>
      <c r="BA75" s="495">
        <f>IF('Feuilles=description générale'!$E$27="","",IF(AY75="","",IF(AY75&lt;=('Feuilles=description générale'!$E$25+'Feuilles=description générale'!$E$24),"",100*(AY75-'Feuilles=description générale'!$E$25-'Feuilles=description générale'!$E$24)/('Feuilles=description générale'!$E$26))))</f>
        <v>62.715074980268348</v>
      </c>
      <c r="BB75" s="496">
        <f>IF('Feuilles=description générale'!$E$27="","",IF(AY75="","",100*(AY75-'Feuilles=description générale'!$E$24)/('Feuilles=description générale'!$E$27-'Feuilles=description générale'!$E$24)))</f>
        <v>71.131752627719379</v>
      </c>
      <c r="BC75" s="497">
        <f t="shared" si="15"/>
        <v>2</v>
      </c>
      <c r="BD75" s="500">
        <f t="shared" si="16"/>
        <v>2</v>
      </c>
      <c r="BE75" s="494">
        <f t="shared" si="17"/>
        <v>4.3999999999999773</v>
      </c>
      <c r="BF75" s="499" t="str">
        <f t="shared" si="18"/>
        <v/>
      </c>
      <c r="BG75" s="476"/>
      <c r="BH75" s="561"/>
      <c r="BI75" s="561"/>
      <c r="BJ75" s="561"/>
      <c r="BK75" s="561"/>
      <c r="BL75" s="561"/>
      <c r="BM75" s="561"/>
      <c r="BN75" s="561"/>
      <c r="BO75" s="561"/>
      <c r="BP75" s="561"/>
      <c r="BQ75" s="561"/>
      <c r="BR75" s="561"/>
      <c r="BS75" s="561"/>
      <c r="BT75" s="561"/>
      <c r="BU75" s="568"/>
      <c r="BV75" s="1114" t="str">
        <f t="shared" si="19"/>
        <v/>
      </c>
      <c r="BW75" s="1114">
        <f t="shared" si="19"/>
        <v>3.2400000000000411</v>
      </c>
      <c r="BX75" s="1114">
        <f t="shared" si="20"/>
        <v>12.25</v>
      </c>
      <c r="BY75" s="1115" t="str">
        <f t="shared" si="20"/>
        <v/>
      </c>
      <c r="BZ75" s="477"/>
      <c r="CA75" s="1114" t="str">
        <f t="shared" si="21"/>
        <v/>
      </c>
      <c r="CB75" s="1114">
        <f t="shared" si="21"/>
        <v>2.25</v>
      </c>
      <c r="CC75" s="1114">
        <f t="shared" si="22"/>
        <v>19.3599999999998</v>
      </c>
      <c r="CD75" s="1115" t="str">
        <f t="shared" si="22"/>
        <v/>
      </c>
      <c r="CE75" s="568"/>
      <c r="CF75" s="561"/>
      <c r="CG75" s="561"/>
      <c r="CH75" s="561"/>
      <c r="CI75" s="561"/>
      <c r="CJ75" s="561"/>
      <c r="CK75" s="561"/>
      <c r="CL75" s="561"/>
      <c r="CM75" s="561"/>
      <c r="CN75" s="561"/>
      <c r="CO75" s="561"/>
      <c r="CP75" s="561"/>
      <c r="CQ75" s="561"/>
      <c r="CR75" s="561"/>
      <c r="CS75" s="561"/>
      <c r="CT75" s="561"/>
      <c r="CU75" s="561"/>
      <c r="CV75" s="476"/>
      <c r="CW75" s="345"/>
      <c r="CX75" s="345"/>
      <c r="CY75" s="345"/>
      <c r="CZ75" s="345"/>
      <c r="DA75" s="345"/>
      <c r="DB75" s="345"/>
      <c r="DC75" s="345"/>
      <c r="DD75" s="345"/>
      <c r="DE75" s="345"/>
      <c r="DF75" s="345"/>
      <c r="DG75" s="345"/>
      <c r="DH75" s="345"/>
      <c r="DI75" s="345"/>
      <c r="DJ75" s="345"/>
      <c r="DK75" s="345"/>
      <c r="DL75" s="345"/>
      <c r="DM75" s="345"/>
      <c r="DN75" s="345"/>
      <c r="DO75" s="345"/>
      <c r="DP75" s="345"/>
      <c r="DQ75" s="345"/>
      <c r="DR75" s="345"/>
      <c r="DS75" s="345"/>
      <c r="DT75" s="345"/>
      <c r="DU75" s="345"/>
      <c r="DV75" s="345"/>
      <c r="DW75" s="345"/>
      <c r="DX75" s="345"/>
      <c r="DY75" s="345"/>
      <c r="DZ75" s="345"/>
      <c r="EA75" s="345"/>
      <c r="EB75" s="345"/>
      <c r="EC75" s="345"/>
      <c r="ED75" s="345"/>
      <c r="EE75" s="345"/>
      <c r="EF75" s="345"/>
      <c r="EG75" s="345"/>
      <c r="EH75" s="345"/>
      <c r="EI75" s="345"/>
      <c r="EJ75" s="345"/>
      <c r="EK75" s="345"/>
      <c r="EL75" s="345"/>
      <c r="EM75" s="345"/>
      <c r="EN75" s="345"/>
      <c r="EO75" s="345"/>
      <c r="EP75" s="345"/>
      <c r="EQ75" s="345"/>
      <c r="ER75" s="345"/>
      <c r="ES75" s="345"/>
      <c r="ET75" s="345"/>
      <c r="EU75" s="345"/>
      <c r="EV75" s="345"/>
      <c r="EW75" s="345"/>
      <c r="EX75" s="345"/>
      <c r="EY75" s="345"/>
      <c r="EZ75" s="345"/>
      <c r="FA75" s="345"/>
      <c r="FB75" s="345"/>
      <c r="FC75" s="345"/>
      <c r="FD75" s="345"/>
      <c r="FE75" s="345"/>
      <c r="FF75" s="345"/>
      <c r="FG75" s="345"/>
      <c r="FH75" s="345"/>
      <c r="FI75" s="345"/>
      <c r="FJ75" s="345"/>
      <c r="FK75" s="345"/>
      <c r="FL75" s="345"/>
      <c r="FM75" s="345"/>
      <c r="FN75" s="345"/>
      <c r="FO75" s="345"/>
      <c r="FP75" s="345"/>
      <c r="FQ75" s="345"/>
      <c r="FR75" s="345"/>
      <c r="FS75" s="345"/>
      <c r="FT75" s="345"/>
      <c r="FU75" s="345"/>
      <c r="FV75" s="345"/>
      <c r="FW75" s="345"/>
      <c r="FX75" s="345"/>
      <c r="FY75" s="345"/>
      <c r="FZ75" s="345"/>
      <c r="GA75" s="345"/>
      <c r="GB75" s="345"/>
      <c r="GC75" s="345"/>
      <c r="GD75" s="345"/>
      <c r="GE75" s="345"/>
      <c r="GF75" s="345"/>
      <c r="GG75" s="345"/>
      <c r="GH75" s="345"/>
      <c r="GI75" s="345"/>
      <c r="GJ75" s="345"/>
      <c r="GK75" s="345"/>
      <c r="GL75" s="345"/>
      <c r="GM75" s="345"/>
      <c r="GN75" s="345"/>
      <c r="GO75" s="345"/>
      <c r="GP75" s="345"/>
      <c r="GQ75" s="345"/>
      <c r="GR75" s="345"/>
      <c r="GS75" s="345"/>
      <c r="GT75" s="345"/>
      <c r="GU75" s="345"/>
    </row>
    <row r="76" spans="1:203" ht="12.75" customHeight="1">
      <c r="A76" s="465">
        <f t="shared" si="31"/>
        <v>2</v>
      </c>
      <c r="B76" s="1108">
        <v>66</v>
      </c>
      <c r="C76" s="1109">
        <v>-1</v>
      </c>
      <c r="D76" s="398">
        <v>315.60000000000002</v>
      </c>
      <c r="E76" s="1120"/>
      <c r="F76" s="465">
        <f t="shared" si="36"/>
        <v>2</v>
      </c>
      <c r="G76" s="1108">
        <v>66</v>
      </c>
      <c r="H76" s="1109">
        <v>1</v>
      </c>
      <c r="I76" s="398">
        <v>310.8</v>
      </c>
      <c r="J76" s="1120"/>
      <c r="K76" s="465"/>
      <c r="L76" s="465"/>
      <c r="M76" s="465">
        <f t="shared" si="23"/>
        <v>2</v>
      </c>
      <c r="N76" s="1108">
        <v>66</v>
      </c>
      <c r="O76" s="1109">
        <v>-1</v>
      </c>
      <c r="P76" s="398">
        <v>314.5</v>
      </c>
      <c r="Q76" s="1120"/>
      <c r="R76" s="465">
        <f t="shared" si="24"/>
        <v>2</v>
      </c>
      <c r="S76" s="1108">
        <v>66</v>
      </c>
      <c r="T76" s="1109">
        <v>1</v>
      </c>
      <c r="U76" s="1110">
        <v>318.39999999999998</v>
      </c>
      <c r="V76" s="1120"/>
      <c r="W76" s="371"/>
      <c r="X76" s="494">
        <f t="shared" ref="X76:X139" si="70">IF(D76="","",D76)</f>
        <v>315.60000000000002</v>
      </c>
      <c r="Y76" s="495" t="str">
        <f>IF('Feuilles=description générale'!$E$13="","",IF(X76="","",IF(X76&gt;('Feuilles=description générale'!$E$11+'Feuilles=description générale'!$E$10),"",100*(X76-'Feuilles=description générale'!$E$10)/('Feuilles=description générale'!$E$11))))</f>
        <v/>
      </c>
      <c r="Z76" s="495">
        <f>IF('Feuilles=description générale'!$E$13="","",IF(X76="","",IF(X76&lt;=('Feuilles=description générale'!$E$11+'Feuilles=description générale'!$E$10),"",100*(X76-'Feuilles=description générale'!$E$11-'Feuilles=description générale'!$E$10)/('Feuilles=description générale'!$E$12))))</f>
        <v>68.53429727171013</v>
      </c>
      <c r="AA76" s="1112">
        <f>IF('Feuilles=description générale'!$E$13="","",IF(X76="","",100*(X76-'Feuilles=description générale'!$E$10)/('Feuilles=description générale'!$E$13-'Feuilles=description générale'!$E$10)))</f>
        <v>76.32124352331607</v>
      </c>
      <c r="AB76" s="497">
        <f t="shared" ref="AB76:AB139" si="71">IF(C76="","",IF(C76=0,IF(C75=-1,1,IF(C75=1,AB75+1,IF(AB75&gt;1,AB75+1,1))),IF(C76=-1,AB75+1,1)))</f>
        <v>3</v>
      </c>
      <c r="AC76" s="500">
        <f t="shared" si="32"/>
        <v>3</v>
      </c>
      <c r="AD76" s="494">
        <f t="shared" ref="AD76:AD139" si="72">IF(X77&lt;&gt;"",IF(AC76&lt;&gt;"",X77-X76,""),"")</f>
        <v>3.0999999999999659</v>
      </c>
      <c r="AE76" s="499" t="str">
        <f t="shared" ref="AE76:AE139" si="73">IF(X77&lt;&gt;"",IF(AC76="",X77-X76,""),"")</f>
        <v/>
      </c>
      <c r="AF76" s="371"/>
      <c r="AG76" s="494">
        <f t="shared" ref="AG76:AG139" si="74">IF(I76="","",I76)</f>
        <v>310.8</v>
      </c>
      <c r="AH76" s="495" t="str">
        <f>IF('Feuilles=description générale'!$E$13="","",IF(AG76="","",IF(AG76&gt;('Feuilles=description générale'!$E$11+'Feuilles=description générale'!$E$10),"",100*(AG76-'Feuilles=description générale'!$E$10)/('Feuilles=description générale'!$E$11))))</f>
        <v/>
      </c>
      <c r="AI76" s="495">
        <f>IF('Feuilles=description générale'!$E$13="","",IF(AG76="","",IF(AG76&lt;=('Feuilles=description générale'!$E$11+'Feuilles=description générale'!$E$10),"",100*(AG76-'Feuilles=description générale'!$E$11-'Feuilles=description générale'!$E$10)/('Feuilles=description générale'!$E$12))))</f>
        <v>66.881831482915928</v>
      </c>
      <c r="AJ76" s="496">
        <f>IF('Feuilles=description générale'!$E$13="","",IF(AG76="","",100*(AG76-'Feuilles=description générale'!$E$10)/('Feuilles=description générale'!$E$13-'Feuilles=description générale'!$E$10)))</f>
        <v>75.07772020725389</v>
      </c>
      <c r="AK76" s="1113">
        <f t="shared" ref="AK76:AK139" si="75">IF(H76="","",IF(H76=0,IF(H75=-1,1,IF(H75=1,AK75+1,IF(AK75&gt;1,AK75+1,1))),IF(H76=-1,AK75+1,1)))</f>
        <v>1</v>
      </c>
      <c r="AL76" s="498" t="str">
        <f t="shared" ref="AL76:AL139" si="76">IF(AK77="",AK76,IF(H76&lt;0,IF(AK76&gt;AK77,AK76,""),IF(H76=0,IF(AK76=1,1,""),IF(AK77=1,1,""))))</f>
        <v/>
      </c>
      <c r="AM76" s="494" t="str">
        <f t="shared" ref="AM76:AM139" si="77">IF(AG77&lt;&gt;"",IF(AL76&lt;&gt;"",AG77-AG76,""),"")</f>
        <v/>
      </c>
      <c r="AN76" s="499">
        <f t="shared" ref="AN76:AN139" si="78">IF(AG77&lt;&gt;"",IF(AL76="",AG77-AG76,""),"")</f>
        <v>1.3999999999999773</v>
      </c>
      <c r="AO76" s="371"/>
      <c r="AP76" s="494">
        <f t="shared" ref="AP76:AP139" si="79">IF(P76="","",P76)</f>
        <v>314.5</v>
      </c>
      <c r="AQ76" s="495" t="str">
        <f>IF('Feuilles=description générale'!$E$13="","",IF(AP76="","",IF(AP76&gt;('Feuilles=description générale'!$E$25+'Feuilles=description générale'!$E$24),"",100*(AP76-'Feuilles=description générale'!$E$24)/('Feuilles=description générale'!$E$25))))</f>
        <v/>
      </c>
      <c r="AR76" s="495">
        <f>IF('Feuilles=description générale'!$E$27="","",IF(AP76="","",IF(AP76&lt;=('Feuilles=description générale'!$E$25+'Feuilles=description générale'!$E$24),"",100*(AP76-'Feuilles=description générale'!$E$25-'Feuilles=description générale'!$E$24)/('Feuilles=description générale'!$E$26))))</f>
        <v>62.872928176795583</v>
      </c>
      <c r="AS76" s="496">
        <f>IF('Feuilles=description générale'!$E$27="","",IF(AP76="","",100*(AP76-'Feuilles=description générale'!$E$24)/('Feuilles=description générale'!$E$27-'Feuilles=description générale'!$E$24)))</f>
        <v>71.253972133952573</v>
      </c>
      <c r="AT76" s="497">
        <f t="shared" ref="AT76:AT139" si="80">IF(O76="","",IF(O76=0,IF(O75=-1,1,IF(O75=1,AT75+1,IF(AT75&gt;1,AT75+1,1))),IF(O76=-1,AT75+1,1)))</f>
        <v>2</v>
      </c>
      <c r="AU76" s="500">
        <f t="shared" ref="AU76:AU139" si="81">IF(AT77="",AT76,IF(O76&lt;0,IF(AT76&gt;AT77,AT76,""),IF(O76=0,IF(AT76=1,1,""),IF(AT77=1,1,""))))</f>
        <v>2</v>
      </c>
      <c r="AV76" s="494">
        <f t="shared" ref="AV76:AV139" si="82">IF(AP77&lt;&gt;"",IF(AU76&lt;&gt;"",AP77-AP76,""),"")</f>
        <v>3.6000000000000227</v>
      </c>
      <c r="AW76" s="499" t="str">
        <f t="shared" ref="AW76:AW139" si="83">IF(AP77&lt;&gt;"",IF(AU76="",AP77-AP76,""),"")</f>
        <v/>
      </c>
      <c r="AX76" s="371"/>
      <c r="AY76" s="494">
        <f t="shared" ref="AY76:AY139" si="84">IF(U76="","",U76)</f>
        <v>318.39999999999998</v>
      </c>
      <c r="AZ76" s="495" t="str">
        <f>IF('Feuilles=description générale'!$E$13="","",IF(AY76="","",IF(AY76&gt;('Feuilles=description générale'!$E$25+'Feuilles=description générale'!$E$24),"",100*(AY76-'Feuilles=description générale'!$E$24)/('Feuilles=description générale'!$E$25))))</f>
        <v/>
      </c>
      <c r="BA76" s="495">
        <f>IF('Feuilles=description générale'!$E$27="","",IF(AY76="","",IF(AY76&lt;=('Feuilles=description générale'!$E$25+'Feuilles=description générale'!$E$24),"",100*(AY76-'Feuilles=description générale'!$E$25-'Feuilles=description générale'!$E$24)/('Feuilles=description générale'!$E$26))))</f>
        <v>64.104183109707975</v>
      </c>
      <c r="BB76" s="496">
        <f>IF('Feuilles=description générale'!$E$27="","",IF(AY76="","",100*(AY76-'Feuilles=description générale'!$E$24)/('Feuilles=description générale'!$E$27-'Feuilles=description générale'!$E$24)))</f>
        <v>72.207284282571479</v>
      </c>
      <c r="BC76" s="497">
        <f t="shared" ref="BC76:BC139" si="85">IF(T76="","",IF(T76=0,IF(T75=-1,1,IF(T75=1,BC75+1,IF(BC75&gt;1,BC75+1,1))),IF(T76=-1,BC75+1,1)))</f>
        <v>1</v>
      </c>
      <c r="BD76" s="500" t="str">
        <f t="shared" ref="BD76:BD139" si="86">IF(BC77="",BC76,IF(T76&lt;0,IF(BC76&gt;BC77,BC76,""),IF(T76=0,IF(BC76=1,1,""),IF(BC77=1,1,""))))</f>
        <v/>
      </c>
      <c r="BE76" s="494" t="str">
        <f t="shared" ref="BE76:BE139" si="87">IF(AY77&lt;&gt;"",IF(BD76&lt;&gt;"",AY77-AY76,""),"")</f>
        <v/>
      </c>
      <c r="BF76" s="499">
        <f t="shared" ref="BF76:BF139" si="88">IF(AY77&lt;&gt;"",IF(BD76="",AY77-AY76,""),"")</f>
        <v>1.3000000000000114</v>
      </c>
      <c r="BG76" s="476"/>
      <c r="BH76" s="561"/>
      <c r="BI76" s="561"/>
      <c r="BJ76" s="561"/>
      <c r="BK76" s="561"/>
      <c r="BL76" s="561"/>
      <c r="BM76" s="561"/>
      <c r="BN76" s="561"/>
      <c r="BO76" s="561"/>
      <c r="BP76" s="561"/>
      <c r="BQ76" s="561"/>
      <c r="BR76" s="561"/>
      <c r="BS76" s="561"/>
      <c r="BT76" s="561"/>
      <c r="BU76" s="568"/>
      <c r="BV76" s="1114">
        <f t="shared" ref="BV76:BW139" si="89">IF(AD76="","",AD76*AD76)</f>
        <v>9.609999999999788</v>
      </c>
      <c r="BW76" s="1114" t="str">
        <f t="shared" si="89"/>
        <v/>
      </c>
      <c r="BX76" s="1114" t="str">
        <f t="shared" ref="BX76:BY139" si="90">IF(AM76="","",AM76*AM76)</f>
        <v/>
      </c>
      <c r="BY76" s="1115">
        <f t="shared" si="90"/>
        <v>1.9599999999999362</v>
      </c>
      <c r="BZ76" s="477"/>
      <c r="CA76" s="1114">
        <f t="shared" ref="CA76:CB139" si="91">IF(AV76="","",AV76*AV76)</f>
        <v>12.960000000000164</v>
      </c>
      <c r="CB76" s="1114" t="str">
        <f t="shared" si="91"/>
        <v/>
      </c>
      <c r="CC76" s="1114" t="str">
        <f t="shared" ref="CC76:CD139" si="92">IF(BE76="","",BE76*BE76)</f>
        <v/>
      </c>
      <c r="CD76" s="1115">
        <f t="shared" si="92"/>
        <v>1.6900000000000295</v>
      </c>
      <c r="CE76" s="568"/>
      <c r="CF76" s="561"/>
      <c r="CG76" s="561"/>
      <c r="CH76" s="561"/>
      <c r="CI76" s="561"/>
      <c r="CJ76" s="561"/>
      <c r="CK76" s="561"/>
      <c r="CL76" s="561"/>
      <c r="CM76" s="561"/>
      <c r="CN76" s="561"/>
      <c r="CO76" s="561"/>
      <c r="CP76" s="561"/>
      <c r="CQ76" s="561"/>
      <c r="CR76" s="561"/>
      <c r="CS76" s="561"/>
      <c r="CT76" s="561"/>
      <c r="CU76" s="561"/>
      <c r="CV76" s="476"/>
      <c r="CW76" s="345"/>
      <c r="CX76" s="345"/>
      <c r="CY76" s="345"/>
      <c r="CZ76" s="345"/>
      <c r="DA76" s="345"/>
      <c r="DB76" s="345"/>
      <c r="DC76" s="345"/>
      <c r="DD76" s="345"/>
      <c r="DE76" s="345"/>
      <c r="DF76" s="345"/>
      <c r="DG76" s="345"/>
      <c r="DH76" s="345"/>
      <c r="DI76" s="345"/>
      <c r="DJ76" s="345"/>
      <c r="DK76" s="345"/>
      <c r="DL76" s="345"/>
      <c r="DM76" s="345"/>
      <c r="DN76" s="345"/>
      <c r="DO76" s="345"/>
      <c r="DP76" s="345"/>
      <c r="DQ76" s="345"/>
      <c r="DR76" s="345"/>
      <c r="DS76" s="345"/>
      <c r="DT76" s="345"/>
      <c r="DU76" s="345"/>
      <c r="DV76" s="345"/>
      <c r="DW76" s="345"/>
      <c r="DX76" s="345"/>
      <c r="DY76" s="345"/>
      <c r="DZ76" s="345"/>
      <c r="EA76" s="345"/>
      <c r="EB76" s="345"/>
      <c r="EC76" s="345"/>
      <c r="ED76" s="345"/>
      <c r="EE76" s="345"/>
      <c r="EF76" s="345"/>
      <c r="EG76" s="345"/>
      <c r="EH76" s="345"/>
      <c r="EI76" s="345"/>
      <c r="EJ76" s="345"/>
      <c r="EK76" s="345"/>
      <c r="EL76" s="345"/>
      <c r="EM76" s="345"/>
      <c r="EN76" s="345"/>
      <c r="EO76" s="345"/>
      <c r="EP76" s="345"/>
      <c r="EQ76" s="345"/>
      <c r="ER76" s="345"/>
      <c r="ES76" s="345"/>
      <c r="ET76" s="345"/>
      <c r="EU76" s="345"/>
      <c r="EV76" s="345"/>
      <c r="EW76" s="345"/>
      <c r="EX76" s="345"/>
      <c r="EY76" s="345"/>
      <c r="EZ76" s="345"/>
      <c r="FA76" s="345"/>
      <c r="FB76" s="345"/>
      <c r="FC76" s="345"/>
      <c r="FD76" s="345"/>
      <c r="FE76" s="345"/>
      <c r="FF76" s="345"/>
      <c r="FG76" s="345"/>
      <c r="FH76" s="345"/>
      <c r="FI76" s="345"/>
      <c r="FJ76" s="345"/>
      <c r="FK76" s="345"/>
      <c r="FL76" s="345"/>
      <c r="FM76" s="345"/>
      <c r="FN76" s="345"/>
      <c r="FO76" s="345"/>
      <c r="FP76" s="345"/>
      <c r="FQ76" s="345"/>
      <c r="FR76" s="345"/>
      <c r="FS76" s="345"/>
      <c r="FT76" s="345"/>
      <c r="FU76" s="345"/>
      <c r="FV76" s="345"/>
      <c r="FW76" s="345"/>
      <c r="FX76" s="345"/>
      <c r="FY76" s="345"/>
      <c r="FZ76" s="345"/>
      <c r="GA76" s="345"/>
      <c r="GB76" s="345"/>
      <c r="GC76" s="345"/>
      <c r="GD76" s="345"/>
      <c r="GE76" s="345"/>
      <c r="GF76" s="345"/>
      <c r="GG76" s="345"/>
      <c r="GH76" s="345"/>
      <c r="GI76" s="345"/>
      <c r="GJ76" s="345"/>
      <c r="GK76" s="345"/>
      <c r="GL76" s="345"/>
      <c r="GM76" s="345"/>
      <c r="GN76" s="345"/>
      <c r="GO76" s="345"/>
      <c r="GP76" s="345"/>
      <c r="GQ76" s="345"/>
      <c r="GR76" s="345"/>
      <c r="GS76" s="345"/>
      <c r="GT76" s="345"/>
      <c r="GU76" s="345"/>
    </row>
    <row r="77" spans="1:203" ht="12.75" customHeight="1">
      <c r="A77" s="465">
        <f t="shared" si="31"/>
        <v>2</v>
      </c>
      <c r="B77" s="1108">
        <v>67</v>
      </c>
      <c r="C77" s="1109">
        <v>0</v>
      </c>
      <c r="D77" s="398">
        <v>318.7</v>
      </c>
      <c r="E77" s="1120"/>
      <c r="F77" s="465">
        <f t="shared" si="36"/>
        <v>2</v>
      </c>
      <c r="G77" s="1108">
        <v>67</v>
      </c>
      <c r="H77" s="1109">
        <v>-1</v>
      </c>
      <c r="I77" s="398">
        <v>312.2</v>
      </c>
      <c r="J77" s="1120"/>
      <c r="K77" s="465"/>
      <c r="L77" s="465"/>
      <c r="M77" s="465">
        <f t="shared" ref="M77:M140" si="93">IF(P77="","",IF(Q77="F",2,IF(O77="T",3,M76)))</f>
        <v>2</v>
      </c>
      <c r="N77" s="1108">
        <v>67</v>
      </c>
      <c r="O77" s="1109">
        <v>1</v>
      </c>
      <c r="P77" s="398">
        <v>318.10000000000002</v>
      </c>
      <c r="Q77" s="1120"/>
      <c r="R77" s="465">
        <f t="shared" ref="R77:R140" si="94">IF(U77="","",IF(V77="F",2,IF(T77="T",3,R76)))</f>
        <v>2</v>
      </c>
      <c r="S77" s="1108">
        <v>67</v>
      </c>
      <c r="T77" s="1109">
        <v>-1</v>
      </c>
      <c r="U77" s="1110">
        <v>319.7</v>
      </c>
      <c r="V77" s="1120"/>
      <c r="W77" s="371"/>
      <c r="X77" s="494">
        <f t="shared" si="70"/>
        <v>318.7</v>
      </c>
      <c r="Y77" s="495" t="str">
        <f>IF('Feuilles=description générale'!$E$13="","",IF(X77="","",IF(X77&gt;('Feuilles=description générale'!$E$11+'Feuilles=description générale'!$E$10),"",100*(X77-'Feuilles=description générale'!$E$10)/('Feuilles=description générale'!$E$11))))</f>
        <v/>
      </c>
      <c r="Z77" s="495">
        <f>IF('Feuilles=description générale'!$E$13="","",IF(X77="","",IF(X77&lt;=('Feuilles=description générale'!$E$11+'Feuilles=description générale'!$E$10),"",100*(X77-'Feuilles=description générale'!$E$11-'Feuilles=description générale'!$E$10)/('Feuilles=description générale'!$E$12))))</f>
        <v>69.601514760306387</v>
      </c>
      <c r="AA77" s="1112">
        <f>IF('Feuilles=description générale'!$E$13="","",IF(X77="","",100*(X77-'Feuilles=description générale'!$E$10)/('Feuilles=description générale'!$E$13-'Feuilles=description générale'!$E$10)))</f>
        <v>77.124352331606218</v>
      </c>
      <c r="AB77" s="497">
        <f t="shared" si="71"/>
        <v>1</v>
      </c>
      <c r="AC77" s="500">
        <f t="shared" si="32"/>
        <v>1</v>
      </c>
      <c r="AD77" s="494">
        <f t="shared" si="72"/>
        <v>4.3600000000000136</v>
      </c>
      <c r="AE77" s="499" t="str">
        <f t="shared" si="73"/>
        <v/>
      </c>
      <c r="AF77" s="371"/>
      <c r="AG77" s="494">
        <f t="shared" si="74"/>
        <v>312.2</v>
      </c>
      <c r="AH77" s="495" t="str">
        <f>IF('Feuilles=description générale'!$E$13="","",IF(AG77="","",IF(AG77&gt;('Feuilles=description générale'!$E$11+'Feuilles=description générale'!$E$10),"",100*(AG77-'Feuilles=description générale'!$E$10)/('Feuilles=description générale'!$E$11))))</f>
        <v/>
      </c>
      <c r="AI77" s="495">
        <f>IF('Feuilles=description générale'!$E$13="","",IF(AG77="","",IF(AG77&lt;=('Feuilles=description générale'!$E$11+'Feuilles=description générale'!$E$10),"",100*(AG77-'Feuilles=description générale'!$E$11-'Feuilles=description générale'!$E$10)/('Feuilles=description générale'!$E$12))))</f>
        <v>67.363800671314223</v>
      </c>
      <c r="AJ77" s="496">
        <f>IF('Feuilles=description générale'!$E$13="","",IF(AG77="","",100*(AG77-'Feuilles=description générale'!$E$10)/('Feuilles=description générale'!$E$13-'Feuilles=description générale'!$E$10)))</f>
        <v>75.440414507772019</v>
      </c>
      <c r="AK77" s="1113">
        <f t="shared" si="75"/>
        <v>2</v>
      </c>
      <c r="AL77" s="498">
        <f t="shared" si="76"/>
        <v>2</v>
      </c>
      <c r="AM77" s="494">
        <f t="shared" si="77"/>
        <v>4</v>
      </c>
      <c r="AN77" s="499" t="str">
        <f t="shared" si="78"/>
        <v/>
      </c>
      <c r="AO77" s="371"/>
      <c r="AP77" s="494">
        <f t="shared" si="79"/>
        <v>318.10000000000002</v>
      </c>
      <c r="AQ77" s="495" t="str">
        <f>IF('Feuilles=description générale'!$E$13="","",IF(AP77="","",IF(AP77&gt;('Feuilles=description générale'!$E$25+'Feuilles=description générale'!$E$24),"",100*(AP77-'Feuilles=description générale'!$E$24)/('Feuilles=description générale'!$E$25))))</f>
        <v/>
      </c>
      <c r="AR77" s="495">
        <f>IF('Feuilles=description générale'!$E$27="","",IF(AP77="","",IF(AP77&lt;=('Feuilles=description générale'!$E$25+'Feuilles=description générale'!$E$24),"",100*(AP77-'Feuilles=description générale'!$E$25-'Feuilles=description générale'!$E$24)/('Feuilles=description générale'!$E$26))))</f>
        <v>64.009471191791647</v>
      </c>
      <c r="AS77" s="496">
        <f>IF('Feuilles=description générale'!$E$27="","",IF(AP77="","",100*(AP77-'Feuilles=description générale'!$E$24)/('Feuilles=description générale'!$E$27-'Feuilles=description générale'!$E$24)))</f>
        <v>72.133952578831583</v>
      </c>
      <c r="AT77" s="497">
        <f t="shared" si="80"/>
        <v>1</v>
      </c>
      <c r="AU77" s="500" t="str">
        <f t="shared" si="81"/>
        <v/>
      </c>
      <c r="AV77" s="494" t="str">
        <f t="shared" si="82"/>
        <v/>
      </c>
      <c r="AW77" s="499">
        <f t="shared" si="83"/>
        <v>1.1999999999999886</v>
      </c>
      <c r="AX77" s="371"/>
      <c r="AY77" s="494">
        <f t="shared" si="84"/>
        <v>319.7</v>
      </c>
      <c r="AZ77" s="495" t="str">
        <f>IF('Feuilles=description générale'!$E$13="","",IF(AY77="","",IF(AY77&gt;('Feuilles=description générale'!$E$25+'Feuilles=description générale'!$E$24),"",100*(AY77-'Feuilles=description générale'!$E$24)/('Feuilles=description générale'!$E$25))))</f>
        <v/>
      </c>
      <c r="BA77" s="495">
        <f>IF('Feuilles=description générale'!$E$27="","",IF(AY77="","",IF(AY77&lt;=('Feuilles=description générale'!$E$25+'Feuilles=description générale'!$E$24),"",100*(AY77-'Feuilles=description générale'!$E$25-'Feuilles=description générale'!$E$24)/('Feuilles=description générale'!$E$26))))</f>
        <v>64.514601420678773</v>
      </c>
      <c r="BB77" s="496">
        <f>IF('Feuilles=description générale'!$E$27="","",IF(AY77="","",100*(AY77-'Feuilles=description générale'!$E$24)/('Feuilles=description générale'!$E$27-'Feuilles=description générale'!$E$24)))</f>
        <v>72.525054998777804</v>
      </c>
      <c r="BC77" s="497">
        <f t="shared" si="85"/>
        <v>2</v>
      </c>
      <c r="BD77" s="500">
        <f t="shared" si="86"/>
        <v>2</v>
      </c>
      <c r="BE77" s="494">
        <f t="shared" si="87"/>
        <v>3.9000000000000341</v>
      </c>
      <c r="BF77" s="499" t="str">
        <f t="shared" si="88"/>
        <v/>
      </c>
      <c r="BG77" s="476"/>
      <c r="BH77" s="567"/>
      <c r="BI77" s="562"/>
      <c r="BJ77" s="562"/>
      <c r="BK77" s="562"/>
      <c r="BL77" s="562"/>
      <c r="BM77" s="562"/>
      <c r="BN77" s="562"/>
      <c r="BO77" s="562"/>
      <c r="BP77" s="562"/>
      <c r="BQ77" s="562"/>
      <c r="BR77" s="562"/>
      <c r="BS77" s="562"/>
      <c r="BT77" s="562"/>
      <c r="BU77" s="568"/>
      <c r="BV77" s="1114">
        <f t="shared" si="89"/>
        <v>19.00960000000012</v>
      </c>
      <c r="BW77" s="1114" t="str">
        <f t="shared" si="89"/>
        <v/>
      </c>
      <c r="BX77" s="1114">
        <f t="shared" si="90"/>
        <v>16</v>
      </c>
      <c r="BY77" s="1115" t="str">
        <f t="shared" si="90"/>
        <v/>
      </c>
      <c r="BZ77" s="477"/>
      <c r="CA77" s="1114" t="str">
        <f t="shared" si="91"/>
        <v/>
      </c>
      <c r="CB77" s="1114">
        <f t="shared" si="91"/>
        <v>1.4399999999999726</v>
      </c>
      <c r="CC77" s="1114">
        <f t="shared" si="92"/>
        <v>15.210000000000266</v>
      </c>
      <c r="CD77" s="1115" t="str">
        <f t="shared" si="92"/>
        <v/>
      </c>
      <c r="CE77" s="568"/>
      <c r="CF77" s="567"/>
      <c r="CG77" s="562"/>
      <c r="CH77" s="562"/>
      <c r="CI77" s="562"/>
      <c r="CJ77" s="562"/>
      <c r="CK77" s="562"/>
      <c r="CL77" s="562"/>
      <c r="CM77" s="562"/>
      <c r="CN77" s="562"/>
      <c r="CO77" s="562"/>
      <c r="CP77" s="562"/>
      <c r="CQ77" s="562"/>
      <c r="CR77" s="562"/>
      <c r="CS77" s="562"/>
      <c r="CT77" s="562"/>
      <c r="CU77" s="562"/>
      <c r="CV77" s="476"/>
      <c r="CW77" s="345"/>
      <c r="CX77" s="345"/>
      <c r="CY77" s="345"/>
      <c r="CZ77" s="345"/>
      <c r="DA77" s="345"/>
      <c r="DB77" s="345"/>
      <c r="DC77" s="345"/>
      <c r="DD77" s="345"/>
      <c r="DE77" s="345"/>
      <c r="DF77" s="345"/>
      <c r="DG77" s="345"/>
      <c r="DH77" s="345"/>
      <c r="DI77" s="345"/>
      <c r="DJ77" s="345"/>
      <c r="DK77" s="345"/>
      <c r="DL77" s="345"/>
      <c r="DM77" s="345"/>
      <c r="DN77" s="345"/>
      <c r="DO77" s="345"/>
      <c r="DP77" s="345"/>
      <c r="DQ77" s="345"/>
      <c r="DR77" s="345"/>
      <c r="DS77" s="345"/>
      <c r="DT77" s="345"/>
      <c r="DU77" s="345"/>
      <c r="DV77" s="345"/>
      <c r="DW77" s="345"/>
      <c r="DX77" s="345"/>
      <c r="DY77" s="345"/>
      <c r="DZ77" s="345"/>
      <c r="EA77" s="345"/>
      <c r="EB77" s="345"/>
      <c r="EC77" s="345"/>
      <c r="ED77" s="345"/>
      <c r="EE77" s="345"/>
      <c r="EF77" s="345"/>
      <c r="EG77" s="345"/>
      <c r="EH77" s="345"/>
      <c r="EI77" s="345"/>
      <c r="EJ77" s="345"/>
      <c r="EK77" s="345"/>
      <c r="EL77" s="345"/>
      <c r="EM77" s="345"/>
      <c r="EN77" s="345"/>
      <c r="EO77" s="345"/>
      <c r="EP77" s="345"/>
      <c r="EQ77" s="345"/>
      <c r="ER77" s="345"/>
      <c r="ES77" s="345"/>
      <c r="ET77" s="345"/>
      <c r="EU77" s="345"/>
      <c r="EV77" s="345"/>
      <c r="EW77" s="345"/>
      <c r="EX77" s="345"/>
      <c r="EY77" s="345"/>
      <c r="EZ77" s="345"/>
      <c r="FA77" s="345"/>
      <c r="FB77" s="345"/>
      <c r="FC77" s="345"/>
      <c r="FD77" s="345"/>
      <c r="FE77" s="345"/>
      <c r="FF77" s="345"/>
      <c r="FG77" s="345"/>
      <c r="FH77" s="345"/>
      <c r="FI77" s="345"/>
      <c r="FJ77" s="345"/>
      <c r="FK77" s="345"/>
      <c r="FL77" s="345"/>
      <c r="FM77" s="345"/>
      <c r="FN77" s="345"/>
      <c r="FO77" s="345"/>
      <c r="FP77" s="345"/>
      <c r="FQ77" s="345"/>
      <c r="FR77" s="345"/>
      <c r="FS77" s="345"/>
      <c r="FT77" s="345"/>
      <c r="FU77" s="345"/>
      <c r="FV77" s="345"/>
      <c r="FW77" s="345"/>
      <c r="FX77" s="345"/>
      <c r="FY77" s="345"/>
      <c r="FZ77" s="345"/>
      <c r="GA77" s="345"/>
      <c r="GB77" s="345"/>
      <c r="GC77" s="345"/>
      <c r="GD77" s="345"/>
      <c r="GE77" s="345"/>
      <c r="GF77" s="345"/>
      <c r="GG77" s="345"/>
      <c r="GH77" s="345"/>
      <c r="GI77" s="345"/>
      <c r="GJ77" s="345"/>
      <c r="GK77" s="345"/>
      <c r="GL77" s="345"/>
      <c r="GM77" s="345"/>
      <c r="GN77" s="345"/>
      <c r="GO77" s="345"/>
      <c r="GP77" s="345"/>
      <c r="GQ77" s="345"/>
      <c r="GR77" s="345"/>
      <c r="GS77" s="345"/>
      <c r="GT77" s="345"/>
      <c r="GU77" s="345"/>
    </row>
    <row r="78" spans="1:203" ht="12.75" customHeight="1">
      <c r="A78" s="465">
        <f t="shared" ref="A78:A141" si="95">IF(D78="","",IF(E78="F",2,IF(C78="T",3,A77)))</f>
        <v>2</v>
      </c>
      <c r="B78" s="1108">
        <v>68</v>
      </c>
      <c r="C78" s="1109">
        <v>1</v>
      </c>
      <c r="D78" s="398">
        <v>323.06</v>
      </c>
      <c r="E78" s="1120"/>
      <c r="F78" s="465">
        <f t="shared" si="36"/>
        <v>2</v>
      </c>
      <c r="G78" s="1108">
        <v>68</v>
      </c>
      <c r="H78" s="1109">
        <v>1</v>
      </c>
      <c r="I78" s="398">
        <v>316.2</v>
      </c>
      <c r="J78" s="1120"/>
      <c r="K78" s="465"/>
      <c r="L78" s="465"/>
      <c r="M78" s="465">
        <f t="shared" si="93"/>
        <v>2</v>
      </c>
      <c r="N78" s="1108">
        <v>68</v>
      </c>
      <c r="O78" s="1109">
        <v>-1</v>
      </c>
      <c r="P78" s="398">
        <v>319.3</v>
      </c>
      <c r="Q78" s="1120"/>
      <c r="R78" s="465">
        <f t="shared" si="94"/>
        <v>2</v>
      </c>
      <c r="S78" s="1108">
        <v>68</v>
      </c>
      <c r="T78" s="1109">
        <v>1</v>
      </c>
      <c r="U78" s="1110">
        <v>323.60000000000002</v>
      </c>
      <c r="V78" s="1120"/>
      <c r="W78" s="371"/>
      <c r="X78" s="494">
        <f t="shared" si="70"/>
        <v>323.06</v>
      </c>
      <c r="Y78" s="495" t="str">
        <f>IF('Feuilles=description générale'!$E$13="","",IF(X78="","",IF(X78&gt;('Feuilles=description générale'!$E$11+'Feuilles=description générale'!$E$10),"",100*(X78-'Feuilles=description générale'!$E$10)/('Feuilles=description générale'!$E$11))))</f>
        <v/>
      </c>
      <c r="Z78" s="495">
        <f>IF('Feuilles=description générale'!$E$13="","",IF(X78="","",IF(X78&lt;=('Feuilles=description générale'!$E$11+'Feuilles=description générale'!$E$10),"",100*(X78-'Feuilles=description générale'!$E$11-'Feuilles=description générale'!$E$10)/('Feuilles=description générale'!$E$12))))</f>
        <v>71.102504518461146</v>
      </c>
      <c r="AA78" s="1112">
        <f>IF('Feuilles=description générale'!$E$13="","",IF(X78="","",100*(X78-'Feuilles=description générale'!$E$10)/('Feuilles=description générale'!$E$13-'Feuilles=description générale'!$E$10)))</f>
        <v>78.253886010362692</v>
      </c>
      <c r="AB78" s="497">
        <f t="shared" si="71"/>
        <v>1</v>
      </c>
      <c r="AC78" s="500" t="str">
        <f t="shared" ref="AC78:AC141" si="96">IF(AB79="",AB78,IF(C78&lt;0,IF(AB78&gt;AB79,AB78,""),IF(C78=0,IF(AB78=1,1,""),IF(AB79=1,1,""))))</f>
        <v/>
      </c>
      <c r="AD78" s="494" t="str">
        <f t="shared" si="72"/>
        <v/>
      </c>
      <c r="AE78" s="499">
        <f t="shared" si="73"/>
        <v>2.2400000000000091</v>
      </c>
      <c r="AF78" s="371"/>
      <c r="AG78" s="494">
        <f t="shared" si="74"/>
        <v>316.2</v>
      </c>
      <c r="AH78" s="495" t="str">
        <f>IF('Feuilles=description générale'!$E$13="","",IF(AG78="","",IF(AG78&gt;('Feuilles=description générale'!$E$11+'Feuilles=description générale'!$E$10),"",100*(AG78-'Feuilles=description générale'!$E$10)/('Feuilles=description générale'!$E$11))))</f>
        <v/>
      </c>
      <c r="AI78" s="495">
        <f>IF('Feuilles=description générale'!$E$13="","",IF(AG78="","",IF(AG78&lt;=('Feuilles=description générale'!$E$11+'Feuilles=description générale'!$E$10),"",100*(AG78-'Feuilles=description générale'!$E$11-'Feuilles=description générale'!$E$10)/('Feuilles=description générale'!$E$12))))</f>
        <v>68.740855495309404</v>
      </c>
      <c r="AJ78" s="496">
        <f>IF('Feuilles=description générale'!$E$13="","",IF(AG78="","",100*(AG78-'Feuilles=description générale'!$E$10)/('Feuilles=description générale'!$E$13-'Feuilles=description générale'!$E$10)))</f>
        <v>76.476683937823836</v>
      </c>
      <c r="AK78" s="1113">
        <f t="shared" si="75"/>
        <v>1</v>
      </c>
      <c r="AL78" s="498" t="str">
        <f t="shared" si="76"/>
        <v/>
      </c>
      <c r="AM78" s="494" t="str">
        <f t="shared" si="77"/>
        <v/>
      </c>
      <c r="AN78" s="499">
        <f t="shared" si="78"/>
        <v>1.3000000000000114</v>
      </c>
      <c r="AO78" s="371"/>
      <c r="AP78" s="494">
        <f t="shared" si="79"/>
        <v>319.3</v>
      </c>
      <c r="AQ78" s="495" t="str">
        <f>IF('Feuilles=description générale'!$E$13="","",IF(AP78="","",IF(AP78&gt;('Feuilles=description générale'!$E$25+'Feuilles=description générale'!$E$24),"",100*(AP78-'Feuilles=description générale'!$E$24)/('Feuilles=description générale'!$E$25))))</f>
        <v/>
      </c>
      <c r="AR78" s="495">
        <f>IF('Feuilles=description générale'!$E$27="","",IF(AP78="","",IF(AP78&lt;=('Feuilles=description générale'!$E$25+'Feuilles=description générale'!$E$24),"",100*(AP78-'Feuilles=description générale'!$E$25-'Feuilles=description générale'!$E$24)/('Feuilles=description générale'!$E$26))))</f>
        <v>64.388318863456988</v>
      </c>
      <c r="AS78" s="496">
        <f>IF('Feuilles=description générale'!$E$27="","",IF(AP78="","",100*(AP78-'Feuilles=description générale'!$E$24)/('Feuilles=description générale'!$E$27-'Feuilles=description générale'!$E$24)))</f>
        <v>72.427279393791238</v>
      </c>
      <c r="AT78" s="497">
        <f t="shared" si="80"/>
        <v>2</v>
      </c>
      <c r="AU78" s="500">
        <f t="shared" si="81"/>
        <v>2</v>
      </c>
      <c r="AV78" s="494">
        <f t="shared" si="82"/>
        <v>3.3999999999999773</v>
      </c>
      <c r="AW78" s="499" t="str">
        <f t="shared" si="83"/>
        <v/>
      </c>
      <c r="AX78" s="371"/>
      <c r="AY78" s="494">
        <f t="shared" si="84"/>
        <v>323.60000000000002</v>
      </c>
      <c r="AZ78" s="495" t="str">
        <f>IF('Feuilles=description générale'!$E$13="","",IF(AY78="","",IF(AY78&gt;('Feuilles=description générale'!$E$25+'Feuilles=description générale'!$E$24),"",100*(AY78-'Feuilles=description générale'!$E$24)/('Feuilles=description générale'!$E$25))))</f>
        <v/>
      </c>
      <c r="BA78" s="495">
        <f>IF('Feuilles=description générale'!$E$27="","",IF(AY78="","",IF(AY78&lt;=('Feuilles=description générale'!$E$25+'Feuilles=description générale'!$E$24),"",100*(AY78-'Feuilles=description générale'!$E$25-'Feuilles=description générale'!$E$24)/('Feuilles=description générale'!$E$26))))</f>
        <v>65.745856353591165</v>
      </c>
      <c r="BB78" s="496">
        <f>IF('Feuilles=description générale'!$E$27="","",IF(AY78="","",100*(AY78-'Feuilles=description générale'!$E$24)/('Feuilles=description générale'!$E$27-'Feuilles=description générale'!$E$24)))</f>
        <v>73.478367147396725</v>
      </c>
      <c r="BC78" s="497">
        <f t="shared" si="85"/>
        <v>1</v>
      </c>
      <c r="BD78" s="500" t="str">
        <f t="shared" si="86"/>
        <v/>
      </c>
      <c r="BE78" s="494" t="str">
        <f t="shared" si="87"/>
        <v/>
      </c>
      <c r="BF78" s="499">
        <f t="shared" si="88"/>
        <v>1.6999999999999886</v>
      </c>
      <c r="BG78" s="476"/>
      <c r="BH78" s="563"/>
      <c r="BI78" s="562"/>
      <c r="BJ78" s="562"/>
      <c r="BK78" s="562"/>
      <c r="BL78" s="562"/>
      <c r="BM78" s="562"/>
      <c r="BN78" s="562"/>
      <c r="BO78" s="562"/>
      <c r="BP78" s="562"/>
      <c r="BQ78" s="562"/>
      <c r="BR78" s="562"/>
      <c r="BS78" s="562"/>
      <c r="BT78" s="562"/>
      <c r="BU78" s="568"/>
      <c r="BV78" s="1114" t="str">
        <f t="shared" si="89"/>
        <v/>
      </c>
      <c r="BW78" s="1114">
        <f t="shared" si="89"/>
        <v>5.0176000000000407</v>
      </c>
      <c r="BX78" s="1114" t="str">
        <f t="shared" si="90"/>
        <v/>
      </c>
      <c r="BY78" s="1115">
        <f t="shared" si="90"/>
        <v>1.6900000000000295</v>
      </c>
      <c r="BZ78" s="477"/>
      <c r="CA78" s="1114">
        <f t="shared" si="91"/>
        <v>11.559999999999846</v>
      </c>
      <c r="CB78" s="1114" t="str">
        <f t="shared" si="91"/>
        <v/>
      </c>
      <c r="CC78" s="1114" t="str">
        <f t="shared" si="92"/>
        <v/>
      </c>
      <c r="CD78" s="1115">
        <f t="shared" si="92"/>
        <v>2.8899999999999615</v>
      </c>
      <c r="CE78" s="568"/>
      <c r="CF78" s="563"/>
      <c r="CG78" s="562"/>
      <c r="CH78" s="562"/>
      <c r="CI78" s="562"/>
      <c r="CJ78" s="562"/>
      <c r="CK78" s="562"/>
      <c r="CL78" s="562"/>
      <c r="CM78" s="562"/>
      <c r="CN78" s="562"/>
      <c r="CO78" s="562"/>
      <c r="CP78" s="562"/>
      <c r="CQ78" s="562"/>
      <c r="CR78" s="562"/>
      <c r="CS78" s="562"/>
      <c r="CT78" s="562"/>
      <c r="CU78" s="562"/>
      <c r="CV78" s="476"/>
      <c r="CW78" s="345"/>
      <c r="CX78" s="345"/>
      <c r="CY78" s="345"/>
      <c r="CZ78" s="345"/>
      <c r="DA78" s="345"/>
      <c r="DB78" s="345"/>
      <c r="DC78" s="345"/>
      <c r="DD78" s="345"/>
      <c r="DE78" s="345"/>
      <c r="DF78" s="345"/>
      <c r="DG78" s="345"/>
      <c r="DH78" s="345"/>
      <c r="DI78" s="345"/>
      <c r="DJ78" s="345"/>
      <c r="DK78" s="345"/>
      <c r="DL78" s="345"/>
      <c r="DM78" s="345"/>
      <c r="DN78" s="345"/>
      <c r="DO78" s="345"/>
      <c r="DP78" s="345"/>
      <c r="DQ78" s="345"/>
      <c r="DR78" s="345"/>
      <c r="DS78" s="345"/>
      <c r="DT78" s="345"/>
      <c r="DU78" s="345"/>
      <c r="DV78" s="345"/>
      <c r="DW78" s="345"/>
      <c r="DX78" s="345"/>
      <c r="DY78" s="345"/>
      <c r="DZ78" s="345"/>
      <c r="EA78" s="345"/>
      <c r="EB78" s="345"/>
      <c r="EC78" s="345"/>
      <c r="ED78" s="345"/>
      <c r="EE78" s="345"/>
      <c r="EF78" s="345"/>
      <c r="EG78" s="345"/>
      <c r="EH78" s="345"/>
      <c r="EI78" s="345"/>
      <c r="EJ78" s="345"/>
      <c r="EK78" s="345"/>
      <c r="EL78" s="345"/>
      <c r="EM78" s="345"/>
      <c r="EN78" s="345"/>
      <c r="EO78" s="345"/>
      <c r="EP78" s="345"/>
      <c r="EQ78" s="345"/>
      <c r="ER78" s="345"/>
      <c r="ES78" s="345"/>
      <c r="ET78" s="345"/>
      <c r="EU78" s="345"/>
      <c r="EV78" s="345"/>
      <c r="EW78" s="345"/>
      <c r="EX78" s="345"/>
      <c r="EY78" s="345"/>
      <c r="EZ78" s="345"/>
      <c r="FA78" s="345"/>
      <c r="FB78" s="345"/>
      <c r="FC78" s="345"/>
      <c r="FD78" s="345"/>
      <c r="FE78" s="345"/>
      <c r="FF78" s="345"/>
      <c r="FG78" s="345"/>
      <c r="FH78" s="345"/>
      <c r="FI78" s="345"/>
      <c r="FJ78" s="345"/>
      <c r="FK78" s="345"/>
      <c r="FL78" s="345"/>
      <c r="FM78" s="345"/>
      <c r="FN78" s="345"/>
      <c r="FO78" s="345"/>
      <c r="FP78" s="345"/>
      <c r="FQ78" s="345"/>
      <c r="FR78" s="345"/>
      <c r="FS78" s="345"/>
      <c r="FT78" s="345"/>
      <c r="FU78" s="345"/>
      <c r="FV78" s="345"/>
      <c r="FW78" s="345"/>
      <c r="FX78" s="345"/>
      <c r="FY78" s="345"/>
      <c r="FZ78" s="345"/>
      <c r="GA78" s="345"/>
      <c r="GB78" s="345"/>
      <c r="GC78" s="345"/>
      <c r="GD78" s="345"/>
      <c r="GE78" s="345"/>
      <c r="GF78" s="345"/>
      <c r="GG78" s="345"/>
      <c r="GH78" s="345"/>
      <c r="GI78" s="345"/>
      <c r="GJ78" s="345"/>
      <c r="GK78" s="345"/>
      <c r="GL78" s="345"/>
      <c r="GM78" s="345"/>
      <c r="GN78" s="345"/>
      <c r="GO78" s="345"/>
      <c r="GP78" s="345"/>
      <c r="GQ78" s="345"/>
      <c r="GR78" s="345"/>
      <c r="GS78" s="345"/>
      <c r="GT78" s="345"/>
      <c r="GU78" s="345"/>
    </row>
    <row r="79" spans="1:203" ht="12.75" customHeight="1">
      <c r="A79" s="465">
        <f t="shared" si="95"/>
        <v>2</v>
      </c>
      <c r="B79" s="1108">
        <v>69</v>
      </c>
      <c r="C79" s="1109">
        <v>-1</v>
      </c>
      <c r="D79" s="398">
        <v>325.3</v>
      </c>
      <c r="E79" s="1120"/>
      <c r="F79" s="465">
        <f t="shared" ref="F79:F142" si="97">IF(I79="","",IF(J79="F",2,IF(H79="T",3,F78)))</f>
        <v>2</v>
      </c>
      <c r="G79" s="1108">
        <v>69</v>
      </c>
      <c r="H79" s="1109">
        <v>-1</v>
      </c>
      <c r="I79" s="398">
        <v>317.5</v>
      </c>
      <c r="J79" s="1120"/>
      <c r="K79" s="465"/>
      <c r="L79" s="465"/>
      <c r="M79" s="465">
        <f t="shared" si="93"/>
        <v>2</v>
      </c>
      <c r="N79" s="1108">
        <v>69</v>
      </c>
      <c r="O79" s="1109">
        <v>1</v>
      </c>
      <c r="P79" s="398">
        <v>322.7</v>
      </c>
      <c r="Q79" s="1120"/>
      <c r="R79" s="465">
        <f t="shared" si="94"/>
        <v>2</v>
      </c>
      <c r="S79" s="1108">
        <v>69</v>
      </c>
      <c r="T79" s="1109">
        <v>0</v>
      </c>
      <c r="U79" s="1110">
        <v>325.3</v>
      </c>
      <c r="V79" s="1120"/>
      <c r="W79" s="371"/>
      <c r="X79" s="494">
        <f t="shared" si="70"/>
        <v>325.3</v>
      </c>
      <c r="Y79" s="495" t="str">
        <f>IF('Feuilles=description générale'!$E$13="","",IF(X79="","",IF(X79&gt;('Feuilles=description générale'!$E$11+'Feuilles=description générale'!$E$10),"",100*(X79-'Feuilles=description générale'!$E$10)/('Feuilles=description générale'!$E$11))))</f>
        <v/>
      </c>
      <c r="Z79" s="495">
        <f>IF('Feuilles=description générale'!$E$13="","",IF(X79="","",IF(X79&lt;=('Feuilles=description générale'!$E$11+'Feuilles=description générale'!$E$10),"",100*(X79-'Feuilles=description générale'!$E$11-'Feuilles=description générale'!$E$10)/('Feuilles=description générale'!$E$12))))</f>
        <v>71.873655219898453</v>
      </c>
      <c r="AA79" s="1112">
        <f>IF('Feuilles=description générale'!$E$13="","",IF(X79="","",100*(X79-'Feuilles=description générale'!$E$10)/('Feuilles=description générale'!$E$13-'Feuilles=description générale'!$E$10)))</f>
        <v>78.834196891191709</v>
      </c>
      <c r="AB79" s="497">
        <f t="shared" si="71"/>
        <v>2</v>
      </c>
      <c r="AC79" s="500">
        <f t="shared" si="96"/>
        <v>2</v>
      </c>
      <c r="AD79" s="494">
        <f t="shared" si="72"/>
        <v>3</v>
      </c>
      <c r="AE79" s="499" t="str">
        <f t="shared" si="73"/>
        <v/>
      </c>
      <c r="AF79" s="371"/>
      <c r="AG79" s="494">
        <f t="shared" si="74"/>
        <v>317.5</v>
      </c>
      <c r="AH79" s="495" t="str">
        <f>IF('Feuilles=description générale'!$E$13="","",IF(AG79="","",IF(AG79&gt;('Feuilles=description générale'!$E$11+'Feuilles=description générale'!$E$10),"",100*(AG79-'Feuilles=description générale'!$E$10)/('Feuilles=description générale'!$E$11))))</f>
        <v/>
      </c>
      <c r="AI79" s="495">
        <f>IF('Feuilles=description générale'!$E$13="","",IF(AG79="","",IF(AG79&lt;=('Feuilles=description générale'!$E$11+'Feuilles=description générale'!$E$10),"",100*(AG79-'Feuilles=description générale'!$E$11-'Feuilles=description générale'!$E$10)/('Feuilles=description générale'!$E$12))))</f>
        <v>69.188398313107854</v>
      </c>
      <c r="AJ79" s="496">
        <f>IF('Feuilles=description générale'!$E$13="","",IF(AG79="","",100*(AG79-'Feuilles=description générale'!$E$10)/('Feuilles=description générale'!$E$13-'Feuilles=description générale'!$E$10)))</f>
        <v>76.813471502590673</v>
      </c>
      <c r="AK79" s="1113">
        <f t="shared" si="75"/>
        <v>2</v>
      </c>
      <c r="AL79" s="498">
        <f t="shared" si="76"/>
        <v>2</v>
      </c>
      <c r="AM79" s="494">
        <f t="shared" si="77"/>
        <v>4.8999999999999773</v>
      </c>
      <c r="AN79" s="499" t="str">
        <f t="shared" si="78"/>
        <v/>
      </c>
      <c r="AO79" s="371"/>
      <c r="AP79" s="494">
        <f t="shared" si="79"/>
        <v>322.7</v>
      </c>
      <c r="AQ79" s="495" t="str">
        <f>IF('Feuilles=description générale'!$E$13="","",IF(AP79="","",IF(AP79&gt;('Feuilles=description générale'!$E$25+'Feuilles=description générale'!$E$24),"",100*(AP79-'Feuilles=description générale'!$E$24)/('Feuilles=description générale'!$E$25))))</f>
        <v/>
      </c>
      <c r="AR79" s="495">
        <f>IF('Feuilles=description générale'!$E$27="","",IF(AP79="","",IF(AP79&lt;=('Feuilles=description générale'!$E$25+'Feuilles=description générale'!$E$24),"",100*(AP79-'Feuilles=description générale'!$E$25-'Feuilles=description générale'!$E$24)/('Feuilles=description générale'!$E$26))))</f>
        <v>65.461720599842153</v>
      </c>
      <c r="AS79" s="496">
        <f>IF('Feuilles=description générale'!$E$27="","",IF(AP79="","",100*(AP79-'Feuilles=description générale'!$E$24)/('Feuilles=description générale'!$E$27-'Feuilles=description générale'!$E$24)))</f>
        <v>73.258372036176965</v>
      </c>
      <c r="AT79" s="497">
        <f t="shared" si="80"/>
        <v>1</v>
      </c>
      <c r="AU79" s="500" t="str">
        <f t="shared" si="81"/>
        <v/>
      </c>
      <c r="AV79" s="494" t="str">
        <f t="shared" si="82"/>
        <v/>
      </c>
      <c r="AW79" s="499">
        <f t="shared" si="83"/>
        <v>1.3000000000000114</v>
      </c>
      <c r="AX79" s="371"/>
      <c r="AY79" s="494">
        <f t="shared" si="84"/>
        <v>325.3</v>
      </c>
      <c r="AZ79" s="495" t="str">
        <f>IF('Feuilles=description générale'!$E$13="","",IF(AY79="","",IF(AY79&gt;('Feuilles=description générale'!$E$25+'Feuilles=description générale'!$E$24),"",100*(AY79-'Feuilles=description générale'!$E$24)/('Feuilles=description générale'!$E$25))))</f>
        <v/>
      </c>
      <c r="BA79" s="495">
        <f>IF('Feuilles=description générale'!$E$27="","",IF(AY79="","",IF(AY79&lt;=('Feuilles=description générale'!$E$25+'Feuilles=description générale'!$E$24),"",100*(AY79-'Feuilles=description générale'!$E$25-'Feuilles=description générale'!$E$24)/('Feuilles=description générale'!$E$26))))</f>
        <v>66.282557221783748</v>
      </c>
      <c r="BB79" s="496">
        <f>IF('Feuilles=description générale'!$E$27="","",IF(AY79="","",100*(AY79-'Feuilles=description générale'!$E$24)/('Feuilles=description générale'!$E$27-'Feuilles=description générale'!$E$24)))</f>
        <v>73.893913468589588</v>
      </c>
      <c r="BC79" s="497">
        <f t="shared" si="85"/>
        <v>2</v>
      </c>
      <c r="BD79" s="500" t="str">
        <f t="shared" si="86"/>
        <v/>
      </c>
      <c r="BE79" s="494" t="str">
        <f t="shared" si="87"/>
        <v/>
      </c>
      <c r="BF79" s="499">
        <f t="shared" si="88"/>
        <v>1.3000000000000114</v>
      </c>
      <c r="BG79" s="476"/>
      <c r="BH79" s="563"/>
      <c r="BI79" s="562"/>
      <c r="BJ79" s="562"/>
      <c r="BK79" s="562"/>
      <c r="BL79" s="562"/>
      <c r="BM79" s="562"/>
      <c r="BN79" s="562"/>
      <c r="BO79" s="562"/>
      <c r="BP79" s="562"/>
      <c r="BQ79" s="562"/>
      <c r="BR79" s="562"/>
      <c r="BS79" s="562"/>
      <c r="BT79" s="562"/>
      <c r="BU79" s="568"/>
      <c r="BV79" s="1114">
        <f t="shared" si="89"/>
        <v>9</v>
      </c>
      <c r="BW79" s="1114" t="str">
        <f t="shared" si="89"/>
        <v/>
      </c>
      <c r="BX79" s="1114">
        <f t="shared" si="90"/>
        <v>24.009999999999778</v>
      </c>
      <c r="BY79" s="1115" t="str">
        <f t="shared" si="90"/>
        <v/>
      </c>
      <c r="BZ79" s="477"/>
      <c r="CA79" s="1114" t="str">
        <f t="shared" si="91"/>
        <v/>
      </c>
      <c r="CB79" s="1114">
        <f t="shared" si="91"/>
        <v>1.6900000000000295</v>
      </c>
      <c r="CC79" s="1114" t="str">
        <f t="shared" si="92"/>
        <v/>
      </c>
      <c r="CD79" s="1115">
        <f t="shared" si="92"/>
        <v>1.6900000000000295</v>
      </c>
      <c r="CE79" s="568"/>
      <c r="CF79" s="563"/>
      <c r="CG79" s="562"/>
      <c r="CH79" s="562"/>
      <c r="CI79" s="562"/>
      <c r="CJ79" s="562"/>
      <c r="CK79" s="562"/>
      <c r="CL79" s="562"/>
      <c r="CM79" s="562"/>
      <c r="CN79" s="562"/>
      <c r="CO79" s="562"/>
      <c r="CP79" s="562"/>
      <c r="CQ79" s="562"/>
      <c r="CR79" s="562"/>
      <c r="CS79" s="562"/>
      <c r="CT79" s="562"/>
      <c r="CU79" s="562"/>
      <c r="CV79" s="476"/>
      <c r="CW79" s="345"/>
      <c r="CX79" s="345"/>
      <c r="CY79" s="345"/>
      <c r="CZ79" s="345"/>
      <c r="DA79" s="345"/>
      <c r="DB79" s="345"/>
      <c r="DC79" s="345"/>
      <c r="DD79" s="345"/>
      <c r="DE79" s="345"/>
      <c r="DF79" s="345"/>
      <c r="DG79" s="345"/>
      <c r="DH79" s="345"/>
      <c r="DI79" s="345"/>
      <c r="DJ79" s="345"/>
      <c r="DK79" s="345"/>
      <c r="DL79" s="345"/>
      <c r="DM79" s="345"/>
      <c r="DN79" s="345"/>
      <c r="DO79" s="345"/>
      <c r="DP79" s="345"/>
      <c r="DQ79" s="345"/>
      <c r="DR79" s="345"/>
      <c r="DS79" s="345"/>
      <c r="DT79" s="345"/>
      <c r="DU79" s="345"/>
      <c r="DV79" s="345"/>
      <c r="DW79" s="345"/>
      <c r="DX79" s="345"/>
      <c r="DY79" s="345"/>
      <c r="DZ79" s="345"/>
      <c r="EA79" s="345"/>
      <c r="EB79" s="345"/>
      <c r="EC79" s="345"/>
      <c r="ED79" s="345"/>
      <c r="EE79" s="345"/>
      <c r="EF79" s="345"/>
      <c r="EG79" s="345"/>
      <c r="EH79" s="345"/>
      <c r="EI79" s="345"/>
      <c r="EJ79" s="345"/>
      <c r="EK79" s="345"/>
      <c r="EL79" s="345"/>
      <c r="EM79" s="345"/>
      <c r="EN79" s="345"/>
      <c r="EO79" s="345"/>
      <c r="EP79" s="345"/>
      <c r="EQ79" s="345"/>
      <c r="ER79" s="345"/>
      <c r="ES79" s="345"/>
      <c r="ET79" s="345"/>
      <c r="EU79" s="345"/>
      <c r="EV79" s="345"/>
      <c r="EW79" s="345"/>
      <c r="EX79" s="345"/>
      <c r="EY79" s="345"/>
      <c r="EZ79" s="345"/>
      <c r="FA79" s="345"/>
      <c r="FB79" s="345"/>
      <c r="FC79" s="345"/>
      <c r="FD79" s="345"/>
      <c r="FE79" s="345"/>
      <c r="FF79" s="345"/>
      <c r="FG79" s="345"/>
      <c r="FH79" s="345"/>
      <c r="FI79" s="345"/>
      <c r="FJ79" s="345"/>
      <c r="FK79" s="345"/>
      <c r="FL79" s="345"/>
      <c r="FM79" s="345"/>
      <c r="FN79" s="345"/>
      <c r="FO79" s="345"/>
      <c r="FP79" s="345"/>
      <c r="FQ79" s="345"/>
      <c r="FR79" s="345"/>
      <c r="FS79" s="345"/>
      <c r="FT79" s="345"/>
      <c r="FU79" s="345"/>
      <c r="FV79" s="345"/>
      <c r="FW79" s="345"/>
      <c r="FX79" s="345"/>
      <c r="FY79" s="345"/>
      <c r="FZ79" s="345"/>
      <c r="GA79" s="345"/>
      <c r="GB79" s="345"/>
      <c r="GC79" s="345"/>
      <c r="GD79" s="345"/>
      <c r="GE79" s="345"/>
      <c r="GF79" s="345"/>
      <c r="GG79" s="345"/>
      <c r="GH79" s="345"/>
      <c r="GI79" s="345"/>
      <c r="GJ79" s="345"/>
      <c r="GK79" s="345"/>
      <c r="GL79" s="345"/>
      <c r="GM79" s="345"/>
      <c r="GN79" s="345"/>
      <c r="GO79" s="345"/>
      <c r="GP79" s="345"/>
      <c r="GQ79" s="345"/>
      <c r="GR79" s="345"/>
      <c r="GS79" s="345"/>
      <c r="GT79" s="345"/>
      <c r="GU79" s="345"/>
    </row>
    <row r="80" spans="1:203" ht="12.75" customHeight="1">
      <c r="A80" s="465">
        <f t="shared" si="95"/>
        <v>2</v>
      </c>
      <c r="B80" s="1108">
        <v>70</v>
      </c>
      <c r="C80" s="1109">
        <v>1</v>
      </c>
      <c r="D80" s="398">
        <v>328.3</v>
      </c>
      <c r="E80" s="1120"/>
      <c r="F80" s="465">
        <f t="shared" si="97"/>
        <v>2</v>
      </c>
      <c r="G80" s="1108">
        <v>70</v>
      </c>
      <c r="H80" s="1109">
        <v>1</v>
      </c>
      <c r="I80" s="398">
        <v>322.39999999999998</v>
      </c>
      <c r="J80" s="1120"/>
      <c r="K80" s="465"/>
      <c r="L80" s="465"/>
      <c r="M80" s="465">
        <f t="shared" si="93"/>
        <v>2</v>
      </c>
      <c r="N80" s="1108">
        <v>70</v>
      </c>
      <c r="O80" s="1109">
        <v>0</v>
      </c>
      <c r="P80" s="398">
        <v>324</v>
      </c>
      <c r="Q80" s="1120"/>
      <c r="R80" s="465">
        <f t="shared" si="94"/>
        <v>2</v>
      </c>
      <c r="S80" s="1108">
        <v>70</v>
      </c>
      <c r="T80" s="1109">
        <v>-1</v>
      </c>
      <c r="U80" s="1110">
        <v>326.60000000000002</v>
      </c>
      <c r="V80" s="1120"/>
      <c r="W80" s="371"/>
      <c r="X80" s="494">
        <f t="shared" si="70"/>
        <v>328.3</v>
      </c>
      <c r="Y80" s="495" t="str">
        <f>IF('Feuilles=description générale'!$E$13="","",IF(X80="","",IF(X80&gt;('Feuilles=description générale'!$E$11+'Feuilles=description générale'!$E$10),"",100*(X80-'Feuilles=description générale'!$E$10)/('Feuilles=description générale'!$E$11))))</f>
        <v/>
      </c>
      <c r="Z80" s="495">
        <f>IF('Feuilles=description générale'!$E$13="","",IF(X80="","",IF(X80&lt;=('Feuilles=description générale'!$E$11+'Feuilles=description générale'!$E$10),"",100*(X80-'Feuilles=description générale'!$E$11-'Feuilles=description générale'!$E$10)/('Feuilles=description générale'!$E$12))))</f>
        <v>72.906446337894835</v>
      </c>
      <c r="AA80" s="1112">
        <f>IF('Feuilles=description générale'!$E$13="","",IF(X80="","",100*(X80-'Feuilles=description générale'!$E$10)/('Feuilles=description générale'!$E$13-'Feuilles=description générale'!$E$10)))</f>
        <v>79.611398963730565</v>
      </c>
      <c r="AB80" s="497">
        <f t="shared" si="71"/>
        <v>1</v>
      </c>
      <c r="AC80" s="500" t="str">
        <f t="shared" si="96"/>
        <v/>
      </c>
      <c r="AD80" s="494" t="str">
        <f t="shared" si="72"/>
        <v/>
      </c>
      <c r="AE80" s="499">
        <f t="shared" si="73"/>
        <v>2.5999999999999659</v>
      </c>
      <c r="AF80" s="371"/>
      <c r="AG80" s="494">
        <f t="shared" si="74"/>
        <v>322.39999999999998</v>
      </c>
      <c r="AH80" s="495" t="str">
        <f>IF('Feuilles=description générale'!$E$13="","",IF(AG80="","",IF(AG80&gt;('Feuilles=description générale'!$E$11+'Feuilles=description générale'!$E$10),"",100*(AG80-'Feuilles=description générale'!$E$10)/('Feuilles=description générale'!$E$11))))</f>
        <v/>
      </c>
      <c r="AI80" s="495">
        <f>IF('Feuilles=description générale'!$E$13="","",IF(AG80="","",IF(AG80&lt;=('Feuilles=description générale'!$E$11+'Feuilles=description générale'!$E$10),"",100*(AG80-'Feuilles=description générale'!$E$11-'Feuilles=description générale'!$E$10)/('Feuilles=description générale'!$E$12))))</f>
        <v>70.875290472501931</v>
      </c>
      <c r="AJ80" s="496">
        <f>IF('Feuilles=description générale'!$E$13="","",IF(AG80="","",100*(AG80-'Feuilles=description générale'!$E$10)/('Feuilles=description générale'!$E$13-'Feuilles=description générale'!$E$10)))</f>
        <v>78.082901554404131</v>
      </c>
      <c r="AK80" s="1113">
        <f t="shared" si="75"/>
        <v>1</v>
      </c>
      <c r="AL80" s="498" t="str">
        <f t="shared" si="76"/>
        <v/>
      </c>
      <c r="AM80" s="494" t="str">
        <f t="shared" si="77"/>
        <v/>
      </c>
      <c r="AN80" s="499">
        <f t="shared" si="78"/>
        <v>1.6000000000000227</v>
      </c>
      <c r="AO80" s="371"/>
      <c r="AP80" s="494">
        <f t="shared" si="79"/>
        <v>324</v>
      </c>
      <c r="AQ80" s="495" t="str">
        <f>IF('Feuilles=description générale'!$E$13="","",IF(AP80="","",IF(AP80&gt;('Feuilles=description générale'!$E$25+'Feuilles=description générale'!$E$24),"",100*(AP80-'Feuilles=description générale'!$E$24)/('Feuilles=description générale'!$E$25))))</f>
        <v/>
      </c>
      <c r="AR80" s="495">
        <f>IF('Feuilles=description générale'!$E$27="","",IF(AP80="","",IF(AP80&lt;=('Feuilles=description générale'!$E$25+'Feuilles=description générale'!$E$24),"",100*(AP80-'Feuilles=description générale'!$E$25-'Feuilles=description générale'!$E$24)/('Feuilles=description générale'!$E$26))))</f>
        <v>65.87213891081295</v>
      </c>
      <c r="AS80" s="496">
        <f>IF('Feuilles=description générale'!$E$27="","",IF(AP80="","",100*(AP80-'Feuilles=description générale'!$E$24)/('Feuilles=description générale'!$E$27-'Feuilles=description générale'!$E$24)))</f>
        <v>73.576142752383277</v>
      </c>
      <c r="AT80" s="497">
        <f t="shared" si="80"/>
        <v>2</v>
      </c>
      <c r="AU80" s="500" t="str">
        <f t="shared" si="81"/>
        <v/>
      </c>
      <c r="AV80" s="494" t="str">
        <f t="shared" si="82"/>
        <v/>
      </c>
      <c r="AW80" s="499">
        <f t="shared" si="83"/>
        <v>1</v>
      </c>
      <c r="AX80" s="371"/>
      <c r="AY80" s="494">
        <f t="shared" si="84"/>
        <v>326.60000000000002</v>
      </c>
      <c r="AZ80" s="495" t="str">
        <f>IF('Feuilles=description générale'!$E$13="","",IF(AY80="","",IF(AY80&gt;('Feuilles=description générale'!$E$25+'Feuilles=description générale'!$E$24),"",100*(AY80-'Feuilles=description générale'!$E$24)/('Feuilles=description générale'!$E$25))))</f>
        <v/>
      </c>
      <c r="BA80" s="495">
        <f>IF('Feuilles=description générale'!$E$27="","",IF(AY80="","",IF(AY80&lt;=('Feuilles=description générale'!$E$25+'Feuilles=description générale'!$E$24),"",100*(AY80-'Feuilles=description générale'!$E$25-'Feuilles=description générale'!$E$24)/('Feuilles=description générale'!$E$26))))</f>
        <v>66.692975532754545</v>
      </c>
      <c r="BB80" s="496">
        <f>IF('Feuilles=description générale'!$E$27="","",IF(AY80="","",100*(AY80-'Feuilles=description générale'!$E$24)/('Feuilles=description générale'!$E$27-'Feuilles=description générale'!$E$24)))</f>
        <v>74.211684184795899</v>
      </c>
      <c r="BC80" s="497">
        <f t="shared" si="85"/>
        <v>3</v>
      </c>
      <c r="BD80" s="500">
        <f t="shared" si="86"/>
        <v>3</v>
      </c>
      <c r="BE80" s="494">
        <f t="shared" si="87"/>
        <v>3.8999999999999773</v>
      </c>
      <c r="BF80" s="499" t="str">
        <f t="shared" si="88"/>
        <v/>
      </c>
      <c r="BG80" s="476"/>
      <c r="BH80" s="563"/>
      <c r="BI80" s="562"/>
      <c r="BJ80" s="562"/>
      <c r="BK80" s="562"/>
      <c r="BL80" s="562"/>
      <c r="BM80" s="562"/>
      <c r="BN80" s="562"/>
      <c r="BO80" s="562"/>
      <c r="BP80" s="562"/>
      <c r="BQ80" s="562"/>
      <c r="BR80" s="562"/>
      <c r="BS80" s="562"/>
      <c r="BT80" s="562"/>
      <c r="BU80" s="568"/>
      <c r="BV80" s="1114" t="str">
        <f t="shared" si="89"/>
        <v/>
      </c>
      <c r="BW80" s="1114">
        <f t="shared" si="89"/>
        <v>6.759999999999823</v>
      </c>
      <c r="BX80" s="1114" t="str">
        <f t="shared" si="90"/>
        <v/>
      </c>
      <c r="BY80" s="1115">
        <f t="shared" si="90"/>
        <v>2.5600000000000729</v>
      </c>
      <c r="BZ80" s="477"/>
      <c r="CA80" s="1114" t="str">
        <f t="shared" si="91"/>
        <v/>
      </c>
      <c r="CB80" s="1114">
        <f t="shared" si="91"/>
        <v>1</v>
      </c>
      <c r="CC80" s="1114">
        <f t="shared" si="92"/>
        <v>15.209999999999823</v>
      </c>
      <c r="CD80" s="1115" t="str">
        <f t="shared" si="92"/>
        <v/>
      </c>
      <c r="CE80" s="568"/>
      <c r="CF80" s="563"/>
      <c r="CG80" s="562"/>
      <c r="CH80" s="562"/>
      <c r="CI80" s="562"/>
      <c r="CJ80" s="562"/>
      <c r="CK80" s="562"/>
      <c r="CL80" s="562"/>
      <c r="CM80" s="562"/>
      <c r="CN80" s="562"/>
      <c r="CO80" s="562"/>
      <c r="CP80" s="562"/>
      <c r="CQ80" s="562"/>
      <c r="CR80" s="562"/>
      <c r="CS80" s="562"/>
      <c r="CT80" s="562"/>
      <c r="CU80" s="562"/>
      <c r="CV80" s="476"/>
      <c r="CW80" s="345"/>
      <c r="CX80" s="345"/>
      <c r="CY80" s="345"/>
      <c r="CZ80" s="345"/>
      <c r="DA80" s="345"/>
      <c r="DB80" s="345"/>
      <c r="DC80" s="345"/>
      <c r="DD80" s="345"/>
      <c r="DE80" s="345"/>
      <c r="DF80" s="345"/>
      <c r="DG80" s="345"/>
      <c r="DH80" s="345"/>
      <c r="DI80" s="345"/>
      <c r="DJ80" s="345"/>
      <c r="DK80" s="345"/>
      <c r="DL80" s="345"/>
      <c r="DM80" s="345"/>
      <c r="DN80" s="345"/>
      <c r="DO80" s="345"/>
      <c r="DP80" s="345"/>
      <c r="DQ80" s="345"/>
      <c r="DR80" s="345"/>
      <c r="DS80" s="345"/>
      <c r="DT80" s="345"/>
      <c r="DU80" s="345"/>
      <c r="DV80" s="345"/>
      <c r="DW80" s="345"/>
      <c r="DX80" s="345"/>
      <c r="DY80" s="345"/>
      <c r="DZ80" s="345"/>
      <c r="EA80" s="345"/>
      <c r="EB80" s="345"/>
      <c r="EC80" s="345"/>
      <c r="ED80" s="345"/>
      <c r="EE80" s="345"/>
      <c r="EF80" s="345"/>
      <c r="EG80" s="345"/>
      <c r="EH80" s="345"/>
      <c r="EI80" s="345"/>
      <c r="EJ80" s="345"/>
      <c r="EK80" s="345"/>
      <c r="EL80" s="345"/>
      <c r="EM80" s="345"/>
      <c r="EN80" s="345"/>
      <c r="EO80" s="345"/>
      <c r="EP80" s="345"/>
      <c r="EQ80" s="345"/>
      <c r="ER80" s="345"/>
      <c r="ES80" s="345"/>
      <c r="ET80" s="345"/>
      <c r="EU80" s="345"/>
      <c r="EV80" s="345"/>
      <c r="EW80" s="345"/>
      <c r="EX80" s="345"/>
      <c r="EY80" s="345"/>
      <c r="EZ80" s="345"/>
      <c r="FA80" s="345"/>
      <c r="FB80" s="345"/>
      <c r="FC80" s="345"/>
      <c r="FD80" s="345"/>
      <c r="FE80" s="345"/>
      <c r="FF80" s="345"/>
      <c r="FG80" s="345"/>
      <c r="FH80" s="345"/>
      <c r="FI80" s="345"/>
      <c r="FJ80" s="345"/>
      <c r="FK80" s="345"/>
      <c r="FL80" s="345"/>
      <c r="FM80" s="345"/>
      <c r="FN80" s="345"/>
      <c r="FO80" s="345"/>
      <c r="FP80" s="345"/>
      <c r="FQ80" s="345"/>
      <c r="FR80" s="345"/>
      <c r="FS80" s="345"/>
      <c r="FT80" s="345"/>
      <c r="FU80" s="345"/>
      <c r="FV80" s="345"/>
      <c r="FW80" s="345"/>
      <c r="FX80" s="345"/>
      <c r="FY80" s="345"/>
      <c r="FZ80" s="345"/>
      <c r="GA80" s="345"/>
      <c r="GB80" s="345"/>
      <c r="GC80" s="345"/>
      <c r="GD80" s="345"/>
      <c r="GE80" s="345"/>
      <c r="GF80" s="345"/>
      <c r="GG80" s="345"/>
      <c r="GH80" s="345"/>
      <c r="GI80" s="345"/>
      <c r="GJ80" s="345"/>
      <c r="GK80" s="345"/>
      <c r="GL80" s="345"/>
      <c r="GM80" s="345"/>
      <c r="GN80" s="345"/>
      <c r="GO80" s="345"/>
      <c r="GP80" s="345"/>
      <c r="GQ80" s="345"/>
      <c r="GR80" s="345"/>
      <c r="GS80" s="345"/>
      <c r="GT80" s="345"/>
      <c r="GU80" s="345"/>
    </row>
    <row r="81" spans="1:203" ht="12.75" customHeight="1">
      <c r="A81" s="465">
        <f t="shared" si="95"/>
        <v>2</v>
      </c>
      <c r="B81" s="1108">
        <v>71</v>
      </c>
      <c r="C81" s="1109">
        <v>-1</v>
      </c>
      <c r="D81" s="398">
        <v>330.9</v>
      </c>
      <c r="E81" s="1120"/>
      <c r="F81" s="465">
        <f t="shared" si="97"/>
        <v>2</v>
      </c>
      <c r="G81" s="1108">
        <v>71</v>
      </c>
      <c r="H81" s="1109">
        <v>-1</v>
      </c>
      <c r="I81" s="398">
        <v>324</v>
      </c>
      <c r="J81" s="1120"/>
      <c r="K81" s="465"/>
      <c r="L81" s="465"/>
      <c r="M81" s="465">
        <f t="shared" si="93"/>
        <v>2</v>
      </c>
      <c r="N81" s="1108">
        <v>71</v>
      </c>
      <c r="O81" s="1109">
        <v>-1</v>
      </c>
      <c r="P81" s="398">
        <v>325</v>
      </c>
      <c r="Q81" s="1120"/>
      <c r="R81" s="465">
        <f t="shared" si="94"/>
        <v>2</v>
      </c>
      <c r="S81" s="1108">
        <v>71</v>
      </c>
      <c r="T81" s="1109">
        <v>1</v>
      </c>
      <c r="U81" s="1110">
        <v>330.5</v>
      </c>
      <c r="V81" s="1120"/>
      <c r="W81" s="371"/>
      <c r="X81" s="494">
        <f t="shared" si="70"/>
        <v>330.9</v>
      </c>
      <c r="Y81" s="495" t="str">
        <f>IF('Feuilles=description générale'!$E$13="","",IF(X81="","",IF(X81&gt;('Feuilles=description générale'!$E$11+'Feuilles=description générale'!$E$10),"",100*(X81-'Feuilles=description générale'!$E$10)/('Feuilles=description générale'!$E$11))))</f>
        <v/>
      </c>
      <c r="Z81" s="495">
        <f>IF('Feuilles=description générale'!$E$13="","",IF(X81="","",IF(X81&lt;=('Feuilles=description générale'!$E$11+'Feuilles=description générale'!$E$10),"",100*(X81-'Feuilles=description générale'!$E$11-'Feuilles=description générale'!$E$10)/('Feuilles=description générale'!$E$12))))</f>
        <v>73.801531973491691</v>
      </c>
      <c r="AA81" s="1112">
        <f>IF('Feuilles=description générale'!$E$13="","",IF(X81="","",100*(X81-'Feuilles=description générale'!$E$10)/('Feuilles=description générale'!$E$13-'Feuilles=description générale'!$E$10)))</f>
        <v>80.284974093264239</v>
      </c>
      <c r="AB81" s="497">
        <f t="shared" si="71"/>
        <v>2</v>
      </c>
      <c r="AC81" s="500">
        <f t="shared" si="96"/>
        <v>2</v>
      </c>
      <c r="AD81" s="494">
        <f t="shared" si="72"/>
        <v>2.4000000000000341</v>
      </c>
      <c r="AE81" s="499" t="str">
        <f t="shared" si="73"/>
        <v/>
      </c>
      <c r="AF81" s="371"/>
      <c r="AG81" s="494">
        <f t="shared" si="74"/>
        <v>324</v>
      </c>
      <c r="AH81" s="495" t="str">
        <f>IF('Feuilles=description générale'!$E$13="","",IF(AG81="","",IF(AG81&gt;('Feuilles=description générale'!$E$11+'Feuilles=description générale'!$E$10),"",100*(AG81-'Feuilles=description générale'!$E$10)/('Feuilles=description générale'!$E$11))))</f>
        <v/>
      </c>
      <c r="AI81" s="495">
        <f>IF('Feuilles=description générale'!$E$13="","",IF(AG81="","",IF(AG81&lt;=('Feuilles=description générale'!$E$11+'Feuilles=description générale'!$E$10),"",100*(AG81-'Feuilles=description générale'!$E$11-'Feuilles=description générale'!$E$10)/('Feuilles=description générale'!$E$12))))</f>
        <v>71.426112402100017</v>
      </c>
      <c r="AJ81" s="496">
        <f>IF('Feuilles=description générale'!$E$13="","",IF(AG81="","",100*(AG81-'Feuilles=description générale'!$E$10)/('Feuilles=description générale'!$E$13-'Feuilles=description générale'!$E$10)))</f>
        <v>78.497409326424872</v>
      </c>
      <c r="AK81" s="1113">
        <f t="shared" si="75"/>
        <v>2</v>
      </c>
      <c r="AL81" s="498">
        <f t="shared" si="76"/>
        <v>2</v>
      </c>
      <c r="AM81" s="494">
        <f t="shared" si="77"/>
        <v>2.8000000000000114</v>
      </c>
      <c r="AN81" s="499" t="str">
        <f t="shared" si="78"/>
        <v/>
      </c>
      <c r="AO81" s="371"/>
      <c r="AP81" s="494">
        <f t="shared" si="79"/>
        <v>325</v>
      </c>
      <c r="AQ81" s="495" t="str">
        <f>IF('Feuilles=description générale'!$E$13="","",IF(AP81="","",IF(AP81&gt;('Feuilles=description générale'!$E$25+'Feuilles=description générale'!$E$24),"",100*(AP81-'Feuilles=description générale'!$E$24)/('Feuilles=description générale'!$E$25))))</f>
        <v/>
      </c>
      <c r="AR81" s="495">
        <f>IF('Feuilles=description générale'!$E$27="","",IF(AP81="","",IF(AP81&lt;=('Feuilles=description générale'!$E$25+'Feuilles=description générale'!$E$24),"",100*(AP81-'Feuilles=description générale'!$E$25-'Feuilles=description générale'!$E$24)/('Feuilles=description générale'!$E$26))))</f>
        <v>66.187845303867405</v>
      </c>
      <c r="AS81" s="496">
        <f>IF('Feuilles=description générale'!$E$27="","",IF(AP81="","",100*(AP81-'Feuilles=description générale'!$E$24)/('Feuilles=description générale'!$E$27-'Feuilles=description générale'!$E$24)))</f>
        <v>73.820581764849663</v>
      </c>
      <c r="AT81" s="497">
        <f t="shared" si="80"/>
        <v>3</v>
      </c>
      <c r="AU81" s="500">
        <f t="shared" si="81"/>
        <v>3</v>
      </c>
      <c r="AV81" s="494">
        <f t="shared" si="82"/>
        <v>3.5</v>
      </c>
      <c r="AW81" s="499" t="str">
        <f t="shared" si="83"/>
        <v/>
      </c>
      <c r="AX81" s="371"/>
      <c r="AY81" s="494">
        <f t="shared" si="84"/>
        <v>330.5</v>
      </c>
      <c r="AZ81" s="495" t="str">
        <f>IF('Feuilles=description générale'!$E$13="","",IF(AY81="","",IF(AY81&gt;('Feuilles=description générale'!$E$25+'Feuilles=description générale'!$E$24),"",100*(AY81-'Feuilles=description générale'!$E$24)/('Feuilles=description générale'!$E$25))))</f>
        <v/>
      </c>
      <c r="BA81" s="495">
        <f>IF('Feuilles=description générale'!$E$27="","",IF(AY81="","",IF(AY81&lt;=('Feuilles=description générale'!$E$25+'Feuilles=description générale'!$E$24),"",100*(AY81-'Feuilles=description générale'!$E$25-'Feuilles=description générale'!$E$24)/('Feuilles=description générale'!$E$26))))</f>
        <v>67.924230465666923</v>
      </c>
      <c r="BB81" s="496">
        <f>IF('Feuilles=description générale'!$E$27="","",IF(AY81="","",100*(AY81-'Feuilles=description générale'!$E$24)/('Feuilles=description générale'!$E$27-'Feuilles=description générale'!$E$24)))</f>
        <v>75.164996333414805</v>
      </c>
      <c r="BC81" s="497">
        <f t="shared" si="85"/>
        <v>1</v>
      </c>
      <c r="BD81" s="500" t="str">
        <f t="shared" si="86"/>
        <v/>
      </c>
      <c r="BE81" s="494" t="str">
        <f t="shared" si="87"/>
        <v/>
      </c>
      <c r="BF81" s="499">
        <f t="shared" si="88"/>
        <v>1.1999999999999886</v>
      </c>
      <c r="BG81" s="476"/>
      <c r="BH81" s="563"/>
      <c r="BI81" s="562"/>
      <c r="BJ81" s="562"/>
      <c r="BK81" s="562"/>
      <c r="BL81" s="562"/>
      <c r="BM81" s="562"/>
      <c r="BN81" s="562"/>
      <c r="BO81" s="562"/>
      <c r="BP81" s="562"/>
      <c r="BQ81" s="562"/>
      <c r="BR81" s="562"/>
      <c r="BS81" s="562"/>
      <c r="BT81" s="562"/>
      <c r="BU81" s="568"/>
      <c r="BV81" s="1114">
        <f t="shared" si="89"/>
        <v>5.7600000000001641</v>
      </c>
      <c r="BW81" s="1114" t="str">
        <f t="shared" si="89"/>
        <v/>
      </c>
      <c r="BX81" s="1114">
        <f t="shared" si="90"/>
        <v>7.8400000000000638</v>
      </c>
      <c r="BY81" s="1115" t="str">
        <f t="shared" si="90"/>
        <v/>
      </c>
      <c r="BZ81" s="477"/>
      <c r="CA81" s="1114">
        <f t="shared" si="91"/>
        <v>12.25</v>
      </c>
      <c r="CB81" s="1114" t="str">
        <f t="shared" si="91"/>
        <v/>
      </c>
      <c r="CC81" s="1114" t="str">
        <f t="shared" si="92"/>
        <v/>
      </c>
      <c r="CD81" s="1115">
        <f t="shared" si="92"/>
        <v>1.4399999999999726</v>
      </c>
      <c r="CE81" s="568"/>
      <c r="CF81" s="563"/>
      <c r="CG81" s="562"/>
      <c r="CH81" s="562"/>
      <c r="CI81" s="562"/>
      <c r="CJ81" s="562"/>
      <c r="CK81" s="562"/>
      <c r="CL81" s="562"/>
      <c r="CM81" s="562"/>
      <c r="CN81" s="562"/>
      <c r="CO81" s="562"/>
      <c r="CP81" s="562"/>
      <c r="CQ81" s="562"/>
      <c r="CR81" s="562"/>
      <c r="CS81" s="562"/>
      <c r="CT81" s="562"/>
      <c r="CU81" s="562"/>
      <c r="CV81" s="476"/>
      <c r="CW81" s="345"/>
      <c r="CX81" s="345"/>
      <c r="CY81" s="345"/>
      <c r="CZ81" s="345"/>
      <c r="DA81" s="345"/>
      <c r="DB81" s="345"/>
      <c r="DC81" s="345"/>
      <c r="DD81" s="345"/>
      <c r="DE81" s="345"/>
      <c r="DF81" s="345"/>
      <c r="DG81" s="345"/>
      <c r="DH81" s="345"/>
      <c r="DI81" s="345"/>
      <c r="DJ81" s="345"/>
      <c r="DK81" s="345"/>
      <c r="DL81" s="345"/>
      <c r="DM81" s="345"/>
      <c r="DN81" s="345"/>
      <c r="DO81" s="345"/>
      <c r="DP81" s="345"/>
      <c r="DQ81" s="345"/>
      <c r="DR81" s="345"/>
      <c r="DS81" s="345"/>
      <c r="DT81" s="345"/>
      <c r="DU81" s="345"/>
      <c r="DV81" s="345"/>
      <c r="DW81" s="345"/>
      <c r="DX81" s="345"/>
      <c r="DY81" s="345"/>
      <c r="DZ81" s="345"/>
      <c r="EA81" s="345"/>
      <c r="EB81" s="345"/>
      <c r="EC81" s="345"/>
      <c r="ED81" s="345"/>
      <c r="EE81" s="345"/>
      <c r="EF81" s="345"/>
      <c r="EG81" s="345"/>
      <c r="EH81" s="345"/>
      <c r="EI81" s="345"/>
      <c r="EJ81" s="345"/>
      <c r="EK81" s="345"/>
      <c r="EL81" s="345"/>
      <c r="EM81" s="345"/>
      <c r="EN81" s="345"/>
      <c r="EO81" s="345"/>
      <c r="EP81" s="345"/>
      <c r="EQ81" s="345"/>
      <c r="ER81" s="345"/>
      <c r="ES81" s="345"/>
      <c r="ET81" s="345"/>
      <c r="EU81" s="345"/>
      <c r="EV81" s="345"/>
      <c r="EW81" s="345"/>
      <c r="EX81" s="345"/>
      <c r="EY81" s="345"/>
      <c r="EZ81" s="345"/>
      <c r="FA81" s="345"/>
      <c r="FB81" s="345"/>
      <c r="FC81" s="345"/>
      <c r="FD81" s="345"/>
      <c r="FE81" s="345"/>
      <c r="FF81" s="345"/>
      <c r="FG81" s="345"/>
      <c r="FH81" s="345"/>
      <c r="FI81" s="345"/>
      <c r="FJ81" s="345"/>
      <c r="FK81" s="345"/>
      <c r="FL81" s="345"/>
      <c r="FM81" s="345"/>
      <c r="FN81" s="345"/>
      <c r="FO81" s="345"/>
      <c r="FP81" s="345"/>
      <c r="FQ81" s="345"/>
      <c r="FR81" s="345"/>
      <c r="FS81" s="345"/>
      <c r="FT81" s="345"/>
      <c r="FU81" s="345"/>
      <c r="FV81" s="345"/>
      <c r="FW81" s="345"/>
      <c r="FX81" s="345"/>
      <c r="FY81" s="345"/>
      <c r="FZ81" s="345"/>
      <c r="GA81" s="345"/>
      <c r="GB81" s="345"/>
      <c r="GC81" s="345"/>
      <c r="GD81" s="345"/>
      <c r="GE81" s="345"/>
      <c r="GF81" s="345"/>
      <c r="GG81" s="345"/>
      <c r="GH81" s="345"/>
      <c r="GI81" s="345"/>
      <c r="GJ81" s="345"/>
      <c r="GK81" s="345"/>
      <c r="GL81" s="345"/>
      <c r="GM81" s="345"/>
      <c r="GN81" s="345"/>
      <c r="GO81" s="345"/>
      <c r="GP81" s="345"/>
      <c r="GQ81" s="345"/>
      <c r="GR81" s="345"/>
      <c r="GS81" s="345"/>
      <c r="GT81" s="345"/>
      <c r="GU81" s="345"/>
    </row>
    <row r="82" spans="1:203" ht="12.75" customHeight="1">
      <c r="A82" s="465">
        <f t="shared" si="95"/>
        <v>2</v>
      </c>
      <c r="B82" s="1108">
        <v>72</v>
      </c>
      <c r="C82" s="1109">
        <v>1</v>
      </c>
      <c r="D82" s="398">
        <v>333.3</v>
      </c>
      <c r="E82" s="1120"/>
      <c r="F82" s="465">
        <f t="shared" si="97"/>
        <v>2</v>
      </c>
      <c r="G82" s="1108">
        <v>72</v>
      </c>
      <c r="H82" s="1109">
        <v>1</v>
      </c>
      <c r="I82" s="398">
        <v>326.8</v>
      </c>
      <c r="J82" s="1120"/>
      <c r="K82" s="465"/>
      <c r="L82" s="465"/>
      <c r="M82" s="465">
        <f t="shared" si="93"/>
        <v>2</v>
      </c>
      <c r="N82" s="1108">
        <v>72</v>
      </c>
      <c r="O82" s="1109">
        <v>1</v>
      </c>
      <c r="P82" s="398">
        <v>328.5</v>
      </c>
      <c r="Q82" s="1120"/>
      <c r="R82" s="465">
        <f t="shared" si="94"/>
        <v>2</v>
      </c>
      <c r="S82" s="1108">
        <v>72</v>
      </c>
      <c r="T82" s="1109">
        <v>-1</v>
      </c>
      <c r="U82" s="1110">
        <v>331.7</v>
      </c>
      <c r="V82" s="1120"/>
      <c r="W82" s="371"/>
      <c r="X82" s="494">
        <f t="shared" si="70"/>
        <v>333.3</v>
      </c>
      <c r="Y82" s="495" t="str">
        <f>IF('Feuilles=description générale'!$E$13="","",IF(X82="","",IF(X82&gt;('Feuilles=description générale'!$E$11+'Feuilles=description générale'!$E$10),"",100*(X82-'Feuilles=description générale'!$E$10)/('Feuilles=description générale'!$E$11))))</f>
        <v/>
      </c>
      <c r="Z82" s="495">
        <f>IF('Feuilles=description générale'!$E$13="","",IF(X82="","",IF(X82&lt;=('Feuilles=description générale'!$E$11+'Feuilles=description générale'!$E$10),"",100*(X82-'Feuilles=description générale'!$E$11-'Feuilles=description générale'!$E$10)/('Feuilles=description générale'!$E$12))))</f>
        <v>74.627764867888814</v>
      </c>
      <c r="AA82" s="1112">
        <f>IF('Feuilles=description générale'!$E$13="","",IF(X82="","",100*(X82-'Feuilles=description générale'!$E$10)/('Feuilles=description générale'!$E$13-'Feuilles=description générale'!$E$10)))</f>
        <v>80.906735751295344</v>
      </c>
      <c r="AB82" s="497">
        <f t="shared" si="71"/>
        <v>1</v>
      </c>
      <c r="AC82" s="500" t="str">
        <f t="shared" si="96"/>
        <v/>
      </c>
      <c r="AD82" s="494" t="str">
        <f t="shared" si="72"/>
        <v/>
      </c>
      <c r="AE82" s="499">
        <f t="shared" si="73"/>
        <v>0.89999999999997726</v>
      </c>
      <c r="AF82" s="371"/>
      <c r="AG82" s="494">
        <f t="shared" si="74"/>
        <v>326.8</v>
      </c>
      <c r="AH82" s="495" t="str">
        <f>IF('Feuilles=description générale'!$E$13="","",IF(AG82="","",IF(AG82&gt;('Feuilles=description générale'!$E$11+'Feuilles=description générale'!$E$10),"",100*(AG82-'Feuilles=description générale'!$E$10)/('Feuilles=description générale'!$E$11))))</f>
        <v/>
      </c>
      <c r="AI82" s="495">
        <f>IF('Feuilles=description générale'!$E$13="","",IF(AG82="","",IF(AG82&lt;=('Feuilles=description générale'!$E$11+'Feuilles=description générale'!$E$10),"",100*(AG82-'Feuilles=description générale'!$E$11-'Feuilles=description générale'!$E$10)/('Feuilles=description générale'!$E$12))))</f>
        <v>72.390050778896637</v>
      </c>
      <c r="AJ82" s="496">
        <f>IF('Feuilles=description générale'!$E$13="","",IF(AG82="","",100*(AG82-'Feuilles=description générale'!$E$10)/('Feuilles=description générale'!$E$13-'Feuilles=description générale'!$E$10)))</f>
        <v>79.222797927461144</v>
      </c>
      <c r="AK82" s="1113">
        <f t="shared" si="75"/>
        <v>1</v>
      </c>
      <c r="AL82" s="498" t="str">
        <f t="shared" si="76"/>
        <v/>
      </c>
      <c r="AM82" s="494" t="str">
        <f t="shared" si="77"/>
        <v/>
      </c>
      <c r="AN82" s="499">
        <f t="shared" si="78"/>
        <v>2.3999999999999773</v>
      </c>
      <c r="AO82" s="371"/>
      <c r="AP82" s="494">
        <f t="shared" si="79"/>
        <v>328.5</v>
      </c>
      <c r="AQ82" s="495" t="str">
        <f>IF('Feuilles=description générale'!$E$13="","",IF(AP82="","",IF(AP82&gt;('Feuilles=description générale'!$E$25+'Feuilles=description générale'!$E$24),"",100*(AP82-'Feuilles=description générale'!$E$24)/('Feuilles=description générale'!$E$25))))</f>
        <v/>
      </c>
      <c r="AR82" s="495">
        <f>IF('Feuilles=description générale'!$E$27="","",IF(AP82="","",IF(AP82&lt;=('Feuilles=description générale'!$E$25+'Feuilles=description générale'!$E$24),"",100*(AP82-'Feuilles=description générale'!$E$25-'Feuilles=description générale'!$E$24)/('Feuilles=description générale'!$E$26))))</f>
        <v>67.292817679558013</v>
      </c>
      <c r="AS82" s="496">
        <f>IF('Feuilles=description générale'!$E$27="","",IF(AP82="","",100*(AP82-'Feuilles=description générale'!$E$24)/('Feuilles=description générale'!$E$27-'Feuilles=description générale'!$E$24)))</f>
        <v>74.676118308482032</v>
      </c>
      <c r="AT82" s="497">
        <f t="shared" si="80"/>
        <v>1</v>
      </c>
      <c r="AU82" s="500" t="str">
        <f t="shared" si="81"/>
        <v/>
      </c>
      <c r="AV82" s="494" t="str">
        <f t="shared" si="82"/>
        <v/>
      </c>
      <c r="AW82" s="499">
        <f t="shared" si="83"/>
        <v>1.1999999999999886</v>
      </c>
      <c r="AX82" s="371"/>
      <c r="AY82" s="494">
        <f t="shared" si="84"/>
        <v>331.7</v>
      </c>
      <c r="AZ82" s="495" t="str">
        <f>IF('Feuilles=description générale'!$E$13="","",IF(AY82="","",IF(AY82&gt;('Feuilles=description générale'!$E$25+'Feuilles=description générale'!$E$24),"",100*(AY82-'Feuilles=description générale'!$E$24)/('Feuilles=description générale'!$E$25))))</f>
        <v/>
      </c>
      <c r="BA82" s="495">
        <f>IF('Feuilles=description générale'!$E$27="","",IF(AY82="","",IF(AY82&lt;=('Feuilles=description générale'!$E$25+'Feuilles=description générale'!$E$24),"",100*(AY82-'Feuilles=description générale'!$E$25-'Feuilles=description générale'!$E$24)/('Feuilles=description générale'!$E$26))))</f>
        <v>68.303078137332278</v>
      </c>
      <c r="BB82" s="496">
        <f>IF('Feuilles=description générale'!$E$27="","",IF(AY82="","",100*(AY82-'Feuilles=description générale'!$E$24)/('Feuilles=description générale'!$E$27-'Feuilles=description générale'!$E$24)))</f>
        <v>75.458323148374475</v>
      </c>
      <c r="BC82" s="497">
        <f t="shared" si="85"/>
        <v>2</v>
      </c>
      <c r="BD82" s="500">
        <f t="shared" si="86"/>
        <v>2</v>
      </c>
      <c r="BE82" s="494">
        <f t="shared" si="87"/>
        <v>3.6000000000000227</v>
      </c>
      <c r="BF82" s="499" t="str">
        <f t="shared" si="88"/>
        <v/>
      </c>
      <c r="BG82" s="476"/>
      <c r="BH82" s="563"/>
      <c r="BI82" s="562"/>
      <c r="BJ82" s="562"/>
      <c r="BK82" s="562"/>
      <c r="BL82" s="562"/>
      <c r="BM82" s="562"/>
      <c r="BN82" s="562"/>
      <c r="BO82" s="562"/>
      <c r="BP82" s="562"/>
      <c r="BQ82" s="562"/>
      <c r="BR82" s="562"/>
      <c r="BS82" s="562"/>
      <c r="BT82" s="562"/>
      <c r="BU82" s="568"/>
      <c r="BV82" s="1114" t="str">
        <f t="shared" si="89"/>
        <v/>
      </c>
      <c r="BW82" s="1114">
        <f t="shared" si="89"/>
        <v>0.80999999999995909</v>
      </c>
      <c r="BX82" s="1114" t="str">
        <f t="shared" si="90"/>
        <v/>
      </c>
      <c r="BY82" s="1115">
        <f t="shared" si="90"/>
        <v>5.7599999999998905</v>
      </c>
      <c r="BZ82" s="477"/>
      <c r="CA82" s="1114" t="str">
        <f t="shared" si="91"/>
        <v/>
      </c>
      <c r="CB82" s="1114">
        <f t="shared" si="91"/>
        <v>1.4399999999999726</v>
      </c>
      <c r="CC82" s="1114">
        <f t="shared" si="92"/>
        <v>12.960000000000164</v>
      </c>
      <c r="CD82" s="1115" t="str">
        <f t="shared" si="92"/>
        <v/>
      </c>
      <c r="CE82" s="568"/>
      <c r="CF82" s="563"/>
      <c r="CG82" s="562"/>
      <c r="CH82" s="562"/>
      <c r="CI82" s="562"/>
      <c r="CJ82" s="562"/>
      <c r="CK82" s="562"/>
      <c r="CL82" s="562"/>
      <c r="CM82" s="562"/>
      <c r="CN82" s="562"/>
      <c r="CO82" s="562"/>
      <c r="CP82" s="562"/>
      <c r="CQ82" s="562"/>
      <c r="CR82" s="562"/>
      <c r="CS82" s="562"/>
      <c r="CT82" s="562"/>
      <c r="CU82" s="562"/>
      <c r="CV82" s="476"/>
      <c r="CW82" s="345"/>
      <c r="CX82" s="345"/>
      <c r="CY82" s="345"/>
      <c r="CZ82" s="345"/>
      <c r="DA82" s="345"/>
      <c r="DB82" s="345"/>
      <c r="DC82" s="345"/>
      <c r="DD82" s="345"/>
      <c r="DE82" s="345"/>
      <c r="DF82" s="345"/>
      <c r="DG82" s="345"/>
      <c r="DH82" s="345"/>
      <c r="DI82" s="345"/>
      <c r="DJ82" s="345"/>
      <c r="DK82" s="345"/>
      <c r="DL82" s="345"/>
      <c r="DM82" s="345"/>
      <c r="DN82" s="345"/>
      <c r="DO82" s="345"/>
      <c r="DP82" s="345"/>
      <c r="DQ82" s="345"/>
      <c r="DR82" s="345"/>
      <c r="DS82" s="345"/>
      <c r="DT82" s="345"/>
      <c r="DU82" s="345"/>
      <c r="DV82" s="345"/>
      <c r="DW82" s="345"/>
      <c r="DX82" s="345"/>
      <c r="DY82" s="345"/>
      <c r="DZ82" s="345"/>
      <c r="EA82" s="345"/>
      <c r="EB82" s="345"/>
      <c r="EC82" s="345"/>
      <c r="ED82" s="345"/>
      <c r="EE82" s="345"/>
      <c r="EF82" s="345"/>
      <c r="EG82" s="345"/>
      <c r="EH82" s="345"/>
      <c r="EI82" s="345"/>
      <c r="EJ82" s="345"/>
      <c r="EK82" s="345"/>
      <c r="EL82" s="345"/>
      <c r="EM82" s="345"/>
      <c r="EN82" s="345"/>
      <c r="EO82" s="345"/>
      <c r="EP82" s="345"/>
      <c r="EQ82" s="345"/>
      <c r="ER82" s="345"/>
      <c r="ES82" s="345"/>
      <c r="ET82" s="345"/>
      <c r="EU82" s="345"/>
      <c r="EV82" s="345"/>
      <c r="EW82" s="345"/>
      <c r="EX82" s="345"/>
      <c r="EY82" s="345"/>
      <c r="EZ82" s="345"/>
      <c r="FA82" s="345"/>
      <c r="FB82" s="345"/>
      <c r="FC82" s="345"/>
      <c r="FD82" s="345"/>
      <c r="FE82" s="345"/>
      <c r="FF82" s="345"/>
      <c r="FG82" s="345"/>
      <c r="FH82" s="345"/>
      <c r="FI82" s="345"/>
      <c r="FJ82" s="345"/>
      <c r="FK82" s="345"/>
      <c r="FL82" s="345"/>
      <c r="FM82" s="345"/>
      <c r="FN82" s="345"/>
      <c r="FO82" s="345"/>
      <c r="FP82" s="345"/>
      <c r="FQ82" s="345"/>
      <c r="FR82" s="345"/>
      <c r="FS82" s="345"/>
      <c r="FT82" s="345"/>
      <c r="FU82" s="345"/>
      <c r="FV82" s="345"/>
      <c r="FW82" s="345"/>
      <c r="FX82" s="345"/>
      <c r="FY82" s="345"/>
      <c r="FZ82" s="345"/>
      <c r="GA82" s="345"/>
      <c r="GB82" s="345"/>
      <c r="GC82" s="345"/>
      <c r="GD82" s="345"/>
      <c r="GE82" s="345"/>
      <c r="GF82" s="345"/>
      <c r="GG82" s="345"/>
      <c r="GH82" s="345"/>
      <c r="GI82" s="345"/>
      <c r="GJ82" s="345"/>
      <c r="GK82" s="345"/>
      <c r="GL82" s="345"/>
      <c r="GM82" s="345"/>
      <c r="GN82" s="345"/>
      <c r="GO82" s="345"/>
      <c r="GP82" s="345"/>
      <c r="GQ82" s="345"/>
      <c r="GR82" s="345"/>
      <c r="GS82" s="345"/>
      <c r="GT82" s="345"/>
      <c r="GU82" s="345"/>
    </row>
    <row r="83" spans="1:203" ht="12.75" customHeight="1">
      <c r="A83" s="465">
        <f t="shared" si="95"/>
        <v>2</v>
      </c>
      <c r="B83" s="1108">
        <v>73</v>
      </c>
      <c r="C83" s="1109">
        <v>-1</v>
      </c>
      <c r="D83" s="398">
        <v>334.2</v>
      </c>
      <c r="E83" s="1120"/>
      <c r="F83" s="465">
        <f t="shared" si="97"/>
        <v>2</v>
      </c>
      <c r="G83" s="1108">
        <v>73</v>
      </c>
      <c r="H83" s="1109">
        <v>0</v>
      </c>
      <c r="I83" s="398">
        <v>329.2</v>
      </c>
      <c r="J83" s="1120"/>
      <c r="K83" s="465"/>
      <c r="L83" s="465"/>
      <c r="M83" s="465">
        <f t="shared" si="93"/>
        <v>2</v>
      </c>
      <c r="N83" s="1108">
        <v>73</v>
      </c>
      <c r="O83" s="1109">
        <v>-1</v>
      </c>
      <c r="P83" s="398">
        <v>329.7</v>
      </c>
      <c r="Q83" s="1120"/>
      <c r="R83" s="465">
        <f t="shared" si="94"/>
        <v>2</v>
      </c>
      <c r="S83" s="1108">
        <v>73</v>
      </c>
      <c r="T83" s="1109">
        <v>1</v>
      </c>
      <c r="U83" s="1110">
        <v>335.3</v>
      </c>
      <c r="V83" s="1120"/>
      <c r="W83" s="371"/>
      <c r="X83" s="494">
        <f t="shared" si="70"/>
        <v>334.2</v>
      </c>
      <c r="Y83" s="495" t="str">
        <f>IF('Feuilles=description générale'!$E$13="","",IF(X83="","",IF(X83&gt;('Feuilles=description générale'!$E$11+'Feuilles=description générale'!$E$10),"",100*(X83-'Feuilles=description générale'!$E$10)/('Feuilles=description générale'!$E$11))))</f>
        <v/>
      </c>
      <c r="Z83" s="495">
        <f>IF('Feuilles=description générale'!$E$13="","",IF(X83="","",IF(X83&lt;=('Feuilles=description générale'!$E$11+'Feuilles=description générale'!$E$10),"",100*(X83-'Feuilles=description générale'!$E$11-'Feuilles=description générale'!$E$10)/('Feuilles=description générale'!$E$12))))</f>
        <v>74.93760220328771</v>
      </c>
      <c r="AA83" s="1112">
        <f>IF('Feuilles=description générale'!$E$13="","",IF(X83="","",100*(X83-'Feuilles=description générale'!$E$10)/('Feuilles=description générale'!$E$13-'Feuilles=description générale'!$E$10)))</f>
        <v>81.139896373056999</v>
      </c>
      <c r="AB83" s="497">
        <f t="shared" si="71"/>
        <v>2</v>
      </c>
      <c r="AC83" s="500">
        <f t="shared" si="96"/>
        <v>2</v>
      </c>
      <c r="AD83" s="494">
        <f t="shared" si="72"/>
        <v>3.3000000000000114</v>
      </c>
      <c r="AE83" s="499" t="str">
        <f t="shared" si="73"/>
        <v/>
      </c>
      <c r="AF83" s="371"/>
      <c r="AG83" s="494">
        <f t="shared" si="74"/>
        <v>329.2</v>
      </c>
      <c r="AH83" s="495" t="str">
        <f>IF('Feuilles=description générale'!$E$13="","",IF(AG83="","",IF(AG83&gt;('Feuilles=description générale'!$E$11+'Feuilles=description générale'!$E$10),"",100*(AG83-'Feuilles=description générale'!$E$10)/('Feuilles=description générale'!$E$11))))</f>
        <v/>
      </c>
      <c r="AI83" s="495">
        <f>IF('Feuilles=description générale'!$E$13="","",IF(AG83="","",IF(AG83&lt;=('Feuilles=description générale'!$E$11+'Feuilles=description générale'!$E$10),"",100*(AG83-'Feuilles=description générale'!$E$11-'Feuilles=description générale'!$E$10)/('Feuilles=description générale'!$E$12))))</f>
        <v>73.216283673293731</v>
      </c>
      <c r="AJ83" s="496">
        <f>IF('Feuilles=description générale'!$E$13="","",IF(AG83="","",100*(AG83-'Feuilles=description générale'!$E$10)/('Feuilles=description générale'!$E$13-'Feuilles=description générale'!$E$10)))</f>
        <v>79.844559585492235</v>
      </c>
      <c r="AK83" s="1113">
        <f t="shared" si="75"/>
        <v>2</v>
      </c>
      <c r="AL83" s="498" t="str">
        <f t="shared" si="76"/>
        <v/>
      </c>
      <c r="AM83" s="494" t="str">
        <f t="shared" si="77"/>
        <v/>
      </c>
      <c r="AN83" s="499">
        <f t="shared" si="78"/>
        <v>1.6000000000000227</v>
      </c>
      <c r="AO83" s="371"/>
      <c r="AP83" s="494">
        <f t="shared" si="79"/>
        <v>329.7</v>
      </c>
      <c r="AQ83" s="495" t="str">
        <f>IF('Feuilles=description générale'!$E$13="","",IF(AP83="","",IF(AP83&gt;('Feuilles=description générale'!$E$25+'Feuilles=description générale'!$E$24),"",100*(AP83-'Feuilles=description générale'!$E$24)/('Feuilles=description générale'!$E$25))))</f>
        <v/>
      </c>
      <c r="AR83" s="495">
        <f>IF('Feuilles=description générale'!$E$27="","",IF(AP83="","",IF(AP83&lt;=('Feuilles=description générale'!$E$25+'Feuilles=description générale'!$E$24),"",100*(AP83-'Feuilles=description générale'!$E$25-'Feuilles=description générale'!$E$24)/('Feuilles=description générale'!$E$26))))</f>
        <v>67.671665351223368</v>
      </c>
      <c r="AS83" s="496">
        <f>IF('Feuilles=description générale'!$E$27="","",IF(AP83="","",100*(AP83-'Feuilles=description générale'!$E$24)/('Feuilles=description générale'!$E$27-'Feuilles=description générale'!$E$24)))</f>
        <v>74.969445123441702</v>
      </c>
      <c r="AT83" s="497">
        <f t="shared" si="80"/>
        <v>2</v>
      </c>
      <c r="AU83" s="500">
        <f t="shared" si="81"/>
        <v>2</v>
      </c>
      <c r="AV83" s="494">
        <f t="shared" si="82"/>
        <v>3</v>
      </c>
      <c r="AW83" s="499" t="str">
        <f t="shared" si="83"/>
        <v/>
      </c>
      <c r="AX83" s="371"/>
      <c r="AY83" s="494">
        <f t="shared" si="84"/>
        <v>335.3</v>
      </c>
      <c r="AZ83" s="495" t="str">
        <f>IF('Feuilles=description générale'!$E$13="","",IF(AY83="","",IF(AY83&gt;('Feuilles=description générale'!$E$25+'Feuilles=description générale'!$E$24),"",100*(AY83-'Feuilles=description générale'!$E$24)/('Feuilles=description générale'!$E$25))))</f>
        <v/>
      </c>
      <c r="BA83" s="495">
        <f>IF('Feuilles=description générale'!$E$27="","",IF(AY83="","",IF(AY83&lt;=('Feuilles=description générale'!$E$25+'Feuilles=description générale'!$E$24),"",100*(AY83-'Feuilles=description générale'!$E$25-'Feuilles=description générale'!$E$24)/('Feuilles=description générale'!$E$26))))</f>
        <v>69.439621152328328</v>
      </c>
      <c r="BB83" s="496">
        <f>IF('Feuilles=description générale'!$E$27="","",IF(AY83="","",100*(AY83-'Feuilles=description générale'!$E$24)/('Feuilles=description générale'!$E$27-'Feuilles=description générale'!$E$24)))</f>
        <v>76.338303593253485</v>
      </c>
      <c r="BC83" s="497">
        <f t="shared" si="85"/>
        <v>1</v>
      </c>
      <c r="BD83" s="500" t="str">
        <f t="shared" si="86"/>
        <v/>
      </c>
      <c r="BE83" s="494" t="str">
        <f t="shared" si="87"/>
        <v/>
      </c>
      <c r="BF83" s="499">
        <f t="shared" si="88"/>
        <v>1.3999999999999773</v>
      </c>
      <c r="BG83" s="476"/>
      <c r="BH83" s="563"/>
      <c r="BI83" s="562"/>
      <c r="BJ83" s="562"/>
      <c r="BK83" s="562"/>
      <c r="BL83" s="562"/>
      <c r="BM83" s="562"/>
      <c r="BN83" s="562"/>
      <c r="BO83" s="562"/>
      <c r="BP83" s="562"/>
      <c r="BQ83" s="562"/>
      <c r="BR83" s="562"/>
      <c r="BS83" s="562"/>
      <c r="BT83" s="562"/>
      <c r="BU83" s="568"/>
      <c r="BV83" s="1114">
        <f t="shared" si="89"/>
        <v>10.890000000000075</v>
      </c>
      <c r="BW83" s="1114" t="str">
        <f t="shared" si="89"/>
        <v/>
      </c>
      <c r="BX83" s="1114" t="str">
        <f t="shared" si="90"/>
        <v/>
      </c>
      <c r="BY83" s="1115">
        <f t="shared" si="90"/>
        <v>2.5600000000000729</v>
      </c>
      <c r="BZ83" s="477"/>
      <c r="CA83" s="1114">
        <f t="shared" si="91"/>
        <v>9</v>
      </c>
      <c r="CB83" s="1114" t="str">
        <f t="shared" si="91"/>
        <v/>
      </c>
      <c r="CC83" s="1114" t="str">
        <f t="shared" si="92"/>
        <v/>
      </c>
      <c r="CD83" s="1115">
        <f t="shared" si="92"/>
        <v>1.9599999999999362</v>
      </c>
      <c r="CE83" s="568"/>
      <c r="CF83" s="563"/>
      <c r="CG83" s="562"/>
      <c r="CH83" s="562"/>
      <c r="CI83" s="562"/>
      <c r="CJ83" s="562"/>
      <c r="CK83" s="562"/>
      <c r="CL83" s="562"/>
      <c r="CM83" s="562"/>
      <c r="CN83" s="562"/>
      <c r="CO83" s="562"/>
      <c r="CP83" s="562"/>
      <c r="CQ83" s="562"/>
      <c r="CR83" s="562"/>
      <c r="CS83" s="562"/>
      <c r="CT83" s="562"/>
      <c r="CU83" s="562"/>
      <c r="CV83" s="476"/>
      <c r="CW83" s="345"/>
      <c r="CX83" s="345"/>
      <c r="CY83" s="345"/>
      <c r="CZ83" s="345"/>
      <c r="DA83" s="345"/>
      <c r="DB83" s="345"/>
      <c r="DC83" s="345"/>
      <c r="DD83" s="345"/>
      <c r="DE83" s="345"/>
      <c r="DF83" s="345"/>
      <c r="DG83" s="345"/>
      <c r="DH83" s="345"/>
      <c r="DI83" s="345"/>
      <c r="DJ83" s="345"/>
      <c r="DK83" s="345"/>
      <c r="DL83" s="345"/>
      <c r="DM83" s="345"/>
      <c r="DN83" s="345"/>
      <c r="DO83" s="345"/>
      <c r="DP83" s="345"/>
      <c r="DQ83" s="345"/>
      <c r="DR83" s="345"/>
      <c r="DS83" s="345"/>
      <c r="DT83" s="345"/>
      <c r="DU83" s="345"/>
      <c r="DV83" s="345"/>
      <c r="DW83" s="345"/>
      <c r="DX83" s="345"/>
      <c r="DY83" s="345"/>
      <c r="DZ83" s="345"/>
      <c r="EA83" s="345"/>
      <c r="EB83" s="345"/>
      <c r="EC83" s="345"/>
      <c r="ED83" s="345"/>
      <c r="EE83" s="345"/>
      <c r="EF83" s="345"/>
      <c r="EG83" s="345"/>
      <c r="EH83" s="345"/>
      <c r="EI83" s="345"/>
      <c r="EJ83" s="345"/>
      <c r="EK83" s="345"/>
      <c r="EL83" s="345"/>
      <c r="EM83" s="345"/>
      <c r="EN83" s="345"/>
      <c r="EO83" s="345"/>
      <c r="EP83" s="345"/>
      <c r="EQ83" s="345"/>
      <c r="ER83" s="345"/>
      <c r="ES83" s="345"/>
      <c r="ET83" s="345"/>
      <c r="EU83" s="345"/>
      <c r="EV83" s="345"/>
      <c r="EW83" s="345"/>
      <c r="EX83" s="345"/>
      <c r="EY83" s="345"/>
      <c r="EZ83" s="345"/>
      <c r="FA83" s="345"/>
      <c r="FB83" s="345"/>
      <c r="FC83" s="345"/>
      <c r="FD83" s="345"/>
      <c r="FE83" s="345"/>
      <c r="FF83" s="345"/>
      <c r="FG83" s="345"/>
      <c r="FH83" s="345"/>
      <c r="FI83" s="345"/>
      <c r="FJ83" s="345"/>
      <c r="FK83" s="345"/>
      <c r="FL83" s="345"/>
      <c r="FM83" s="345"/>
      <c r="FN83" s="345"/>
      <c r="FO83" s="345"/>
      <c r="FP83" s="345"/>
      <c r="FQ83" s="345"/>
      <c r="FR83" s="345"/>
      <c r="FS83" s="345"/>
      <c r="FT83" s="345"/>
      <c r="FU83" s="345"/>
      <c r="FV83" s="345"/>
      <c r="FW83" s="345"/>
      <c r="FX83" s="345"/>
      <c r="FY83" s="345"/>
      <c r="FZ83" s="345"/>
      <c r="GA83" s="345"/>
      <c r="GB83" s="345"/>
      <c r="GC83" s="345"/>
      <c r="GD83" s="345"/>
      <c r="GE83" s="345"/>
      <c r="GF83" s="345"/>
      <c r="GG83" s="345"/>
      <c r="GH83" s="345"/>
      <c r="GI83" s="345"/>
      <c r="GJ83" s="345"/>
      <c r="GK83" s="345"/>
      <c r="GL83" s="345"/>
      <c r="GM83" s="345"/>
      <c r="GN83" s="345"/>
      <c r="GO83" s="345"/>
      <c r="GP83" s="345"/>
      <c r="GQ83" s="345"/>
      <c r="GR83" s="345"/>
      <c r="GS83" s="345"/>
      <c r="GT83" s="345"/>
      <c r="GU83" s="345"/>
    </row>
    <row r="84" spans="1:203" ht="12.75" customHeight="1">
      <c r="A84" s="465">
        <f t="shared" si="95"/>
        <v>2</v>
      </c>
      <c r="B84" s="1108">
        <v>74</v>
      </c>
      <c r="C84" s="1109">
        <v>0</v>
      </c>
      <c r="D84" s="398">
        <v>337.5</v>
      </c>
      <c r="E84" s="1120"/>
      <c r="F84" s="465">
        <f t="shared" si="97"/>
        <v>2</v>
      </c>
      <c r="G84" s="1108">
        <v>74</v>
      </c>
      <c r="H84" s="1109">
        <v>-1</v>
      </c>
      <c r="I84" s="398">
        <v>330.8</v>
      </c>
      <c r="J84" s="1120"/>
      <c r="K84" s="465"/>
      <c r="L84" s="465"/>
      <c r="M84" s="465">
        <f t="shared" si="93"/>
        <v>2</v>
      </c>
      <c r="N84" s="1108">
        <v>74</v>
      </c>
      <c r="O84" s="1109">
        <v>1</v>
      </c>
      <c r="P84" s="398">
        <v>332.7</v>
      </c>
      <c r="Q84" s="1120"/>
      <c r="R84" s="465">
        <f t="shared" si="94"/>
        <v>2</v>
      </c>
      <c r="S84" s="1108">
        <v>74</v>
      </c>
      <c r="T84" s="1109">
        <v>-1</v>
      </c>
      <c r="U84" s="1110">
        <v>336.7</v>
      </c>
      <c r="V84" s="1120"/>
      <c r="W84" s="371"/>
      <c r="X84" s="494">
        <f t="shared" si="70"/>
        <v>337.5</v>
      </c>
      <c r="Y84" s="495" t="str">
        <f>IF('Feuilles=description générale'!$E$13="","",IF(X84="","",IF(X84&gt;('Feuilles=description générale'!$E$11+'Feuilles=description générale'!$E$10),"",100*(X84-'Feuilles=description générale'!$E$10)/('Feuilles=description générale'!$E$11))))</f>
        <v/>
      </c>
      <c r="Z84" s="495">
        <f>IF('Feuilles=description générale'!$E$13="","",IF(X84="","",IF(X84&lt;=('Feuilles=description générale'!$E$11+'Feuilles=description générale'!$E$10),"",100*(X84-'Feuilles=description générale'!$E$11-'Feuilles=description générale'!$E$10)/('Feuilles=description générale'!$E$12))))</f>
        <v>76.073672433083743</v>
      </c>
      <c r="AA84" s="1112">
        <f>IF('Feuilles=description générale'!$E$13="","",IF(X84="","",100*(X84-'Feuilles=description générale'!$E$10)/('Feuilles=description générale'!$E$13-'Feuilles=description générale'!$E$10)))</f>
        <v>81.994818652849744</v>
      </c>
      <c r="AB84" s="497">
        <f t="shared" si="71"/>
        <v>1</v>
      </c>
      <c r="AC84" s="500">
        <f t="shared" si="96"/>
        <v>1</v>
      </c>
      <c r="AD84" s="494">
        <f t="shared" si="72"/>
        <v>4</v>
      </c>
      <c r="AE84" s="499" t="str">
        <f t="shared" si="73"/>
        <v/>
      </c>
      <c r="AF84" s="371"/>
      <c r="AG84" s="494">
        <f t="shared" si="74"/>
        <v>330.8</v>
      </c>
      <c r="AH84" s="495" t="str">
        <f>IF('Feuilles=description générale'!$E$13="","",IF(AG84="","",IF(AG84&gt;('Feuilles=description générale'!$E$11+'Feuilles=description générale'!$E$10),"",100*(AG84-'Feuilles=description générale'!$E$10)/('Feuilles=description générale'!$E$11))))</f>
        <v/>
      </c>
      <c r="AI84" s="495">
        <f>IF('Feuilles=description générale'!$E$13="","",IF(AG84="","",IF(AG84&lt;=('Feuilles=description générale'!$E$11+'Feuilles=description générale'!$E$10),"",100*(AG84-'Feuilles=description générale'!$E$11-'Feuilles=description générale'!$E$10)/('Feuilles=description générale'!$E$12))))</f>
        <v>73.767105602891817</v>
      </c>
      <c r="AJ84" s="496">
        <f>IF('Feuilles=description générale'!$E$13="","",IF(AG84="","",100*(AG84-'Feuilles=description générale'!$E$10)/('Feuilles=description générale'!$E$13-'Feuilles=description générale'!$E$10)))</f>
        <v>80.259067357512947</v>
      </c>
      <c r="AK84" s="1113">
        <f t="shared" si="75"/>
        <v>3</v>
      </c>
      <c r="AL84" s="498">
        <f t="shared" si="76"/>
        <v>3</v>
      </c>
      <c r="AM84" s="494">
        <f t="shared" si="77"/>
        <v>3.8999999999999773</v>
      </c>
      <c r="AN84" s="499" t="str">
        <f t="shared" si="78"/>
        <v/>
      </c>
      <c r="AO84" s="371"/>
      <c r="AP84" s="494">
        <f t="shared" si="79"/>
        <v>332.7</v>
      </c>
      <c r="AQ84" s="495" t="str">
        <f>IF('Feuilles=description générale'!$E$13="","",IF(AP84="","",IF(AP84&gt;('Feuilles=description générale'!$E$25+'Feuilles=description générale'!$E$24),"",100*(AP84-'Feuilles=description générale'!$E$24)/('Feuilles=description générale'!$E$25))))</f>
        <v/>
      </c>
      <c r="AR84" s="495">
        <f>IF('Feuilles=description générale'!$E$27="","",IF(AP84="","",IF(AP84&lt;=('Feuilles=description générale'!$E$25+'Feuilles=description générale'!$E$24),"",100*(AP84-'Feuilles=description générale'!$E$25-'Feuilles=description générale'!$E$24)/('Feuilles=description générale'!$E$26))))</f>
        <v>68.618784530386733</v>
      </c>
      <c r="AS84" s="496">
        <f>IF('Feuilles=description générale'!$E$27="","",IF(AP84="","",100*(AP84-'Feuilles=description générale'!$E$24)/('Feuilles=description générale'!$E$27-'Feuilles=description générale'!$E$24)))</f>
        <v>75.702762160840862</v>
      </c>
      <c r="AT84" s="497">
        <f t="shared" si="80"/>
        <v>1</v>
      </c>
      <c r="AU84" s="500" t="str">
        <f t="shared" si="81"/>
        <v/>
      </c>
      <c r="AV84" s="494" t="str">
        <f t="shared" si="82"/>
        <v/>
      </c>
      <c r="AW84" s="499">
        <f t="shared" si="83"/>
        <v>1.4000000000000341</v>
      </c>
      <c r="AX84" s="371"/>
      <c r="AY84" s="494">
        <f t="shared" si="84"/>
        <v>336.7</v>
      </c>
      <c r="AZ84" s="495" t="str">
        <f>IF('Feuilles=description générale'!$E$13="","",IF(AY84="","",IF(AY84&gt;('Feuilles=description générale'!$E$25+'Feuilles=description générale'!$E$24),"",100*(AY84-'Feuilles=description générale'!$E$24)/('Feuilles=description générale'!$E$25))))</f>
        <v/>
      </c>
      <c r="BA84" s="495">
        <f>IF('Feuilles=description générale'!$E$27="","",IF(AY84="","",IF(AY84&lt;=('Feuilles=description générale'!$E$25+'Feuilles=description générale'!$E$24),"",100*(AY84-'Feuilles=description générale'!$E$25-'Feuilles=description générale'!$E$24)/('Feuilles=description générale'!$E$26))))</f>
        <v>69.881610102604583</v>
      </c>
      <c r="BB84" s="496">
        <f>IF('Feuilles=description générale'!$E$27="","",IF(AY84="","",100*(AY84-'Feuilles=description générale'!$E$24)/('Feuilles=description générale'!$E$27-'Feuilles=description générale'!$E$24)))</f>
        <v>76.680518210706424</v>
      </c>
      <c r="BC84" s="497">
        <f t="shared" si="85"/>
        <v>2</v>
      </c>
      <c r="BD84" s="500">
        <f t="shared" si="86"/>
        <v>2</v>
      </c>
      <c r="BE84" s="494">
        <f t="shared" si="87"/>
        <v>4.1000000000000227</v>
      </c>
      <c r="BF84" s="499" t="str">
        <f t="shared" si="88"/>
        <v/>
      </c>
      <c r="BG84" s="476"/>
      <c r="BH84" s="563"/>
      <c r="BI84" s="562"/>
      <c r="BJ84" s="562"/>
      <c r="BK84" s="562"/>
      <c r="BL84" s="562"/>
      <c r="BM84" s="562"/>
      <c r="BN84" s="562"/>
      <c r="BO84" s="562"/>
      <c r="BP84" s="562"/>
      <c r="BQ84" s="562"/>
      <c r="BR84" s="562"/>
      <c r="BS84" s="562"/>
      <c r="BT84" s="562"/>
      <c r="BU84" s="568"/>
      <c r="BV84" s="1114">
        <f t="shared" si="89"/>
        <v>16</v>
      </c>
      <c r="BW84" s="1114" t="str">
        <f t="shared" si="89"/>
        <v/>
      </c>
      <c r="BX84" s="1114">
        <f t="shared" si="90"/>
        <v>15.209999999999823</v>
      </c>
      <c r="BY84" s="1115" t="str">
        <f t="shared" si="90"/>
        <v/>
      </c>
      <c r="BZ84" s="477"/>
      <c r="CA84" s="1114" t="str">
        <f t="shared" si="91"/>
        <v/>
      </c>
      <c r="CB84" s="1114">
        <f t="shared" si="91"/>
        <v>1.9600000000000954</v>
      </c>
      <c r="CC84" s="1114">
        <f t="shared" si="92"/>
        <v>16.810000000000187</v>
      </c>
      <c r="CD84" s="1115" t="str">
        <f t="shared" si="92"/>
        <v/>
      </c>
      <c r="CE84" s="568"/>
      <c r="CF84" s="563"/>
      <c r="CG84" s="562"/>
      <c r="CH84" s="562"/>
      <c r="CI84" s="562"/>
      <c r="CJ84" s="562"/>
      <c r="CK84" s="562"/>
      <c r="CL84" s="562"/>
      <c r="CM84" s="562"/>
      <c r="CN84" s="562"/>
      <c r="CO84" s="562"/>
      <c r="CP84" s="562"/>
      <c r="CQ84" s="562"/>
      <c r="CR84" s="562"/>
      <c r="CS84" s="562"/>
      <c r="CT84" s="562"/>
      <c r="CU84" s="562"/>
      <c r="CV84" s="476"/>
      <c r="CW84" s="345"/>
      <c r="CX84" s="345"/>
      <c r="CY84" s="345"/>
      <c r="CZ84" s="345"/>
      <c r="DA84" s="345"/>
      <c r="DB84" s="345"/>
      <c r="DC84" s="345"/>
      <c r="DD84" s="345"/>
      <c r="DE84" s="345"/>
      <c r="DF84" s="345"/>
      <c r="DG84" s="345"/>
      <c r="DH84" s="345"/>
      <c r="DI84" s="345"/>
      <c r="DJ84" s="345"/>
      <c r="DK84" s="345"/>
      <c r="DL84" s="345"/>
      <c r="DM84" s="345"/>
      <c r="DN84" s="345"/>
      <c r="DO84" s="345"/>
      <c r="DP84" s="345"/>
      <c r="DQ84" s="345"/>
      <c r="DR84" s="345"/>
      <c r="DS84" s="345"/>
      <c r="DT84" s="345"/>
      <c r="DU84" s="345"/>
      <c r="DV84" s="345"/>
      <c r="DW84" s="345"/>
      <c r="DX84" s="345"/>
      <c r="DY84" s="345"/>
      <c r="DZ84" s="345"/>
      <c r="EA84" s="345"/>
      <c r="EB84" s="345"/>
      <c r="EC84" s="345"/>
      <c r="ED84" s="345"/>
      <c r="EE84" s="345"/>
      <c r="EF84" s="345"/>
      <c r="EG84" s="345"/>
      <c r="EH84" s="345"/>
      <c r="EI84" s="345"/>
      <c r="EJ84" s="345"/>
      <c r="EK84" s="345"/>
      <c r="EL84" s="345"/>
      <c r="EM84" s="345"/>
      <c r="EN84" s="345"/>
      <c r="EO84" s="345"/>
      <c r="EP84" s="345"/>
      <c r="EQ84" s="345"/>
      <c r="ER84" s="345"/>
      <c r="ES84" s="345"/>
      <c r="ET84" s="345"/>
      <c r="EU84" s="345"/>
      <c r="EV84" s="345"/>
      <c r="EW84" s="345"/>
      <c r="EX84" s="345"/>
      <c r="EY84" s="345"/>
      <c r="EZ84" s="345"/>
      <c r="FA84" s="345"/>
      <c r="FB84" s="345"/>
      <c r="FC84" s="345"/>
      <c r="FD84" s="345"/>
      <c r="FE84" s="345"/>
      <c r="FF84" s="345"/>
      <c r="FG84" s="345"/>
      <c r="FH84" s="345"/>
      <c r="FI84" s="345"/>
      <c r="FJ84" s="345"/>
      <c r="FK84" s="345"/>
      <c r="FL84" s="345"/>
      <c r="FM84" s="345"/>
      <c r="FN84" s="345"/>
      <c r="FO84" s="345"/>
      <c r="FP84" s="345"/>
      <c r="FQ84" s="345"/>
      <c r="FR84" s="345"/>
      <c r="FS84" s="345"/>
      <c r="FT84" s="345"/>
      <c r="FU84" s="345"/>
      <c r="FV84" s="345"/>
      <c r="FW84" s="345"/>
      <c r="FX84" s="345"/>
      <c r="FY84" s="345"/>
      <c r="FZ84" s="345"/>
      <c r="GA84" s="345"/>
      <c r="GB84" s="345"/>
      <c r="GC84" s="345"/>
      <c r="GD84" s="345"/>
      <c r="GE84" s="345"/>
      <c r="GF84" s="345"/>
      <c r="GG84" s="345"/>
      <c r="GH84" s="345"/>
      <c r="GI84" s="345"/>
      <c r="GJ84" s="345"/>
      <c r="GK84" s="345"/>
      <c r="GL84" s="345"/>
      <c r="GM84" s="345"/>
      <c r="GN84" s="345"/>
      <c r="GO84" s="345"/>
      <c r="GP84" s="345"/>
      <c r="GQ84" s="345"/>
      <c r="GR84" s="345"/>
      <c r="GS84" s="345"/>
      <c r="GT84" s="345"/>
      <c r="GU84" s="345"/>
    </row>
    <row r="85" spans="1:203" ht="12.75" customHeight="1">
      <c r="A85" s="465">
        <f t="shared" si="95"/>
        <v>2</v>
      </c>
      <c r="B85" s="1108">
        <v>75</v>
      </c>
      <c r="C85" s="1109">
        <v>1</v>
      </c>
      <c r="D85" s="398">
        <v>341.5</v>
      </c>
      <c r="E85" s="1120"/>
      <c r="F85" s="465">
        <f t="shared" si="97"/>
        <v>2</v>
      </c>
      <c r="G85" s="1108">
        <v>75</v>
      </c>
      <c r="H85" s="1109">
        <v>1</v>
      </c>
      <c r="I85" s="398">
        <v>334.7</v>
      </c>
      <c r="J85" s="1120"/>
      <c r="K85" s="465"/>
      <c r="L85" s="465"/>
      <c r="M85" s="465">
        <f t="shared" si="93"/>
        <v>2</v>
      </c>
      <c r="N85" s="1108">
        <v>75</v>
      </c>
      <c r="O85" s="1109">
        <v>-1</v>
      </c>
      <c r="P85" s="398">
        <v>334.1</v>
      </c>
      <c r="Q85" s="1120"/>
      <c r="R85" s="465">
        <f t="shared" si="94"/>
        <v>2</v>
      </c>
      <c r="S85" s="1108">
        <v>75</v>
      </c>
      <c r="T85" s="1109">
        <v>1</v>
      </c>
      <c r="U85" s="1110">
        <v>340.8</v>
      </c>
      <c r="V85" s="1120"/>
      <c r="W85" s="371"/>
      <c r="X85" s="494">
        <f t="shared" si="70"/>
        <v>341.5</v>
      </c>
      <c r="Y85" s="495" t="str">
        <f>IF('Feuilles=description générale'!$E$13="","",IF(X85="","",IF(X85&gt;('Feuilles=description générale'!$E$11+'Feuilles=description générale'!$E$10),"",100*(X85-'Feuilles=description générale'!$E$10)/('Feuilles=description générale'!$E$11))))</f>
        <v/>
      </c>
      <c r="Z85" s="495">
        <f>IF('Feuilles=description générale'!$E$13="","",IF(X85="","",IF(X85&lt;=('Feuilles=description générale'!$E$11+'Feuilles=description générale'!$E$10),"",100*(X85-'Feuilles=description générale'!$E$11-'Feuilles=description générale'!$E$10)/('Feuilles=description générale'!$E$12))))</f>
        <v>77.450727257078924</v>
      </c>
      <c r="AA85" s="1112">
        <f>IF('Feuilles=description générale'!$E$13="","",IF(X85="","",100*(X85-'Feuilles=description générale'!$E$10)/('Feuilles=description générale'!$E$13-'Feuilles=description générale'!$E$10)))</f>
        <v>83.031088082901547</v>
      </c>
      <c r="AB85" s="497">
        <f t="shared" si="71"/>
        <v>1</v>
      </c>
      <c r="AC85" s="500" t="str">
        <f t="shared" si="96"/>
        <v/>
      </c>
      <c r="AD85" s="494" t="str">
        <f t="shared" si="72"/>
        <v/>
      </c>
      <c r="AE85" s="499">
        <f t="shared" si="73"/>
        <v>2.5</v>
      </c>
      <c r="AF85" s="371"/>
      <c r="AG85" s="494">
        <f t="shared" si="74"/>
        <v>334.7</v>
      </c>
      <c r="AH85" s="495" t="str">
        <f>IF('Feuilles=description générale'!$E$13="","",IF(AG85="","",IF(AG85&gt;('Feuilles=description générale'!$E$11+'Feuilles=description générale'!$E$10),"",100*(AG85-'Feuilles=description générale'!$E$10)/('Feuilles=description générale'!$E$11))))</f>
        <v/>
      </c>
      <c r="AI85" s="495">
        <f>IF('Feuilles=description générale'!$E$13="","",IF(AG85="","",IF(AG85&lt;=('Feuilles=description générale'!$E$11+'Feuilles=description générale'!$E$10),"",100*(AG85-'Feuilles=description générale'!$E$11-'Feuilles=description générale'!$E$10)/('Feuilles=description générale'!$E$12))))</f>
        <v>75.10973405628711</v>
      </c>
      <c r="AJ85" s="496">
        <f>IF('Feuilles=description générale'!$E$13="","",IF(AG85="","",100*(AG85-'Feuilles=description générale'!$E$10)/('Feuilles=description générale'!$E$13-'Feuilles=description générale'!$E$10)))</f>
        <v>81.269430051813472</v>
      </c>
      <c r="AK85" s="1113">
        <f t="shared" si="75"/>
        <v>1</v>
      </c>
      <c r="AL85" s="498" t="str">
        <f t="shared" si="76"/>
        <v/>
      </c>
      <c r="AM85" s="494" t="str">
        <f t="shared" si="77"/>
        <v/>
      </c>
      <c r="AN85" s="499">
        <f t="shared" si="78"/>
        <v>1.6000000000000227</v>
      </c>
      <c r="AO85" s="371"/>
      <c r="AP85" s="494">
        <f t="shared" si="79"/>
        <v>334.1</v>
      </c>
      <c r="AQ85" s="495" t="str">
        <f>IF('Feuilles=description générale'!$E$13="","",IF(AP85="","",IF(AP85&gt;('Feuilles=description générale'!$E$25+'Feuilles=description générale'!$E$24),"",100*(AP85-'Feuilles=description générale'!$E$24)/('Feuilles=description générale'!$E$25))))</f>
        <v/>
      </c>
      <c r="AR85" s="495">
        <f>IF('Feuilles=description générale'!$E$27="","",IF(AP85="","",IF(AP85&lt;=('Feuilles=description générale'!$E$25+'Feuilles=description générale'!$E$24),"",100*(AP85-'Feuilles=description générale'!$E$25-'Feuilles=description générale'!$E$24)/('Feuilles=description générale'!$E$26))))</f>
        <v>69.060773480662988</v>
      </c>
      <c r="AS85" s="496">
        <f>IF('Feuilles=description générale'!$E$27="","",IF(AP85="","",100*(AP85-'Feuilles=description générale'!$E$24)/('Feuilles=description générale'!$E$27-'Feuilles=description générale'!$E$24)))</f>
        <v>76.044976778293815</v>
      </c>
      <c r="AT85" s="497">
        <f t="shared" si="80"/>
        <v>2</v>
      </c>
      <c r="AU85" s="500">
        <f t="shared" si="81"/>
        <v>2</v>
      </c>
      <c r="AV85" s="494">
        <f t="shared" si="82"/>
        <v>4.0999999999999659</v>
      </c>
      <c r="AW85" s="499" t="str">
        <f t="shared" si="83"/>
        <v/>
      </c>
      <c r="AX85" s="371"/>
      <c r="AY85" s="494">
        <f t="shared" si="84"/>
        <v>340.8</v>
      </c>
      <c r="AZ85" s="495" t="str">
        <f>IF('Feuilles=description générale'!$E$13="","",IF(AY85="","",IF(AY85&gt;('Feuilles=description générale'!$E$25+'Feuilles=description générale'!$E$24),"",100*(AY85-'Feuilles=description générale'!$E$24)/('Feuilles=description générale'!$E$25))))</f>
        <v/>
      </c>
      <c r="BA85" s="495">
        <f>IF('Feuilles=description générale'!$E$27="","",IF(AY85="","",IF(AY85&lt;=('Feuilles=description générale'!$E$25+'Feuilles=description générale'!$E$24),"",100*(AY85-'Feuilles=description générale'!$E$25-'Feuilles=description générale'!$E$24)/('Feuilles=description générale'!$E$26))))</f>
        <v>71.176006314127861</v>
      </c>
      <c r="BB85" s="496">
        <f>IF('Feuilles=description générale'!$E$27="","",IF(AY85="","",100*(AY85-'Feuilles=description générale'!$E$24)/('Feuilles=description générale'!$E$27-'Feuilles=description générale'!$E$24)))</f>
        <v>77.682718161818627</v>
      </c>
      <c r="BC85" s="497">
        <f t="shared" si="85"/>
        <v>1</v>
      </c>
      <c r="BD85" s="500" t="str">
        <f t="shared" si="86"/>
        <v/>
      </c>
      <c r="BE85" s="494" t="str">
        <f t="shared" si="87"/>
        <v/>
      </c>
      <c r="BF85" s="499">
        <f t="shared" si="88"/>
        <v>2.1999999999999886</v>
      </c>
      <c r="BG85" s="476"/>
      <c r="BH85" s="563"/>
      <c r="BI85" s="562"/>
      <c r="BJ85" s="562"/>
      <c r="BK85" s="562"/>
      <c r="BL85" s="562"/>
      <c r="BM85" s="562"/>
      <c r="BN85" s="562"/>
      <c r="BO85" s="562"/>
      <c r="BP85" s="562"/>
      <c r="BQ85" s="562"/>
      <c r="BR85" s="562"/>
      <c r="BS85" s="562"/>
      <c r="BT85" s="562"/>
      <c r="BU85" s="568"/>
      <c r="BV85" s="1114" t="str">
        <f t="shared" si="89"/>
        <v/>
      </c>
      <c r="BW85" s="1114">
        <f t="shared" si="89"/>
        <v>6.25</v>
      </c>
      <c r="BX85" s="1114" t="str">
        <f t="shared" si="90"/>
        <v/>
      </c>
      <c r="BY85" s="1115">
        <f t="shared" si="90"/>
        <v>2.5600000000000729</v>
      </c>
      <c r="BZ85" s="477"/>
      <c r="CA85" s="1114">
        <f t="shared" si="91"/>
        <v>16.809999999999722</v>
      </c>
      <c r="CB85" s="1114" t="str">
        <f t="shared" si="91"/>
        <v/>
      </c>
      <c r="CC85" s="1114" t="str">
        <f t="shared" si="92"/>
        <v/>
      </c>
      <c r="CD85" s="1115">
        <f t="shared" si="92"/>
        <v>4.8399999999999501</v>
      </c>
      <c r="CE85" s="568"/>
      <c r="CF85" s="563"/>
      <c r="CG85" s="562"/>
      <c r="CH85" s="562"/>
      <c r="CI85" s="562"/>
      <c r="CJ85" s="562"/>
      <c r="CK85" s="562"/>
      <c r="CL85" s="562"/>
      <c r="CM85" s="562"/>
      <c r="CN85" s="562"/>
      <c r="CO85" s="562"/>
      <c r="CP85" s="562"/>
      <c r="CQ85" s="562"/>
      <c r="CR85" s="562"/>
      <c r="CS85" s="562"/>
      <c r="CT85" s="562"/>
      <c r="CU85" s="562"/>
      <c r="CV85" s="476"/>
      <c r="CW85" s="345"/>
      <c r="CX85" s="345"/>
      <c r="CY85" s="345"/>
      <c r="CZ85" s="345"/>
      <c r="DA85" s="345"/>
      <c r="DB85" s="345"/>
      <c r="DC85" s="345"/>
      <c r="DD85" s="345"/>
      <c r="DE85" s="345"/>
      <c r="DF85" s="345"/>
      <c r="DG85" s="345"/>
      <c r="DH85" s="345"/>
      <c r="DI85" s="345"/>
      <c r="DJ85" s="345"/>
      <c r="DK85" s="345"/>
      <c r="DL85" s="345"/>
      <c r="DM85" s="345"/>
      <c r="DN85" s="345"/>
      <c r="DO85" s="345"/>
      <c r="DP85" s="345"/>
      <c r="DQ85" s="345"/>
      <c r="DR85" s="345"/>
      <c r="DS85" s="345"/>
      <c r="DT85" s="345"/>
      <c r="DU85" s="345"/>
      <c r="DV85" s="345"/>
      <c r="DW85" s="345"/>
      <c r="DX85" s="345"/>
      <c r="DY85" s="345"/>
      <c r="DZ85" s="345"/>
      <c r="EA85" s="345"/>
      <c r="EB85" s="345"/>
      <c r="EC85" s="345"/>
      <c r="ED85" s="345"/>
      <c r="EE85" s="345"/>
      <c r="EF85" s="345"/>
      <c r="EG85" s="345"/>
      <c r="EH85" s="345"/>
      <c r="EI85" s="345"/>
      <c r="EJ85" s="345"/>
      <c r="EK85" s="345"/>
      <c r="EL85" s="345"/>
      <c r="EM85" s="345"/>
      <c r="EN85" s="345"/>
      <c r="EO85" s="345"/>
      <c r="EP85" s="345"/>
      <c r="EQ85" s="345"/>
      <c r="ER85" s="345"/>
      <c r="ES85" s="345"/>
      <c r="ET85" s="345"/>
      <c r="EU85" s="345"/>
      <c r="EV85" s="345"/>
      <c r="EW85" s="345"/>
      <c r="EX85" s="345"/>
      <c r="EY85" s="345"/>
      <c r="EZ85" s="345"/>
      <c r="FA85" s="345"/>
      <c r="FB85" s="345"/>
      <c r="FC85" s="345"/>
      <c r="FD85" s="345"/>
      <c r="FE85" s="345"/>
      <c r="FF85" s="345"/>
      <c r="FG85" s="345"/>
      <c r="FH85" s="345"/>
      <c r="FI85" s="345"/>
      <c r="FJ85" s="345"/>
      <c r="FK85" s="345"/>
      <c r="FL85" s="345"/>
      <c r="FM85" s="345"/>
      <c r="FN85" s="345"/>
      <c r="FO85" s="345"/>
      <c r="FP85" s="345"/>
      <c r="FQ85" s="345"/>
      <c r="FR85" s="345"/>
      <c r="FS85" s="345"/>
      <c r="FT85" s="345"/>
      <c r="FU85" s="345"/>
      <c r="FV85" s="345"/>
      <c r="FW85" s="345"/>
      <c r="FX85" s="345"/>
      <c r="FY85" s="345"/>
      <c r="FZ85" s="345"/>
      <c r="GA85" s="345"/>
      <c r="GB85" s="345"/>
      <c r="GC85" s="345"/>
      <c r="GD85" s="345"/>
      <c r="GE85" s="345"/>
      <c r="GF85" s="345"/>
      <c r="GG85" s="345"/>
      <c r="GH85" s="345"/>
      <c r="GI85" s="345"/>
      <c r="GJ85" s="345"/>
      <c r="GK85" s="345"/>
      <c r="GL85" s="345"/>
      <c r="GM85" s="345"/>
      <c r="GN85" s="345"/>
      <c r="GO85" s="345"/>
      <c r="GP85" s="345"/>
      <c r="GQ85" s="345"/>
      <c r="GR85" s="345"/>
      <c r="GS85" s="345"/>
      <c r="GT85" s="345"/>
      <c r="GU85" s="345"/>
    </row>
    <row r="86" spans="1:203" ht="12.75" customHeight="1">
      <c r="A86" s="465">
        <f t="shared" si="95"/>
        <v>2</v>
      </c>
      <c r="B86" s="1108">
        <v>76</v>
      </c>
      <c r="C86" s="1109">
        <v>0</v>
      </c>
      <c r="D86" s="398">
        <v>344</v>
      </c>
      <c r="E86" s="1120"/>
      <c r="F86" s="465">
        <f t="shared" si="97"/>
        <v>2</v>
      </c>
      <c r="G86" s="1108">
        <v>76</v>
      </c>
      <c r="H86" s="1109">
        <v>-1</v>
      </c>
      <c r="I86" s="398">
        <v>336.3</v>
      </c>
      <c r="J86" s="1120"/>
      <c r="K86" s="465"/>
      <c r="L86" s="465"/>
      <c r="M86" s="465">
        <f t="shared" si="93"/>
        <v>2</v>
      </c>
      <c r="N86" s="1108">
        <v>76</v>
      </c>
      <c r="O86" s="1109">
        <v>1</v>
      </c>
      <c r="P86" s="398">
        <v>338.2</v>
      </c>
      <c r="Q86" s="1120"/>
      <c r="R86" s="465">
        <f t="shared" si="94"/>
        <v>2</v>
      </c>
      <c r="S86" s="1108">
        <v>76</v>
      </c>
      <c r="T86" s="1109">
        <v>0</v>
      </c>
      <c r="U86" s="1110">
        <v>343</v>
      </c>
      <c r="V86" s="1120"/>
      <c r="W86" s="371"/>
      <c r="X86" s="494">
        <f t="shared" si="70"/>
        <v>344</v>
      </c>
      <c r="Y86" s="495" t="str">
        <f>IF('Feuilles=description générale'!$E$13="","",IF(X86="","",IF(X86&gt;('Feuilles=description générale'!$E$11+'Feuilles=description générale'!$E$10),"",100*(X86-'Feuilles=description générale'!$E$10)/('Feuilles=description générale'!$E$11))))</f>
        <v/>
      </c>
      <c r="Z86" s="495">
        <f>IF('Feuilles=description générale'!$E$13="","",IF(X86="","",IF(X86&lt;=('Feuilles=description générale'!$E$11+'Feuilles=description générale'!$E$10),"",100*(X86-'Feuilles=description générale'!$E$11-'Feuilles=description générale'!$E$10)/('Feuilles=description générale'!$E$12))))</f>
        <v>78.311386522075921</v>
      </c>
      <c r="AA86" s="1112">
        <f>IF('Feuilles=description générale'!$E$13="","",IF(X86="","",100*(X86-'Feuilles=description générale'!$E$10)/('Feuilles=description générale'!$E$13-'Feuilles=description générale'!$E$10)))</f>
        <v>83.678756476683944</v>
      </c>
      <c r="AB86" s="497">
        <f t="shared" si="71"/>
        <v>2</v>
      </c>
      <c r="AC86" s="500" t="str">
        <f t="shared" si="96"/>
        <v/>
      </c>
      <c r="AD86" s="494" t="str">
        <f t="shared" si="72"/>
        <v/>
      </c>
      <c r="AE86" s="499">
        <f t="shared" si="73"/>
        <v>2.1999999999999886</v>
      </c>
      <c r="AF86" s="371"/>
      <c r="AG86" s="494">
        <f t="shared" si="74"/>
        <v>336.3</v>
      </c>
      <c r="AH86" s="495" t="str">
        <f>IF('Feuilles=description générale'!$E$13="","",IF(AG86="","",IF(AG86&gt;('Feuilles=description générale'!$E$11+'Feuilles=description générale'!$E$10),"",100*(AG86-'Feuilles=description générale'!$E$10)/('Feuilles=description générale'!$E$11))))</f>
        <v/>
      </c>
      <c r="AI86" s="495">
        <f>IF('Feuilles=description générale'!$E$13="","",IF(AG86="","",IF(AG86&lt;=('Feuilles=description générale'!$E$11+'Feuilles=description générale'!$E$10),"",100*(AG86-'Feuilles=description générale'!$E$11-'Feuilles=description générale'!$E$10)/('Feuilles=description générale'!$E$12))))</f>
        <v>75.660555985885196</v>
      </c>
      <c r="AJ86" s="496">
        <f>IF('Feuilles=description générale'!$E$13="","",IF(AG86="","",100*(AG86-'Feuilles=description générale'!$E$10)/('Feuilles=description générale'!$E$13-'Feuilles=description générale'!$E$10)))</f>
        <v>81.683937823834199</v>
      </c>
      <c r="AK86" s="1113">
        <f t="shared" si="75"/>
        <v>2</v>
      </c>
      <c r="AL86" s="498">
        <f t="shared" si="76"/>
        <v>2</v>
      </c>
      <c r="AM86" s="494">
        <f t="shared" si="77"/>
        <v>4.3999999999999773</v>
      </c>
      <c r="AN86" s="499" t="str">
        <f t="shared" si="78"/>
        <v/>
      </c>
      <c r="AO86" s="371"/>
      <c r="AP86" s="494">
        <f t="shared" si="79"/>
        <v>338.2</v>
      </c>
      <c r="AQ86" s="495" t="str">
        <f>IF('Feuilles=description générale'!$E$13="","",IF(AP86="","",IF(AP86&gt;('Feuilles=description générale'!$E$25+'Feuilles=description générale'!$E$24),"",100*(AP86-'Feuilles=description générale'!$E$24)/('Feuilles=description générale'!$E$25))))</f>
        <v/>
      </c>
      <c r="AR86" s="495">
        <f>IF('Feuilles=description générale'!$E$27="","",IF(AP86="","",IF(AP86&lt;=('Feuilles=description générale'!$E$25+'Feuilles=description générale'!$E$24),"",100*(AP86-'Feuilles=description générale'!$E$25-'Feuilles=description générale'!$E$24)/('Feuilles=description générale'!$E$26))))</f>
        <v>70.355169692186266</v>
      </c>
      <c r="AS86" s="496">
        <f>IF('Feuilles=description générale'!$E$27="","",IF(AP86="","",100*(AP86-'Feuilles=description générale'!$E$24)/('Feuilles=description générale'!$E$27-'Feuilles=description générale'!$E$24)))</f>
        <v>77.047176729406004</v>
      </c>
      <c r="AT86" s="497">
        <f t="shared" si="80"/>
        <v>1</v>
      </c>
      <c r="AU86" s="500" t="str">
        <f t="shared" si="81"/>
        <v/>
      </c>
      <c r="AV86" s="494" t="str">
        <f t="shared" si="82"/>
        <v/>
      </c>
      <c r="AW86" s="499">
        <f t="shared" si="83"/>
        <v>1.6000000000000227</v>
      </c>
      <c r="AX86" s="371"/>
      <c r="AY86" s="494">
        <f t="shared" si="84"/>
        <v>343</v>
      </c>
      <c r="AZ86" s="495" t="str">
        <f>IF('Feuilles=description générale'!$E$13="","",IF(AY86="","",IF(AY86&gt;('Feuilles=description générale'!$E$25+'Feuilles=description générale'!$E$24),"",100*(AY86-'Feuilles=description générale'!$E$24)/('Feuilles=description générale'!$E$25))))</f>
        <v/>
      </c>
      <c r="BA86" s="495">
        <f>IF('Feuilles=description générale'!$E$27="","",IF(AY86="","",IF(AY86&lt;=('Feuilles=description générale'!$E$25+'Feuilles=description générale'!$E$24),"",100*(AY86-'Feuilles=description générale'!$E$25-'Feuilles=description générale'!$E$24)/('Feuilles=description générale'!$E$26))))</f>
        <v>71.870560378847671</v>
      </c>
      <c r="BB86" s="496">
        <f>IF('Feuilles=description générale'!$E$27="","",IF(AY86="","",100*(AY86-'Feuilles=description générale'!$E$24)/('Feuilles=description générale'!$E$27-'Feuilles=description générale'!$E$24)))</f>
        <v>78.220483989244684</v>
      </c>
      <c r="BC86" s="497">
        <f t="shared" si="85"/>
        <v>2</v>
      </c>
      <c r="BD86" s="500" t="str">
        <f t="shared" si="86"/>
        <v/>
      </c>
      <c r="BE86" s="494" t="str">
        <f t="shared" si="87"/>
        <v/>
      </c>
      <c r="BF86" s="499">
        <f t="shared" si="88"/>
        <v>1</v>
      </c>
      <c r="BG86" s="476"/>
      <c r="BH86" s="563"/>
      <c r="BI86" s="562"/>
      <c r="BJ86" s="562"/>
      <c r="BK86" s="562"/>
      <c r="BL86" s="562"/>
      <c r="BM86" s="562"/>
      <c r="BN86" s="562"/>
      <c r="BO86" s="562"/>
      <c r="BP86" s="562"/>
      <c r="BQ86" s="562"/>
      <c r="BR86" s="562"/>
      <c r="BS86" s="562"/>
      <c r="BT86" s="562"/>
      <c r="BU86" s="568"/>
      <c r="BV86" s="1114" t="str">
        <f t="shared" si="89"/>
        <v/>
      </c>
      <c r="BW86" s="1114">
        <f t="shared" si="89"/>
        <v>4.8399999999999501</v>
      </c>
      <c r="BX86" s="1114">
        <f t="shared" si="90"/>
        <v>19.3599999999998</v>
      </c>
      <c r="BY86" s="1115" t="str">
        <f t="shared" si="90"/>
        <v/>
      </c>
      <c r="BZ86" s="477"/>
      <c r="CA86" s="1114" t="str">
        <f t="shared" si="91"/>
        <v/>
      </c>
      <c r="CB86" s="1114">
        <f t="shared" si="91"/>
        <v>2.5600000000000729</v>
      </c>
      <c r="CC86" s="1114" t="str">
        <f t="shared" si="92"/>
        <v/>
      </c>
      <c r="CD86" s="1115">
        <f t="shared" si="92"/>
        <v>1</v>
      </c>
      <c r="CE86" s="568"/>
      <c r="CF86" s="563"/>
      <c r="CG86" s="562"/>
      <c r="CH86" s="562"/>
      <c r="CI86" s="562"/>
      <c r="CJ86" s="562"/>
      <c r="CK86" s="562"/>
      <c r="CL86" s="562"/>
      <c r="CM86" s="562"/>
      <c r="CN86" s="562"/>
      <c r="CO86" s="562"/>
      <c r="CP86" s="562"/>
      <c r="CQ86" s="562"/>
      <c r="CR86" s="562"/>
      <c r="CS86" s="562"/>
      <c r="CT86" s="562"/>
      <c r="CU86" s="562"/>
      <c r="CV86" s="476"/>
      <c r="CW86" s="345"/>
      <c r="CX86" s="345"/>
      <c r="CY86" s="345"/>
      <c r="CZ86" s="345"/>
      <c r="DA86" s="345"/>
      <c r="DB86" s="345"/>
      <c r="DC86" s="345"/>
      <c r="DD86" s="345"/>
      <c r="DE86" s="345"/>
      <c r="DF86" s="345"/>
      <c r="DG86" s="345"/>
      <c r="DH86" s="345"/>
      <c r="DI86" s="345"/>
      <c r="DJ86" s="345"/>
      <c r="DK86" s="345"/>
      <c r="DL86" s="345"/>
      <c r="DM86" s="345"/>
      <c r="DN86" s="345"/>
      <c r="DO86" s="345"/>
      <c r="DP86" s="345"/>
      <c r="DQ86" s="345"/>
      <c r="DR86" s="345"/>
      <c r="DS86" s="345"/>
      <c r="DT86" s="345"/>
      <c r="DU86" s="345"/>
      <c r="DV86" s="345"/>
      <c r="DW86" s="345"/>
      <c r="DX86" s="345"/>
      <c r="DY86" s="345"/>
      <c r="DZ86" s="345"/>
      <c r="EA86" s="345"/>
      <c r="EB86" s="345"/>
      <c r="EC86" s="345"/>
      <c r="ED86" s="345"/>
      <c r="EE86" s="345"/>
      <c r="EF86" s="345"/>
      <c r="EG86" s="345"/>
      <c r="EH86" s="345"/>
      <c r="EI86" s="345"/>
      <c r="EJ86" s="345"/>
      <c r="EK86" s="345"/>
      <c r="EL86" s="345"/>
      <c r="EM86" s="345"/>
      <c r="EN86" s="345"/>
      <c r="EO86" s="345"/>
      <c r="EP86" s="345"/>
      <c r="EQ86" s="345"/>
      <c r="ER86" s="345"/>
      <c r="ES86" s="345"/>
      <c r="ET86" s="345"/>
      <c r="EU86" s="345"/>
      <c r="EV86" s="345"/>
      <c r="EW86" s="345"/>
      <c r="EX86" s="345"/>
      <c r="EY86" s="345"/>
      <c r="EZ86" s="345"/>
      <c r="FA86" s="345"/>
      <c r="FB86" s="345"/>
      <c r="FC86" s="345"/>
      <c r="FD86" s="345"/>
      <c r="FE86" s="345"/>
      <c r="FF86" s="345"/>
      <c r="FG86" s="345"/>
      <c r="FH86" s="345"/>
      <c r="FI86" s="345"/>
      <c r="FJ86" s="345"/>
      <c r="FK86" s="345"/>
      <c r="FL86" s="345"/>
      <c r="FM86" s="345"/>
      <c r="FN86" s="345"/>
      <c r="FO86" s="345"/>
      <c r="FP86" s="345"/>
      <c r="FQ86" s="345"/>
      <c r="FR86" s="345"/>
      <c r="FS86" s="345"/>
      <c r="FT86" s="345"/>
      <c r="FU86" s="345"/>
      <c r="FV86" s="345"/>
      <c r="FW86" s="345"/>
      <c r="FX86" s="345"/>
      <c r="FY86" s="345"/>
      <c r="FZ86" s="345"/>
      <c r="GA86" s="345"/>
      <c r="GB86" s="345"/>
      <c r="GC86" s="345"/>
      <c r="GD86" s="345"/>
      <c r="GE86" s="345"/>
      <c r="GF86" s="345"/>
      <c r="GG86" s="345"/>
      <c r="GH86" s="345"/>
      <c r="GI86" s="345"/>
      <c r="GJ86" s="345"/>
      <c r="GK86" s="345"/>
      <c r="GL86" s="345"/>
      <c r="GM86" s="345"/>
      <c r="GN86" s="345"/>
      <c r="GO86" s="345"/>
      <c r="GP86" s="345"/>
      <c r="GQ86" s="345"/>
      <c r="GR86" s="345"/>
      <c r="GS86" s="345"/>
      <c r="GT86" s="345"/>
      <c r="GU86" s="345"/>
    </row>
    <row r="87" spans="1:203" ht="12.75" customHeight="1">
      <c r="A87" s="465">
        <f t="shared" si="95"/>
        <v>2</v>
      </c>
      <c r="B87" s="1108">
        <v>77</v>
      </c>
      <c r="C87" s="1109">
        <v>-1</v>
      </c>
      <c r="D87" s="398">
        <v>346.2</v>
      </c>
      <c r="E87" s="1120"/>
      <c r="F87" s="465">
        <f t="shared" si="97"/>
        <v>2</v>
      </c>
      <c r="G87" s="1108">
        <v>77</v>
      </c>
      <c r="H87" s="1109">
        <v>1</v>
      </c>
      <c r="I87" s="398">
        <v>340.7</v>
      </c>
      <c r="J87" s="1120"/>
      <c r="K87" s="465"/>
      <c r="L87" s="465"/>
      <c r="M87" s="465">
        <f t="shared" si="93"/>
        <v>2</v>
      </c>
      <c r="N87" s="1108">
        <v>77</v>
      </c>
      <c r="O87" s="1109">
        <v>0</v>
      </c>
      <c r="P87" s="398">
        <v>339.8</v>
      </c>
      <c r="Q87" s="1120"/>
      <c r="R87" s="465">
        <f t="shared" si="94"/>
        <v>2</v>
      </c>
      <c r="S87" s="1108">
        <v>77</v>
      </c>
      <c r="T87" s="1109">
        <v>-1</v>
      </c>
      <c r="U87" s="1110">
        <v>344</v>
      </c>
      <c r="V87" s="1120"/>
      <c r="W87" s="371"/>
      <c r="X87" s="494">
        <f t="shared" si="70"/>
        <v>346.2</v>
      </c>
      <c r="Y87" s="495" t="str">
        <f>IF('Feuilles=description générale'!$E$13="","",IF(X87="","",IF(X87&gt;('Feuilles=description générale'!$E$11+'Feuilles=description générale'!$E$10),"",100*(X87-'Feuilles=description générale'!$E$10)/('Feuilles=description générale'!$E$11))))</f>
        <v/>
      </c>
      <c r="Z87" s="495">
        <f>IF('Feuilles=description générale'!$E$13="","",IF(X87="","",IF(X87&lt;=('Feuilles=description générale'!$E$11+'Feuilles=description générale'!$E$10),"",100*(X87-'Feuilles=description générale'!$E$11-'Feuilles=description générale'!$E$10)/('Feuilles=description générale'!$E$12))))</f>
        <v>79.068766675273253</v>
      </c>
      <c r="AA87" s="1112">
        <f>IF('Feuilles=description générale'!$E$13="","",IF(X87="","",100*(X87-'Feuilles=description générale'!$E$10)/('Feuilles=description générale'!$E$13-'Feuilles=description générale'!$E$10)))</f>
        <v>84.248704663212436</v>
      </c>
      <c r="AB87" s="497">
        <f t="shared" si="71"/>
        <v>3</v>
      </c>
      <c r="AC87" s="500">
        <f t="shared" si="96"/>
        <v>3</v>
      </c>
      <c r="AD87" s="494">
        <f t="shared" si="72"/>
        <v>4</v>
      </c>
      <c r="AE87" s="499" t="str">
        <f t="shared" si="73"/>
        <v/>
      </c>
      <c r="AF87" s="371"/>
      <c r="AG87" s="494">
        <f t="shared" si="74"/>
        <v>340.7</v>
      </c>
      <c r="AH87" s="495" t="str">
        <f>IF('Feuilles=description générale'!$E$13="","",IF(AG87="","",IF(AG87&gt;('Feuilles=description générale'!$E$11+'Feuilles=description générale'!$E$10),"",100*(AG87-'Feuilles=description générale'!$E$10)/('Feuilles=description générale'!$E$11))))</f>
        <v/>
      </c>
      <c r="AI87" s="495">
        <f>IF('Feuilles=description générale'!$E$13="","",IF(AG87="","",IF(AG87&lt;=('Feuilles=description générale'!$E$11+'Feuilles=description générale'!$E$10),"",100*(AG87-'Feuilles=description générale'!$E$11-'Feuilles=description générale'!$E$10)/('Feuilles=description générale'!$E$12))))</f>
        <v>77.175316292279874</v>
      </c>
      <c r="AJ87" s="496">
        <f>IF('Feuilles=description générale'!$E$13="","",IF(AG87="","",100*(AG87-'Feuilles=description générale'!$E$10)/('Feuilles=description générale'!$E$13-'Feuilles=description générale'!$E$10)))</f>
        <v>82.823834196891198</v>
      </c>
      <c r="AK87" s="1113">
        <f t="shared" si="75"/>
        <v>1</v>
      </c>
      <c r="AL87" s="498" t="str">
        <f t="shared" si="76"/>
        <v/>
      </c>
      <c r="AM87" s="494" t="str">
        <f t="shared" si="77"/>
        <v/>
      </c>
      <c r="AN87" s="499">
        <f t="shared" si="78"/>
        <v>2.3000000000000114</v>
      </c>
      <c r="AO87" s="371"/>
      <c r="AP87" s="494">
        <f t="shared" si="79"/>
        <v>339.8</v>
      </c>
      <c r="AQ87" s="495" t="str">
        <f>IF('Feuilles=description générale'!$E$13="","",IF(AP87="","",IF(AP87&gt;('Feuilles=description générale'!$E$25+'Feuilles=description générale'!$E$24),"",100*(AP87-'Feuilles=description générale'!$E$24)/('Feuilles=description générale'!$E$25))))</f>
        <v/>
      </c>
      <c r="AR87" s="495">
        <f>IF('Feuilles=description générale'!$E$27="","",IF(AP87="","",IF(AP87&lt;=('Feuilles=description générale'!$E$25+'Feuilles=description générale'!$E$24),"",100*(AP87-'Feuilles=description générale'!$E$25-'Feuilles=description générale'!$E$24)/('Feuilles=description générale'!$E$26))))</f>
        <v>70.860299921073405</v>
      </c>
      <c r="AS87" s="496">
        <f>IF('Feuilles=description générale'!$E$27="","",IF(AP87="","",100*(AP87-'Feuilles=description générale'!$E$24)/('Feuilles=description générale'!$E$27-'Feuilles=description générale'!$E$24)))</f>
        <v>77.438279149352226</v>
      </c>
      <c r="AT87" s="497">
        <f t="shared" si="80"/>
        <v>2</v>
      </c>
      <c r="AU87" s="500" t="str">
        <f t="shared" si="81"/>
        <v/>
      </c>
      <c r="AV87" s="494" t="str">
        <f t="shared" si="82"/>
        <v/>
      </c>
      <c r="AW87" s="499">
        <f t="shared" si="83"/>
        <v>1</v>
      </c>
      <c r="AX87" s="371"/>
      <c r="AY87" s="494">
        <f t="shared" si="84"/>
        <v>344</v>
      </c>
      <c r="AZ87" s="495" t="str">
        <f>IF('Feuilles=description générale'!$E$13="","",IF(AY87="","",IF(AY87&gt;('Feuilles=description générale'!$E$25+'Feuilles=description générale'!$E$24),"",100*(AY87-'Feuilles=description générale'!$E$24)/('Feuilles=description générale'!$E$25))))</f>
        <v/>
      </c>
      <c r="BA87" s="495">
        <f>IF('Feuilles=description générale'!$E$27="","",IF(AY87="","",IF(AY87&lt;=('Feuilles=description générale'!$E$25+'Feuilles=description générale'!$E$24),"",100*(AY87-'Feuilles=description générale'!$E$25-'Feuilles=description générale'!$E$24)/('Feuilles=description générale'!$E$26))))</f>
        <v>72.186266771902126</v>
      </c>
      <c r="BB87" s="496">
        <f>IF('Feuilles=description générale'!$E$27="","",IF(AY87="","",100*(AY87-'Feuilles=description générale'!$E$24)/('Feuilles=description générale'!$E$27-'Feuilles=description générale'!$E$24)))</f>
        <v>78.464923001711071</v>
      </c>
      <c r="BC87" s="497">
        <f t="shared" si="85"/>
        <v>3</v>
      </c>
      <c r="BD87" s="500">
        <f t="shared" si="86"/>
        <v>3</v>
      </c>
      <c r="BE87" s="494">
        <f t="shared" si="87"/>
        <v>3.6000000000000227</v>
      </c>
      <c r="BF87" s="499" t="str">
        <f t="shared" si="88"/>
        <v/>
      </c>
      <c r="BG87" s="476"/>
      <c r="BH87" s="563"/>
      <c r="BI87" s="562"/>
      <c r="BJ87" s="562"/>
      <c r="BK87" s="562"/>
      <c r="BL87" s="562"/>
      <c r="BM87" s="562"/>
      <c r="BN87" s="562"/>
      <c r="BO87" s="562"/>
      <c r="BP87" s="562"/>
      <c r="BQ87" s="562"/>
      <c r="BR87" s="562"/>
      <c r="BS87" s="562"/>
      <c r="BT87" s="562"/>
      <c r="BU87" s="568"/>
      <c r="BV87" s="1114">
        <f t="shared" si="89"/>
        <v>16</v>
      </c>
      <c r="BW87" s="1114" t="str">
        <f t="shared" si="89"/>
        <v/>
      </c>
      <c r="BX87" s="1114" t="str">
        <f t="shared" si="90"/>
        <v/>
      </c>
      <c r="BY87" s="1115">
        <f t="shared" si="90"/>
        <v>5.2900000000000524</v>
      </c>
      <c r="BZ87" s="477"/>
      <c r="CA87" s="1114" t="str">
        <f t="shared" si="91"/>
        <v/>
      </c>
      <c r="CB87" s="1114">
        <f t="shared" si="91"/>
        <v>1</v>
      </c>
      <c r="CC87" s="1114">
        <f t="shared" si="92"/>
        <v>12.960000000000164</v>
      </c>
      <c r="CD87" s="1115" t="str">
        <f t="shared" si="92"/>
        <v/>
      </c>
      <c r="CE87" s="568"/>
      <c r="CF87" s="563"/>
      <c r="CG87" s="562"/>
      <c r="CH87" s="562"/>
      <c r="CI87" s="562"/>
      <c r="CJ87" s="562"/>
      <c r="CK87" s="562"/>
      <c r="CL87" s="562"/>
      <c r="CM87" s="562"/>
      <c r="CN87" s="562"/>
      <c r="CO87" s="562"/>
      <c r="CP87" s="562"/>
      <c r="CQ87" s="562"/>
      <c r="CR87" s="562"/>
      <c r="CS87" s="562"/>
      <c r="CT87" s="562"/>
      <c r="CU87" s="562"/>
      <c r="CV87" s="476"/>
      <c r="CW87" s="345"/>
      <c r="CX87" s="345"/>
      <c r="CY87" s="345"/>
      <c r="CZ87" s="345"/>
      <c r="DA87" s="345"/>
      <c r="DB87" s="345"/>
      <c r="DC87" s="345"/>
      <c r="DD87" s="345"/>
      <c r="DE87" s="345"/>
      <c r="DF87" s="345"/>
      <c r="DG87" s="345"/>
      <c r="DH87" s="345"/>
      <c r="DI87" s="345"/>
      <c r="DJ87" s="345"/>
      <c r="DK87" s="345"/>
      <c r="DL87" s="345"/>
      <c r="DM87" s="345"/>
      <c r="DN87" s="345"/>
      <c r="DO87" s="345"/>
      <c r="DP87" s="345"/>
      <c r="DQ87" s="345"/>
      <c r="DR87" s="345"/>
      <c r="DS87" s="345"/>
      <c r="DT87" s="345"/>
      <c r="DU87" s="345"/>
      <c r="DV87" s="345"/>
      <c r="DW87" s="345"/>
      <c r="DX87" s="345"/>
      <c r="DY87" s="345"/>
      <c r="DZ87" s="345"/>
      <c r="EA87" s="345"/>
      <c r="EB87" s="345"/>
      <c r="EC87" s="345"/>
      <c r="ED87" s="345"/>
      <c r="EE87" s="345"/>
      <c r="EF87" s="345"/>
      <c r="EG87" s="345"/>
      <c r="EH87" s="345"/>
      <c r="EI87" s="345"/>
      <c r="EJ87" s="345"/>
      <c r="EK87" s="345"/>
      <c r="EL87" s="345"/>
      <c r="EM87" s="345"/>
      <c r="EN87" s="345"/>
      <c r="EO87" s="345"/>
      <c r="EP87" s="345"/>
      <c r="EQ87" s="345"/>
      <c r="ER87" s="345"/>
      <c r="ES87" s="345"/>
      <c r="ET87" s="345"/>
      <c r="EU87" s="345"/>
      <c r="EV87" s="345"/>
      <c r="EW87" s="345"/>
      <c r="EX87" s="345"/>
      <c r="EY87" s="345"/>
      <c r="EZ87" s="345"/>
      <c r="FA87" s="345"/>
      <c r="FB87" s="345"/>
      <c r="FC87" s="345"/>
      <c r="FD87" s="345"/>
      <c r="FE87" s="345"/>
      <c r="FF87" s="345"/>
      <c r="FG87" s="345"/>
      <c r="FH87" s="345"/>
      <c r="FI87" s="345"/>
      <c r="FJ87" s="345"/>
      <c r="FK87" s="345"/>
      <c r="FL87" s="345"/>
      <c r="FM87" s="345"/>
      <c r="FN87" s="345"/>
      <c r="FO87" s="345"/>
      <c r="FP87" s="345"/>
      <c r="FQ87" s="345"/>
      <c r="FR87" s="345"/>
      <c r="FS87" s="345"/>
      <c r="FT87" s="345"/>
      <c r="FU87" s="345"/>
      <c r="FV87" s="345"/>
      <c r="FW87" s="345"/>
      <c r="FX87" s="345"/>
      <c r="FY87" s="345"/>
      <c r="FZ87" s="345"/>
      <c r="GA87" s="345"/>
      <c r="GB87" s="345"/>
      <c r="GC87" s="345"/>
      <c r="GD87" s="345"/>
      <c r="GE87" s="345"/>
      <c r="GF87" s="345"/>
      <c r="GG87" s="345"/>
      <c r="GH87" s="345"/>
      <c r="GI87" s="345"/>
      <c r="GJ87" s="345"/>
      <c r="GK87" s="345"/>
      <c r="GL87" s="345"/>
      <c r="GM87" s="345"/>
      <c r="GN87" s="345"/>
      <c r="GO87" s="345"/>
      <c r="GP87" s="345"/>
      <c r="GQ87" s="345"/>
      <c r="GR87" s="345"/>
      <c r="GS87" s="345"/>
      <c r="GT87" s="345"/>
      <c r="GU87" s="345"/>
    </row>
    <row r="88" spans="1:203" ht="12.75" customHeight="1">
      <c r="A88" s="465">
        <f t="shared" si="95"/>
        <v>2</v>
      </c>
      <c r="B88" s="1108">
        <v>78</v>
      </c>
      <c r="C88" s="1109">
        <v>1</v>
      </c>
      <c r="D88" s="398">
        <v>350.2</v>
      </c>
      <c r="E88" s="1120"/>
      <c r="F88" s="465">
        <f t="shared" si="97"/>
        <v>2</v>
      </c>
      <c r="G88" s="1108">
        <v>78</v>
      </c>
      <c r="H88" s="1109">
        <v>0</v>
      </c>
      <c r="I88" s="398">
        <v>343</v>
      </c>
      <c r="J88" s="1120"/>
      <c r="K88" s="465"/>
      <c r="L88" s="465"/>
      <c r="M88" s="465">
        <f t="shared" si="93"/>
        <v>2</v>
      </c>
      <c r="N88" s="1108">
        <v>78</v>
      </c>
      <c r="O88" s="1109">
        <v>-1</v>
      </c>
      <c r="P88" s="398">
        <v>340.8</v>
      </c>
      <c r="Q88" s="1120"/>
      <c r="R88" s="465">
        <f t="shared" si="94"/>
        <v>2</v>
      </c>
      <c r="S88" s="1108">
        <v>78</v>
      </c>
      <c r="T88" s="1109">
        <v>1</v>
      </c>
      <c r="U88" s="1110">
        <v>347.6</v>
      </c>
      <c r="V88" s="1120"/>
      <c r="W88" s="371"/>
      <c r="X88" s="494">
        <f t="shared" si="70"/>
        <v>350.2</v>
      </c>
      <c r="Y88" s="495" t="str">
        <f>IF('Feuilles=description générale'!$E$13="","",IF(X88="","",IF(X88&gt;('Feuilles=description générale'!$E$11+'Feuilles=description générale'!$E$10),"",100*(X88-'Feuilles=description générale'!$E$10)/('Feuilles=description générale'!$E$11))))</f>
        <v/>
      </c>
      <c r="Z88" s="495">
        <f>IF('Feuilles=description générale'!$E$13="","",IF(X88="","",IF(X88&lt;=('Feuilles=description générale'!$E$11+'Feuilles=description générale'!$E$10),"",100*(X88-'Feuilles=description générale'!$E$11-'Feuilles=description générale'!$E$10)/('Feuilles=description générale'!$E$12))))</f>
        <v>80.445821499268433</v>
      </c>
      <c r="AA88" s="1112">
        <f>IF('Feuilles=description générale'!$E$13="","",IF(X88="","",100*(X88-'Feuilles=description générale'!$E$10)/('Feuilles=description générale'!$E$13-'Feuilles=description générale'!$E$10)))</f>
        <v>85.284974093264253</v>
      </c>
      <c r="AB88" s="497">
        <f t="shared" si="71"/>
        <v>1</v>
      </c>
      <c r="AC88" s="500" t="str">
        <f t="shared" si="96"/>
        <v/>
      </c>
      <c r="AD88" s="494" t="str">
        <f t="shared" si="72"/>
        <v/>
      </c>
      <c r="AE88" s="499">
        <f t="shared" si="73"/>
        <v>1.6000000000000227</v>
      </c>
      <c r="AF88" s="371"/>
      <c r="AG88" s="494">
        <f t="shared" si="74"/>
        <v>343</v>
      </c>
      <c r="AH88" s="495" t="str">
        <f>IF('Feuilles=description générale'!$E$13="","",IF(AG88="","",IF(AG88&gt;('Feuilles=description générale'!$E$11+'Feuilles=description générale'!$E$10),"",100*(AG88-'Feuilles=description générale'!$E$10)/('Feuilles=description générale'!$E$11))))</f>
        <v/>
      </c>
      <c r="AI88" s="495">
        <f>IF('Feuilles=description générale'!$E$13="","",IF(AG88="","",IF(AG88&lt;=('Feuilles=description générale'!$E$11+'Feuilles=description générale'!$E$10),"",100*(AG88-'Feuilles=description générale'!$E$11-'Feuilles=description générale'!$E$10)/('Feuilles=description générale'!$E$12))))</f>
        <v>77.967122816077122</v>
      </c>
      <c r="AJ88" s="496">
        <f>IF('Feuilles=description générale'!$E$13="","",IF(AG88="","",100*(AG88-'Feuilles=description générale'!$E$10)/('Feuilles=description générale'!$E$13-'Feuilles=description générale'!$E$10)))</f>
        <v>83.419689119170982</v>
      </c>
      <c r="AK88" s="1113">
        <f t="shared" si="75"/>
        <v>2</v>
      </c>
      <c r="AL88" s="498" t="str">
        <f t="shared" si="76"/>
        <v/>
      </c>
      <c r="AM88" s="494" t="str">
        <f t="shared" si="77"/>
        <v/>
      </c>
      <c r="AN88" s="499">
        <f t="shared" si="78"/>
        <v>2.1000000000000227</v>
      </c>
      <c r="AO88" s="371"/>
      <c r="AP88" s="494">
        <f t="shared" si="79"/>
        <v>340.8</v>
      </c>
      <c r="AQ88" s="495" t="str">
        <f>IF('Feuilles=description générale'!$E$13="","",IF(AP88="","",IF(AP88&gt;('Feuilles=description générale'!$E$25+'Feuilles=description générale'!$E$24),"",100*(AP88-'Feuilles=description générale'!$E$24)/('Feuilles=description générale'!$E$25))))</f>
        <v/>
      </c>
      <c r="AR88" s="495">
        <f>IF('Feuilles=description générale'!$E$27="","",IF(AP88="","",IF(AP88&lt;=('Feuilles=description générale'!$E$25+'Feuilles=description générale'!$E$24),"",100*(AP88-'Feuilles=description générale'!$E$25-'Feuilles=description générale'!$E$24)/('Feuilles=description générale'!$E$26))))</f>
        <v>71.176006314127861</v>
      </c>
      <c r="AS88" s="496">
        <f>IF('Feuilles=description générale'!$E$27="","",IF(AP88="","",100*(AP88-'Feuilles=description générale'!$E$24)/('Feuilles=description générale'!$E$27-'Feuilles=description générale'!$E$24)))</f>
        <v>77.682718161818627</v>
      </c>
      <c r="AT88" s="497">
        <f t="shared" si="80"/>
        <v>3</v>
      </c>
      <c r="AU88" s="500">
        <f t="shared" si="81"/>
        <v>3</v>
      </c>
      <c r="AV88" s="494">
        <f t="shared" si="82"/>
        <v>3.8999999999999773</v>
      </c>
      <c r="AW88" s="499" t="str">
        <f t="shared" si="83"/>
        <v/>
      </c>
      <c r="AX88" s="371"/>
      <c r="AY88" s="494">
        <f t="shared" si="84"/>
        <v>347.6</v>
      </c>
      <c r="AZ88" s="495" t="str">
        <f>IF('Feuilles=description générale'!$E$13="","",IF(AY88="","",IF(AY88&gt;('Feuilles=description générale'!$E$25+'Feuilles=description générale'!$E$24),"",100*(AY88-'Feuilles=description générale'!$E$24)/('Feuilles=description générale'!$E$25))))</f>
        <v/>
      </c>
      <c r="BA88" s="495">
        <f>IF('Feuilles=description générale'!$E$27="","",IF(AY88="","",IF(AY88&lt;=('Feuilles=description générale'!$E$25+'Feuilles=description générale'!$E$24),"",100*(AY88-'Feuilles=description générale'!$E$25-'Feuilles=description générale'!$E$24)/('Feuilles=description générale'!$E$26))))</f>
        <v>73.322809786898191</v>
      </c>
      <c r="BB88" s="496">
        <f>IF('Feuilles=description générale'!$E$27="","",IF(AY88="","",100*(AY88-'Feuilles=description générale'!$E$24)/('Feuilles=description générale'!$E$27-'Feuilles=description générale'!$E$24)))</f>
        <v>79.344903446590081</v>
      </c>
      <c r="BC88" s="497">
        <f t="shared" si="85"/>
        <v>1</v>
      </c>
      <c r="BD88" s="500" t="str">
        <f t="shared" si="86"/>
        <v/>
      </c>
      <c r="BE88" s="494" t="str">
        <f t="shared" si="87"/>
        <v/>
      </c>
      <c r="BF88" s="499">
        <f t="shared" si="88"/>
        <v>1.7999999999999545</v>
      </c>
      <c r="BG88" s="476"/>
      <c r="BH88" s="563"/>
      <c r="BI88" s="562"/>
      <c r="BJ88" s="562"/>
      <c r="BK88" s="562"/>
      <c r="BL88" s="562"/>
      <c r="BM88" s="562"/>
      <c r="BN88" s="562"/>
      <c r="BO88" s="562"/>
      <c r="BP88" s="562"/>
      <c r="BQ88" s="562"/>
      <c r="BR88" s="562"/>
      <c r="BS88" s="562"/>
      <c r="BT88" s="562"/>
      <c r="BU88" s="568"/>
      <c r="BV88" s="1114" t="str">
        <f t="shared" si="89"/>
        <v/>
      </c>
      <c r="BW88" s="1114">
        <f t="shared" si="89"/>
        <v>2.5600000000000729</v>
      </c>
      <c r="BX88" s="1114" t="str">
        <f t="shared" si="90"/>
        <v/>
      </c>
      <c r="BY88" s="1115">
        <f t="shared" si="90"/>
        <v>4.4100000000000952</v>
      </c>
      <c r="BZ88" s="477"/>
      <c r="CA88" s="1114">
        <f t="shared" si="91"/>
        <v>15.209999999999823</v>
      </c>
      <c r="CB88" s="1114" t="str">
        <f t="shared" si="91"/>
        <v/>
      </c>
      <c r="CC88" s="1114" t="str">
        <f t="shared" si="92"/>
        <v/>
      </c>
      <c r="CD88" s="1115">
        <f t="shared" si="92"/>
        <v>3.2399999999998363</v>
      </c>
      <c r="CE88" s="568"/>
      <c r="CF88" s="563"/>
      <c r="CG88" s="562"/>
      <c r="CH88" s="562"/>
      <c r="CI88" s="562"/>
      <c r="CJ88" s="562"/>
      <c r="CK88" s="562"/>
      <c r="CL88" s="562"/>
      <c r="CM88" s="562"/>
      <c r="CN88" s="562"/>
      <c r="CO88" s="562"/>
      <c r="CP88" s="562"/>
      <c r="CQ88" s="562"/>
      <c r="CR88" s="562"/>
      <c r="CS88" s="562"/>
      <c r="CT88" s="562"/>
      <c r="CU88" s="562"/>
      <c r="CV88" s="476"/>
      <c r="CW88" s="345"/>
      <c r="CX88" s="345"/>
      <c r="CY88" s="345"/>
      <c r="CZ88" s="345"/>
      <c r="DA88" s="345"/>
      <c r="DB88" s="345"/>
      <c r="DC88" s="345"/>
      <c r="DD88" s="345"/>
      <c r="DE88" s="345"/>
      <c r="DF88" s="345"/>
      <c r="DG88" s="345"/>
      <c r="DH88" s="345"/>
      <c r="DI88" s="345"/>
      <c r="DJ88" s="345"/>
      <c r="DK88" s="345"/>
      <c r="DL88" s="345"/>
      <c r="DM88" s="345"/>
      <c r="DN88" s="345"/>
      <c r="DO88" s="345"/>
      <c r="DP88" s="345"/>
      <c r="DQ88" s="345"/>
      <c r="DR88" s="345"/>
      <c r="DS88" s="345"/>
      <c r="DT88" s="345"/>
      <c r="DU88" s="345"/>
      <c r="DV88" s="345"/>
      <c r="DW88" s="345"/>
      <c r="DX88" s="345"/>
      <c r="DY88" s="345"/>
      <c r="DZ88" s="345"/>
      <c r="EA88" s="345"/>
      <c r="EB88" s="345"/>
      <c r="EC88" s="345"/>
      <c r="ED88" s="345"/>
      <c r="EE88" s="345"/>
      <c r="EF88" s="345"/>
      <c r="EG88" s="345"/>
      <c r="EH88" s="345"/>
      <c r="EI88" s="345"/>
      <c r="EJ88" s="345"/>
      <c r="EK88" s="345"/>
      <c r="EL88" s="345"/>
      <c r="EM88" s="345"/>
      <c r="EN88" s="345"/>
      <c r="EO88" s="345"/>
      <c r="EP88" s="345"/>
      <c r="EQ88" s="345"/>
      <c r="ER88" s="345"/>
      <c r="ES88" s="345"/>
      <c r="ET88" s="345"/>
      <c r="EU88" s="345"/>
      <c r="EV88" s="345"/>
      <c r="EW88" s="345"/>
      <c r="EX88" s="345"/>
      <c r="EY88" s="345"/>
      <c r="EZ88" s="345"/>
      <c r="FA88" s="345"/>
      <c r="FB88" s="345"/>
      <c r="FC88" s="345"/>
      <c r="FD88" s="345"/>
      <c r="FE88" s="345"/>
      <c r="FF88" s="345"/>
      <c r="FG88" s="345"/>
      <c r="FH88" s="345"/>
      <c r="FI88" s="345"/>
      <c r="FJ88" s="345"/>
      <c r="FK88" s="345"/>
      <c r="FL88" s="345"/>
      <c r="FM88" s="345"/>
      <c r="FN88" s="345"/>
      <c r="FO88" s="345"/>
      <c r="FP88" s="345"/>
      <c r="FQ88" s="345"/>
      <c r="FR88" s="345"/>
      <c r="FS88" s="345"/>
      <c r="FT88" s="345"/>
      <c r="FU88" s="345"/>
      <c r="FV88" s="345"/>
      <c r="FW88" s="345"/>
      <c r="FX88" s="345"/>
      <c r="FY88" s="345"/>
      <c r="FZ88" s="345"/>
      <c r="GA88" s="345"/>
      <c r="GB88" s="345"/>
      <c r="GC88" s="345"/>
      <c r="GD88" s="345"/>
      <c r="GE88" s="345"/>
      <c r="GF88" s="345"/>
      <c r="GG88" s="345"/>
      <c r="GH88" s="345"/>
      <c r="GI88" s="345"/>
      <c r="GJ88" s="345"/>
      <c r="GK88" s="345"/>
      <c r="GL88" s="345"/>
      <c r="GM88" s="345"/>
      <c r="GN88" s="345"/>
      <c r="GO88" s="345"/>
      <c r="GP88" s="345"/>
      <c r="GQ88" s="345"/>
      <c r="GR88" s="345"/>
      <c r="GS88" s="345"/>
      <c r="GT88" s="345"/>
      <c r="GU88" s="345"/>
    </row>
    <row r="89" spans="1:203" ht="12.75" customHeight="1">
      <c r="A89" s="465">
        <f t="shared" si="95"/>
        <v>2</v>
      </c>
      <c r="B89" s="1108">
        <v>79</v>
      </c>
      <c r="C89" s="1109">
        <v>-1</v>
      </c>
      <c r="D89" s="398">
        <v>351.8</v>
      </c>
      <c r="E89" s="1120"/>
      <c r="F89" s="465">
        <f t="shared" si="97"/>
        <v>2</v>
      </c>
      <c r="G89" s="1108">
        <v>79</v>
      </c>
      <c r="H89" s="1109">
        <v>-1</v>
      </c>
      <c r="I89" s="398">
        <v>345.1</v>
      </c>
      <c r="J89" s="1120"/>
      <c r="K89" s="465"/>
      <c r="L89" s="465"/>
      <c r="M89" s="465">
        <f t="shared" si="93"/>
        <v>2</v>
      </c>
      <c r="N89" s="1108">
        <v>79</v>
      </c>
      <c r="O89" s="1109">
        <v>1</v>
      </c>
      <c r="P89" s="398">
        <v>344.7</v>
      </c>
      <c r="Q89" s="1120"/>
      <c r="R89" s="465">
        <f t="shared" si="94"/>
        <v>2</v>
      </c>
      <c r="S89" s="1108">
        <v>79</v>
      </c>
      <c r="T89" s="1109">
        <v>-1</v>
      </c>
      <c r="U89" s="1110">
        <v>349.4</v>
      </c>
      <c r="V89" s="1120"/>
      <c r="W89" s="371"/>
      <c r="X89" s="494">
        <f t="shared" si="70"/>
        <v>351.8</v>
      </c>
      <c r="Y89" s="495" t="str">
        <f>IF('Feuilles=description générale'!$E$13="","",IF(X89="","",IF(X89&gt;('Feuilles=description générale'!$E$11+'Feuilles=description générale'!$E$10),"",100*(X89-'Feuilles=description générale'!$E$10)/('Feuilles=description générale'!$E$11))))</f>
        <v/>
      </c>
      <c r="Z89" s="495">
        <f>IF('Feuilles=description générale'!$E$13="","",IF(X89="","",IF(X89&lt;=('Feuilles=description générale'!$E$11+'Feuilles=description générale'!$E$10),"",100*(X89-'Feuilles=description générale'!$E$11-'Feuilles=description générale'!$E$10)/('Feuilles=description générale'!$E$12))))</f>
        <v>80.99664342886652</v>
      </c>
      <c r="AA89" s="1112">
        <f>IF('Feuilles=description générale'!$E$13="","",IF(X89="","",100*(X89-'Feuilles=description générale'!$E$10)/('Feuilles=description générale'!$E$13-'Feuilles=description générale'!$E$10)))</f>
        <v>85.69948186528498</v>
      </c>
      <c r="AB89" s="497">
        <f t="shared" si="71"/>
        <v>2</v>
      </c>
      <c r="AC89" s="500">
        <f t="shared" si="96"/>
        <v>2</v>
      </c>
      <c r="AD89" s="494">
        <f t="shared" si="72"/>
        <v>4</v>
      </c>
      <c r="AE89" s="499" t="str">
        <f t="shared" si="73"/>
        <v/>
      </c>
      <c r="AF89" s="371"/>
      <c r="AG89" s="494">
        <f t="shared" si="74"/>
        <v>345.1</v>
      </c>
      <c r="AH89" s="495" t="str">
        <f>IF('Feuilles=description générale'!$E$13="","",IF(AG89="","",IF(AG89&gt;('Feuilles=description générale'!$E$11+'Feuilles=description générale'!$E$10),"",100*(AG89-'Feuilles=description générale'!$E$10)/('Feuilles=description générale'!$E$11))))</f>
        <v/>
      </c>
      <c r="AI89" s="495">
        <f>IF('Feuilles=description générale'!$E$13="","",IF(AG89="","",IF(AG89&lt;=('Feuilles=description générale'!$E$11+'Feuilles=description générale'!$E$10),"",100*(AG89-'Feuilles=description générale'!$E$11-'Feuilles=description générale'!$E$10)/('Feuilles=description générale'!$E$12))))</f>
        <v>78.690076598674594</v>
      </c>
      <c r="AJ89" s="496">
        <f>IF('Feuilles=description générale'!$E$13="","",IF(AG89="","",100*(AG89-'Feuilles=description générale'!$E$10)/('Feuilles=description générale'!$E$13-'Feuilles=description générale'!$E$10)))</f>
        <v>83.963730569948197</v>
      </c>
      <c r="AK89" s="1113">
        <f t="shared" si="75"/>
        <v>3</v>
      </c>
      <c r="AL89" s="498">
        <f t="shared" si="76"/>
        <v>3</v>
      </c>
      <c r="AM89" s="494">
        <f t="shared" si="77"/>
        <v>5.6999999999999886</v>
      </c>
      <c r="AN89" s="499" t="str">
        <f t="shared" si="78"/>
        <v/>
      </c>
      <c r="AO89" s="371"/>
      <c r="AP89" s="494">
        <f t="shared" si="79"/>
        <v>344.7</v>
      </c>
      <c r="AQ89" s="495" t="str">
        <f>IF('Feuilles=description générale'!$E$13="","",IF(AP89="","",IF(AP89&gt;('Feuilles=description générale'!$E$25+'Feuilles=description générale'!$E$24),"",100*(AP89-'Feuilles=description générale'!$E$24)/('Feuilles=description générale'!$E$25))))</f>
        <v/>
      </c>
      <c r="AR89" s="495">
        <f>IF('Feuilles=description générale'!$E$27="","",IF(AP89="","",IF(AP89&lt;=('Feuilles=description générale'!$E$25+'Feuilles=description générale'!$E$24),"",100*(AP89-'Feuilles=description générale'!$E$25-'Feuilles=description générale'!$E$24)/('Feuilles=description générale'!$E$26))))</f>
        <v>72.407261247040253</v>
      </c>
      <c r="AS89" s="496">
        <f>IF('Feuilles=description générale'!$E$27="","",IF(AP89="","",100*(AP89-'Feuilles=description générale'!$E$24)/('Feuilles=description générale'!$E$27-'Feuilles=description générale'!$E$24)))</f>
        <v>78.636030310437548</v>
      </c>
      <c r="AT89" s="497">
        <f t="shared" si="80"/>
        <v>1</v>
      </c>
      <c r="AU89" s="500" t="str">
        <f t="shared" si="81"/>
        <v/>
      </c>
      <c r="AV89" s="494" t="str">
        <f t="shared" si="82"/>
        <v/>
      </c>
      <c r="AW89" s="499">
        <f t="shared" si="83"/>
        <v>1.4000000000000341</v>
      </c>
      <c r="AX89" s="371"/>
      <c r="AY89" s="494">
        <f t="shared" si="84"/>
        <v>349.4</v>
      </c>
      <c r="AZ89" s="495" t="str">
        <f>IF('Feuilles=description générale'!$E$13="","",IF(AY89="","",IF(AY89&gt;('Feuilles=description générale'!$E$25+'Feuilles=description générale'!$E$24),"",100*(AY89-'Feuilles=description générale'!$E$24)/('Feuilles=description générale'!$E$25))))</f>
        <v/>
      </c>
      <c r="BA89" s="495">
        <f>IF('Feuilles=description générale'!$E$27="","",IF(AY89="","",IF(AY89&lt;=('Feuilles=description générale'!$E$25+'Feuilles=description générale'!$E$24),"",100*(AY89-'Feuilles=description générale'!$E$25-'Feuilles=description générale'!$E$24)/('Feuilles=description générale'!$E$26))))</f>
        <v>73.891081294396201</v>
      </c>
      <c r="BB89" s="496">
        <f>IF('Feuilles=description générale'!$E$27="","",IF(AY89="","",100*(AY89-'Feuilles=description générale'!$E$24)/('Feuilles=description générale'!$E$27-'Feuilles=description générale'!$E$24)))</f>
        <v>79.784893669029557</v>
      </c>
      <c r="BC89" s="497">
        <f t="shared" si="85"/>
        <v>2</v>
      </c>
      <c r="BD89" s="500">
        <f t="shared" si="86"/>
        <v>2</v>
      </c>
      <c r="BE89" s="494">
        <f t="shared" si="87"/>
        <v>3.5</v>
      </c>
      <c r="BF89" s="499" t="str">
        <f t="shared" si="88"/>
        <v/>
      </c>
      <c r="BG89" s="476"/>
      <c r="BH89" s="563"/>
      <c r="BI89" s="562"/>
      <c r="BJ89" s="562"/>
      <c r="BK89" s="562"/>
      <c r="BL89" s="562"/>
      <c r="BM89" s="562"/>
      <c r="BN89" s="562"/>
      <c r="BO89" s="562"/>
      <c r="BP89" s="562"/>
      <c r="BQ89" s="562"/>
      <c r="BR89" s="562"/>
      <c r="BS89" s="562"/>
      <c r="BT89" s="562"/>
      <c r="BU89" s="568"/>
      <c r="BV89" s="1114">
        <f t="shared" si="89"/>
        <v>16</v>
      </c>
      <c r="BW89" s="1114" t="str">
        <f t="shared" si="89"/>
        <v/>
      </c>
      <c r="BX89" s="1114">
        <f t="shared" si="90"/>
        <v>32.489999999999867</v>
      </c>
      <c r="BY89" s="1115" t="str">
        <f t="shared" si="90"/>
        <v/>
      </c>
      <c r="BZ89" s="477"/>
      <c r="CA89" s="1114" t="str">
        <f t="shared" si="91"/>
        <v/>
      </c>
      <c r="CB89" s="1114">
        <f t="shared" si="91"/>
        <v>1.9600000000000954</v>
      </c>
      <c r="CC89" s="1114">
        <f t="shared" si="92"/>
        <v>12.25</v>
      </c>
      <c r="CD89" s="1115" t="str">
        <f t="shared" si="92"/>
        <v/>
      </c>
      <c r="CE89" s="568"/>
      <c r="CF89" s="563"/>
      <c r="CG89" s="562"/>
      <c r="CH89" s="562"/>
      <c r="CI89" s="562"/>
      <c r="CJ89" s="562"/>
      <c r="CK89" s="562"/>
      <c r="CL89" s="562"/>
      <c r="CM89" s="562"/>
      <c r="CN89" s="562"/>
      <c r="CO89" s="562"/>
      <c r="CP89" s="562"/>
      <c r="CQ89" s="562"/>
      <c r="CR89" s="562"/>
      <c r="CS89" s="562"/>
      <c r="CT89" s="562"/>
      <c r="CU89" s="562"/>
      <c r="CV89" s="476"/>
      <c r="CW89" s="345"/>
      <c r="CX89" s="345"/>
      <c r="CY89" s="345"/>
      <c r="CZ89" s="345"/>
      <c r="DA89" s="345"/>
      <c r="DB89" s="345"/>
      <c r="DC89" s="345"/>
      <c r="DD89" s="345"/>
      <c r="DE89" s="345"/>
      <c r="DF89" s="345"/>
      <c r="DG89" s="345"/>
      <c r="DH89" s="345"/>
      <c r="DI89" s="345"/>
      <c r="DJ89" s="345"/>
      <c r="DK89" s="345"/>
      <c r="DL89" s="345"/>
      <c r="DM89" s="345"/>
      <c r="DN89" s="345"/>
      <c r="DO89" s="345"/>
      <c r="DP89" s="345"/>
      <c r="DQ89" s="345"/>
      <c r="DR89" s="345"/>
      <c r="DS89" s="345"/>
      <c r="DT89" s="345"/>
      <c r="DU89" s="345"/>
      <c r="DV89" s="345"/>
      <c r="DW89" s="345"/>
      <c r="DX89" s="345"/>
      <c r="DY89" s="345"/>
      <c r="DZ89" s="345"/>
      <c r="EA89" s="345"/>
      <c r="EB89" s="345"/>
      <c r="EC89" s="345"/>
      <c r="ED89" s="345"/>
      <c r="EE89" s="345"/>
      <c r="EF89" s="345"/>
      <c r="EG89" s="345"/>
      <c r="EH89" s="345"/>
      <c r="EI89" s="345"/>
      <c r="EJ89" s="345"/>
      <c r="EK89" s="345"/>
      <c r="EL89" s="345"/>
      <c r="EM89" s="345"/>
      <c r="EN89" s="345"/>
      <c r="EO89" s="345"/>
      <c r="EP89" s="345"/>
      <c r="EQ89" s="345"/>
      <c r="ER89" s="345"/>
      <c r="ES89" s="345"/>
      <c r="ET89" s="345"/>
      <c r="EU89" s="345"/>
      <c r="EV89" s="345"/>
      <c r="EW89" s="345"/>
      <c r="EX89" s="345"/>
      <c r="EY89" s="345"/>
      <c r="EZ89" s="345"/>
      <c r="FA89" s="345"/>
      <c r="FB89" s="345"/>
      <c r="FC89" s="345"/>
      <c r="FD89" s="345"/>
      <c r="FE89" s="345"/>
      <c r="FF89" s="345"/>
      <c r="FG89" s="345"/>
      <c r="FH89" s="345"/>
      <c r="FI89" s="345"/>
      <c r="FJ89" s="345"/>
      <c r="FK89" s="345"/>
      <c r="FL89" s="345"/>
      <c r="FM89" s="345"/>
      <c r="FN89" s="345"/>
      <c r="FO89" s="345"/>
      <c r="FP89" s="345"/>
      <c r="FQ89" s="345"/>
      <c r="FR89" s="345"/>
      <c r="FS89" s="345"/>
      <c r="FT89" s="345"/>
      <c r="FU89" s="345"/>
      <c r="FV89" s="345"/>
      <c r="FW89" s="345"/>
      <c r="FX89" s="345"/>
      <c r="FY89" s="345"/>
      <c r="FZ89" s="345"/>
      <c r="GA89" s="345"/>
      <c r="GB89" s="345"/>
      <c r="GC89" s="345"/>
      <c r="GD89" s="345"/>
      <c r="GE89" s="345"/>
      <c r="GF89" s="345"/>
      <c r="GG89" s="345"/>
      <c r="GH89" s="345"/>
      <c r="GI89" s="345"/>
      <c r="GJ89" s="345"/>
      <c r="GK89" s="345"/>
      <c r="GL89" s="345"/>
      <c r="GM89" s="345"/>
      <c r="GN89" s="345"/>
      <c r="GO89" s="345"/>
      <c r="GP89" s="345"/>
      <c r="GQ89" s="345"/>
      <c r="GR89" s="345"/>
      <c r="GS89" s="345"/>
      <c r="GT89" s="345"/>
      <c r="GU89" s="345"/>
    </row>
    <row r="90" spans="1:203" ht="12.75" customHeight="1">
      <c r="A90" s="465">
        <f t="shared" si="95"/>
        <v>2</v>
      </c>
      <c r="B90" s="1108">
        <v>80</v>
      </c>
      <c r="C90" s="1109">
        <v>1</v>
      </c>
      <c r="D90" s="398">
        <v>355.8</v>
      </c>
      <c r="E90" s="1120"/>
      <c r="F90" s="465">
        <f t="shared" si="97"/>
        <v>2</v>
      </c>
      <c r="G90" s="1108">
        <v>80</v>
      </c>
      <c r="H90" s="1109">
        <v>1</v>
      </c>
      <c r="I90" s="398">
        <v>350.8</v>
      </c>
      <c r="J90" s="1120"/>
      <c r="K90" s="465"/>
      <c r="L90" s="465"/>
      <c r="M90" s="465">
        <f t="shared" si="93"/>
        <v>2</v>
      </c>
      <c r="N90" s="1108">
        <v>80</v>
      </c>
      <c r="O90" s="1109">
        <v>-1</v>
      </c>
      <c r="P90" s="398">
        <v>346.1</v>
      </c>
      <c r="Q90" s="1120"/>
      <c r="R90" s="465">
        <f t="shared" si="94"/>
        <v>2</v>
      </c>
      <c r="S90" s="1108">
        <v>80</v>
      </c>
      <c r="T90" s="1109">
        <v>1</v>
      </c>
      <c r="U90" s="1110">
        <v>352.9</v>
      </c>
      <c r="V90" s="1120"/>
      <c r="W90" s="371"/>
      <c r="X90" s="494">
        <f t="shared" si="70"/>
        <v>355.8</v>
      </c>
      <c r="Y90" s="495" t="str">
        <f>IF('Feuilles=description générale'!$E$13="","",IF(X90="","",IF(X90&gt;('Feuilles=description générale'!$E$11+'Feuilles=description générale'!$E$10),"",100*(X90-'Feuilles=description générale'!$E$10)/('Feuilles=description générale'!$E$11))))</f>
        <v/>
      </c>
      <c r="Z90" s="495">
        <f>IF('Feuilles=description générale'!$E$13="","",IF(X90="","",IF(X90&lt;=('Feuilles=description générale'!$E$11+'Feuilles=description générale'!$E$10),"",100*(X90-'Feuilles=description générale'!$E$11-'Feuilles=description générale'!$E$10)/('Feuilles=description générale'!$E$12))))</f>
        <v>82.373698252861701</v>
      </c>
      <c r="AA90" s="1112">
        <f>IF('Feuilles=description générale'!$E$13="","",IF(X90="","",100*(X90-'Feuilles=description générale'!$E$10)/('Feuilles=description générale'!$E$13-'Feuilles=description générale'!$E$10)))</f>
        <v>86.735751295336783</v>
      </c>
      <c r="AB90" s="497">
        <f t="shared" si="71"/>
        <v>1</v>
      </c>
      <c r="AC90" s="500" t="str">
        <f t="shared" si="96"/>
        <v/>
      </c>
      <c r="AD90" s="494" t="str">
        <f t="shared" si="72"/>
        <v/>
      </c>
      <c r="AE90" s="499">
        <f t="shared" si="73"/>
        <v>3.1999999999999886</v>
      </c>
      <c r="AF90" s="371"/>
      <c r="AG90" s="494">
        <f t="shared" si="74"/>
        <v>350.8</v>
      </c>
      <c r="AH90" s="495" t="str">
        <f>IF('Feuilles=description générale'!$E$13="","",IF(AG90="","",IF(AG90&gt;('Feuilles=description générale'!$E$11+'Feuilles=description générale'!$E$10),"",100*(AG90-'Feuilles=description générale'!$E$10)/('Feuilles=description générale'!$E$11))))</f>
        <v/>
      </c>
      <c r="AI90" s="495">
        <f>IF('Feuilles=description générale'!$E$13="","",IF(AG90="","",IF(AG90&lt;=('Feuilles=description générale'!$E$11+'Feuilles=description générale'!$E$10),"",100*(AG90-'Feuilles=description générale'!$E$11-'Feuilles=description générale'!$E$10)/('Feuilles=description générale'!$E$12))))</f>
        <v>80.652379722867721</v>
      </c>
      <c r="AJ90" s="496">
        <f>IF('Feuilles=description générale'!$E$13="","",IF(AG90="","",100*(AG90-'Feuilles=description générale'!$E$10)/('Feuilles=description générale'!$E$13-'Feuilles=description générale'!$E$10)))</f>
        <v>85.440414507772019</v>
      </c>
      <c r="AK90" s="1113">
        <f t="shared" si="75"/>
        <v>1</v>
      </c>
      <c r="AL90" s="498" t="str">
        <f t="shared" si="76"/>
        <v/>
      </c>
      <c r="AM90" s="494" t="str">
        <f t="shared" si="77"/>
        <v/>
      </c>
      <c r="AN90" s="499">
        <f t="shared" si="78"/>
        <v>1.3000000000000114</v>
      </c>
      <c r="AO90" s="371"/>
      <c r="AP90" s="494">
        <f t="shared" si="79"/>
        <v>346.1</v>
      </c>
      <c r="AQ90" s="495" t="str">
        <f>IF('Feuilles=description générale'!$E$13="","",IF(AP90="","",IF(AP90&gt;('Feuilles=description générale'!$E$25+'Feuilles=description générale'!$E$24),"",100*(AP90-'Feuilles=description générale'!$E$24)/('Feuilles=description générale'!$E$25))))</f>
        <v/>
      </c>
      <c r="AR90" s="495">
        <f>IF('Feuilles=description générale'!$E$27="","",IF(AP90="","",IF(AP90&lt;=('Feuilles=description générale'!$E$25+'Feuilles=description générale'!$E$24),"",100*(AP90-'Feuilles=description générale'!$E$25-'Feuilles=description générale'!$E$24)/('Feuilles=description générale'!$E$26))))</f>
        <v>72.849250197316508</v>
      </c>
      <c r="AS90" s="496">
        <f>IF('Feuilles=description générale'!$E$27="","",IF(AP90="","",100*(AP90-'Feuilles=description générale'!$E$24)/('Feuilles=description générale'!$E$27-'Feuilles=description générale'!$E$24)))</f>
        <v>78.978244927890501</v>
      </c>
      <c r="AT90" s="497">
        <f t="shared" si="80"/>
        <v>2</v>
      </c>
      <c r="AU90" s="500">
        <f t="shared" si="81"/>
        <v>2</v>
      </c>
      <c r="AV90" s="494">
        <f t="shared" si="82"/>
        <v>3.0999999999999659</v>
      </c>
      <c r="AW90" s="499" t="str">
        <f t="shared" si="83"/>
        <v/>
      </c>
      <c r="AX90" s="371"/>
      <c r="AY90" s="494">
        <f t="shared" si="84"/>
        <v>352.9</v>
      </c>
      <c r="AZ90" s="495" t="str">
        <f>IF('Feuilles=description générale'!$E$13="","",IF(AY90="","",IF(AY90&gt;('Feuilles=description générale'!$E$25+'Feuilles=description générale'!$E$24),"",100*(AY90-'Feuilles=description générale'!$E$24)/('Feuilles=description générale'!$E$25))))</f>
        <v/>
      </c>
      <c r="BA90" s="495">
        <f>IF('Feuilles=description générale'!$E$27="","",IF(AY90="","",IF(AY90&lt;=('Feuilles=description générale'!$E$25+'Feuilles=description générale'!$E$24),"",100*(AY90-'Feuilles=description générale'!$E$25-'Feuilles=description générale'!$E$24)/('Feuilles=description générale'!$E$26))))</f>
        <v>74.996053670086809</v>
      </c>
      <c r="BB90" s="496">
        <f>IF('Feuilles=description générale'!$E$27="","",IF(AY90="","",100*(AY90-'Feuilles=description générale'!$E$24)/('Feuilles=description générale'!$E$27-'Feuilles=description générale'!$E$24)))</f>
        <v>80.64043021266194</v>
      </c>
      <c r="BC90" s="497">
        <f t="shared" si="85"/>
        <v>1</v>
      </c>
      <c r="BD90" s="500" t="str">
        <f t="shared" si="86"/>
        <v/>
      </c>
      <c r="BE90" s="494" t="str">
        <f t="shared" si="87"/>
        <v/>
      </c>
      <c r="BF90" s="499">
        <f t="shared" si="88"/>
        <v>2.7000000000000455</v>
      </c>
      <c r="BG90" s="476"/>
      <c r="BH90" s="563"/>
      <c r="BI90" s="562"/>
      <c r="BJ90" s="562"/>
      <c r="BK90" s="562"/>
      <c r="BL90" s="562"/>
      <c r="BM90" s="562"/>
      <c r="BN90" s="562"/>
      <c r="BO90" s="562"/>
      <c r="BP90" s="562"/>
      <c r="BQ90" s="562"/>
      <c r="BR90" s="562"/>
      <c r="BS90" s="562"/>
      <c r="BT90" s="562"/>
      <c r="BU90" s="568"/>
      <c r="BV90" s="1114" t="str">
        <f t="shared" si="89"/>
        <v/>
      </c>
      <c r="BW90" s="1114">
        <f t="shared" si="89"/>
        <v>10.239999999999927</v>
      </c>
      <c r="BX90" s="1114" t="str">
        <f t="shared" si="90"/>
        <v/>
      </c>
      <c r="BY90" s="1115">
        <f t="shared" si="90"/>
        <v>1.6900000000000295</v>
      </c>
      <c r="BZ90" s="477"/>
      <c r="CA90" s="1114">
        <f t="shared" si="91"/>
        <v>9.609999999999788</v>
      </c>
      <c r="CB90" s="1114" t="str">
        <f t="shared" si="91"/>
        <v/>
      </c>
      <c r="CC90" s="1114" t="str">
        <f t="shared" si="92"/>
        <v/>
      </c>
      <c r="CD90" s="1115">
        <f t="shared" si="92"/>
        <v>7.2900000000002452</v>
      </c>
      <c r="CE90" s="568"/>
      <c r="CF90" s="563"/>
      <c r="CG90" s="562"/>
      <c r="CH90" s="562"/>
      <c r="CI90" s="562"/>
      <c r="CJ90" s="562"/>
      <c r="CK90" s="562"/>
      <c r="CL90" s="562"/>
      <c r="CM90" s="562"/>
      <c r="CN90" s="562"/>
      <c r="CO90" s="562"/>
      <c r="CP90" s="562"/>
      <c r="CQ90" s="562"/>
      <c r="CR90" s="562"/>
      <c r="CS90" s="562"/>
      <c r="CT90" s="562"/>
      <c r="CU90" s="562"/>
      <c r="CV90" s="476"/>
      <c r="CW90" s="345"/>
      <c r="CX90" s="345"/>
      <c r="CY90" s="345"/>
      <c r="CZ90" s="345"/>
      <c r="DA90" s="345"/>
      <c r="DB90" s="345"/>
      <c r="DC90" s="345"/>
      <c r="DD90" s="345"/>
      <c r="DE90" s="345"/>
      <c r="DF90" s="345"/>
      <c r="DG90" s="345"/>
      <c r="DH90" s="345"/>
      <c r="DI90" s="345"/>
      <c r="DJ90" s="345"/>
      <c r="DK90" s="345"/>
      <c r="DL90" s="345"/>
      <c r="DM90" s="345"/>
      <c r="DN90" s="345"/>
      <c r="DO90" s="345"/>
      <c r="DP90" s="345"/>
      <c r="DQ90" s="345"/>
      <c r="DR90" s="345"/>
      <c r="DS90" s="345"/>
      <c r="DT90" s="345"/>
      <c r="DU90" s="345"/>
      <c r="DV90" s="345"/>
      <c r="DW90" s="345"/>
      <c r="DX90" s="345"/>
      <c r="DY90" s="345"/>
      <c r="DZ90" s="345"/>
      <c r="EA90" s="345"/>
      <c r="EB90" s="345"/>
      <c r="EC90" s="345"/>
      <c r="ED90" s="345"/>
      <c r="EE90" s="345"/>
      <c r="EF90" s="345"/>
      <c r="EG90" s="345"/>
      <c r="EH90" s="345"/>
      <c r="EI90" s="345"/>
      <c r="EJ90" s="345"/>
      <c r="EK90" s="345"/>
      <c r="EL90" s="345"/>
      <c r="EM90" s="345"/>
      <c r="EN90" s="345"/>
      <c r="EO90" s="345"/>
      <c r="EP90" s="345"/>
      <c r="EQ90" s="345"/>
      <c r="ER90" s="345"/>
      <c r="ES90" s="345"/>
      <c r="ET90" s="345"/>
      <c r="EU90" s="345"/>
      <c r="EV90" s="345"/>
      <c r="EW90" s="345"/>
      <c r="EX90" s="345"/>
      <c r="EY90" s="345"/>
      <c r="EZ90" s="345"/>
      <c r="FA90" s="345"/>
      <c r="FB90" s="345"/>
      <c r="FC90" s="345"/>
      <c r="FD90" s="345"/>
      <c r="FE90" s="345"/>
      <c r="FF90" s="345"/>
      <c r="FG90" s="345"/>
      <c r="FH90" s="345"/>
      <c r="FI90" s="345"/>
      <c r="FJ90" s="345"/>
      <c r="FK90" s="345"/>
      <c r="FL90" s="345"/>
      <c r="FM90" s="345"/>
      <c r="FN90" s="345"/>
      <c r="FO90" s="345"/>
      <c r="FP90" s="345"/>
      <c r="FQ90" s="345"/>
      <c r="FR90" s="345"/>
      <c r="FS90" s="345"/>
      <c r="FT90" s="345"/>
      <c r="FU90" s="345"/>
      <c r="FV90" s="345"/>
      <c r="FW90" s="345"/>
      <c r="FX90" s="345"/>
      <c r="FY90" s="345"/>
      <c r="FZ90" s="345"/>
      <c r="GA90" s="345"/>
      <c r="GB90" s="345"/>
      <c r="GC90" s="345"/>
      <c r="GD90" s="345"/>
      <c r="GE90" s="345"/>
      <c r="GF90" s="345"/>
      <c r="GG90" s="345"/>
      <c r="GH90" s="345"/>
      <c r="GI90" s="345"/>
      <c r="GJ90" s="345"/>
      <c r="GK90" s="345"/>
      <c r="GL90" s="345"/>
      <c r="GM90" s="345"/>
      <c r="GN90" s="345"/>
      <c r="GO90" s="345"/>
      <c r="GP90" s="345"/>
      <c r="GQ90" s="345"/>
      <c r="GR90" s="345"/>
      <c r="GS90" s="345"/>
      <c r="GT90" s="345"/>
      <c r="GU90" s="345"/>
    </row>
    <row r="91" spans="1:203" ht="12.75" customHeight="1">
      <c r="A91" s="465">
        <f t="shared" si="95"/>
        <v>2</v>
      </c>
      <c r="B91" s="1108">
        <v>81</v>
      </c>
      <c r="C91" s="1109">
        <v>0</v>
      </c>
      <c r="D91" s="398">
        <v>359</v>
      </c>
      <c r="E91" s="1120"/>
      <c r="F91" s="465">
        <f t="shared" si="97"/>
        <v>2</v>
      </c>
      <c r="G91" s="1108">
        <v>81</v>
      </c>
      <c r="H91" s="1109">
        <v>0</v>
      </c>
      <c r="I91" s="398">
        <v>352.1</v>
      </c>
      <c r="J91" s="1120"/>
      <c r="K91" s="465"/>
      <c r="L91" s="465"/>
      <c r="M91" s="465">
        <f t="shared" si="93"/>
        <v>2</v>
      </c>
      <c r="N91" s="1108">
        <v>81</v>
      </c>
      <c r="O91" s="1109">
        <v>1</v>
      </c>
      <c r="P91" s="398">
        <v>349.2</v>
      </c>
      <c r="Q91" s="1120"/>
      <c r="R91" s="465">
        <f t="shared" si="94"/>
        <v>2</v>
      </c>
      <c r="S91" s="1108">
        <v>81</v>
      </c>
      <c r="T91" s="1109">
        <v>0</v>
      </c>
      <c r="U91" s="1110">
        <v>355.6</v>
      </c>
      <c r="V91" s="1120"/>
      <c r="W91" s="371"/>
      <c r="X91" s="494">
        <f t="shared" si="70"/>
        <v>359</v>
      </c>
      <c r="Y91" s="495" t="str">
        <f>IF('Feuilles=description générale'!$E$13="","",IF(X91="","",IF(X91&gt;('Feuilles=description générale'!$E$11+'Feuilles=description générale'!$E$10),"",100*(X91-'Feuilles=description générale'!$E$10)/('Feuilles=description générale'!$E$11))))</f>
        <v/>
      </c>
      <c r="Z91" s="495">
        <f>IF('Feuilles=description générale'!$E$13="","",IF(X91="","",IF(X91&lt;=('Feuilles=description générale'!$E$11+'Feuilles=description générale'!$E$10),"",100*(X91-'Feuilles=description générale'!$E$11-'Feuilles=description générale'!$E$10)/('Feuilles=description générale'!$E$12))))</f>
        <v>83.475342112057845</v>
      </c>
      <c r="AA91" s="1112">
        <f>IF('Feuilles=description générale'!$E$13="","",IF(X91="","",100*(X91-'Feuilles=description générale'!$E$10)/('Feuilles=description générale'!$E$13-'Feuilles=description générale'!$E$10)))</f>
        <v>87.564766839378237</v>
      </c>
      <c r="AB91" s="497">
        <f t="shared" si="71"/>
        <v>2</v>
      </c>
      <c r="AC91" s="500" t="str">
        <f t="shared" si="96"/>
        <v/>
      </c>
      <c r="AD91" s="494" t="str">
        <f t="shared" si="72"/>
        <v/>
      </c>
      <c r="AE91" s="499">
        <f t="shared" si="73"/>
        <v>0.69999999999998863</v>
      </c>
      <c r="AF91" s="371"/>
      <c r="AG91" s="494">
        <f t="shared" si="74"/>
        <v>352.1</v>
      </c>
      <c r="AH91" s="495" t="str">
        <f>IF('Feuilles=description générale'!$E$13="","",IF(AG91="","",IF(AG91&gt;('Feuilles=description générale'!$E$11+'Feuilles=description générale'!$E$10),"",100*(AG91-'Feuilles=description générale'!$E$10)/('Feuilles=description générale'!$E$11))))</f>
        <v/>
      </c>
      <c r="AI91" s="495">
        <f>IF('Feuilles=description générale'!$E$13="","",IF(AG91="","",IF(AG91&lt;=('Feuilles=description générale'!$E$11+'Feuilles=description générale'!$E$10),"",100*(AG91-'Feuilles=description générale'!$E$11-'Feuilles=description générale'!$E$10)/('Feuilles=description générale'!$E$12))))</f>
        <v>81.099922540666157</v>
      </c>
      <c r="AJ91" s="496">
        <f>IF('Feuilles=description générale'!$E$13="","",IF(AG91="","",100*(AG91-'Feuilles=description générale'!$E$10)/('Feuilles=description générale'!$E$13-'Feuilles=description générale'!$E$10)))</f>
        <v>85.777202072538856</v>
      </c>
      <c r="AK91" s="1113">
        <f t="shared" si="75"/>
        <v>2</v>
      </c>
      <c r="AL91" s="498" t="str">
        <f t="shared" si="76"/>
        <v/>
      </c>
      <c r="AM91" s="494" t="str">
        <f t="shared" si="77"/>
        <v/>
      </c>
      <c r="AN91" s="499">
        <f t="shared" si="78"/>
        <v>1.5999999999999659</v>
      </c>
      <c r="AO91" s="371"/>
      <c r="AP91" s="494">
        <f t="shared" si="79"/>
        <v>349.2</v>
      </c>
      <c r="AQ91" s="495" t="str">
        <f>IF('Feuilles=description générale'!$E$13="","",IF(AP91="","",IF(AP91&gt;('Feuilles=description générale'!$E$25+'Feuilles=description générale'!$E$24),"",100*(AP91-'Feuilles=description générale'!$E$24)/('Feuilles=description générale'!$E$25))))</f>
        <v/>
      </c>
      <c r="AR91" s="495">
        <f>IF('Feuilles=description générale'!$E$27="","",IF(AP91="","",IF(AP91&lt;=('Feuilles=description générale'!$E$25+'Feuilles=description générale'!$E$24),"",100*(AP91-'Feuilles=description générale'!$E$25-'Feuilles=description générale'!$E$24)/('Feuilles=description générale'!$E$26))))</f>
        <v>73.82794001578533</v>
      </c>
      <c r="AS91" s="496">
        <f>IF('Feuilles=description générale'!$E$27="","",IF(AP91="","",100*(AP91-'Feuilles=description générale'!$E$24)/('Feuilles=description générale'!$E$27-'Feuilles=description générale'!$E$24)))</f>
        <v>79.736005866536289</v>
      </c>
      <c r="AT91" s="497">
        <f t="shared" si="80"/>
        <v>1</v>
      </c>
      <c r="AU91" s="500" t="str">
        <f t="shared" si="81"/>
        <v/>
      </c>
      <c r="AV91" s="494" t="str">
        <f t="shared" si="82"/>
        <v/>
      </c>
      <c r="AW91" s="499">
        <f t="shared" si="83"/>
        <v>3.4000000000000341</v>
      </c>
      <c r="AX91" s="371"/>
      <c r="AY91" s="494">
        <f t="shared" si="84"/>
        <v>355.6</v>
      </c>
      <c r="AZ91" s="495" t="str">
        <f>IF('Feuilles=description générale'!$E$13="","",IF(AY91="","",IF(AY91&gt;('Feuilles=description générale'!$E$25+'Feuilles=description générale'!$E$24),"",100*(AY91-'Feuilles=description générale'!$E$24)/('Feuilles=description générale'!$E$25))))</f>
        <v/>
      </c>
      <c r="BA91" s="495">
        <f>IF('Feuilles=description générale'!$E$27="","",IF(AY91="","",IF(AY91&lt;=('Feuilles=description générale'!$E$25+'Feuilles=description générale'!$E$24),"",100*(AY91-'Feuilles=description générale'!$E$25-'Feuilles=description générale'!$E$24)/('Feuilles=description générale'!$E$26))))</f>
        <v>75.848460931333861</v>
      </c>
      <c r="BB91" s="496">
        <f>IF('Feuilles=description générale'!$E$27="","",IF(AY91="","",100*(AY91-'Feuilles=description générale'!$E$24)/('Feuilles=description générale'!$E$27-'Feuilles=description générale'!$E$24)))</f>
        <v>81.30041554632119</v>
      </c>
      <c r="BC91" s="497">
        <f t="shared" si="85"/>
        <v>2</v>
      </c>
      <c r="BD91" s="500" t="str">
        <f t="shared" si="86"/>
        <v/>
      </c>
      <c r="BE91" s="494" t="str">
        <f t="shared" si="87"/>
        <v/>
      </c>
      <c r="BF91" s="499">
        <f t="shared" si="88"/>
        <v>0.89999999999997726</v>
      </c>
      <c r="BG91" s="476"/>
      <c r="BH91" s="563"/>
      <c r="BI91" s="564"/>
      <c r="BJ91" s="564"/>
      <c r="BK91" s="564"/>
      <c r="BL91" s="564"/>
      <c r="BM91" s="564"/>
      <c r="BN91" s="564"/>
      <c r="BO91" s="564"/>
      <c r="BP91" s="564"/>
      <c r="BQ91" s="564"/>
      <c r="BR91" s="564"/>
      <c r="BS91" s="564"/>
      <c r="BT91" s="564"/>
      <c r="BU91" s="568"/>
      <c r="BV91" s="1114" t="str">
        <f t="shared" si="89"/>
        <v/>
      </c>
      <c r="BW91" s="1114">
        <f t="shared" si="89"/>
        <v>0.48999999999998406</v>
      </c>
      <c r="BX91" s="1114" t="str">
        <f t="shared" si="90"/>
        <v/>
      </c>
      <c r="BY91" s="1115">
        <f t="shared" si="90"/>
        <v>2.5599999999998908</v>
      </c>
      <c r="BZ91" s="477"/>
      <c r="CA91" s="1114" t="str">
        <f t="shared" si="91"/>
        <v/>
      </c>
      <c r="CB91" s="1114">
        <f t="shared" si="91"/>
        <v>11.560000000000231</v>
      </c>
      <c r="CC91" s="1114" t="str">
        <f t="shared" si="92"/>
        <v/>
      </c>
      <c r="CD91" s="1115">
        <f t="shared" si="92"/>
        <v>0.80999999999995909</v>
      </c>
      <c r="CE91" s="568"/>
      <c r="CF91" s="563"/>
      <c r="CG91" s="564"/>
      <c r="CH91" s="564"/>
      <c r="CI91" s="564"/>
      <c r="CJ91" s="564"/>
      <c r="CK91" s="564"/>
      <c r="CL91" s="564"/>
      <c r="CM91" s="564"/>
      <c r="CN91" s="564"/>
      <c r="CO91" s="564"/>
      <c r="CP91" s="564"/>
      <c r="CQ91" s="564"/>
      <c r="CR91" s="564"/>
      <c r="CS91" s="564"/>
      <c r="CT91" s="564"/>
      <c r="CU91" s="564"/>
      <c r="CV91" s="476"/>
      <c r="CW91" s="345"/>
      <c r="CX91" s="345"/>
      <c r="CY91" s="345"/>
      <c r="CZ91" s="345"/>
      <c r="DA91" s="345"/>
      <c r="DB91" s="345"/>
      <c r="DC91" s="345"/>
      <c r="DD91" s="345"/>
      <c r="DE91" s="345"/>
      <c r="DF91" s="345"/>
      <c r="DG91" s="345"/>
      <c r="DH91" s="345"/>
      <c r="DI91" s="345"/>
      <c r="DJ91" s="345"/>
      <c r="DK91" s="345"/>
      <c r="DL91" s="345"/>
      <c r="DM91" s="345"/>
      <c r="DN91" s="345"/>
      <c r="DO91" s="345"/>
      <c r="DP91" s="345"/>
      <c r="DQ91" s="345"/>
      <c r="DR91" s="345"/>
      <c r="DS91" s="345"/>
      <c r="DT91" s="345"/>
      <c r="DU91" s="345"/>
      <c r="DV91" s="345"/>
      <c r="DW91" s="345"/>
      <c r="DX91" s="345"/>
      <c r="DY91" s="345"/>
      <c r="DZ91" s="345"/>
      <c r="EA91" s="345"/>
      <c r="EB91" s="345"/>
      <c r="EC91" s="345"/>
      <c r="ED91" s="345"/>
      <c r="EE91" s="345"/>
      <c r="EF91" s="345"/>
      <c r="EG91" s="345"/>
      <c r="EH91" s="345"/>
      <c r="EI91" s="345"/>
      <c r="EJ91" s="345"/>
      <c r="EK91" s="345"/>
      <c r="EL91" s="345"/>
      <c r="EM91" s="345"/>
      <c r="EN91" s="345"/>
      <c r="EO91" s="345"/>
      <c r="EP91" s="345"/>
      <c r="EQ91" s="345"/>
      <c r="ER91" s="345"/>
      <c r="ES91" s="345"/>
      <c r="ET91" s="345"/>
      <c r="EU91" s="345"/>
      <c r="EV91" s="345"/>
      <c r="EW91" s="345"/>
      <c r="EX91" s="345"/>
      <c r="EY91" s="345"/>
      <c r="EZ91" s="345"/>
      <c r="FA91" s="345"/>
      <c r="FB91" s="345"/>
      <c r="FC91" s="345"/>
      <c r="FD91" s="345"/>
      <c r="FE91" s="345"/>
      <c r="FF91" s="345"/>
      <c r="FG91" s="345"/>
      <c r="FH91" s="345"/>
      <c r="FI91" s="345"/>
      <c r="FJ91" s="345"/>
      <c r="FK91" s="345"/>
      <c r="FL91" s="345"/>
      <c r="FM91" s="345"/>
      <c r="FN91" s="345"/>
      <c r="FO91" s="345"/>
      <c r="FP91" s="345"/>
      <c r="FQ91" s="345"/>
      <c r="FR91" s="345"/>
      <c r="FS91" s="345"/>
      <c r="FT91" s="345"/>
      <c r="FU91" s="345"/>
      <c r="FV91" s="345"/>
      <c r="FW91" s="345"/>
      <c r="FX91" s="345"/>
      <c r="FY91" s="345"/>
      <c r="FZ91" s="345"/>
      <c r="GA91" s="345"/>
      <c r="GB91" s="345"/>
      <c r="GC91" s="345"/>
      <c r="GD91" s="345"/>
      <c r="GE91" s="345"/>
      <c r="GF91" s="345"/>
      <c r="GG91" s="345"/>
      <c r="GH91" s="345"/>
      <c r="GI91" s="345"/>
      <c r="GJ91" s="345"/>
      <c r="GK91" s="345"/>
      <c r="GL91" s="345"/>
      <c r="GM91" s="345"/>
      <c r="GN91" s="345"/>
      <c r="GO91" s="345"/>
      <c r="GP91" s="345"/>
      <c r="GQ91" s="345"/>
      <c r="GR91" s="345"/>
      <c r="GS91" s="345"/>
      <c r="GT91" s="345"/>
      <c r="GU91" s="345"/>
    </row>
    <row r="92" spans="1:203" ht="12.75" customHeight="1">
      <c r="A92" s="465">
        <f t="shared" si="95"/>
        <v>2</v>
      </c>
      <c r="B92" s="1108">
        <v>82</v>
      </c>
      <c r="C92" s="1109">
        <v>-1</v>
      </c>
      <c r="D92" s="398">
        <v>359.7</v>
      </c>
      <c r="E92" s="1120"/>
      <c r="F92" s="465">
        <f t="shared" si="97"/>
        <v>2</v>
      </c>
      <c r="G92" s="1108">
        <v>82</v>
      </c>
      <c r="H92" s="1109">
        <v>-1</v>
      </c>
      <c r="I92" s="398">
        <v>353.7</v>
      </c>
      <c r="J92" s="1120"/>
      <c r="K92" s="465"/>
      <c r="L92" s="465"/>
      <c r="M92" s="465">
        <f t="shared" si="93"/>
        <v>2</v>
      </c>
      <c r="N92" s="1108">
        <v>82</v>
      </c>
      <c r="O92" s="1109">
        <v>0</v>
      </c>
      <c r="P92" s="398">
        <v>352.6</v>
      </c>
      <c r="Q92" s="1120"/>
      <c r="R92" s="465">
        <f t="shared" si="94"/>
        <v>2</v>
      </c>
      <c r="S92" s="1108">
        <v>82</v>
      </c>
      <c r="T92" s="1109">
        <v>-1</v>
      </c>
      <c r="U92" s="1110">
        <v>356.5</v>
      </c>
      <c r="V92" s="1120"/>
      <c r="W92" s="371"/>
      <c r="X92" s="494">
        <f t="shared" si="70"/>
        <v>359.7</v>
      </c>
      <c r="Y92" s="495" t="str">
        <f>IF('Feuilles=description générale'!$E$13="","",IF(X92="","",IF(X92&gt;('Feuilles=description générale'!$E$11+'Feuilles=description générale'!$E$10),"",100*(X92-'Feuilles=description générale'!$E$10)/('Feuilles=description générale'!$E$11))))</f>
        <v/>
      </c>
      <c r="Z92" s="495">
        <f>IF('Feuilles=description générale'!$E$13="","",IF(X92="","",IF(X92&lt;=('Feuilles=description générale'!$E$11+'Feuilles=description générale'!$E$10),"",100*(X92-'Feuilles=description générale'!$E$11-'Feuilles=description générale'!$E$10)/('Feuilles=description générale'!$E$12))))</f>
        <v>83.716326706256993</v>
      </c>
      <c r="AA92" s="1112">
        <f>IF('Feuilles=description générale'!$E$13="","",IF(X92="","",100*(X92-'Feuilles=description générale'!$E$10)/('Feuilles=description générale'!$E$13-'Feuilles=description générale'!$E$10)))</f>
        <v>87.746113989637308</v>
      </c>
      <c r="AB92" s="497">
        <f t="shared" si="71"/>
        <v>3</v>
      </c>
      <c r="AC92" s="500">
        <f t="shared" si="96"/>
        <v>3</v>
      </c>
      <c r="AD92" s="494">
        <f t="shared" si="72"/>
        <v>3.9000000000000341</v>
      </c>
      <c r="AE92" s="499" t="str">
        <f t="shared" si="73"/>
        <v/>
      </c>
      <c r="AF92" s="371"/>
      <c r="AG92" s="494">
        <f t="shared" si="74"/>
        <v>353.7</v>
      </c>
      <c r="AH92" s="495" t="str">
        <f>IF('Feuilles=description générale'!$E$13="","",IF(AG92="","",IF(AG92&gt;('Feuilles=description générale'!$E$11+'Feuilles=description générale'!$E$10),"",100*(AG92-'Feuilles=description générale'!$E$10)/('Feuilles=description générale'!$E$11))))</f>
        <v/>
      </c>
      <c r="AI92" s="495">
        <f>IF('Feuilles=description générale'!$E$13="","",IF(AG92="","",IF(AG92&lt;=('Feuilles=description générale'!$E$11+'Feuilles=description générale'!$E$10),"",100*(AG92-'Feuilles=description générale'!$E$11-'Feuilles=description générale'!$E$10)/('Feuilles=description générale'!$E$12))))</f>
        <v>81.650744470264215</v>
      </c>
      <c r="AJ92" s="496">
        <f>IF('Feuilles=description générale'!$E$13="","",IF(AG92="","",100*(AG92-'Feuilles=description générale'!$E$10)/('Feuilles=description générale'!$E$13-'Feuilles=description générale'!$E$10)))</f>
        <v>86.191709844559583</v>
      </c>
      <c r="AK92" s="1113">
        <f t="shared" si="75"/>
        <v>3</v>
      </c>
      <c r="AL92" s="498">
        <f t="shared" si="76"/>
        <v>3</v>
      </c>
      <c r="AM92" s="494">
        <f t="shared" si="77"/>
        <v>4.3000000000000114</v>
      </c>
      <c r="AN92" s="499" t="str">
        <f t="shared" si="78"/>
        <v/>
      </c>
      <c r="AO92" s="371"/>
      <c r="AP92" s="494">
        <f t="shared" si="79"/>
        <v>352.6</v>
      </c>
      <c r="AQ92" s="495" t="str">
        <f>IF('Feuilles=description générale'!$E$13="","",IF(AP92="","",IF(AP92&gt;('Feuilles=description générale'!$E$25+'Feuilles=description générale'!$E$24),"",100*(AP92-'Feuilles=description générale'!$E$24)/('Feuilles=description générale'!$E$25))))</f>
        <v/>
      </c>
      <c r="AR92" s="495">
        <f>IF('Feuilles=description générale'!$E$27="","",IF(AP92="","",IF(AP92&lt;=('Feuilles=description générale'!$E$25+'Feuilles=description générale'!$E$24),"",100*(AP92-'Feuilles=description générale'!$E$25-'Feuilles=description générale'!$E$24)/('Feuilles=description générale'!$E$26))))</f>
        <v>74.901341752170481</v>
      </c>
      <c r="AS92" s="496">
        <f>IF('Feuilles=description générale'!$E$27="","",IF(AP92="","",100*(AP92-'Feuilles=description générale'!$E$24)/('Feuilles=description générale'!$E$27-'Feuilles=description générale'!$E$24)))</f>
        <v>80.567098508922015</v>
      </c>
      <c r="AT92" s="497">
        <f t="shared" si="80"/>
        <v>2</v>
      </c>
      <c r="AU92" s="500" t="str">
        <f t="shared" si="81"/>
        <v/>
      </c>
      <c r="AV92" s="494" t="str">
        <f t="shared" si="82"/>
        <v/>
      </c>
      <c r="AW92" s="499">
        <f t="shared" si="83"/>
        <v>9.9999999999965894E-2</v>
      </c>
      <c r="AX92" s="371"/>
      <c r="AY92" s="494">
        <f t="shared" si="84"/>
        <v>356.5</v>
      </c>
      <c r="AZ92" s="495" t="str">
        <f>IF('Feuilles=description générale'!$E$13="","",IF(AY92="","",IF(AY92&gt;('Feuilles=description générale'!$E$25+'Feuilles=description générale'!$E$24),"",100*(AY92-'Feuilles=description générale'!$E$24)/('Feuilles=description générale'!$E$25))))</f>
        <v/>
      </c>
      <c r="BA92" s="495">
        <f>IF('Feuilles=description générale'!$E$27="","",IF(AY92="","",IF(AY92&lt;=('Feuilles=description générale'!$E$25+'Feuilles=description générale'!$E$24),"",100*(AY92-'Feuilles=description générale'!$E$25-'Feuilles=description générale'!$E$24)/('Feuilles=description générale'!$E$26))))</f>
        <v>76.132596685082859</v>
      </c>
      <c r="BB92" s="496">
        <f>IF('Feuilles=description générale'!$E$27="","",IF(AY92="","",100*(AY92-'Feuilles=description générale'!$E$24)/('Feuilles=description générale'!$E$27-'Feuilles=description générale'!$E$24)))</f>
        <v>81.520410657540936</v>
      </c>
      <c r="BC92" s="497">
        <f t="shared" si="85"/>
        <v>3</v>
      </c>
      <c r="BD92" s="500">
        <f t="shared" si="86"/>
        <v>3</v>
      </c>
      <c r="BE92" s="494">
        <f t="shared" si="87"/>
        <v>4</v>
      </c>
      <c r="BF92" s="499" t="str">
        <f t="shared" si="88"/>
        <v/>
      </c>
      <c r="BG92" s="476"/>
      <c r="BH92" s="567"/>
      <c r="BI92" s="564"/>
      <c r="BJ92" s="564"/>
      <c r="BK92" s="564"/>
      <c r="BL92" s="564"/>
      <c r="BM92" s="564"/>
      <c r="BN92" s="564"/>
      <c r="BO92" s="564"/>
      <c r="BP92" s="564"/>
      <c r="BQ92" s="564"/>
      <c r="BR92" s="564"/>
      <c r="BS92" s="564"/>
      <c r="BT92" s="564"/>
      <c r="BU92" s="568"/>
      <c r="BV92" s="1114">
        <f t="shared" si="89"/>
        <v>15.210000000000266</v>
      </c>
      <c r="BW92" s="1114" t="str">
        <f t="shared" si="89"/>
        <v/>
      </c>
      <c r="BX92" s="1114">
        <f t="shared" si="90"/>
        <v>18.490000000000098</v>
      </c>
      <c r="BY92" s="1115" t="str">
        <f t="shared" si="90"/>
        <v/>
      </c>
      <c r="BZ92" s="477"/>
      <c r="CA92" s="1114" t="str">
        <f t="shared" si="91"/>
        <v/>
      </c>
      <c r="CB92" s="1114">
        <f t="shared" si="91"/>
        <v>9.9999999999931793E-3</v>
      </c>
      <c r="CC92" s="1114">
        <f t="shared" si="92"/>
        <v>16</v>
      </c>
      <c r="CD92" s="1115" t="str">
        <f t="shared" si="92"/>
        <v/>
      </c>
      <c r="CE92" s="568"/>
      <c r="CF92" s="554"/>
      <c r="CG92" s="554"/>
      <c r="CH92" s="554"/>
      <c r="CI92" s="554"/>
      <c r="CJ92" s="554"/>
      <c r="CK92" s="554"/>
      <c r="CL92" s="554"/>
      <c r="CM92" s="554"/>
      <c r="CN92" s="554"/>
      <c r="CO92" s="554"/>
      <c r="CP92" s="554"/>
      <c r="CQ92" s="554"/>
      <c r="CR92" s="554"/>
      <c r="CS92" s="554"/>
      <c r="CT92" s="554"/>
      <c r="CU92" s="554"/>
      <c r="CV92" s="476"/>
      <c r="CW92" s="345"/>
      <c r="CX92" s="345"/>
      <c r="CY92" s="345"/>
      <c r="CZ92" s="345"/>
      <c r="DA92" s="345"/>
      <c r="DB92" s="345"/>
      <c r="DC92" s="345"/>
      <c r="DD92" s="345"/>
      <c r="DE92" s="345"/>
      <c r="DF92" s="345"/>
      <c r="DG92" s="345"/>
      <c r="DH92" s="345"/>
      <c r="DI92" s="345"/>
      <c r="DJ92" s="345"/>
      <c r="DK92" s="345"/>
      <c r="DL92" s="345"/>
      <c r="DM92" s="345"/>
      <c r="DN92" s="345"/>
      <c r="DO92" s="345"/>
      <c r="DP92" s="345"/>
      <c r="DQ92" s="345"/>
      <c r="DR92" s="345"/>
      <c r="DS92" s="345"/>
      <c r="DT92" s="345"/>
      <c r="DU92" s="345"/>
      <c r="DV92" s="345"/>
      <c r="DW92" s="345"/>
      <c r="DX92" s="345"/>
      <c r="DY92" s="345"/>
      <c r="DZ92" s="345"/>
      <c r="EA92" s="345"/>
      <c r="EB92" s="345"/>
      <c r="EC92" s="345"/>
      <c r="ED92" s="345"/>
      <c r="EE92" s="345"/>
      <c r="EF92" s="345"/>
      <c r="EG92" s="345"/>
      <c r="EH92" s="345"/>
      <c r="EI92" s="345"/>
      <c r="EJ92" s="345"/>
      <c r="EK92" s="345"/>
      <c r="EL92" s="345"/>
      <c r="EM92" s="345"/>
      <c r="EN92" s="345"/>
      <c r="EO92" s="345"/>
      <c r="EP92" s="345"/>
      <c r="EQ92" s="345"/>
      <c r="ER92" s="345"/>
      <c r="ES92" s="345"/>
      <c r="ET92" s="345"/>
      <c r="EU92" s="345"/>
      <c r="EV92" s="345"/>
      <c r="EW92" s="345"/>
      <c r="EX92" s="345"/>
      <c r="EY92" s="345"/>
      <c r="EZ92" s="345"/>
      <c r="FA92" s="345"/>
      <c r="FB92" s="345"/>
      <c r="FC92" s="345"/>
      <c r="FD92" s="345"/>
      <c r="FE92" s="345"/>
      <c r="FF92" s="345"/>
      <c r="FG92" s="345"/>
      <c r="FH92" s="345"/>
      <c r="FI92" s="345"/>
      <c r="FJ92" s="345"/>
      <c r="FK92" s="345"/>
      <c r="FL92" s="345"/>
      <c r="FM92" s="345"/>
      <c r="FN92" s="345"/>
      <c r="FO92" s="345"/>
      <c r="FP92" s="345"/>
      <c r="FQ92" s="345"/>
      <c r="FR92" s="345"/>
      <c r="FS92" s="345"/>
      <c r="FT92" s="345"/>
      <c r="FU92" s="345"/>
      <c r="FV92" s="345"/>
      <c r="FW92" s="345"/>
      <c r="FX92" s="345"/>
      <c r="FY92" s="345"/>
      <c r="FZ92" s="345"/>
      <c r="GA92" s="345"/>
      <c r="GB92" s="345"/>
      <c r="GC92" s="345"/>
      <c r="GD92" s="345"/>
      <c r="GE92" s="345"/>
      <c r="GF92" s="345"/>
      <c r="GG92" s="345"/>
      <c r="GH92" s="345"/>
      <c r="GI92" s="345"/>
      <c r="GJ92" s="345"/>
      <c r="GK92" s="345"/>
      <c r="GL92" s="345"/>
      <c r="GM92" s="345"/>
      <c r="GN92" s="345"/>
      <c r="GO92" s="345"/>
      <c r="GP92" s="345"/>
      <c r="GQ92" s="345"/>
      <c r="GR92" s="345"/>
      <c r="GS92" s="345"/>
      <c r="GT92" s="345"/>
      <c r="GU92" s="345"/>
    </row>
    <row r="93" spans="1:203" ht="12.75" customHeight="1">
      <c r="A93" s="465">
        <f t="shared" si="95"/>
        <v>2</v>
      </c>
      <c r="B93" s="1108">
        <v>83</v>
      </c>
      <c r="C93" s="1109">
        <v>1</v>
      </c>
      <c r="D93" s="398">
        <v>363.6</v>
      </c>
      <c r="E93" s="1120"/>
      <c r="F93" s="465">
        <f t="shared" si="97"/>
        <v>2</v>
      </c>
      <c r="G93" s="1108">
        <v>83</v>
      </c>
      <c r="H93" s="1109">
        <v>1</v>
      </c>
      <c r="I93" s="398">
        <v>358</v>
      </c>
      <c r="J93" s="1120"/>
      <c r="K93" s="465"/>
      <c r="L93" s="465"/>
      <c r="M93" s="465">
        <f t="shared" si="93"/>
        <v>2</v>
      </c>
      <c r="N93" s="1108">
        <v>83</v>
      </c>
      <c r="O93" s="1109">
        <v>-1</v>
      </c>
      <c r="P93" s="398">
        <v>352.7</v>
      </c>
      <c r="Q93" s="1120"/>
      <c r="R93" s="465">
        <f t="shared" si="94"/>
        <v>2</v>
      </c>
      <c r="S93" s="1108">
        <v>83</v>
      </c>
      <c r="T93" s="1109">
        <v>1</v>
      </c>
      <c r="U93" s="1110">
        <v>360.5</v>
      </c>
      <c r="V93" s="1120"/>
      <c r="W93" s="371"/>
      <c r="X93" s="494">
        <f t="shared" si="70"/>
        <v>363.6</v>
      </c>
      <c r="Y93" s="495" t="str">
        <f>IF('Feuilles=description générale'!$E$13="","",IF(X93="","",IF(X93&gt;('Feuilles=description générale'!$E$11+'Feuilles=description générale'!$E$10),"",100*(X93-'Feuilles=description générale'!$E$10)/('Feuilles=description générale'!$E$11))))</f>
        <v/>
      </c>
      <c r="Z93" s="495">
        <f>IF('Feuilles=description générale'!$E$13="","",IF(X93="","",IF(X93&lt;=('Feuilles=description générale'!$E$11+'Feuilles=description générale'!$E$10),"",100*(X93-'Feuilles=description générale'!$E$11-'Feuilles=description générale'!$E$10)/('Feuilles=description générale'!$E$12))))</f>
        <v>85.058955159652299</v>
      </c>
      <c r="AA93" s="1112">
        <f>IF('Feuilles=description générale'!$E$13="","",IF(X93="","",100*(X93-'Feuilles=description générale'!$E$10)/('Feuilles=description générale'!$E$13-'Feuilles=description générale'!$E$10)))</f>
        <v>88.756476683937819</v>
      </c>
      <c r="AB93" s="497">
        <f t="shared" si="71"/>
        <v>1</v>
      </c>
      <c r="AC93" s="500" t="str">
        <f t="shared" si="96"/>
        <v/>
      </c>
      <c r="AD93" s="494" t="str">
        <f t="shared" si="72"/>
        <v/>
      </c>
      <c r="AE93" s="499">
        <f t="shared" si="73"/>
        <v>1.8999999999999773</v>
      </c>
      <c r="AF93" s="371"/>
      <c r="AG93" s="494">
        <f t="shared" si="74"/>
        <v>358</v>
      </c>
      <c r="AH93" s="495" t="str">
        <f>IF('Feuilles=description générale'!$E$13="","",IF(AG93="","",IF(AG93&gt;('Feuilles=description générale'!$E$11+'Feuilles=description générale'!$E$10),"",100*(AG93-'Feuilles=description générale'!$E$10)/('Feuilles=description générale'!$E$11))))</f>
        <v/>
      </c>
      <c r="AI93" s="495">
        <f>IF('Feuilles=description générale'!$E$13="","",IF(AG93="","",IF(AG93&lt;=('Feuilles=description générale'!$E$11+'Feuilles=description générale'!$E$10),"",100*(AG93-'Feuilles=description générale'!$E$11-'Feuilles=description générale'!$E$10)/('Feuilles=description générale'!$E$12))))</f>
        <v>83.131078406059046</v>
      </c>
      <c r="AJ93" s="496">
        <f>IF('Feuilles=description générale'!$E$13="","",IF(AG93="","",100*(AG93-'Feuilles=description générale'!$E$10)/('Feuilles=description générale'!$E$13-'Feuilles=description générale'!$E$10)))</f>
        <v>87.30569948186529</v>
      </c>
      <c r="AK93" s="1113">
        <f t="shared" si="75"/>
        <v>1</v>
      </c>
      <c r="AL93" s="498" t="str">
        <f t="shared" si="76"/>
        <v/>
      </c>
      <c r="AM93" s="494" t="str">
        <f t="shared" si="77"/>
        <v/>
      </c>
      <c r="AN93" s="499">
        <f t="shared" si="78"/>
        <v>1.5</v>
      </c>
      <c r="AO93" s="371"/>
      <c r="AP93" s="494">
        <f t="shared" si="79"/>
        <v>352.7</v>
      </c>
      <c r="AQ93" s="495" t="str">
        <f>IF('Feuilles=description générale'!$E$13="","",IF(AP93="","",IF(AP93&gt;('Feuilles=description générale'!$E$25+'Feuilles=description générale'!$E$24),"",100*(AP93-'Feuilles=description générale'!$E$24)/('Feuilles=description générale'!$E$25))))</f>
        <v/>
      </c>
      <c r="AR93" s="495">
        <f>IF('Feuilles=description générale'!$E$27="","",IF(AP93="","",IF(AP93&lt;=('Feuilles=description générale'!$E$25+'Feuilles=description générale'!$E$24),"",100*(AP93-'Feuilles=description générale'!$E$25-'Feuilles=description générale'!$E$24)/('Feuilles=description générale'!$E$26))))</f>
        <v>74.932912391475938</v>
      </c>
      <c r="AS93" s="496">
        <f>IF('Feuilles=description générale'!$E$27="","",IF(AP93="","",100*(AP93-'Feuilles=description générale'!$E$24)/('Feuilles=description générale'!$E$27-'Feuilles=description générale'!$E$24)))</f>
        <v>80.591542410168657</v>
      </c>
      <c r="AT93" s="497">
        <f t="shared" si="80"/>
        <v>3</v>
      </c>
      <c r="AU93" s="500">
        <f t="shared" si="81"/>
        <v>3</v>
      </c>
      <c r="AV93" s="494">
        <f t="shared" si="82"/>
        <v>4.3000000000000114</v>
      </c>
      <c r="AW93" s="499" t="str">
        <f t="shared" si="83"/>
        <v/>
      </c>
      <c r="AX93" s="371"/>
      <c r="AY93" s="494">
        <f t="shared" si="84"/>
        <v>360.5</v>
      </c>
      <c r="AZ93" s="495" t="str">
        <f>IF('Feuilles=description générale'!$E$13="","",IF(AY93="","",IF(AY93&gt;('Feuilles=description générale'!$E$25+'Feuilles=description générale'!$E$24),"",100*(AY93-'Feuilles=description générale'!$E$24)/('Feuilles=description générale'!$E$25))))</f>
        <v/>
      </c>
      <c r="BA93" s="495">
        <f>IF('Feuilles=description générale'!$E$27="","",IF(AY93="","",IF(AY93&lt;=('Feuilles=description générale'!$E$25+'Feuilles=description générale'!$E$24),"",100*(AY93-'Feuilles=description générale'!$E$25-'Feuilles=description générale'!$E$24)/('Feuilles=description générale'!$E$26))))</f>
        <v>77.395422257300694</v>
      </c>
      <c r="BB93" s="496">
        <f>IF('Feuilles=description générale'!$E$27="","",IF(AY93="","",100*(AY93-'Feuilles=description générale'!$E$24)/('Feuilles=description générale'!$E$27-'Feuilles=description générale'!$E$24)))</f>
        <v>82.498166707406497</v>
      </c>
      <c r="BC93" s="497">
        <f t="shared" si="85"/>
        <v>1</v>
      </c>
      <c r="BD93" s="500" t="str">
        <f t="shared" si="86"/>
        <v/>
      </c>
      <c r="BE93" s="494" t="str">
        <f t="shared" si="87"/>
        <v/>
      </c>
      <c r="BF93" s="499">
        <f t="shared" si="88"/>
        <v>1.8000000000000114</v>
      </c>
      <c r="BG93" s="476"/>
      <c r="BH93" s="568"/>
      <c r="BI93" s="568"/>
      <c r="BJ93" s="568"/>
      <c r="BK93" s="568"/>
      <c r="BL93" s="568"/>
      <c r="BM93" s="568"/>
      <c r="BN93" s="568"/>
      <c r="BO93" s="568"/>
      <c r="BP93" s="568"/>
      <c r="BQ93" s="568"/>
      <c r="BR93" s="568"/>
      <c r="BS93" s="568"/>
      <c r="BT93" s="568"/>
      <c r="BU93" s="568"/>
      <c r="BV93" s="1114" t="str">
        <f t="shared" si="89"/>
        <v/>
      </c>
      <c r="BW93" s="1114">
        <f t="shared" si="89"/>
        <v>3.6099999999999137</v>
      </c>
      <c r="BX93" s="1114" t="str">
        <f t="shared" si="90"/>
        <v/>
      </c>
      <c r="BY93" s="1115">
        <f t="shared" si="90"/>
        <v>2.25</v>
      </c>
      <c r="BZ93" s="477"/>
      <c r="CA93" s="1114">
        <f t="shared" si="91"/>
        <v>18.490000000000098</v>
      </c>
      <c r="CB93" s="1114" t="str">
        <f t="shared" si="91"/>
        <v/>
      </c>
      <c r="CC93" s="1114" t="str">
        <f t="shared" si="92"/>
        <v/>
      </c>
      <c r="CD93" s="1115">
        <f t="shared" si="92"/>
        <v>3.2400000000000411</v>
      </c>
      <c r="CE93" s="568"/>
      <c r="CF93" s="568"/>
      <c r="CG93" s="568"/>
      <c r="CH93" s="568"/>
      <c r="CI93" s="568"/>
      <c r="CJ93" s="568"/>
      <c r="CK93" s="568"/>
      <c r="CL93" s="568"/>
      <c r="CM93" s="568"/>
      <c r="CN93" s="568"/>
      <c r="CO93" s="568"/>
      <c r="CP93" s="568"/>
      <c r="CQ93" s="568"/>
      <c r="CR93" s="568"/>
      <c r="CS93" s="568"/>
      <c r="CT93" s="568"/>
      <c r="CU93" s="568"/>
      <c r="CV93" s="476"/>
      <c r="CW93" s="345"/>
      <c r="CX93" s="345"/>
      <c r="CY93" s="345"/>
      <c r="CZ93" s="345"/>
      <c r="DA93" s="345"/>
      <c r="DB93" s="345"/>
      <c r="DC93" s="345"/>
      <c r="DD93" s="345"/>
      <c r="DE93" s="345"/>
      <c r="DF93" s="345"/>
      <c r="DG93" s="345"/>
      <c r="DH93" s="345"/>
      <c r="DI93" s="345"/>
      <c r="DJ93" s="345"/>
      <c r="DK93" s="345"/>
      <c r="DL93" s="345"/>
      <c r="DM93" s="345"/>
      <c r="DN93" s="345"/>
      <c r="DO93" s="345"/>
      <c r="DP93" s="345"/>
      <c r="DQ93" s="345"/>
      <c r="DR93" s="345"/>
      <c r="DS93" s="345"/>
      <c r="DT93" s="345"/>
      <c r="DU93" s="345"/>
      <c r="DV93" s="345"/>
      <c r="DW93" s="345"/>
      <c r="DX93" s="345"/>
      <c r="DY93" s="345"/>
      <c r="DZ93" s="345"/>
      <c r="EA93" s="345"/>
      <c r="EB93" s="345"/>
      <c r="EC93" s="345"/>
      <c r="ED93" s="345"/>
      <c r="EE93" s="345"/>
      <c r="EF93" s="345"/>
      <c r="EG93" s="345"/>
      <c r="EH93" s="345"/>
      <c r="EI93" s="345"/>
      <c r="EJ93" s="345"/>
      <c r="EK93" s="345"/>
      <c r="EL93" s="345"/>
      <c r="EM93" s="345"/>
      <c r="EN93" s="345"/>
      <c r="EO93" s="345"/>
      <c r="EP93" s="345"/>
      <c r="EQ93" s="345"/>
      <c r="ER93" s="345"/>
      <c r="ES93" s="345"/>
      <c r="ET93" s="345"/>
      <c r="EU93" s="345"/>
      <c r="EV93" s="345"/>
      <c r="EW93" s="345"/>
      <c r="EX93" s="345"/>
      <c r="EY93" s="345"/>
      <c r="EZ93" s="345"/>
      <c r="FA93" s="345"/>
      <c r="FB93" s="345"/>
      <c r="FC93" s="345"/>
      <c r="FD93" s="345"/>
      <c r="FE93" s="345"/>
      <c r="FF93" s="345"/>
      <c r="FG93" s="345"/>
      <c r="FH93" s="345"/>
      <c r="FI93" s="345"/>
      <c r="FJ93" s="345"/>
      <c r="FK93" s="345"/>
      <c r="FL93" s="345"/>
      <c r="FM93" s="345"/>
      <c r="FN93" s="345"/>
      <c r="FO93" s="345"/>
      <c r="FP93" s="345"/>
      <c r="FQ93" s="345"/>
      <c r="FR93" s="345"/>
      <c r="FS93" s="345"/>
      <c r="FT93" s="345"/>
      <c r="FU93" s="345"/>
      <c r="FV93" s="345"/>
      <c r="FW93" s="345"/>
      <c r="FX93" s="345"/>
      <c r="FY93" s="345"/>
      <c r="FZ93" s="345"/>
      <c r="GA93" s="345"/>
      <c r="GB93" s="345"/>
      <c r="GC93" s="345"/>
      <c r="GD93" s="345"/>
      <c r="GE93" s="345"/>
      <c r="GF93" s="345"/>
      <c r="GG93" s="345"/>
      <c r="GH93" s="345"/>
      <c r="GI93" s="345"/>
      <c r="GJ93" s="345"/>
      <c r="GK93" s="345"/>
      <c r="GL93" s="345"/>
      <c r="GM93" s="345"/>
      <c r="GN93" s="345"/>
      <c r="GO93" s="345"/>
      <c r="GP93" s="345"/>
      <c r="GQ93" s="345"/>
      <c r="GR93" s="345"/>
      <c r="GS93" s="345"/>
      <c r="GT93" s="345"/>
      <c r="GU93" s="345"/>
    </row>
    <row r="94" spans="1:203" ht="12.75" customHeight="1">
      <c r="A94" s="465">
        <f t="shared" si="95"/>
        <v>2</v>
      </c>
      <c r="B94" s="1108">
        <v>84</v>
      </c>
      <c r="C94" s="1109">
        <v>-1</v>
      </c>
      <c r="D94" s="398">
        <v>365.5</v>
      </c>
      <c r="E94" s="1120"/>
      <c r="F94" s="465">
        <f t="shared" si="97"/>
        <v>2</v>
      </c>
      <c r="G94" s="1108">
        <v>84</v>
      </c>
      <c r="H94" s="1109">
        <v>-1</v>
      </c>
      <c r="I94" s="398">
        <v>359.5</v>
      </c>
      <c r="J94" s="1120"/>
      <c r="K94" s="465"/>
      <c r="L94" s="465"/>
      <c r="M94" s="465">
        <f t="shared" si="93"/>
        <v>2</v>
      </c>
      <c r="N94" s="1108">
        <v>84</v>
      </c>
      <c r="O94" s="1109">
        <v>1</v>
      </c>
      <c r="P94" s="398">
        <v>357</v>
      </c>
      <c r="Q94" s="1120"/>
      <c r="R94" s="465">
        <f t="shared" si="94"/>
        <v>2</v>
      </c>
      <c r="S94" s="1108">
        <v>84</v>
      </c>
      <c r="T94" s="1109">
        <v>-1</v>
      </c>
      <c r="U94" s="1110">
        <v>362.3</v>
      </c>
      <c r="V94" s="1120"/>
      <c r="W94" s="371"/>
      <c r="X94" s="494">
        <f t="shared" si="70"/>
        <v>365.5</v>
      </c>
      <c r="Y94" s="495" t="str">
        <f>IF('Feuilles=description générale'!$E$13="","",IF(X94="","",IF(X94&gt;('Feuilles=description générale'!$E$11+'Feuilles=description générale'!$E$10),"",100*(X94-'Feuilles=description générale'!$E$10)/('Feuilles=description générale'!$E$11))))</f>
        <v/>
      </c>
      <c r="Z94" s="495">
        <f>IF('Feuilles=description générale'!$E$13="","",IF(X94="","",IF(X94&lt;=('Feuilles=description générale'!$E$11+'Feuilles=description générale'!$E$10),"",100*(X94-'Feuilles=description générale'!$E$11-'Feuilles=description générale'!$E$10)/('Feuilles=description générale'!$E$12))))</f>
        <v>85.713056201050009</v>
      </c>
      <c r="AA94" s="1112">
        <f>IF('Feuilles=description générale'!$E$13="","",IF(X94="","",100*(X94-'Feuilles=description générale'!$E$10)/('Feuilles=description générale'!$E$13-'Feuilles=description générale'!$E$10)))</f>
        <v>89.248704663212436</v>
      </c>
      <c r="AB94" s="497">
        <f t="shared" si="71"/>
        <v>2</v>
      </c>
      <c r="AC94" s="500">
        <f t="shared" si="96"/>
        <v>2</v>
      </c>
      <c r="AD94" s="494">
        <f t="shared" si="72"/>
        <v>3.8999999999999773</v>
      </c>
      <c r="AE94" s="499" t="str">
        <f t="shared" si="73"/>
        <v/>
      </c>
      <c r="AF94" s="371"/>
      <c r="AG94" s="494">
        <f t="shared" si="74"/>
        <v>359.5</v>
      </c>
      <c r="AH94" s="495" t="str">
        <f>IF('Feuilles=description générale'!$E$13="","",IF(AG94="","",IF(AG94&gt;('Feuilles=description générale'!$E$11+'Feuilles=description générale'!$E$10),"",100*(AG94-'Feuilles=description générale'!$E$10)/('Feuilles=description générale'!$E$11))))</f>
        <v/>
      </c>
      <c r="AI94" s="495">
        <f>IF('Feuilles=description générale'!$E$13="","",IF(AG94="","",IF(AG94&lt;=('Feuilles=description générale'!$E$11+'Feuilles=description générale'!$E$10),"",100*(AG94-'Feuilles=description générale'!$E$11-'Feuilles=description générale'!$E$10)/('Feuilles=description générale'!$E$12))))</f>
        <v>83.647473965057245</v>
      </c>
      <c r="AJ94" s="496">
        <f>IF('Feuilles=description générale'!$E$13="","",IF(AG94="","",100*(AG94-'Feuilles=description générale'!$E$10)/('Feuilles=description générale'!$E$13-'Feuilles=description générale'!$E$10)))</f>
        <v>87.69430051813471</v>
      </c>
      <c r="AK94" s="1113">
        <f t="shared" si="75"/>
        <v>2</v>
      </c>
      <c r="AL94" s="498">
        <f t="shared" si="76"/>
        <v>2</v>
      </c>
      <c r="AM94" s="494">
        <f t="shared" si="77"/>
        <v>3.6000000000000227</v>
      </c>
      <c r="AN94" s="499" t="str">
        <f t="shared" si="78"/>
        <v/>
      </c>
      <c r="AO94" s="371"/>
      <c r="AP94" s="494">
        <f t="shared" si="79"/>
        <v>357</v>
      </c>
      <c r="AQ94" s="495" t="str">
        <f>IF('Feuilles=description générale'!$E$13="","",IF(AP94="","",IF(AP94&gt;('Feuilles=description générale'!$E$25+'Feuilles=description générale'!$E$24),"",100*(AP94-'Feuilles=description générale'!$E$24)/('Feuilles=description générale'!$E$25))))</f>
        <v/>
      </c>
      <c r="AR94" s="495">
        <f>IF('Feuilles=description générale'!$E$27="","",IF(AP94="","",IF(AP94&lt;=('Feuilles=description générale'!$E$25+'Feuilles=description générale'!$E$24),"",100*(AP94-'Feuilles=description générale'!$E$25-'Feuilles=description générale'!$E$24)/('Feuilles=description générale'!$E$26))))</f>
        <v>76.290449881610087</v>
      </c>
      <c r="AS94" s="496">
        <f>IF('Feuilles=description générale'!$E$27="","",IF(AP94="","",100*(AP94-'Feuilles=description générale'!$E$24)/('Feuilles=description générale'!$E$27-'Feuilles=description générale'!$E$24)))</f>
        <v>81.642630163774129</v>
      </c>
      <c r="AT94" s="497">
        <f t="shared" si="80"/>
        <v>1</v>
      </c>
      <c r="AU94" s="500" t="str">
        <f t="shared" si="81"/>
        <v/>
      </c>
      <c r="AV94" s="494" t="str">
        <f t="shared" si="82"/>
        <v/>
      </c>
      <c r="AW94" s="499">
        <f t="shared" si="83"/>
        <v>1.1999999999999886</v>
      </c>
      <c r="AX94" s="371"/>
      <c r="AY94" s="494">
        <f t="shared" si="84"/>
        <v>362.3</v>
      </c>
      <c r="AZ94" s="495" t="str">
        <f>IF('Feuilles=description générale'!$E$13="","",IF(AY94="","",IF(AY94&gt;('Feuilles=description générale'!$E$25+'Feuilles=description générale'!$E$24),"",100*(AY94-'Feuilles=description générale'!$E$24)/('Feuilles=description générale'!$E$25))))</f>
        <v/>
      </c>
      <c r="BA94" s="495">
        <f>IF('Feuilles=description générale'!$E$27="","",IF(AY94="","",IF(AY94&lt;=('Feuilles=description générale'!$E$25+'Feuilles=description générale'!$E$24),"",100*(AY94-'Feuilles=description générale'!$E$25-'Feuilles=description générale'!$E$24)/('Feuilles=description générale'!$E$26))))</f>
        <v>77.963693764798748</v>
      </c>
      <c r="BB94" s="496">
        <f>IF('Feuilles=description générale'!$E$27="","",IF(AY94="","",100*(AY94-'Feuilles=description générale'!$E$24)/('Feuilles=description générale'!$E$27-'Feuilles=description générale'!$E$24)))</f>
        <v>82.938156929846002</v>
      </c>
      <c r="BC94" s="497">
        <f t="shared" si="85"/>
        <v>2</v>
      </c>
      <c r="BD94" s="500">
        <f t="shared" si="86"/>
        <v>2</v>
      </c>
      <c r="BE94" s="494">
        <f t="shared" si="87"/>
        <v>3.8999999999999773</v>
      </c>
      <c r="BF94" s="499" t="str">
        <f t="shared" si="88"/>
        <v/>
      </c>
      <c r="BG94" s="476"/>
      <c r="BH94" s="553"/>
      <c r="BI94" s="553"/>
      <c r="BJ94" s="553"/>
      <c r="BK94" s="553"/>
      <c r="BL94" s="553"/>
      <c r="BM94" s="554"/>
      <c r="BN94" s="554"/>
      <c r="BO94" s="554"/>
      <c r="BP94" s="554"/>
      <c r="BQ94" s="554"/>
      <c r="BR94" s="554"/>
      <c r="BS94" s="554"/>
      <c r="BT94" s="554"/>
      <c r="BU94" s="568"/>
      <c r="BV94" s="1114">
        <f t="shared" si="89"/>
        <v>15.209999999999823</v>
      </c>
      <c r="BW94" s="1114" t="str">
        <f t="shared" si="89"/>
        <v/>
      </c>
      <c r="BX94" s="1114">
        <f t="shared" si="90"/>
        <v>12.960000000000164</v>
      </c>
      <c r="BY94" s="1115" t="str">
        <f t="shared" si="90"/>
        <v/>
      </c>
      <c r="BZ94" s="477"/>
      <c r="CA94" s="1114" t="str">
        <f t="shared" si="91"/>
        <v/>
      </c>
      <c r="CB94" s="1114">
        <f t="shared" si="91"/>
        <v>1.4399999999999726</v>
      </c>
      <c r="CC94" s="1114">
        <f t="shared" si="92"/>
        <v>15.209999999999823</v>
      </c>
      <c r="CD94" s="1115" t="str">
        <f t="shared" si="92"/>
        <v/>
      </c>
      <c r="CE94" s="568"/>
      <c r="CF94" s="553"/>
      <c r="CG94" s="553"/>
      <c r="CH94" s="553"/>
      <c r="CI94" s="553"/>
      <c r="CJ94" s="553"/>
      <c r="CK94" s="554"/>
      <c r="CL94" s="554"/>
      <c r="CM94" s="554"/>
      <c r="CN94" s="554"/>
      <c r="CO94" s="554"/>
      <c r="CP94" s="554"/>
      <c r="CQ94" s="554"/>
      <c r="CR94" s="554"/>
      <c r="CS94" s="554"/>
      <c r="CT94" s="554"/>
      <c r="CU94" s="554"/>
      <c r="CV94" s="476"/>
      <c r="CW94" s="345"/>
      <c r="CX94" s="345"/>
      <c r="CY94" s="345"/>
      <c r="CZ94" s="345"/>
      <c r="DA94" s="345"/>
      <c r="DB94" s="345"/>
      <c r="DC94" s="345"/>
      <c r="DD94" s="345"/>
      <c r="DE94" s="345"/>
      <c r="DF94" s="345"/>
      <c r="DG94" s="345"/>
      <c r="DH94" s="345"/>
      <c r="DI94" s="345"/>
      <c r="DJ94" s="345"/>
      <c r="DK94" s="345"/>
      <c r="DL94" s="345"/>
      <c r="DM94" s="345"/>
      <c r="DN94" s="345"/>
      <c r="DO94" s="345"/>
      <c r="DP94" s="345"/>
      <c r="DQ94" s="345"/>
      <c r="DR94" s="345"/>
      <c r="DS94" s="345"/>
      <c r="DT94" s="345"/>
      <c r="DU94" s="345"/>
      <c r="DV94" s="345"/>
      <c r="DW94" s="345"/>
      <c r="DX94" s="345"/>
      <c r="DY94" s="345"/>
      <c r="DZ94" s="345"/>
      <c r="EA94" s="345"/>
      <c r="EB94" s="345"/>
      <c r="EC94" s="345"/>
      <c r="ED94" s="345"/>
      <c r="EE94" s="345"/>
      <c r="EF94" s="345"/>
      <c r="EG94" s="345"/>
      <c r="EH94" s="345"/>
      <c r="EI94" s="345"/>
      <c r="EJ94" s="345"/>
      <c r="EK94" s="345"/>
      <c r="EL94" s="345"/>
      <c r="EM94" s="345"/>
      <c r="EN94" s="345"/>
      <c r="EO94" s="345"/>
      <c r="EP94" s="345"/>
      <c r="EQ94" s="345"/>
      <c r="ER94" s="345"/>
      <c r="ES94" s="345"/>
      <c r="ET94" s="345"/>
      <c r="EU94" s="345"/>
      <c r="EV94" s="345"/>
      <c r="EW94" s="345"/>
      <c r="EX94" s="345"/>
      <c r="EY94" s="345"/>
      <c r="EZ94" s="345"/>
      <c r="FA94" s="345"/>
      <c r="FB94" s="345"/>
      <c r="FC94" s="345"/>
      <c r="FD94" s="345"/>
      <c r="FE94" s="345"/>
      <c r="FF94" s="345"/>
      <c r="FG94" s="345"/>
      <c r="FH94" s="345"/>
      <c r="FI94" s="345"/>
      <c r="FJ94" s="345"/>
      <c r="FK94" s="345"/>
      <c r="FL94" s="345"/>
      <c r="FM94" s="345"/>
      <c r="FN94" s="345"/>
      <c r="FO94" s="345"/>
      <c r="FP94" s="345"/>
      <c r="FQ94" s="345"/>
      <c r="FR94" s="345"/>
      <c r="FS94" s="345"/>
      <c r="FT94" s="345"/>
      <c r="FU94" s="345"/>
      <c r="FV94" s="345"/>
      <c r="FW94" s="345"/>
      <c r="FX94" s="345"/>
      <c r="FY94" s="345"/>
      <c r="FZ94" s="345"/>
      <c r="GA94" s="345"/>
      <c r="GB94" s="345"/>
      <c r="GC94" s="345"/>
      <c r="GD94" s="345"/>
      <c r="GE94" s="345"/>
      <c r="GF94" s="345"/>
      <c r="GG94" s="345"/>
      <c r="GH94" s="345"/>
      <c r="GI94" s="345"/>
      <c r="GJ94" s="345"/>
      <c r="GK94" s="345"/>
      <c r="GL94" s="345"/>
      <c r="GM94" s="345"/>
      <c r="GN94" s="345"/>
      <c r="GO94" s="345"/>
      <c r="GP94" s="345"/>
      <c r="GQ94" s="345"/>
      <c r="GR94" s="345"/>
      <c r="GS94" s="345"/>
      <c r="GT94" s="345"/>
      <c r="GU94" s="345"/>
    </row>
    <row r="95" spans="1:203" ht="12.75" customHeight="1">
      <c r="A95" s="465">
        <f t="shared" si="95"/>
        <v>2</v>
      </c>
      <c r="B95" s="1108">
        <v>85</v>
      </c>
      <c r="C95" s="1109">
        <v>1</v>
      </c>
      <c r="D95" s="398">
        <v>369.4</v>
      </c>
      <c r="E95" s="1120"/>
      <c r="F95" s="465">
        <f t="shared" si="97"/>
        <v>2</v>
      </c>
      <c r="G95" s="1108">
        <v>85</v>
      </c>
      <c r="H95" s="1109">
        <v>1</v>
      </c>
      <c r="I95" s="398">
        <v>363.1</v>
      </c>
      <c r="J95" s="1120"/>
      <c r="K95" s="465"/>
      <c r="L95" s="465"/>
      <c r="M95" s="465">
        <f t="shared" si="93"/>
        <v>2</v>
      </c>
      <c r="N95" s="1108">
        <v>85</v>
      </c>
      <c r="O95" s="1109">
        <v>-1</v>
      </c>
      <c r="P95" s="398">
        <v>358.2</v>
      </c>
      <c r="Q95" s="1120"/>
      <c r="R95" s="465">
        <f t="shared" si="94"/>
        <v>2</v>
      </c>
      <c r="S95" s="1108">
        <v>85</v>
      </c>
      <c r="T95" s="1109">
        <v>1</v>
      </c>
      <c r="U95" s="1110">
        <v>366.2</v>
      </c>
      <c r="V95" s="1120"/>
      <c r="W95" s="371"/>
      <c r="X95" s="494">
        <f t="shared" si="70"/>
        <v>369.4</v>
      </c>
      <c r="Y95" s="495" t="str">
        <f>IF('Feuilles=description générale'!$E$13="","",IF(X95="","",IF(X95&gt;('Feuilles=description générale'!$E$11+'Feuilles=description générale'!$E$10),"",100*(X95-'Feuilles=description générale'!$E$10)/('Feuilles=description générale'!$E$11))))</f>
        <v/>
      </c>
      <c r="Z95" s="495">
        <f>IF('Feuilles=description générale'!$E$13="","",IF(X95="","",IF(X95&lt;=('Feuilles=description générale'!$E$11+'Feuilles=description générale'!$E$10),"",100*(X95-'Feuilles=description générale'!$E$11-'Feuilles=description générale'!$E$10)/('Feuilles=description générale'!$E$12))))</f>
        <v>87.055684654445301</v>
      </c>
      <c r="AA95" s="1112">
        <f>IF('Feuilles=description générale'!$E$13="","",IF(X95="","",100*(X95-'Feuilles=description générale'!$E$10)/('Feuilles=description générale'!$E$13-'Feuilles=description générale'!$E$10)))</f>
        <v>90.259067357512947</v>
      </c>
      <c r="AB95" s="497">
        <f t="shared" si="71"/>
        <v>1</v>
      </c>
      <c r="AC95" s="500" t="str">
        <f t="shared" si="96"/>
        <v/>
      </c>
      <c r="AD95" s="494" t="str">
        <f t="shared" si="72"/>
        <v/>
      </c>
      <c r="AE95" s="499">
        <f t="shared" si="73"/>
        <v>2.1000000000000227</v>
      </c>
      <c r="AF95" s="371"/>
      <c r="AG95" s="494">
        <f t="shared" si="74"/>
        <v>363.1</v>
      </c>
      <c r="AH95" s="495" t="str">
        <f>IF('Feuilles=description générale'!$E$13="","",IF(AG95="","",IF(AG95&gt;('Feuilles=description générale'!$E$11+'Feuilles=description générale'!$E$10),"",100*(AG95-'Feuilles=description générale'!$E$10)/('Feuilles=description générale'!$E$11))))</f>
        <v/>
      </c>
      <c r="AI95" s="495">
        <f>IF('Feuilles=description générale'!$E$13="","",IF(AG95="","",IF(AG95&lt;=('Feuilles=description générale'!$E$11+'Feuilles=description générale'!$E$10),"",100*(AG95-'Feuilles=description générale'!$E$11-'Feuilles=description générale'!$E$10)/('Feuilles=description générale'!$E$12))))</f>
        <v>84.8868233066529</v>
      </c>
      <c r="AJ95" s="496">
        <f>IF('Feuilles=description générale'!$E$13="","",IF(AG95="","",100*(AG95-'Feuilles=description générale'!$E$10)/('Feuilles=description générale'!$E$13-'Feuilles=description générale'!$E$10)))</f>
        <v>88.626943005181346</v>
      </c>
      <c r="AK95" s="1113">
        <f t="shared" si="75"/>
        <v>1</v>
      </c>
      <c r="AL95" s="498" t="str">
        <f t="shared" si="76"/>
        <v/>
      </c>
      <c r="AM95" s="494" t="str">
        <f t="shared" si="77"/>
        <v/>
      </c>
      <c r="AN95" s="499">
        <f t="shared" si="78"/>
        <v>3.0999999999999659</v>
      </c>
      <c r="AO95" s="371"/>
      <c r="AP95" s="494">
        <f t="shared" si="79"/>
        <v>358.2</v>
      </c>
      <c r="AQ95" s="495" t="str">
        <f>IF('Feuilles=description générale'!$E$13="","",IF(AP95="","",IF(AP95&gt;('Feuilles=description générale'!$E$25+'Feuilles=description générale'!$E$24),"",100*(AP95-'Feuilles=description générale'!$E$24)/('Feuilles=description générale'!$E$25))))</f>
        <v/>
      </c>
      <c r="AR95" s="495">
        <f>IF('Feuilles=description générale'!$E$27="","",IF(AP95="","",IF(AP95&lt;=('Feuilles=description générale'!$E$25+'Feuilles=description générale'!$E$24),"",100*(AP95-'Feuilles=description générale'!$E$25-'Feuilles=description générale'!$E$24)/('Feuilles=description générale'!$E$26))))</f>
        <v>76.66929755327547</v>
      </c>
      <c r="AS95" s="496">
        <f>IF('Feuilles=description générale'!$E$27="","",IF(AP95="","",100*(AP95-'Feuilles=description générale'!$E$24)/('Feuilles=description générale'!$E$27-'Feuilles=description générale'!$E$24)))</f>
        <v>81.935956978733799</v>
      </c>
      <c r="AT95" s="497">
        <f t="shared" si="80"/>
        <v>2</v>
      </c>
      <c r="AU95" s="500">
        <f t="shared" si="81"/>
        <v>2</v>
      </c>
      <c r="AV95" s="494">
        <f t="shared" si="82"/>
        <v>3.8000000000000114</v>
      </c>
      <c r="AW95" s="499" t="str">
        <f t="shared" si="83"/>
        <v/>
      </c>
      <c r="AX95" s="371"/>
      <c r="AY95" s="494">
        <f t="shared" si="84"/>
        <v>366.2</v>
      </c>
      <c r="AZ95" s="495" t="str">
        <f>IF('Feuilles=description générale'!$E$13="","",IF(AY95="","",IF(AY95&gt;('Feuilles=description générale'!$E$25+'Feuilles=description générale'!$E$24),"",100*(AY95-'Feuilles=description générale'!$E$24)/('Feuilles=description générale'!$E$25))))</f>
        <v/>
      </c>
      <c r="BA95" s="495">
        <f>IF('Feuilles=description générale'!$E$27="","",IF(AY95="","",IF(AY95&lt;=('Feuilles=description générale'!$E$25+'Feuilles=description générale'!$E$24),"",100*(AY95-'Feuilles=description générale'!$E$25-'Feuilles=description générale'!$E$24)/('Feuilles=description générale'!$E$26))))</f>
        <v>79.194948697711141</v>
      </c>
      <c r="BB95" s="496">
        <f>IF('Feuilles=description générale'!$E$27="","",IF(AY95="","",100*(AY95-'Feuilles=description générale'!$E$24)/('Feuilles=description générale'!$E$27-'Feuilles=description générale'!$E$24)))</f>
        <v>83.891469078464922</v>
      </c>
      <c r="BC95" s="497">
        <f t="shared" si="85"/>
        <v>1</v>
      </c>
      <c r="BD95" s="500" t="str">
        <f t="shared" si="86"/>
        <v/>
      </c>
      <c r="BE95" s="494" t="str">
        <f t="shared" si="87"/>
        <v/>
      </c>
      <c r="BF95" s="499">
        <f t="shared" si="88"/>
        <v>1.4000000000000341</v>
      </c>
      <c r="BG95" s="476"/>
      <c r="BH95" s="553"/>
      <c r="BI95" s="553"/>
      <c r="BJ95" s="553"/>
      <c r="BK95" s="553"/>
      <c r="BL95" s="553"/>
      <c r="BM95" s="554"/>
      <c r="BN95" s="554"/>
      <c r="BO95" s="554"/>
      <c r="BP95" s="554"/>
      <c r="BQ95" s="554"/>
      <c r="BR95" s="554"/>
      <c r="BS95" s="554"/>
      <c r="BT95" s="554"/>
      <c r="BU95" s="568"/>
      <c r="BV95" s="1114" t="str">
        <f t="shared" si="89"/>
        <v/>
      </c>
      <c r="BW95" s="1114">
        <f t="shared" si="89"/>
        <v>4.4100000000000952</v>
      </c>
      <c r="BX95" s="1114" t="str">
        <f t="shared" si="90"/>
        <v/>
      </c>
      <c r="BY95" s="1115">
        <f t="shared" si="90"/>
        <v>9.609999999999788</v>
      </c>
      <c r="BZ95" s="477"/>
      <c r="CA95" s="1114">
        <f t="shared" si="91"/>
        <v>14.440000000000087</v>
      </c>
      <c r="CB95" s="1114" t="str">
        <f t="shared" si="91"/>
        <v/>
      </c>
      <c r="CC95" s="1114" t="str">
        <f t="shared" si="92"/>
        <v/>
      </c>
      <c r="CD95" s="1115">
        <f t="shared" si="92"/>
        <v>1.9600000000000954</v>
      </c>
      <c r="CE95" s="568"/>
      <c r="CF95" s="553"/>
      <c r="CG95" s="553"/>
      <c r="CH95" s="553"/>
      <c r="CI95" s="553"/>
      <c r="CJ95" s="553"/>
      <c r="CK95" s="554"/>
      <c r="CL95" s="554"/>
      <c r="CM95" s="554"/>
      <c r="CN95" s="554"/>
      <c r="CO95" s="554"/>
      <c r="CP95" s="554"/>
      <c r="CQ95" s="554"/>
      <c r="CR95" s="554"/>
      <c r="CS95" s="554"/>
      <c r="CT95" s="554"/>
      <c r="CU95" s="554"/>
      <c r="CV95" s="476"/>
      <c r="CW95" s="345"/>
      <c r="CX95" s="345"/>
      <c r="CY95" s="345"/>
      <c r="CZ95" s="345"/>
      <c r="DA95" s="345"/>
      <c r="DB95" s="345"/>
      <c r="DC95" s="345"/>
      <c r="DD95" s="345"/>
      <c r="DE95" s="345"/>
      <c r="DF95" s="345"/>
      <c r="DG95" s="345"/>
      <c r="DH95" s="345"/>
      <c r="DI95" s="345"/>
      <c r="DJ95" s="345"/>
      <c r="DK95" s="345"/>
      <c r="DL95" s="345"/>
      <c r="DM95" s="345"/>
      <c r="DN95" s="345"/>
      <c r="DO95" s="345"/>
      <c r="DP95" s="345"/>
      <c r="DQ95" s="345"/>
      <c r="DR95" s="345"/>
      <c r="DS95" s="345"/>
      <c r="DT95" s="345"/>
      <c r="DU95" s="345"/>
      <c r="DV95" s="345"/>
      <c r="DW95" s="345"/>
      <c r="DX95" s="345"/>
      <c r="DY95" s="345"/>
      <c r="DZ95" s="345"/>
      <c r="EA95" s="345"/>
      <c r="EB95" s="345"/>
      <c r="EC95" s="345"/>
      <c r="ED95" s="345"/>
      <c r="EE95" s="345"/>
      <c r="EF95" s="345"/>
      <c r="EG95" s="345"/>
      <c r="EH95" s="345"/>
      <c r="EI95" s="345"/>
      <c r="EJ95" s="345"/>
      <c r="EK95" s="345"/>
      <c r="EL95" s="345"/>
      <c r="EM95" s="345"/>
      <c r="EN95" s="345"/>
      <c r="EO95" s="345"/>
      <c r="EP95" s="345"/>
      <c r="EQ95" s="345"/>
      <c r="ER95" s="345"/>
      <c r="ES95" s="345"/>
      <c r="ET95" s="345"/>
      <c r="EU95" s="345"/>
      <c r="EV95" s="345"/>
      <c r="EW95" s="345"/>
      <c r="EX95" s="345"/>
      <c r="EY95" s="345"/>
      <c r="EZ95" s="345"/>
      <c r="FA95" s="345"/>
      <c r="FB95" s="345"/>
      <c r="FC95" s="345"/>
      <c r="FD95" s="345"/>
      <c r="FE95" s="345"/>
      <c r="FF95" s="345"/>
      <c r="FG95" s="345"/>
      <c r="FH95" s="345"/>
      <c r="FI95" s="345"/>
      <c r="FJ95" s="345"/>
      <c r="FK95" s="345"/>
      <c r="FL95" s="345"/>
      <c r="FM95" s="345"/>
      <c r="FN95" s="345"/>
      <c r="FO95" s="345"/>
      <c r="FP95" s="345"/>
      <c r="FQ95" s="345"/>
      <c r="FR95" s="345"/>
      <c r="FS95" s="345"/>
      <c r="FT95" s="345"/>
      <c r="FU95" s="345"/>
      <c r="FV95" s="345"/>
      <c r="FW95" s="345"/>
      <c r="FX95" s="345"/>
      <c r="FY95" s="345"/>
      <c r="FZ95" s="345"/>
      <c r="GA95" s="345"/>
      <c r="GB95" s="345"/>
      <c r="GC95" s="345"/>
      <c r="GD95" s="345"/>
      <c r="GE95" s="345"/>
      <c r="GF95" s="345"/>
      <c r="GG95" s="345"/>
      <c r="GH95" s="345"/>
      <c r="GI95" s="345"/>
      <c r="GJ95" s="345"/>
      <c r="GK95" s="345"/>
      <c r="GL95" s="345"/>
      <c r="GM95" s="345"/>
      <c r="GN95" s="345"/>
      <c r="GO95" s="345"/>
      <c r="GP95" s="345"/>
      <c r="GQ95" s="345"/>
      <c r="GR95" s="345"/>
      <c r="GS95" s="345"/>
      <c r="GT95" s="345"/>
      <c r="GU95" s="345"/>
    </row>
    <row r="96" spans="1:203" ht="12.75" customHeight="1">
      <c r="A96" s="465">
        <f t="shared" si="95"/>
        <v>2</v>
      </c>
      <c r="B96" s="1108">
        <v>86</v>
      </c>
      <c r="C96" s="1109">
        <v>-1</v>
      </c>
      <c r="D96" s="398">
        <v>371.5</v>
      </c>
      <c r="E96" s="1120"/>
      <c r="F96" s="465">
        <f t="shared" si="97"/>
        <v>2</v>
      </c>
      <c r="G96" s="1108">
        <v>86</v>
      </c>
      <c r="H96" s="1109">
        <v>0</v>
      </c>
      <c r="I96" s="398">
        <v>366.2</v>
      </c>
      <c r="J96" s="1120"/>
      <c r="K96" s="465"/>
      <c r="L96" s="465"/>
      <c r="M96" s="465">
        <f t="shared" si="93"/>
        <v>2</v>
      </c>
      <c r="N96" s="1108">
        <v>86</v>
      </c>
      <c r="O96" s="1109">
        <v>1</v>
      </c>
      <c r="P96" s="398">
        <v>362</v>
      </c>
      <c r="Q96" s="1120"/>
      <c r="R96" s="465">
        <f t="shared" si="94"/>
        <v>2</v>
      </c>
      <c r="S96" s="1108">
        <v>86</v>
      </c>
      <c r="T96" s="1109">
        <v>-1</v>
      </c>
      <c r="U96" s="1110">
        <v>367.6</v>
      </c>
      <c r="V96" s="1120"/>
      <c r="W96" s="371"/>
      <c r="X96" s="494">
        <f t="shared" si="70"/>
        <v>371.5</v>
      </c>
      <c r="Y96" s="495" t="str">
        <f>IF('Feuilles=description générale'!$E$13="","",IF(X96="","",IF(X96&gt;('Feuilles=description générale'!$E$11+'Feuilles=description générale'!$E$10),"",100*(X96-'Feuilles=description générale'!$E$10)/('Feuilles=description générale'!$E$11))))</f>
        <v/>
      </c>
      <c r="Z96" s="495">
        <f>IF('Feuilles=description générale'!$E$13="","",IF(X96="","",IF(X96&lt;=('Feuilles=description générale'!$E$11+'Feuilles=description générale'!$E$10),"",100*(X96-'Feuilles=description générale'!$E$11-'Feuilles=description générale'!$E$10)/('Feuilles=description générale'!$E$12))))</f>
        <v>87.778638437042787</v>
      </c>
      <c r="AA96" s="1112">
        <f>IF('Feuilles=description générale'!$E$13="","",IF(X96="","",100*(X96-'Feuilles=description générale'!$E$10)/('Feuilles=description générale'!$E$13-'Feuilles=description générale'!$E$10)))</f>
        <v>90.803108808290162</v>
      </c>
      <c r="AB96" s="497">
        <f t="shared" si="71"/>
        <v>2</v>
      </c>
      <c r="AC96" s="500">
        <f t="shared" si="96"/>
        <v>2</v>
      </c>
      <c r="AD96" s="494">
        <f t="shared" si="72"/>
        <v>3.8000000000000114</v>
      </c>
      <c r="AE96" s="499" t="str">
        <f t="shared" si="73"/>
        <v/>
      </c>
      <c r="AF96" s="371"/>
      <c r="AG96" s="494">
        <f t="shared" si="74"/>
        <v>366.2</v>
      </c>
      <c r="AH96" s="495" t="str">
        <f>IF('Feuilles=description générale'!$E$13="","",IF(AG96="","",IF(AG96&gt;('Feuilles=description générale'!$E$11+'Feuilles=description générale'!$E$10),"",100*(AG96-'Feuilles=description générale'!$E$10)/('Feuilles=description générale'!$E$11))))</f>
        <v/>
      </c>
      <c r="AI96" s="495">
        <f>IF('Feuilles=description générale'!$E$13="","",IF(AG96="","",IF(AG96&lt;=('Feuilles=description générale'!$E$11+'Feuilles=description générale'!$E$10),"",100*(AG96-'Feuilles=description générale'!$E$11-'Feuilles=description générale'!$E$10)/('Feuilles=description générale'!$E$12))))</f>
        <v>85.954040795249156</v>
      </c>
      <c r="AJ96" s="496">
        <f>IF('Feuilles=description générale'!$E$13="","",IF(AG96="","",100*(AG96-'Feuilles=description générale'!$E$10)/('Feuilles=description générale'!$E$13-'Feuilles=description générale'!$E$10)))</f>
        <v>89.430051813471508</v>
      </c>
      <c r="AK96" s="1113">
        <f t="shared" si="75"/>
        <v>2</v>
      </c>
      <c r="AL96" s="498" t="str">
        <f t="shared" si="76"/>
        <v/>
      </c>
      <c r="AM96" s="494" t="str">
        <f t="shared" si="77"/>
        <v/>
      </c>
      <c r="AN96" s="499">
        <f t="shared" si="78"/>
        <v>2</v>
      </c>
      <c r="AO96" s="371"/>
      <c r="AP96" s="494">
        <f t="shared" si="79"/>
        <v>362</v>
      </c>
      <c r="AQ96" s="495" t="str">
        <f>IF('Feuilles=description générale'!$E$13="","",IF(AP96="","",IF(AP96&gt;('Feuilles=description générale'!$E$25+'Feuilles=description générale'!$E$24),"",100*(AP96-'Feuilles=description générale'!$E$24)/('Feuilles=description générale'!$E$25))))</f>
        <v/>
      </c>
      <c r="AR96" s="495">
        <f>IF('Feuilles=description générale'!$E$27="","",IF(AP96="","",IF(AP96&lt;=('Feuilles=description générale'!$E$25+'Feuilles=description générale'!$E$24),"",100*(AP96-'Feuilles=description générale'!$E$25-'Feuilles=description générale'!$E$24)/('Feuilles=description générale'!$E$26))))</f>
        <v>77.868981846882392</v>
      </c>
      <c r="AS96" s="496">
        <f>IF('Feuilles=description générale'!$E$27="","",IF(AP96="","",100*(AP96-'Feuilles=description générale'!$E$24)/('Feuilles=description générale'!$E$27-'Feuilles=description générale'!$E$24)))</f>
        <v>82.864825226106078</v>
      </c>
      <c r="AT96" s="497">
        <f t="shared" si="80"/>
        <v>1</v>
      </c>
      <c r="AU96" s="500" t="str">
        <f t="shared" si="81"/>
        <v/>
      </c>
      <c r="AV96" s="494" t="str">
        <f t="shared" si="82"/>
        <v/>
      </c>
      <c r="AW96" s="499">
        <f t="shared" si="83"/>
        <v>2.1999999999999886</v>
      </c>
      <c r="AX96" s="371"/>
      <c r="AY96" s="494">
        <f t="shared" si="84"/>
        <v>367.6</v>
      </c>
      <c r="AZ96" s="495" t="str">
        <f>IF('Feuilles=description générale'!$E$13="","",IF(AY96="","",IF(AY96&gt;('Feuilles=description générale'!$E$25+'Feuilles=description générale'!$E$24),"",100*(AY96-'Feuilles=description générale'!$E$24)/('Feuilles=description générale'!$E$25))))</f>
        <v/>
      </c>
      <c r="BA96" s="495">
        <f>IF('Feuilles=description générale'!$E$27="","",IF(AY96="","",IF(AY96&lt;=('Feuilles=description générale'!$E$25+'Feuilles=description générale'!$E$24),"",100*(AY96-'Feuilles=description générale'!$E$25-'Feuilles=description générale'!$E$24)/('Feuilles=description générale'!$E$26))))</f>
        <v>79.636937647987367</v>
      </c>
      <c r="BB96" s="496">
        <f>IF('Feuilles=description générale'!$E$27="","",IF(AY96="","",100*(AY96-'Feuilles=description générale'!$E$24)/('Feuilles=description générale'!$E$27-'Feuilles=description générale'!$E$24)))</f>
        <v>84.233683695917861</v>
      </c>
      <c r="BC96" s="497">
        <f t="shared" si="85"/>
        <v>2</v>
      </c>
      <c r="BD96" s="500">
        <f t="shared" si="86"/>
        <v>2</v>
      </c>
      <c r="BE96" s="494">
        <f t="shared" si="87"/>
        <v>4</v>
      </c>
      <c r="BF96" s="499" t="str">
        <f t="shared" si="88"/>
        <v/>
      </c>
      <c r="BG96" s="476"/>
      <c r="BH96" s="555"/>
      <c r="BI96" s="555"/>
      <c r="BJ96" s="555"/>
      <c r="BK96" s="557"/>
      <c r="BL96" s="557"/>
      <c r="BM96" s="555"/>
      <c r="BN96" s="555"/>
      <c r="BO96" s="555"/>
      <c r="BP96" s="557"/>
      <c r="BQ96" s="557"/>
      <c r="BR96" s="554"/>
      <c r="BS96" s="554"/>
      <c r="BT96" s="554"/>
      <c r="BU96" s="568"/>
      <c r="BV96" s="1114">
        <f t="shared" si="89"/>
        <v>14.440000000000087</v>
      </c>
      <c r="BW96" s="1114" t="str">
        <f t="shared" si="89"/>
        <v/>
      </c>
      <c r="BX96" s="1114" t="str">
        <f t="shared" si="90"/>
        <v/>
      </c>
      <c r="BY96" s="1115">
        <f t="shared" si="90"/>
        <v>4</v>
      </c>
      <c r="BZ96" s="477"/>
      <c r="CA96" s="1114" t="str">
        <f t="shared" si="91"/>
        <v/>
      </c>
      <c r="CB96" s="1114">
        <f t="shared" si="91"/>
        <v>4.8399999999999501</v>
      </c>
      <c r="CC96" s="1114">
        <f t="shared" si="92"/>
        <v>16</v>
      </c>
      <c r="CD96" s="1115" t="str">
        <f t="shared" si="92"/>
        <v/>
      </c>
      <c r="CE96" s="568"/>
      <c r="CF96" s="555"/>
      <c r="CG96" s="555"/>
      <c r="CH96" s="555"/>
      <c r="CI96" s="557"/>
      <c r="CJ96" s="557"/>
      <c r="CK96" s="565"/>
      <c r="CL96" s="555"/>
      <c r="CM96" s="555"/>
      <c r="CN96" s="555"/>
      <c r="CO96" s="557"/>
      <c r="CP96" s="557"/>
      <c r="CQ96" s="554"/>
      <c r="CR96" s="554"/>
      <c r="CS96" s="554"/>
      <c r="CT96" s="554"/>
      <c r="CU96" s="554"/>
      <c r="CV96" s="476"/>
      <c r="CW96" s="345"/>
      <c r="CX96" s="345"/>
      <c r="CY96" s="345"/>
      <c r="CZ96" s="345"/>
      <c r="DA96" s="345"/>
      <c r="DB96" s="345"/>
      <c r="DC96" s="345"/>
      <c r="DD96" s="345"/>
      <c r="DE96" s="345"/>
      <c r="DF96" s="345"/>
      <c r="DG96" s="345"/>
      <c r="DH96" s="345"/>
      <c r="DI96" s="345"/>
      <c r="DJ96" s="345"/>
      <c r="DK96" s="345"/>
      <c r="DL96" s="345"/>
      <c r="DM96" s="345"/>
      <c r="DN96" s="345"/>
      <c r="DO96" s="345"/>
      <c r="DP96" s="345"/>
      <c r="DQ96" s="345"/>
      <c r="DR96" s="345"/>
      <c r="DS96" s="345"/>
      <c r="DT96" s="345"/>
      <c r="DU96" s="345"/>
      <c r="DV96" s="345"/>
      <c r="DW96" s="345"/>
      <c r="DX96" s="345"/>
      <c r="DY96" s="345"/>
      <c r="DZ96" s="345"/>
      <c r="EA96" s="345"/>
      <c r="EB96" s="345"/>
      <c r="EC96" s="345"/>
      <c r="ED96" s="345"/>
      <c r="EE96" s="345"/>
      <c r="EF96" s="345"/>
      <c r="EG96" s="345"/>
      <c r="EH96" s="345"/>
      <c r="EI96" s="345"/>
      <c r="EJ96" s="345"/>
      <c r="EK96" s="345"/>
      <c r="EL96" s="345"/>
      <c r="EM96" s="345"/>
      <c r="EN96" s="345"/>
      <c r="EO96" s="345"/>
      <c r="EP96" s="345"/>
      <c r="EQ96" s="345"/>
      <c r="ER96" s="345"/>
      <c r="ES96" s="345"/>
      <c r="ET96" s="345"/>
      <c r="EU96" s="345"/>
      <c r="EV96" s="345"/>
      <c r="EW96" s="345"/>
      <c r="EX96" s="345"/>
      <c r="EY96" s="345"/>
      <c r="EZ96" s="345"/>
      <c r="FA96" s="345"/>
      <c r="FB96" s="345"/>
      <c r="FC96" s="345"/>
      <c r="FD96" s="345"/>
      <c r="FE96" s="345"/>
      <c r="FF96" s="345"/>
      <c r="FG96" s="345"/>
      <c r="FH96" s="345"/>
      <c r="FI96" s="345"/>
      <c r="FJ96" s="345"/>
      <c r="FK96" s="345"/>
      <c r="FL96" s="345"/>
      <c r="FM96" s="345"/>
      <c r="FN96" s="345"/>
      <c r="FO96" s="345"/>
      <c r="FP96" s="345"/>
      <c r="FQ96" s="345"/>
      <c r="FR96" s="345"/>
      <c r="FS96" s="345"/>
      <c r="FT96" s="345"/>
      <c r="FU96" s="345"/>
      <c r="FV96" s="345"/>
      <c r="FW96" s="345"/>
      <c r="FX96" s="345"/>
      <c r="FY96" s="345"/>
      <c r="FZ96" s="345"/>
      <c r="GA96" s="345"/>
      <c r="GB96" s="345"/>
      <c r="GC96" s="345"/>
      <c r="GD96" s="345"/>
      <c r="GE96" s="345"/>
      <c r="GF96" s="345"/>
      <c r="GG96" s="345"/>
      <c r="GH96" s="345"/>
      <c r="GI96" s="345"/>
      <c r="GJ96" s="345"/>
      <c r="GK96" s="345"/>
      <c r="GL96" s="345"/>
      <c r="GM96" s="345"/>
      <c r="GN96" s="345"/>
      <c r="GO96" s="345"/>
      <c r="GP96" s="345"/>
      <c r="GQ96" s="345"/>
      <c r="GR96" s="345"/>
      <c r="GS96" s="345"/>
      <c r="GT96" s="345"/>
      <c r="GU96" s="345"/>
    </row>
    <row r="97" spans="1:203" ht="12.75" customHeight="1">
      <c r="A97" s="465">
        <f t="shared" si="95"/>
        <v>2</v>
      </c>
      <c r="B97" s="1108">
        <v>87</v>
      </c>
      <c r="C97" s="1109">
        <v>0</v>
      </c>
      <c r="D97" s="398">
        <v>375.3</v>
      </c>
      <c r="E97" s="1120"/>
      <c r="F97" s="465">
        <f t="shared" si="97"/>
        <v>2</v>
      </c>
      <c r="G97" s="1108">
        <v>87</v>
      </c>
      <c r="H97" s="1109">
        <v>-1</v>
      </c>
      <c r="I97" s="398">
        <v>368.2</v>
      </c>
      <c r="J97" s="1120"/>
      <c r="K97" s="465"/>
      <c r="L97" s="465"/>
      <c r="M97" s="465">
        <f t="shared" si="93"/>
        <v>2</v>
      </c>
      <c r="N97" s="1108">
        <v>87</v>
      </c>
      <c r="O97" s="1109">
        <v>0</v>
      </c>
      <c r="P97" s="398">
        <v>364.2</v>
      </c>
      <c r="Q97" s="1120"/>
      <c r="R97" s="465">
        <f t="shared" si="94"/>
        <v>2</v>
      </c>
      <c r="S97" s="1108">
        <v>87</v>
      </c>
      <c r="T97" s="1109">
        <v>1</v>
      </c>
      <c r="U97" s="1110">
        <v>371.6</v>
      </c>
      <c r="V97" s="1120"/>
      <c r="W97" s="371"/>
      <c r="X97" s="494">
        <f t="shared" si="70"/>
        <v>375.3</v>
      </c>
      <c r="Y97" s="495" t="str">
        <f>IF('Feuilles=description générale'!$E$13="","",IF(X97="","",IF(X97&gt;('Feuilles=description générale'!$E$11+'Feuilles=description générale'!$E$10),"",100*(X97-'Feuilles=description générale'!$E$10)/('Feuilles=description générale'!$E$11))))</f>
        <v/>
      </c>
      <c r="Z97" s="495">
        <f>IF('Feuilles=description générale'!$E$13="","",IF(X97="","",IF(X97&lt;=('Feuilles=description générale'!$E$11+'Feuilles=description générale'!$E$10),"",100*(X97-'Feuilles=description générale'!$E$11-'Feuilles=description générale'!$E$10)/('Feuilles=description générale'!$E$12))))</f>
        <v>89.086840519838205</v>
      </c>
      <c r="AA97" s="1112">
        <f>IF('Feuilles=description générale'!$E$13="","",IF(X97="","",100*(X97-'Feuilles=description générale'!$E$10)/('Feuilles=description générale'!$E$13-'Feuilles=description générale'!$E$10)))</f>
        <v>91.787564766839381</v>
      </c>
      <c r="AB97" s="497">
        <f t="shared" si="71"/>
        <v>1</v>
      </c>
      <c r="AC97" s="500">
        <f t="shared" si="96"/>
        <v>1</v>
      </c>
      <c r="AD97" s="494">
        <f t="shared" si="72"/>
        <v>2.6999999999999886</v>
      </c>
      <c r="AE97" s="499" t="str">
        <f t="shared" si="73"/>
        <v/>
      </c>
      <c r="AF97" s="371"/>
      <c r="AG97" s="494">
        <f t="shared" si="74"/>
        <v>368.2</v>
      </c>
      <c r="AH97" s="495" t="str">
        <f>IF('Feuilles=description générale'!$E$13="","",IF(AG97="","",IF(AG97&gt;('Feuilles=description générale'!$E$11+'Feuilles=description générale'!$E$10),"",100*(AG97-'Feuilles=description générale'!$E$10)/('Feuilles=description générale'!$E$11))))</f>
        <v/>
      </c>
      <c r="AI97" s="495">
        <f>IF('Feuilles=description générale'!$E$13="","",IF(AG97="","",IF(AG97&lt;=('Feuilles=description générale'!$E$11+'Feuilles=description générale'!$E$10),"",100*(AG97-'Feuilles=description générale'!$E$11-'Feuilles=description générale'!$E$10)/('Feuilles=description générale'!$E$12))))</f>
        <v>86.64256820724674</v>
      </c>
      <c r="AJ97" s="496">
        <f>IF('Feuilles=description générale'!$E$13="","",IF(AG97="","",100*(AG97-'Feuilles=description générale'!$E$10)/('Feuilles=description générale'!$E$13-'Feuilles=description générale'!$E$10)))</f>
        <v>89.948186528497416</v>
      </c>
      <c r="AK97" s="1113">
        <f t="shared" si="75"/>
        <v>3</v>
      </c>
      <c r="AL97" s="498">
        <f t="shared" si="76"/>
        <v>3</v>
      </c>
      <c r="AM97" s="494">
        <f t="shared" si="77"/>
        <v>4.6000000000000227</v>
      </c>
      <c r="AN97" s="499" t="str">
        <f t="shared" si="78"/>
        <v/>
      </c>
      <c r="AO97" s="371"/>
      <c r="AP97" s="494">
        <f t="shared" si="79"/>
        <v>364.2</v>
      </c>
      <c r="AQ97" s="495" t="str">
        <f>IF('Feuilles=description générale'!$E$13="","",IF(AP97="","",IF(AP97&gt;('Feuilles=description générale'!$E$25+'Feuilles=description générale'!$E$24),"",100*(AP97-'Feuilles=description générale'!$E$24)/('Feuilles=description générale'!$E$25))))</f>
        <v/>
      </c>
      <c r="AR97" s="495">
        <f>IF('Feuilles=description générale'!$E$27="","",IF(AP97="","",IF(AP97&lt;=('Feuilles=description générale'!$E$25+'Feuilles=description générale'!$E$24),"",100*(AP97-'Feuilles=description générale'!$E$25-'Feuilles=description générale'!$E$24)/('Feuilles=description générale'!$E$26))))</f>
        <v>78.563535911602216</v>
      </c>
      <c r="AS97" s="496">
        <f>IF('Feuilles=description générale'!$E$27="","",IF(AP97="","",100*(AP97-'Feuilles=description générale'!$E$24)/('Feuilles=description générale'!$E$27-'Feuilles=description générale'!$E$24)))</f>
        <v>83.402591053532134</v>
      </c>
      <c r="AT97" s="497">
        <f t="shared" si="80"/>
        <v>2</v>
      </c>
      <c r="AU97" s="500" t="str">
        <f t="shared" si="81"/>
        <v/>
      </c>
      <c r="AV97" s="494" t="str">
        <f t="shared" si="82"/>
        <v/>
      </c>
      <c r="AW97" s="499">
        <f t="shared" si="83"/>
        <v>1</v>
      </c>
      <c r="AX97" s="371"/>
      <c r="AY97" s="494">
        <f t="shared" si="84"/>
        <v>371.6</v>
      </c>
      <c r="AZ97" s="495" t="str">
        <f>IF('Feuilles=description générale'!$E$13="","",IF(AY97="","",IF(AY97&gt;('Feuilles=description générale'!$E$25+'Feuilles=description générale'!$E$24),"",100*(AY97-'Feuilles=description générale'!$E$24)/('Feuilles=description générale'!$E$25))))</f>
        <v/>
      </c>
      <c r="BA97" s="495">
        <f>IF('Feuilles=description générale'!$E$27="","",IF(AY97="","",IF(AY97&lt;=('Feuilles=description générale'!$E$25+'Feuilles=description générale'!$E$24),"",100*(AY97-'Feuilles=description générale'!$E$25-'Feuilles=description générale'!$E$24)/('Feuilles=description générale'!$E$26))))</f>
        <v>80.899763220205216</v>
      </c>
      <c r="BB97" s="496">
        <f>IF('Feuilles=description générale'!$E$27="","",IF(AY97="","",100*(AY97-'Feuilles=description générale'!$E$24)/('Feuilles=description générale'!$E$27-'Feuilles=description générale'!$E$24)))</f>
        <v>85.211439745783423</v>
      </c>
      <c r="BC97" s="497">
        <f t="shared" si="85"/>
        <v>1</v>
      </c>
      <c r="BD97" s="500" t="str">
        <f t="shared" si="86"/>
        <v/>
      </c>
      <c r="BE97" s="494" t="str">
        <f t="shared" si="87"/>
        <v/>
      </c>
      <c r="BF97" s="499">
        <f t="shared" si="88"/>
        <v>1.1999999999999886</v>
      </c>
      <c r="BG97" s="476"/>
      <c r="BH97" s="558"/>
      <c r="BI97" s="558"/>
      <c r="BJ97" s="558"/>
      <c r="BK97" s="558"/>
      <c r="BL97" s="558"/>
      <c r="BM97" s="558"/>
      <c r="BN97" s="558"/>
      <c r="BO97" s="558"/>
      <c r="BP97" s="558"/>
      <c r="BQ97" s="558"/>
      <c r="BR97" s="558"/>
      <c r="BS97" s="554"/>
      <c r="BT97" s="554"/>
      <c r="BU97" s="568"/>
      <c r="BV97" s="1114">
        <f t="shared" si="89"/>
        <v>7.2899999999999388</v>
      </c>
      <c r="BW97" s="1114" t="str">
        <f t="shared" si="89"/>
        <v/>
      </c>
      <c r="BX97" s="1114">
        <f t="shared" si="90"/>
        <v>21.16000000000021</v>
      </c>
      <c r="BY97" s="1115" t="str">
        <f t="shared" si="90"/>
        <v/>
      </c>
      <c r="BZ97" s="477"/>
      <c r="CA97" s="1114" t="str">
        <f t="shared" si="91"/>
        <v/>
      </c>
      <c r="CB97" s="1114">
        <f t="shared" si="91"/>
        <v>1</v>
      </c>
      <c r="CC97" s="1114" t="str">
        <f t="shared" si="92"/>
        <v/>
      </c>
      <c r="CD97" s="1115">
        <f t="shared" si="92"/>
        <v>1.4399999999999726</v>
      </c>
      <c r="CE97" s="568"/>
      <c r="CF97" s="558"/>
      <c r="CG97" s="558"/>
      <c r="CH97" s="558"/>
      <c r="CI97" s="558"/>
      <c r="CJ97" s="558"/>
      <c r="CK97" s="558"/>
      <c r="CL97" s="558"/>
      <c r="CM97" s="558"/>
      <c r="CN97" s="558"/>
      <c r="CO97" s="558"/>
      <c r="CP97" s="558"/>
      <c r="CQ97" s="554"/>
      <c r="CR97" s="554"/>
      <c r="CS97" s="554"/>
      <c r="CT97" s="554"/>
      <c r="CU97" s="554"/>
      <c r="CV97" s="476"/>
      <c r="CW97" s="345"/>
      <c r="CX97" s="345"/>
      <c r="CY97" s="345"/>
      <c r="CZ97" s="345"/>
      <c r="DA97" s="345"/>
      <c r="DB97" s="345"/>
      <c r="DC97" s="345"/>
      <c r="DD97" s="345"/>
      <c r="DE97" s="345"/>
      <c r="DF97" s="345"/>
      <c r="DG97" s="345"/>
      <c r="DH97" s="345"/>
      <c r="DI97" s="345"/>
      <c r="DJ97" s="345"/>
      <c r="DK97" s="345"/>
      <c r="DL97" s="345"/>
      <c r="DM97" s="345"/>
      <c r="DN97" s="345"/>
      <c r="DO97" s="345"/>
      <c r="DP97" s="345"/>
      <c r="DQ97" s="345"/>
      <c r="DR97" s="345"/>
      <c r="DS97" s="345"/>
      <c r="DT97" s="345"/>
      <c r="DU97" s="345"/>
      <c r="DV97" s="345"/>
      <c r="DW97" s="345"/>
      <c r="DX97" s="345"/>
      <c r="DY97" s="345"/>
      <c r="DZ97" s="345"/>
      <c r="EA97" s="345"/>
      <c r="EB97" s="345"/>
      <c r="EC97" s="345"/>
      <c r="ED97" s="345"/>
      <c r="EE97" s="345"/>
      <c r="EF97" s="345"/>
      <c r="EG97" s="345"/>
      <c r="EH97" s="345"/>
      <c r="EI97" s="345"/>
      <c r="EJ97" s="345"/>
      <c r="EK97" s="345"/>
      <c r="EL97" s="345"/>
      <c r="EM97" s="345"/>
      <c r="EN97" s="345"/>
      <c r="EO97" s="345"/>
      <c r="EP97" s="345"/>
      <c r="EQ97" s="345"/>
      <c r="ER97" s="345"/>
      <c r="ES97" s="345"/>
      <c r="ET97" s="345"/>
      <c r="EU97" s="345"/>
      <c r="EV97" s="345"/>
      <c r="EW97" s="345"/>
      <c r="EX97" s="345"/>
      <c r="EY97" s="345"/>
      <c r="EZ97" s="345"/>
      <c r="FA97" s="345"/>
      <c r="FB97" s="345"/>
      <c r="FC97" s="345"/>
      <c r="FD97" s="345"/>
      <c r="FE97" s="345"/>
      <c r="FF97" s="345"/>
      <c r="FG97" s="345"/>
      <c r="FH97" s="345"/>
      <c r="FI97" s="345"/>
      <c r="FJ97" s="345"/>
      <c r="FK97" s="345"/>
      <c r="FL97" s="345"/>
      <c r="FM97" s="345"/>
      <c r="FN97" s="345"/>
      <c r="FO97" s="345"/>
      <c r="FP97" s="345"/>
      <c r="FQ97" s="345"/>
      <c r="FR97" s="345"/>
      <c r="FS97" s="345"/>
      <c r="FT97" s="345"/>
      <c r="FU97" s="345"/>
      <c r="FV97" s="345"/>
      <c r="FW97" s="345"/>
      <c r="FX97" s="345"/>
      <c r="FY97" s="345"/>
      <c r="FZ97" s="345"/>
      <c r="GA97" s="345"/>
      <c r="GB97" s="345"/>
      <c r="GC97" s="345"/>
      <c r="GD97" s="345"/>
      <c r="GE97" s="345"/>
      <c r="GF97" s="345"/>
      <c r="GG97" s="345"/>
      <c r="GH97" s="345"/>
      <c r="GI97" s="345"/>
      <c r="GJ97" s="345"/>
      <c r="GK97" s="345"/>
      <c r="GL97" s="345"/>
      <c r="GM97" s="345"/>
      <c r="GN97" s="345"/>
      <c r="GO97" s="345"/>
      <c r="GP97" s="345"/>
      <c r="GQ97" s="345"/>
      <c r="GR97" s="345"/>
      <c r="GS97" s="345"/>
      <c r="GT97" s="345"/>
      <c r="GU97" s="345"/>
    </row>
    <row r="98" spans="1:203" ht="12.75" customHeight="1">
      <c r="A98" s="465">
        <f t="shared" si="95"/>
        <v>2</v>
      </c>
      <c r="B98" s="1108">
        <v>88</v>
      </c>
      <c r="C98" s="1109">
        <v>1</v>
      </c>
      <c r="D98" s="398">
        <v>378</v>
      </c>
      <c r="E98" s="1120"/>
      <c r="F98" s="465">
        <f t="shared" si="97"/>
        <v>2</v>
      </c>
      <c r="G98" s="1108">
        <v>88</v>
      </c>
      <c r="H98" s="1109">
        <v>1</v>
      </c>
      <c r="I98" s="398">
        <v>372.8</v>
      </c>
      <c r="J98" s="1120"/>
      <c r="K98" s="465"/>
      <c r="L98" s="465"/>
      <c r="M98" s="465">
        <f t="shared" si="93"/>
        <v>2</v>
      </c>
      <c r="N98" s="1108">
        <v>88</v>
      </c>
      <c r="O98" s="1109">
        <v>-1</v>
      </c>
      <c r="P98" s="398">
        <v>365.2</v>
      </c>
      <c r="Q98" s="1120"/>
      <c r="R98" s="465">
        <f t="shared" si="94"/>
        <v>2</v>
      </c>
      <c r="S98" s="1108">
        <v>88</v>
      </c>
      <c r="T98" s="1109">
        <v>0</v>
      </c>
      <c r="U98" s="1110">
        <v>372.8</v>
      </c>
      <c r="V98" s="1120"/>
      <c r="W98" s="371"/>
      <c r="X98" s="494">
        <f t="shared" si="70"/>
        <v>378</v>
      </c>
      <c r="Y98" s="495" t="str">
        <f>IF('Feuilles=description générale'!$E$13="","",IF(X98="","",IF(X98&gt;('Feuilles=description générale'!$E$11+'Feuilles=description générale'!$E$10),"",100*(X98-'Feuilles=description générale'!$E$10)/('Feuilles=description générale'!$E$11))))</f>
        <v/>
      </c>
      <c r="Z98" s="495">
        <f>IF('Feuilles=description générale'!$E$13="","",IF(X98="","",IF(X98&lt;=('Feuilles=description générale'!$E$11+'Feuilles=description générale'!$E$10),"",100*(X98-'Feuilles=description générale'!$E$11-'Feuilles=description générale'!$E$10)/('Feuilles=description générale'!$E$12))))</f>
        <v>90.01635252603495</v>
      </c>
      <c r="AA98" s="1112">
        <f>IF('Feuilles=description générale'!$E$13="","",IF(X98="","",100*(X98-'Feuilles=description générale'!$E$10)/('Feuilles=description générale'!$E$13-'Feuilles=description générale'!$E$10)))</f>
        <v>92.487046632124347</v>
      </c>
      <c r="AB98" s="497">
        <f t="shared" si="71"/>
        <v>1</v>
      </c>
      <c r="AC98" s="500" t="str">
        <f t="shared" si="96"/>
        <v/>
      </c>
      <c r="AD98" s="494" t="str">
        <f t="shared" si="72"/>
        <v/>
      </c>
      <c r="AE98" s="499">
        <f t="shared" si="73"/>
        <v>1.3999999999999773</v>
      </c>
      <c r="AF98" s="371"/>
      <c r="AG98" s="494">
        <f t="shared" si="74"/>
        <v>372.8</v>
      </c>
      <c r="AH98" s="495" t="str">
        <f>IF('Feuilles=description générale'!$E$13="","",IF(AG98="","",IF(AG98&gt;('Feuilles=description générale'!$E$11+'Feuilles=description générale'!$E$10),"",100*(AG98-'Feuilles=description générale'!$E$10)/('Feuilles=description générale'!$E$11))))</f>
        <v/>
      </c>
      <c r="AI98" s="495">
        <f>IF('Feuilles=description générale'!$E$13="","",IF(AG98="","",IF(AG98&lt;=('Feuilles=description générale'!$E$11+'Feuilles=description générale'!$E$10),"",100*(AG98-'Feuilles=description générale'!$E$11-'Feuilles=description générale'!$E$10)/('Feuilles=description générale'!$E$12))))</f>
        <v>88.226181254841208</v>
      </c>
      <c r="AJ98" s="496">
        <f>IF('Feuilles=description générale'!$E$13="","",IF(AG98="","",100*(AG98-'Feuilles=description générale'!$E$10)/('Feuilles=description générale'!$E$13-'Feuilles=description générale'!$E$10)))</f>
        <v>91.139896373056999</v>
      </c>
      <c r="AK98" s="1113">
        <f t="shared" si="75"/>
        <v>1</v>
      </c>
      <c r="AL98" s="498" t="str">
        <f t="shared" si="76"/>
        <v/>
      </c>
      <c r="AM98" s="494" t="str">
        <f t="shared" si="77"/>
        <v/>
      </c>
      <c r="AN98" s="499">
        <f t="shared" si="78"/>
        <v>1.1999999999999886</v>
      </c>
      <c r="AO98" s="371"/>
      <c r="AP98" s="494">
        <f t="shared" si="79"/>
        <v>365.2</v>
      </c>
      <c r="AQ98" s="495" t="str">
        <f>IF('Feuilles=description générale'!$E$13="","",IF(AP98="","",IF(AP98&gt;('Feuilles=description générale'!$E$25+'Feuilles=description générale'!$E$24),"",100*(AP98-'Feuilles=description générale'!$E$24)/('Feuilles=description générale'!$E$25))))</f>
        <v/>
      </c>
      <c r="AR98" s="495">
        <f>IF('Feuilles=description générale'!$E$27="","",IF(AP98="","",IF(AP98&lt;=('Feuilles=description générale'!$E$25+'Feuilles=description générale'!$E$24),"",100*(AP98-'Feuilles=description générale'!$E$25-'Feuilles=description générale'!$E$24)/('Feuilles=description générale'!$E$26))))</f>
        <v>78.879242304656685</v>
      </c>
      <c r="AS98" s="496">
        <f>IF('Feuilles=description générale'!$E$27="","",IF(AP98="","",100*(AP98-'Feuilles=description générale'!$E$24)/('Feuilles=description générale'!$E$27-'Feuilles=description générale'!$E$24)))</f>
        <v>83.647030065998536</v>
      </c>
      <c r="AT98" s="497">
        <f t="shared" si="80"/>
        <v>3</v>
      </c>
      <c r="AU98" s="500">
        <f t="shared" si="81"/>
        <v>3</v>
      </c>
      <c r="AV98" s="494">
        <f t="shared" si="82"/>
        <v>3.8000000000000114</v>
      </c>
      <c r="AW98" s="499" t="str">
        <f t="shared" si="83"/>
        <v/>
      </c>
      <c r="AX98" s="371"/>
      <c r="AY98" s="494">
        <f t="shared" si="84"/>
        <v>372.8</v>
      </c>
      <c r="AZ98" s="495" t="str">
        <f>IF('Feuilles=description générale'!$E$13="","",IF(AY98="","",IF(AY98&gt;('Feuilles=description générale'!$E$25+'Feuilles=description générale'!$E$24),"",100*(AY98-'Feuilles=description générale'!$E$24)/('Feuilles=description générale'!$E$25))))</f>
        <v/>
      </c>
      <c r="BA98" s="495">
        <f>IF('Feuilles=description générale'!$E$27="","",IF(AY98="","",IF(AY98&lt;=('Feuilles=description générale'!$E$25+'Feuilles=description générale'!$E$24),"",100*(AY98-'Feuilles=description générale'!$E$25-'Feuilles=description générale'!$E$24)/('Feuilles=description générale'!$E$26))))</f>
        <v>81.278610891870571</v>
      </c>
      <c r="BB98" s="496">
        <f>IF('Feuilles=description générale'!$E$27="","",IF(AY98="","",100*(AY98-'Feuilles=description générale'!$E$24)/('Feuilles=description générale'!$E$27-'Feuilles=description générale'!$E$24)))</f>
        <v>85.504766560743093</v>
      </c>
      <c r="BC98" s="497">
        <f t="shared" si="85"/>
        <v>2</v>
      </c>
      <c r="BD98" s="500" t="str">
        <f t="shared" si="86"/>
        <v/>
      </c>
      <c r="BE98" s="494" t="str">
        <f t="shared" si="87"/>
        <v/>
      </c>
      <c r="BF98" s="499">
        <f t="shared" si="88"/>
        <v>2.6999999999999886</v>
      </c>
      <c r="BG98" s="476"/>
      <c r="BH98" s="558"/>
      <c r="BI98" s="558"/>
      <c r="BJ98" s="558"/>
      <c r="BK98" s="558"/>
      <c r="BL98" s="558"/>
      <c r="BM98" s="558"/>
      <c r="BN98" s="558"/>
      <c r="BO98" s="558"/>
      <c r="BP98" s="558"/>
      <c r="BQ98" s="558"/>
      <c r="BR98" s="558"/>
      <c r="BS98" s="559"/>
      <c r="BT98" s="559"/>
      <c r="BU98" s="568"/>
      <c r="BV98" s="1114" t="str">
        <f t="shared" si="89"/>
        <v/>
      </c>
      <c r="BW98" s="1114">
        <f t="shared" si="89"/>
        <v>1.9599999999999362</v>
      </c>
      <c r="BX98" s="1114" t="str">
        <f t="shared" si="90"/>
        <v/>
      </c>
      <c r="BY98" s="1115">
        <f t="shared" si="90"/>
        <v>1.4399999999999726</v>
      </c>
      <c r="BZ98" s="477"/>
      <c r="CA98" s="1114">
        <f t="shared" si="91"/>
        <v>14.440000000000087</v>
      </c>
      <c r="CB98" s="1114" t="str">
        <f t="shared" si="91"/>
        <v/>
      </c>
      <c r="CC98" s="1114" t="str">
        <f t="shared" si="92"/>
        <v/>
      </c>
      <c r="CD98" s="1115">
        <f t="shared" si="92"/>
        <v>7.2899999999999388</v>
      </c>
      <c r="CE98" s="568"/>
      <c r="CF98" s="558"/>
      <c r="CG98" s="558"/>
      <c r="CH98" s="558"/>
      <c r="CI98" s="558"/>
      <c r="CJ98" s="558"/>
      <c r="CK98" s="558"/>
      <c r="CL98" s="558"/>
      <c r="CM98" s="558"/>
      <c r="CN98" s="558"/>
      <c r="CO98" s="558"/>
      <c r="CP98" s="558"/>
      <c r="CQ98" s="559"/>
      <c r="CR98" s="559"/>
      <c r="CS98" s="554"/>
      <c r="CT98" s="554"/>
      <c r="CU98" s="554"/>
      <c r="CV98" s="476"/>
      <c r="CW98" s="345"/>
      <c r="CX98" s="345"/>
      <c r="CY98" s="345"/>
      <c r="CZ98" s="345"/>
      <c r="DA98" s="345"/>
      <c r="DB98" s="345"/>
      <c r="DC98" s="345"/>
      <c r="DD98" s="345"/>
      <c r="DE98" s="345"/>
      <c r="DF98" s="345"/>
      <c r="DG98" s="345"/>
      <c r="DH98" s="345"/>
      <c r="DI98" s="345"/>
      <c r="DJ98" s="345"/>
      <c r="DK98" s="345"/>
      <c r="DL98" s="345"/>
      <c r="DM98" s="345"/>
      <c r="DN98" s="345"/>
      <c r="DO98" s="345"/>
      <c r="DP98" s="345"/>
      <c r="DQ98" s="345"/>
      <c r="DR98" s="345"/>
      <c r="DS98" s="345"/>
      <c r="DT98" s="345"/>
      <c r="DU98" s="345"/>
      <c r="DV98" s="345"/>
      <c r="DW98" s="345"/>
      <c r="DX98" s="345"/>
      <c r="DY98" s="345"/>
      <c r="DZ98" s="345"/>
      <c r="EA98" s="345"/>
      <c r="EB98" s="345"/>
      <c r="EC98" s="345"/>
      <c r="ED98" s="345"/>
      <c r="EE98" s="345"/>
      <c r="EF98" s="345"/>
      <c r="EG98" s="345"/>
      <c r="EH98" s="345"/>
      <c r="EI98" s="345"/>
      <c r="EJ98" s="345"/>
      <c r="EK98" s="345"/>
      <c r="EL98" s="345"/>
      <c r="EM98" s="345"/>
      <c r="EN98" s="345"/>
      <c r="EO98" s="345"/>
      <c r="EP98" s="345"/>
      <c r="EQ98" s="345"/>
      <c r="ER98" s="345"/>
      <c r="ES98" s="345"/>
      <c r="ET98" s="345"/>
      <c r="EU98" s="345"/>
      <c r="EV98" s="345"/>
      <c r="EW98" s="345"/>
      <c r="EX98" s="345"/>
      <c r="EY98" s="345"/>
      <c r="EZ98" s="345"/>
      <c r="FA98" s="345"/>
      <c r="FB98" s="345"/>
      <c r="FC98" s="345"/>
      <c r="FD98" s="345"/>
      <c r="FE98" s="345"/>
      <c r="FF98" s="345"/>
      <c r="FG98" s="345"/>
      <c r="FH98" s="345"/>
      <c r="FI98" s="345"/>
      <c r="FJ98" s="345"/>
      <c r="FK98" s="345"/>
      <c r="FL98" s="345"/>
      <c r="FM98" s="345"/>
      <c r="FN98" s="345"/>
      <c r="FO98" s="345"/>
      <c r="FP98" s="345"/>
      <c r="FQ98" s="345"/>
      <c r="FR98" s="345"/>
      <c r="FS98" s="345"/>
      <c r="FT98" s="345"/>
      <c r="FU98" s="345"/>
      <c r="FV98" s="345"/>
      <c r="FW98" s="345"/>
      <c r="FX98" s="345"/>
      <c r="FY98" s="345"/>
      <c r="FZ98" s="345"/>
      <c r="GA98" s="345"/>
      <c r="GB98" s="345"/>
      <c r="GC98" s="345"/>
      <c r="GD98" s="345"/>
      <c r="GE98" s="345"/>
      <c r="GF98" s="345"/>
      <c r="GG98" s="345"/>
      <c r="GH98" s="345"/>
      <c r="GI98" s="345"/>
      <c r="GJ98" s="345"/>
      <c r="GK98" s="345"/>
      <c r="GL98" s="345"/>
      <c r="GM98" s="345"/>
      <c r="GN98" s="345"/>
      <c r="GO98" s="345"/>
      <c r="GP98" s="345"/>
      <c r="GQ98" s="345"/>
      <c r="GR98" s="345"/>
      <c r="GS98" s="345"/>
      <c r="GT98" s="345"/>
      <c r="GU98" s="345"/>
    </row>
    <row r="99" spans="1:203" ht="12.75" customHeight="1">
      <c r="A99" s="465">
        <f t="shared" si="95"/>
        <v>2</v>
      </c>
      <c r="B99" s="1108">
        <v>89</v>
      </c>
      <c r="C99" s="1109">
        <v>-1</v>
      </c>
      <c r="D99" s="398">
        <v>379.4</v>
      </c>
      <c r="E99" s="1120"/>
      <c r="F99" s="465">
        <f t="shared" si="97"/>
        <v>2</v>
      </c>
      <c r="G99" s="1108">
        <v>89</v>
      </c>
      <c r="H99" s="1109">
        <v>0</v>
      </c>
      <c r="I99" s="398">
        <v>374</v>
      </c>
      <c r="J99" s="1120"/>
      <c r="K99" s="465"/>
      <c r="L99" s="465"/>
      <c r="M99" s="465">
        <f t="shared" si="93"/>
        <v>2</v>
      </c>
      <c r="N99" s="1108">
        <v>89</v>
      </c>
      <c r="O99" s="1109">
        <v>1</v>
      </c>
      <c r="P99" s="398">
        <v>369</v>
      </c>
      <c r="Q99" s="1120"/>
      <c r="R99" s="465">
        <f t="shared" si="94"/>
        <v>2</v>
      </c>
      <c r="S99" s="1108">
        <v>89</v>
      </c>
      <c r="T99" s="1109">
        <v>-1</v>
      </c>
      <c r="U99" s="1110">
        <v>375.5</v>
      </c>
      <c r="V99" s="1120"/>
      <c r="W99" s="371"/>
      <c r="X99" s="494">
        <f t="shared" si="70"/>
        <v>379.4</v>
      </c>
      <c r="Y99" s="495" t="str">
        <f>IF('Feuilles=description générale'!$E$13="","",IF(X99="","",IF(X99&gt;('Feuilles=description générale'!$E$11+'Feuilles=description générale'!$E$10),"",100*(X99-'Feuilles=description générale'!$E$10)/('Feuilles=description générale'!$E$11))))</f>
        <v/>
      </c>
      <c r="Z99" s="495">
        <f>IF('Feuilles=description générale'!$E$13="","",IF(X99="","",IF(X99&lt;=('Feuilles=description générale'!$E$11+'Feuilles=description générale'!$E$10),"",100*(X99-'Feuilles=description générale'!$E$11-'Feuilles=description générale'!$E$10)/('Feuilles=description générale'!$E$12))))</f>
        <v>90.498321714433246</v>
      </c>
      <c r="AA99" s="1112">
        <f>IF('Feuilles=description générale'!$E$13="","",IF(X99="","",100*(X99-'Feuilles=description générale'!$E$10)/('Feuilles=description générale'!$E$13-'Feuilles=description générale'!$E$10)))</f>
        <v>92.84974093264249</v>
      </c>
      <c r="AB99" s="497">
        <f t="shared" si="71"/>
        <v>2</v>
      </c>
      <c r="AC99" s="500">
        <f t="shared" si="96"/>
        <v>2</v>
      </c>
      <c r="AD99" s="494">
        <f t="shared" si="72"/>
        <v>3.4000000000000341</v>
      </c>
      <c r="AE99" s="499" t="str">
        <f t="shared" si="73"/>
        <v/>
      </c>
      <c r="AF99" s="371"/>
      <c r="AG99" s="494">
        <f t="shared" si="74"/>
        <v>374</v>
      </c>
      <c r="AH99" s="495" t="str">
        <f>IF('Feuilles=description générale'!$E$13="","",IF(AG99="","",IF(AG99&gt;('Feuilles=description générale'!$E$11+'Feuilles=description générale'!$E$10),"",100*(AG99-'Feuilles=description générale'!$E$10)/('Feuilles=description générale'!$E$11))))</f>
        <v/>
      </c>
      <c r="AI99" s="495">
        <f>IF('Feuilles=description générale'!$E$13="","",IF(AG99="","",IF(AG99&lt;=('Feuilles=description générale'!$E$11+'Feuilles=description générale'!$E$10),"",100*(AG99-'Feuilles=description générale'!$E$11-'Feuilles=description générale'!$E$10)/('Feuilles=description générale'!$E$12))))</f>
        <v>88.639297702039769</v>
      </c>
      <c r="AJ99" s="496">
        <f>IF('Feuilles=description générale'!$E$13="","",IF(AG99="","",100*(AG99-'Feuilles=description générale'!$E$10)/('Feuilles=description générale'!$E$13-'Feuilles=description générale'!$E$10)))</f>
        <v>91.450777202072544</v>
      </c>
      <c r="AK99" s="1113">
        <f t="shared" si="75"/>
        <v>2</v>
      </c>
      <c r="AL99" s="498" t="str">
        <f t="shared" si="76"/>
        <v/>
      </c>
      <c r="AM99" s="494" t="str">
        <f t="shared" si="77"/>
        <v/>
      </c>
      <c r="AN99" s="499">
        <f t="shared" si="78"/>
        <v>2.1999999999999886</v>
      </c>
      <c r="AO99" s="371"/>
      <c r="AP99" s="494">
        <f t="shared" si="79"/>
        <v>369</v>
      </c>
      <c r="AQ99" s="495" t="str">
        <f>IF('Feuilles=description générale'!$E$13="","",IF(AP99="","",IF(AP99&gt;('Feuilles=description générale'!$E$25+'Feuilles=description générale'!$E$24),"",100*(AP99-'Feuilles=description générale'!$E$24)/('Feuilles=description générale'!$E$25))))</f>
        <v/>
      </c>
      <c r="AR99" s="495">
        <f>IF('Feuilles=description générale'!$E$27="","",IF(AP99="","",IF(AP99&lt;=('Feuilles=description générale'!$E$25+'Feuilles=description générale'!$E$24),"",100*(AP99-'Feuilles=description générale'!$E$25-'Feuilles=description générale'!$E$24)/('Feuilles=description générale'!$E$26))))</f>
        <v>80.078926598263607</v>
      </c>
      <c r="AS99" s="496">
        <f>IF('Feuilles=description générale'!$E$27="","",IF(AP99="","",100*(AP99-'Feuilles=description générale'!$E$24)/('Feuilles=description générale'!$E$27-'Feuilles=description générale'!$E$24)))</f>
        <v>84.575898313370814</v>
      </c>
      <c r="AT99" s="497">
        <f t="shared" si="80"/>
        <v>1</v>
      </c>
      <c r="AU99" s="500" t="str">
        <f t="shared" si="81"/>
        <v/>
      </c>
      <c r="AV99" s="494" t="str">
        <f t="shared" si="82"/>
        <v/>
      </c>
      <c r="AW99" s="499">
        <f t="shared" si="83"/>
        <v>1.5</v>
      </c>
      <c r="AX99" s="371"/>
      <c r="AY99" s="494">
        <f t="shared" si="84"/>
        <v>375.5</v>
      </c>
      <c r="AZ99" s="495" t="str">
        <f>IF('Feuilles=description générale'!$E$13="","",IF(AY99="","",IF(AY99&gt;('Feuilles=description générale'!$E$25+'Feuilles=description générale'!$E$24),"",100*(AY99-'Feuilles=description générale'!$E$24)/('Feuilles=description générale'!$E$25))))</f>
        <v/>
      </c>
      <c r="BA99" s="495">
        <f>IF('Feuilles=description générale'!$E$27="","",IF(AY99="","",IF(AY99&lt;=('Feuilles=description générale'!$E$25+'Feuilles=description générale'!$E$24),"",100*(AY99-'Feuilles=description générale'!$E$25-'Feuilles=description générale'!$E$24)/('Feuilles=description générale'!$E$26))))</f>
        <v>82.131018153117594</v>
      </c>
      <c r="BB99" s="496">
        <f>IF('Feuilles=description générale'!$E$27="","",IF(AY99="","",100*(AY99-'Feuilles=description générale'!$E$24)/('Feuilles=description générale'!$E$27-'Feuilles=description générale'!$E$24)))</f>
        <v>86.164751894402343</v>
      </c>
      <c r="BC99" s="497">
        <f t="shared" si="85"/>
        <v>3</v>
      </c>
      <c r="BD99" s="500">
        <f t="shared" si="86"/>
        <v>3</v>
      </c>
      <c r="BE99" s="494">
        <f t="shared" si="87"/>
        <v>3.6000000000000227</v>
      </c>
      <c r="BF99" s="499" t="str">
        <f t="shared" si="88"/>
        <v/>
      </c>
      <c r="BG99" s="476"/>
      <c r="BH99" s="558"/>
      <c r="BI99" s="558"/>
      <c r="BJ99" s="558"/>
      <c r="BK99" s="558"/>
      <c r="BL99" s="558"/>
      <c r="BM99" s="558"/>
      <c r="BN99" s="558"/>
      <c r="BO99" s="558"/>
      <c r="BP99" s="558"/>
      <c r="BQ99" s="558"/>
      <c r="BR99" s="558"/>
      <c r="BS99" s="554"/>
      <c r="BT99" s="554"/>
      <c r="BU99" s="568"/>
      <c r="BV99" s="1114">
        <f t="shared" si="89"/>
        <v>11.560000000000231</v>
      </c>
      <c r="BW99" s="1114" t="str">
        <f t="shared" si="89"/>
        <v/>
      </c>
      <c r="BX99" s="1114" t="str">
        <f t="shared" si="90"/>
        <v/>
      </c>
      <c r="BY99" s="1115">
        <f t="shared" si="90"/>
        <v>4.8399999999999501</v>
      </c>
      <c r="BZ99" s="477"/>
      <c r="CA99" s="1114" t="str">
        <f t="shared" si="91"/>
        <v/>
      </c>
      <c r="CB99" s="1114">
        <f t="shared" si="91"/>
        <v>2.25</v>
      </c>
      <c r="CC99" s="1114">
        <f t="shared" si="92"/>
        <v>12.960000000000164</v>
      </c>
      <c r="CD99" s="1115" t="str">
        <f t="shared" si="92"/>
        <v/>
      </c>
      <c r="CE99" s="568"/>
      <c r="CF99" s="558"/>
      <c r="CG99" s="558"/>
      <c r="CH99" s="558"/>
      <c r="CI99" s="558"/>
      <c r="CJ99" s="558"/>
      <c r="CK99" s="558"/>
      <c r="CL99" s="558"/>
      <c r="CM99" s="558"/>
      <c r="CN99" s="558"/>
      <c r="CO99" s="558"/>
      <c r="CP99" s="558"/>
      <c r="CQ99" s="554"/>
      <c r="CR99" s="554"/>
      <c r="CS99" s="554"/>
      <c r="CT99" s="554"/>
      <c r="CU99" s="554"/>
      <c r="CV99" s="476"/>
      <c r="CW99" s="345"/>
      <c r="CX99" s="345"/>
      <c r="CY99" s="345"/>
      <c r="CZ99" s="345"/>
      <c r="DA99" s="345"/>
      <c r="DB99" s="345"/>
      <c r="DC99" s="345"/>
      <c r="DD99" s="345"/>
      <c r="DE99" s="345"/>
      <c r="DF99" s="345"/>
      <c r="DG99" s="345"/>
      <c r="DH99" s="345"/>
      <c r="DI99" s="345"/>
      <c r="DJ99" s="345"/>
      <c r="DK99" s="345"/>
      <c r="DL99" s="345"/>
      <c r="DM99" s="345"/>
      <c r="DN99" s="345"/>
      <c r="DO99" s="345"/>
      <c r="DP99" s="345"/>
      <c r="DQ99" s="345"/>
      <c r="DR99" s="345"/>
      <c r="DS99" s="345"/>
      <c r="DT99" s="345"/>
      <c r="DU99" s="345"/>
      <c r="DV99" s="345"/>
      <c r="DW99" s="345"/>
      <c r="DX99" s="345"/>
      <c r="DY99" s="345"/>
      <c r="DZ99" s="345"/>
      <c r="EA99" s="345"/>
      <c r="EB99" s="345"/>
      <c r="EC99" s="345"/>
      <c r="ED99" s="345"/>
      <c r="EE99" s="345"/>
      <c r="EF99" s="345"/>
      <c r="EG99" s="345"/>
      <c r="EH99" s="345"/>
      <c r="EI99" s="345"/>
      <c r="EJ99" s="345"/>
      <c r="EK99" s="345"/>
      <c r="EL99" s="345"/>
      <c r="EM99" s="345"/>
      <c r="EN99" s="345"/>
      <c r="EO99" s="345"/>
      <c r="EP99" s="345"/>
      <c r="EQ99" s="345"/>
      <c r="ER99" s="345"/>
      <c r="ES99" s="345"/>
      <c r="ET99" s="345"/>
      <c r="EU99" s="345"/>
      <c r="EV99" s="345"/>
      <c r="EW99" s="345"/>
      <c r="EX99" s="345"/>
      <c r="EY99" s="345"/>
      <c r="EZ99" s="345"/>
      <c r="FA99" s="345"/>
      <c r="FB99" s="345"/>
      <c r="FC99" s="345"/>
      <c r="FD99" s="345"/>
      <c r="FE99" s="345"/>
      <c r="FF99" s="345"/>
      <c r="FG99" s="345"/>
      <c r="FH99" s="345"/>
      <c r="FI99" s="345"/>
      <c r="FJ99" s="345"/>
      <c r="FK99" s="345"/>
      <c r="FL99" s="345"/>
      <c r="FM99" s="345"/>
      <c r="FN99" s="345"/>
      <c r="FO99" s="345"/>
      <c r="FP99" s="345"/>
      <c r="FQ99" s="345"/>
      <c r="FR99" s="345"/>
      <c r="FS99" s="345"/>
      <c r="FT99" s="345"/>
      <c r="FU99" s="345"/>
      <c r="FV99" s="345"/>
      <c r="FW99" s="345"/>
      <c r="FX99" s="345"/>
      <c r="FY99" s="345"/>
      <c r="FZ99" s="345"/>
      <c r="GA99" s="345"/>
      <c r="GB99" s="345"/>
      <c r="GC99" s="345"/>
      <c r="GD99" s="345"/>
      <c r="GE99" s="345"/>
      <c r="GF99" s="345"/>
      <c r="GG99" s="345"/>
      <c r="GH99" s="345"/>
      <c r="GI99" s="345"/>
      <c r="GJ99" s="345"/>
      <c r="GK99" s="345"/>
      <c r="GL99" s="345"/>
      <c r="GM99" s="345"/>
      <c r="GN99" s="345"/>
      <c r="GO99" s="345"/>
      <c r="GP99" s="345"/>
      <c r="GQ99" s="345"/>
      <c r="GR99" s="345"/>
      <c r="GS99" s="345"/>
      <c r="GT99" s="345"/>
      <c r="GU99" s="345"/>
    </row>
    <row r="100" spans="1:203" ht="12.75" customHeight="1">
      <c r="A100" s="465">
        <f t="shared" si="95"/>
        <v>2</v>
      </c>
      <c r="B100" s="1108">
        <v>90</v>
      </c>
      <c r="C100" s="1109">
        <v>0</v>
      </c>
      <c r="D100" s="398">
        <v>382.8</v>
      </c>
      <c r="E100" s="1120"/>
      <c r="F100" s="465">
        <f t="shared" si="97"/>
        <v>2</v>
      </c>
      <c r="G100" s="1108">
        <v>90</v>
      </c>
      <c r="H100" s="1109">
        <v>-1</v>
      </c>
      <c r="I100" s="398">
        <v>376.2</v>
      </c>
      <c r="J100" s="1120"/>
      <c r="K100" s="465"/>
      <c r="L100" s="465"/>
      <c r="M100" s="465">
        <f t="shared" si="93"/>
        <v>2</v>
      </c>
      <c r="N100" s="1108">
        <v>90</v>
      </c>
      <c r="O100" s="1109">
        <v>-1</v>
      </c>
      <c r="P100" s="398">
        <v>370.5</v>
      </c>
      <c r="Q100" s="1120"/>
      <c r="R100" s="465">
        <f t="shared" si="94"/>
        <v>2</v>
      </c>
      <c r="S100" s="1108">
        <v>90</v>
      </c>
      <c r="T100" s="1109">
        <v>1</v>
      </c>
      <c r="U100" s="1110">
        <v>379.1</v>
      </c>
      <c r="V100" s="1120"/>
      <c r="W100" s="371"/>
      <c r="X100" s="494">
        <f t="shared" si="70"/>
        <v>382.8</v>
      </c>
      <c r="Y100" s="495" t="str">
        <f>IF('Feuilles=description générale'!$E$13="","",IF(X100="","",IF(X100&gt;('Feuilles=description générale'!$E$11+'Feuilles=description générale'!$E$10),"",100*(X100-'Feuilles=description générale'!$E$10)/('Feuilles=description générale'!$E$11))))</f>
        <v/>
      </c>
      <c r="Z100" s="495">
        <f>IF('Feuilles=description générale'!$E$13="","",IF(X100="","",IF(X100&lt;=('Feuilles=description générale'!$E$11+'Feuilles=description générale'!$E$10),"",100*(X100-'Feuilles=description générale'!$E$11-'Feuilles=description générale'!$E$10)/('Feuilles=description générale'!$E$12))))</f>
        <v>91.668818314829167</v>
      </c>
      <c r="AA100" s="1112">
        <f>IF('Feuilles=description générale'!$E$13="","",IF(X100="","",100*(X100-'Feuilles=description générale'!$E$10)/('Feuilles=description générale'!$E$13-'Feuilles=description générale'!$E$10)))</f>
        <v>93.730569948186528</v>
      </c>
      <c r="AB100" s="497">
        <f t="shared" si="71"/>
        <v>1</v>
      </c>
      <c r="AC100" s="500">
        <f t="shared" si="96"/>
        <v>1</v>
      </c>
      <c r="AD100" s="494">
        <f t="shared" si="72"/>
        <v>3.8999999999999773</v>
      </c>
      <c r="AE100" s="499" t="str">
        <f t="shared" si="73"/>
        <v/>
      </c>
      <c r="AF100" s="371"/>
      <c r="AG100" s="494">
        <f t="shared" si="74"/>
        <v>376.2</v>
      </c>
      <c r="AH100" s="495" t="str">
        <f>IF('Feuilles=description générale'!$E$13="","",IF(AG100="","",IF(AG100&gt;('Feuilles=description générale'!$E$11+'Feuilles=description générale'!$E$10),"",100*(AG100-'Feuilles=description générale'!$E$10)/('Feuilles=description générale'!$E$11))))</f>
        <v/>
      </c>
      <c r="AI100" s="495">
        <f>IF('Feuilles=description générale'!$E$13="","",IF(AG100="","",IF(AG100&lt;=('Feuilles=description générale'!$E$11+'Feuilles=description générale'!$E$10),"",100*(AG100-'Feuilles=description générale'!$E$11-'Feuilles=description générale'!$E$10)/('Feuilles=description générale'!$E$12))))</f>
        <v>89.396677855237101</v>
      </c>
      <c r="AJ100" s="496">
        <f>IF('Feuilles=description générale'!$E$13="","",IF(AG100="","",100*(AG100-'Feuilles=description générale'!$E$10)/('Feuilles=description générale'!$E$13-'Feuilles=description générale'!$E$10)))</f>
        <v>92.020725388601036</v>
      </c>
      <c r="AK100" s="1113">
        <f t="shared" si="75"/>
        <v>3</v>
      </c>
      <c r="AL100" s="498">
        <f t="shared" si="76"/>
        <v>3</v>
      </c>
      <c r="AM100" s="494">
        <f t="shared" si="77"/>
        <v>4.8000000000000114</v>
      </c>
      <c r="AN100" s="499" t="str">
        <f t="shared" si="78"/>
        <v/>
      </c>
      <c r="AO100" s="371"/>
      <c r="AP100" s="494">
        <f t="shared" si="79"/>
        <v>370.5</v>
      </c>
      <c r="AQ100" s="495" t="str">
        <f>IF('Feuilles=description générale'!$E$13="","",IF(AP100="","",IF(AP100&gt;('Feuilles=description générale'!$E$25+'Feuilles=description générale'!$E$24),"",100*(AP100-'Feuilles=description générale'!$E$24)/('Feuilles=description générale'!$E$25))))</f>
        <v/>
      </c>
      <c r="AR100" s="495">
        <f>IF('Feuilles=description générale'!$E$27="","",IF(AP100="","",IF(AP100&lt;=('Feuilles=description générale'!$E$25+'Feuilles=description générale'!$E$24),"",100*(AP100-'Feuilles=description générale'!$E$25-'Feuilles=description générale'!$E$24)/('Feuilles=description générale'!$E$26))))</f>
        <v>80.55248618784529</v>
      </c>
      <c r="AS100" s="496">
        <f>IF('Feuilles=description générale'!$E$27="","",IF(AP100="","",100*(AP100-'Feuilles=description générale'!$E$24)/('Feuilles=description générale'!$E$27-'Feuilles=description générale'!$E$24)))</f>
        <v>84.942556832070395</v>
      </c>
      <c r="AT100" s="497">
        <f t="shared" si="80"/>
        <v>2</v>
      </c>
      <c r="AU100" s="500">
        <f t="shared" si="81"/>
        <v>2</v>
      </c>
      <c r="AV100" s="494">
        <f t="shared" si="82"/>
        <v>4.6999999999999886</v>
      </c>
      <c r="AW100" s="499" t="str">
        <f t="shared" si="83"/>
        <v/>
      </c>
      <c r="AX100" s="371"/>
      <c r="AY100" s="494">
        <f t="shared" si="84"/>
        <v>379.1</v>
      </c>
      <c r="AZ100" s="495" t="str">
        <f>IF('Feuilles=description générale'!$E$13="","",IF(AY100="","",IF(AY100&gt;('Feuilles=description générale'!$E$25+'Feuilles=description générale'!$E$24),"",100*(AY100-'Feuilles=description générale'!$E$24)/('Feuilles=description générale'!$E$25))))</f>
        <v/>
      </c>
      <c r="BA100" s="495">
        <f>IF('Feuilles=description générale'!$E$27="","",IF(AY100="","",IF(AY100&lt;=('Feuilles=description générale'!$E$25+'Feuilles=description générale'!$E$24),"",100*(AY100-'Feuilles=description générale'!$E$25-'Feuilles=description générale'!$E$24)/('Feuilles=description générale'!$E$26))))</f>
        <v>83.267561168113659</v>
      </c>
      <c r="BB100" s="496">
        <f>IF('Feuilles=description générale'!$E$27="","",IF(AY100="","",100*(AY100-'Feuilles=description générale'!$E$24)/('Feuilles=description générale'!$E$27-'Feuilles=description générale'!$E$24)))</f>
        <v>87.044732339281339</v>
      </c>
      <c r="BC100" s="497">
        <f t="shared" si="85"/>
        <v>1</v>
      </c>
      <c r="BD100" s="500" t="str">
        <f t="shared" si="86"/>
        <v/>
      </c>
      <c r="BE100" s="494" t="str">
        <f t="shared" si="87"/>
        <v/>
      </c>
      <c r="BF100" s="499">
        <f t="shared" si="88"/>
        <v>2</v>
      </c>
      <c r="BG100" s="476"/>
      <c r="BH100" s="554"/>
      <c r="BI100" s="560"/>
      <c r="BJ100" s="560"/>
      <c r="BK100" s="560"/>
      <c r="BL100" s="560"/>
      <c r="BM100" s="560"/>
      <c r="BN100" s="560"/>
      <c r="BO100" s="560"/>
      <c r="BP100" s="560"/>
      <c r="BQ100" s="560"/>
      <c r="BR100" s="560"/>
      <c r="BS100" s="560"/>
      <c r="BT100" s="560"/>
      <c r="BU100" s="568"/>
      <c r="BV100" s="1114">
        <f t="shared" si="89"/>
        <v>15.209999999999823</v>
      </c>
      <c r="BW100" s="1114" t="str">
        <f t="shared" si="89"/>
        <v/>
      </c>
      <c r="BX100" s="1114">
        <f t="shared" si="90"/>
        <v>23.040000000000109</v>
      </c>
      <c r="BY100" s="1115" t="str">
        <f t="shared" si="90"/>
        <v/>
      </c>
      <c r="BZ100" s="477"/>
      <c r="CA100" s="1114">
        <f t="shared" si="91"/>
        <v>22.089999999999893</v>
      </c>
      <c r="CB100" s="1114" t="str">
        <f t="shared" si="91"/>
        <v/>
      </c>
      <c r="CC100" s="1114" t="str">
        <f t="shared" si="92"/>
        <v/>
      </c>
      <c r="CD100" s="1115">
        <f t="shared" si="92"/>
        <v>4</v>
      </c>
      <c r="CE100" s="568"/>
      <c r="CF100" s="554"/>
      <c r="CG100" s="560"/>
      <c r="CH100" s="560"/>
      <c r="CI100" s="560"/>
      <c r="CJ100" s="560"/>
      <c r="CK100" s="560"/>
      <c r="CL100" s="560"/>
      <c r="CM100" s="560"/>
      <c r="CN100" s="560"/>
      <c r="CO100" s="560"/>
      <c r="CP100" s="560"/>
      <c r="CQ100" s="560"/>
      <c r="CR100" s="560"/>
      <c r="CS100" s="560"/>
      <c r="CT100" s="560"/>
      <c r="CU100" s="560"/>
      <c r="CV100" s="476"/>
      <c r="CW100" s="345"/>
      <c r="CX100" s="345"/>
      <c r="CY100" s="345"/>
      <c r="CZ100" s="345"/>
      <c r="DA100" s="345"/>
      <c r="DB100" s="345"/>
      <c r="DC100" s="345"/>
      <c r="DD100" s="345"/>
      <c r="DE100" s="345"/>
      <c r="DF100" s="345"/>
      <c r="DG100" s="345"/>
      <c r="DH100" s="345"/>
      <c r="DI100" s="345"/>
      <c r="DJ100" s="345"/>
      <c r="DK100" s="345"/>
      <c r="DL100" s="345"/>
      <c r="DM100" s="345"/>
      <c r="DN100" s="345"/>
      <c r="DO100" s="345"/>
      <c r="DP100" s="345"/>
      <c r="DQ100" s="345"/>
      <c r="DR100" s="345"/>
      <c r="DS100" s="345"/>
      <c r="DT100" s="345"/>
      <c r="DU100" s="345"/>
      <c r="DV100" s="345"/>
      <c r="DW100" s="345"/>
      <c r="DX100" s="345"/>
      <c r="DY100" s="345"/>
      <c r="DZ100" s="345"/>
      <c r="EA100" s="345"/>
      <c r="EB100" s="345"/>
      <c r="EC100" s="345"/>
      <c r="ED100" s="345"/>
      <c r="EE100" s="345"/>
      <c r="EF100" s="345"/>
      <c r="EG100" s="345"/>
      <c r="EH100" s="345"/>
      <c r="EI100" s="345"/>
      <c r="EJ100" s="345"/>
      <c r="EK100" s="345"/>
      <c r="EL100" s="345"/>
      <c r="EM100" s="345"/>
      <c r="EN100" s="345"/>
      <c r="EO100" s="345"/>
      <c r="EP100" s="345"/>
      <c r="EQ100" s="345"/>
      <c r="ER100" s="345"/>
      <c r="ES100" s="345"/>
      <c r="ET100" s="345"/>
      <c r="EU100" s="345"/>
      <c r="EV100" s="345"/>
      <c r="EW100" s="345"/>
      <c r="EX100" s="345"/>
      <c r="EY100" s="345"/>
      <c r="EZ100" s="345"/>
      <c r="FA100" s="345"/>
      <c r="FB100" s="345"/>
      <c r="FC100" s="345"/>
      <c r="FD100" s="345"/>
      <c r="FE100" s="345"/>
      <c r="FF100" s="345"/>
      <c r="FG100" s="345"/>
      <c r="FH100" s="345"/>
      <c r="FI100" s="345"/>
      <c r="FJ100" s="345"/>
      <c r="FK100" s="345"/>
      <c r="FL100" s="345"/>
      <c r="FM100" s="345"/>
      <c r="FN100" s="345"/>
      <c r="FO100" s="345"/>
      <c r="FP100" s="345"/>
      <c r="FQ100" s="345"/>
      <c r="FR100" s="345"/>
      <c r="FS100" s="345"/>
      <c r="FT100" s="345"/>
      <c r="FU100" s="345"/>
      <c r="FV100" s="345"/>
      <c r="FW100" s="345"/>
      <c r="FX100" s="345"/>
      <c r="FY100" s="345"/>
      <c r="FZ100" s="345"/>
      <c r="GA100" s="345"/>
      <c r="GB100" s="345"/>
      <c r="GC100" s="345"/>
      <c r="GD100" s="345"/>
      <c r="GE100" s="345"/>
      <c r="GF100" s="345"/>
      <c r="GG100" s="345"/>
      <c r="GH100" s="345"/>
      <c r="GI100" s="345"/>
      <c r="GJ100" s="345"/>
      <c r="GK100" s="345"/>
      <c r="GL100" s="345"/>
      <c r="GM100" s="345"/>
      <c r="GN100" s="345"/>
      <c r="GO100" s="345"/>
      <c r="GP100" s="345"/>
      <c r="GQ100" s="345"/>
      <c r="GR100" s="345"/>
      <c r="GS100" s="345"/>
      <c r="GT100" s="345"/>
      <c r="GU100" s="345"/>
    </row>
    <row r="101" spans="1:203" ht="12.75" customHeight="1">
      <c r="A101" s="465">
        <f t="shared" si="95"/>
        <v>2</v>
      </c>
      <c r="B101" s="1108">
        <v>91</v>
      </c>
      <c r="C101" s="1109">
        <v>1</v>
      </c>
      <c r="D101" s="398">
        <v>386.7</v>
      </c>
      <c r="E101" s="1120"/>
      <c r="F101" s="465">
        <f t="shared" si="97"/>
        <v>2</v>
      </c>
      <c r="G101" s="1108">
        <v>91</v>
      </c>
      <c r="H101" s="1109">
        <v>1</v>
      </c>
      <c r="I101" s="398">
        <v>381</v>
      </c>
      <c r="J101" s="1120"/>
      <c r="K101" s="465"/>
      <c r="L101" s="465"/>
      <c r="M101" s="465">
        <f t="shared" si="93"/>
        <v>2</v>
      </c>
      <c r="N101" s="1108">
        <v>91</v>
      </c>
      <c r="O101" s="1109">
        <v>1</v>
      </c>
      <c r="P101" s="398">
        <v>375.2</v>
      </c>
      <c r="Q101" s="1120"/>
      <c r="R101" s="465">
        <f t="shared" si="94"/>
        <v>2</v>
      </c>
      <c r="S101" s="1108">
        <v>91</v>
      </c>
      <c r="T101" s="1109">
        <v>-1</v>
      </c>
      <c r="U101" s="1110">
        <v>381.1</v>
      </c>
      <c r="V101" s="1120"/>
      <c r="W101" s="371"/>
      <c r="X101" s="494">
        <f t="shared" si="70"/>
        <v>386.7</v>
      </c>
      <c r="Y101" s="495" t="str">
        <f>IF('Feuilles=description générale'!$E$13="","",IF(X101="","",IF(X101&gt;('Feuilles=description générale'!$E$11+'Feuilles=description générale'!$E$10),"",100*(X101-'Feuilles=description générale'!$E$10)/('Feuilles=description générale'!$E$11))))</f>
        <v/>
      </c>
      <c r="Z101" s="495">
        <f>IF('Feuilles=description générale'!$E$13="","",IF(X101="","",IF(X101&lt;=('Feuilles=description générale'!$E$11+'Feuilles=description générale'!$E$10),"",100*(X101-'Feuilles=description générale'!$E$11-'Feuilles=description générale'!$E$10)/('Feuilles=description générale'!$E$12))))</f>
        <v>93.011446768224459</v>
      </c>
      <c r="AA101" s="1112">
        <f>IF('Feuilles=description générale'!$E$13="","",IF(X101="","",100*(X101-'Feuilles=description générale'!$E$10)/('Feuilles=description générale'!$E$13-'Feuilles=description générale'!$E$10)))</f>
        <v>94.740932642487053</v>
      </c>
      <c r="AB101" s="497">
        <f t="shared" si="71"/>
        <v>1</v>
      </c>
      <c r="AC101" s="500" t="str">
        <f t="shared" si="96"/>
        <v/>
      </c>
      <c r="AD101" s="494" t="str">
        <f t="shared" si="72"/>
        <v/>
      </c>
      <c r="AE101" s="499">
        <f t="shared" si="73"/>
        <v>1.4000000000000341</v>
      </c>
      <c r="AF101" s="371"/>
      <c r="AG101" s="494">
        <f t="shared" si="74"/>
        <v>381</v>
      </c>
      <c r="AH101" s="495" t="str">
        <f>IF('Feuilles=description générale'!$E$13="","",IF(AG101="","",IF(AG101&gt;('Feuilles=description générale'!$E$11+'Feuilles=description générale'!$E$10),"",100*(AG101-'Feuilles=description générale'!$E$10)/('Feuilles=description générale'!$E$11))))</f>
        <v/>
      </c>
      <c r="AI101" s="495">
        <f>IF('Feuilles=description générale'!$E$13="","",IF(AG101="","",IF(AG101&lt;=('Feuilles=description générale'!$E$11+'Feuilles=description générale'!$E$10),"",100*(AG101-'Feuilles=description générale'!$E$11-'Feuilles=description générale'!$E$10)/('Feuilles=description générale'!$E$12))))</f>
        <v>91.049143644031332</v>
      </c>
      <c r="AJ101" s="496">
        <f>IF('Feuilles=description générale'!$E$13="","",IF(AG101="","",100*(AG101-'Feuilles=description générale'!$E$10)/('Feuilles=description générale'!$E$13-'Feuilles=description générale'!$E$10)))</f>
        <v>93.264248704663217</v>
      </c>
      <c r="AK101" s="1113">
        <f t="shared" si="75"/>
        <v>1</v>
      </c>
      <c r="AL101" s="498" t="str">
        <f t="shared" si="76"/>
        <v/>
      </c>
      <c r="AM101" s="494" t="str">
        <f t="shared" si="77"/>
        <v/>
      </c>
      <c r="AN101" s="499">
        <f t="shared" si="78"/>
        <v>1.5</v>
      </c>
      <c r="AO101" s="371"/>
      <c r="AP101" s="494">
        <f t="shared" si="79"/>
        <v>375.2</v>
      </c>
      <c r="AQ101" s="495" t="str">
        <f>IF('Feuilles=description générale'!$E$13="","",IF(AP101="","",IF(AP101&gt;('Feuilles=description générale'!$E$25+'Feuilles=description générale'!$E$24),"",100*(AP101-'Feuilles=description générale'!$E$24)/('Feuilles=description générale'!$E$25))))</f>
        <v/>
      </c>
      <c r="AR101" s="495">
        <f>IF('Feuilles=description générale'!$E$27="","",IF(AP101="","",IF(AP101&lt;=('Feuilles=description générale'!$E$25+'Feuilles=description générale'!$E$24),"",100*(AP101-'Feuilles=description générale'!$E$25-'Feuilles=description générale'!$E$24)/('Feuilles=description générale'!$E$26))))</f>
        <v>82.03630623520128</v>
      </c>
      <c r="AS101" s="496">
        <f>IF('Feuilles=description générale'!$E$27="","",IF(AP101="","",100*(AP101-'Feuilles=description générale'!$E$24)/('Feuilles=description générale'!$E$27-'Feuilles=description générale'!$E$24)))</f>
        <v>86.091420190662419</v>
      </c>
      <c r="AT101" s="497">
        <f t="shared" si="80"/>
        <v>1</v>
      </c>
      <c r="AU101" s="500" t="str">
        <f t="shared" si="81"/>
        <v/>
      </c>
      <c r="AV101" s="494" t="str">
        <f t="shared" si="82"/>
        <v/>
      </c>
      <c r="AW101" s="499">
        <f t="shared" si="83"/>
        <v>1.9000000000000341</v>
      </c>
      <c r="AX101" s="371"/>
      <c r="AY101" s="494">
        <f t="shared" si="84"/>
        <v>381.1</v>
      </c>
      <c r="AZ101" s="495" t="str">
        <f>IF('Feuilles=description générale'!$E$13="","",IF(AY101="","",IF(AY101&gt;('Feuilles=description générale'!$E$25+'Feuilles=description générale'!$E$24),"",100*(AY101-'Feuilles=description générale'!$E$24)/('Feuilles=description générale'!$E$25))))</f>
        <v/>
      </c>
      <c r="BA101" s="495">
        <f>IF('Feuilles=description générale'!$E$27="","",IF(AY101="","",IF(AY101&lt;=('Feuilles=description générale'!$E$25+'Feuilles=description générale'!$E$24),"",100*(AY101-'Feuilles=description générale'!$E$25-'Feuilles=description générale'!$E$24)/('Feuilles=description générale'!$E$26))))</f>
        <v>83.898973954222569</v>
      </c>
      <c r="BB101" s="496">
        <f>IF('Feuilles=description générale'!$E$27="","",IF(AY101="","",100*(AY101-'Feuilles=description générale'!$E$24)/('Feuilles=description générale'!$E$27-'Feuilles=description générale'!$E$24)))</f>
        <v>87.533610364214127</v>
      </c>
      <c r="BC101" s="497">
        <f t="shared" si="85"/>
        <v>2</v>
      </c>
      <c r="BD101" s="500">
        <f t="shared" si="86"/>
        <v>2</v>
      </c>
      <c r="BE101" s="494">
        <f t="shared" si="87"/>
        <v>3.6999999999999886</v>
      </c>
      <c r="BF101" s="499" t="str">
        <f t="shared" si="88"/>
        <v/>
      </c>
      <c r="BG101" s="476"/>
      <c r="BH101" s="566"/>
      <c r="BI101" s="560"/>
      <c r="BJ101" s="560"/>
      <c r="BK101" s="560"/>
      <c r="BL101" s="560"/>
      <c r="BM101" s="560"/>
      <c r="BN101" s="560"/>
      <c r="BO101" s="560"/>
      <c r="BP101" s="560"/>
      <c r="BQ101" s="560"/>
      <c r="BR101" s="560"/>
      <c r="BS101" s="560"/>
      <c r="BT101" s="560"/>
      <c r="BU101" s="568"/>
      <c r="BV101" s="1114" t="str">
        <f t="shared" si="89"/>
        <v/>
      </c>
      <c r="BW101" s="1114">
        <f t="shared" si="89"/>
        <v>1.9600000000000954</v>
      </c>
      <c r="BX101" s="1114" t="str">
        <f t="shared" si="90"/>
        <v/>
      </c>
      <c r="BY101" s="1115">
        <f t="shared" si="90"/>
        <v>2.25</v>
      </c>
      <c r="BZ101" s="477"/>
      <c r="CA101" s="1114" t="str">
        <f t="shared" si="91"/>
        <v/>
      </c>
      <c r="CB101" s="1114">
        <f t="shared" si="91"/>
        <v>3.6100000000001295</v>
      </c>
      <c r="CC101" s="1114">
        <f t="shared" si="92"/>
        <v>13.689999999999916</v>
      </c>
      <c r="CD101" s="1115" t="str">
        <f t="shared" si="92"/>
        <v/>
      </c>
      <c r="CE101" s="568"/>
      <c r="CF101" s="554"/>
      <c r="CG101" s="560"/>
      <c r="CH101" s="560"/>
      <c r="CI101" s="560"/>
      <c r="CJ101" s="560"/>
      <c r="CK101" s="560"/>
      <c r="CL101" s="560"/>
      <c r="CM101" s="560"/>
      <c r="CN101" s="560"/>
      <c r="CO101" s="560"/>
      <c r="CP101" s="560"/>
      <c r="CQ101" s="560"/>
      <c r="CR101" s="560"/>
      <c r="CS101" s="560"/>
      <c r="CT101" s="560"/>
      <c r="CU101" s="560"/>
      <c r="CV101" s="476"/>
      <c r="CW101" s="345"/>
      <c r="CX101" s="345"/>
      <c r="CY101" s="345"/>
      <c r="CZ101" s="345"/>
      <c r="DA101" s="345"/>
      <c r="DB101" s="345"/>
      <c r="DC101" s="345"/>
      <c r="DD101" s="345"/>
      <c r="DE101" s="345"/>
      <c r="DF101" s="345"/>
      <c r="DG101" s="345"/>
      <c r="DH101" s="345"/>
      <c r="DI101" s="345"/>
      <c r="DJ101" s="345"/>
      <c r="DK101" s="345"/>
      <c r="DL101" s="345"/>
      <c r="DM101" s="345"/>
      <c r="DN101" s="345"/>
      <c r="DO101" s="345"/>
      <c r="DP101" s="345"/>
      <c r="DQ101" s="345"/>
      <c r="DR101" s="345"/>
      <c r="DS101" s="345"/>
      <c r="DT101" s="345"/>
      <c r="DU101" s="345"/>
      <c r="DV101" s="345"/>
      <c r="DW101" s="345"/>
      <c r="DX101" s="345"/>
      <c r="DY101" s="345"/>
      <c r="DZ101" s="345"/>
      <c r="EA101" s="345"/>
      <c r="EB101" s="345"/>
      <c r="EC101" s="345"/>
      <c r="ED101" s="345"/>
      <c r="EE101" s="345"/>
      <c r="EF101" s="345"/>
      <c r="EG101" s="345"/>
      <c r="EH101" s="345"/>
      <c r="EI101" s="345"/>
      <c r="EJ101" s="345"/>
      <c r="EK101" s="345"/>
      <c r="EL101" s="345"/>
      <c r="EM101" s="345"/>
      <c r="EN101" s="345"/>
      <c r="EO101" s="345"/>
      <c r="EP101" s="345"/>
      <c r="EQ101" s="345"/>
      <c r="ER101" s="345"/>
      <c r="ES101" s="345"/>
      <c r="ET101" s="345"/>
      <c r="EU101" s="345"/>
      <c r="EV101" s="345"/>
      <c r="EW101" s="345"/>
      <c r="EX101" s="345"/>
      <c r="EY101" s="345"/>
      <c r="EZ101" s="345"/>
      <c r="FA101" s="345"/>
      <c r="FB101" s="345"/>
      <c r="FC101" s="345"/>
      <c r="FD101" s="345"/>
      <c r="FE101" s="345"/>
      <c r="FF101" s="345"/>
      <c r="FG101" s="345"/>
      <c r="FH101" s="345"/>
      <c r="FI101" s="345"/>
      <c r="FJ101" s="345"/>
      <c r="FK101" s="345"/>
      <c r="FL101" s="345"/>
      <c r="FM101" s="345"/>
      <c r="FN101" s="345"/>
      <c r="FO101" s="345"/>
      <c r="FP101" s="345"/>
      <c r="FQ101" s="345"/>
      <c r="FR101" s="345"/>
      <c r="FS101" s="345"/>
      <c r="FT101" s="345"/>
      <c r="FU101" s="345"/>
      <c r="FV101" s="345"/>
      <c r="FW101" s="345"/>
      <c r="FX101" s="345"/>
      <c r="FY101" s="345"/>
      <c r="FZ101" s="345"/>
      <c r="GA101" s="345"/>
      <c r="GB101" s="345"/>
      <c r="GC101" s="345"/>
      <c r="GD101" s="345"/>
      <c r="GE101" s="345"/>
      <c r="GF101" s="345"/>
      <c r="GG101" s="345"/>
      <c r="GH101" s="345"/>
      <c r="GI101" s="345"/>
      <c r="GJ101" s="345"/>
      <c r="GK101" s="345"/>
      <c r="GL101" s="345"/>
      <c r="GM101" s="345"/>
      <c r="GN101" s="345"/>
      <c r="GO101" s="345"/>
      <c r="GP101" s="345"/>
      <c r="GQ101" s="345"/>
      <c r="GR101" s="345"/>
      <c r="GS101" s="345"/>
      <c r="GT101" s="345"/>
      <c r="GU101" s="345"/>
    </row>
    <row r="102" spans="1:203" ht="12.75" customHeight="1">
      <c r="A102" s="465">
        <f t="shared" si="95"/>
        <v>2</v>
      </c>
      <c r="B102" s="1108">
        <v>92</v>
      </c>
      <c r="C102" s="1109">
        <v>-1</v>
      </c>
      <c r="D102" s="398">
        <v>388.1</v>
      </c>
      <c r="E102" s="1120"/>
      <c r="F102" s="465">
        <f t="shared" si="97"/>
        <v>2</v>
      </c>
      <c r="G102" s="1108">
        <v>92</v>
      </c>
      <c r="H102" s="1109">
        <v>-1</v>
      </c>
      <c r="I102" s="398">
        <v>382.5</v>
      </c>
      <c r="J102" s="1120"/>
      <c r="K102" s="465"/>
      <c r="L102" s="465"/>
      <c r="M102" s="465">
        <f t="shared" si="93"/>
        <v>2</v>
      </c>
      <c r="N102" s="1108">
        <v>92</v>
      </c>
      <c r="O102" s="1109">
        <v>0</v>
      </c>
      <c r="P102" s="398">
        <v>377.1</v>
      </c>
      <c r="Q102" s="1120"/>
      <c r="R102" s="465">
        <f t="shared" si="94"/>
        <v>2</v>
      </c>
      <c r="S102" s="1108">
        <v>92</v>
      </c>
      <c r="T102" s="1109">
        <v>1</v>
      </c>
      <c r="U102" s="1110">
        <v>384.8</v>
      </c>
      <c r="V102" s="1120"/>
      <c r="W102" s="371"/>
      <c r="X102" s="494">
        <f t="shared" si="70"/>
        <v>388.1</v>
      </c>
      <c r="Y102" s="495" t="str">
        <f>IF('Feuilles=description générale'!$E$13="","",IF(X102="","",IF(X102&gt;('Feuilles=description générale'!$E$11+'Feuilles=description générale'!$E$10),"",100*(X102-'Feuilles=description générale'!$E$10)/('Feuilles=description générale'!$E$11))))</f>
        <v/>
      </c>
      <c r="Z102" s="495">
        <f>IF('Feuilles=description générale'!$E$13="","",IF(X102="","",IF(X102&lt;=('Feuilles=description générale'!$E$11+'Feuilles=description générale'!$E$10),"",100*(X102-'Feuilles=description générale'!$E$11-'Feuilles=description générale'!$E$10)/('Feuilles=description générale'!$E$12))))</f>
        <v>93.493415956622783</v>
      </c>
      <c r="AA102" s="1112">
        <f>IF('Feuilles=description générale'!$E$13="","",IF(X102="","",100*(X102-'Feuilles=description générale'!$E$10)/('Feuilles=description générale'!$E$13-'Feuilles=description générale'!$E$10)))</f>
        <v>95.103626943005182</v>
      </c>
      <c r="AB102" s="497">
        <f t="shared" si="71"/>
        <v>2</v>
      </c>
      <c r="AC102" s="500">
        <f t="shared" si="96"/>
        <v>2</v>
      </c>
      <c r="AD102" s="494">
        <f t="shared" si="72"/>
        <v>3</v>
      </c>
      <c r="AE102" s="499" t="str">
        <f t="shared" si="73"/>
        <v/>
      </c>
      <c r="AF102" s="371"/>
      <c r="AG102" s="494">
        <f t="shared" si="74"/>
        <v>382.5</v>
      </c>
      <c r="AH102" s="495" t="str">
        <f>IF('Feuilles=description générale'!$E$13="","",IF(AG102="","",IF(AG102&gt;('Feuilles=description générale'!$E$11+'Feuilles=description générale'!$E$10),"",100*(AG102-'Feuilles=description générale'!$E$10)/('Feuilles=description générale'!$E$11))))</f>
        <v/>
      </c>
      <c r="AI102" s="495">
        <f>IF('Feuilles=description générale'!$E$13="","",IF(AG102="","",IF(AG102&lt;=('Feuilles=description générale'!$E$11+'Feuilles=description générale'!$E$10),"",100*(AG102-'Feuilles=description générale'!$E$11-'Feuilles=description générale'!$E$10)/('Feuilles=description générale'!$E$12))))</f>
        <v>91.56553920302953</v>
      </c>
      <c r="AJ102" s="496">
        <f>IF('Feuilles=description générale'!$E$13="","",IF(AG102="","",100*(AG102-'Feuilles=description générale'!$E$10)/('Feuilles=description générale'!$E$13-'Feuilles=description générale'!$E$10)))</f>
        <v>93.652849740932638</v>
      </c>
      <c r="AK102" s="1113">
        <f t="shared" si="75"/>
        <v>2</v>
      </c>
      <c r="AL102" s="498">
        <f t="shared" si="76"/>
        <v>2</v>
      </c>
      <c r="AM102" s="494">
        <f t="shared" si="77"/>
        <v>4.6000000000000227</v>
      </c>
      <c r="AN102" s="499" t="str">
        <f t="shared" si="78"/>
        <v/>
      </c>
      <c r="AO102" s="371"/>
      <c r="AP102" s="494">
        <f t="shared" si="79"/>
        <v>377.1</v>
      </c>
      <c r="AQ102" s="495" t="str">
        <f>IF('Feuilles=description générale'!$E$13="","",IF(AP102="","",IF(AP102&gt;('Feuilles=description générale'!$E$25+'Feuilles=description générale'!$E$24),"",100*(AP102-'Feuilles=description générale'!$E$24)/('Feuilles=description générale'!$E$25))))</f>
        <v/>
      </c>
      <c r="AR102" s="495">
        <f>IF('Feuilles=description générale'!$E$27="","",IF(AP102="","",IF(AP102&lt;=('Feuilles=description générale'!$E$25+'Feuilles=description générale'!$E$24),"",100*(AP102-'Feuilles=description générale'!$E$25-'Feuilles=description générale'!$E$24)/('Feuilles=description générale'!$E$26))))</f>
        <v>82.636148382004734</v>
      </c>
      <c r="AS102" s="496">
        <f>IF('Feuilles=description générale'!$E$27="","",IF(AP102="","",100*(AP102-'Feuilles=description générale'!$E$24)/('Feuilles=description générale'!$E$27-'Feuilles=description générale'!$E$24)))</f>
        <v>86.555854314348565</v>
      </c>
      <c r="AT102" s="497">
        <f t="shared" si="80"/>
        <v>2</v>
      </c>
      <c r="AU102" s="500" t="str">
        <f t="shared" si="81"/>
        <v/>
      </c>
      <c r="AV102" s="494" t="str">
        <f t="shared" si="82"/>
        <v/>
      </c>
      <c r="AW102" s="499">
        <f t="shared" si="83"/>
        <v>1.1999999999999886</v>
      </c>
      <c r="AX102" s="371"/>
      <c r="AY102" s="494">
        <f t="shared" si="84"/>
        <v>384.8</v>
      </c>
      <c r="AZ102" s="495" t="str">
        <f>IF('Feuilles=description générale'!$E$13="","",IF(AY102="","",IF(AY102&gt;('Feuilles=description générale'!$E$25+'Feuilles=description générale'!$E$24),"",100*(AY102-'Feuilles=description générale'!$E$24)/('Feuilles=description générale'!$E$25))))</f>
        <v/>
      </c>
      <c r="BA102" s="495">
        <f>IF('Feuilles=description générale'!$E$27="","",IF(AY102="","",IF(AY102&lt;=('Feuilles=description générale'!$E$25+'Feuilles=description générale'!$E$24),"",100*(AY102-'Feuilles=description générale'!$E$25-'Feuilles=description générale'!$E$24)/('Feuilles=description générale'!$E$26))))</f>
        <v>85.067087608524091</v>
      </c>
      <c r="BB102" s="496">
        <f>IF('Feuilles=description générale'!$E$27="","",IF(AY102="","",100*(AY102-'Feuilles=description générale'!$E$24)/('Feuilles=description générale'!$E$27-'Feuilles=description générale'!$E$24)))</f>
        <v>88.438034710339764</v>
      </c>
      <c r="BC102" s="497">
        <f t="shared" si="85"/>
        <v>1</v>
      </c>
      <c r="BD102" s="500" t="str">
        <f t="shared" si="86"/>
        <v/>
      </c>
      <c r="BE102" s="494" t="str">
        <f t="shared" si="87"/>
        <v/>
      </c>
      <c r="BF102" s="499">
        <f t="shared" si="88"/>
        <v>1.5999999999999659</v>
      </c>
      <c r="BG102" s="476"/>
      <c r="BH102" s="561"/>
      <c r="BI102" s="560"/>
      <c r="BJ102" s="560"/>
      <c r="BK102" s="560"/>
      <c r="BL102" s="560"/>
      <c r="BM102" s="560"/>
      <c r="BN102" s="560"/>
      <c r="BO102" s="560"/>
      <c r="BP102" s="560"/>
      <c r="BQ102" s="560"/>
      <c r="BR102" s="560"/>
      <c r="BS102" s="560"/>
      <c r="BT102" s="560"/>
      <c r="BU102" s="568"/>
      <c r="BV102" s="1114">
        <f t="shared" si="89"/>
        <v>9</v>
      </c>
      <c r="BW102" s="1114" t="str">
        <f t="shared" si="89"/>
        <v/>
      </c>
      <c r="BX102" s="1114">
        <f t="shared" si="90"/>
        <v>21.16000000000021</v>
      </c>
      <c r="BY102" s="1115" t="str">
        <f t="shared" si="90"/>
        <v/>
      </c>
      <c r="BZ102" s="477"/>
      <c r="CA102" s="1114" t="str">
        <f t="shared" si="91"/>
        <v/>
      </c>
      <c r="CB102" s="1114">
        <f t="shared" si="91"/>
        <v>1.4399999999999726</v>
      </c>
      <c r="CC102" s="1114" t="str">
        <f t="shared" si="92"/>
        <v/>
      </c>
      <c r="CD102" s="1115">
        <f t="shared" si="92"/>
        <v>2.5599999999998908</v>
      </c>
      <c r="CE102" s="568"/>
      <c r="CF102" s="561"/>
      <c r="CG102" s="566"/>
      <c r="CH102" s="566"/>
      <c r="CI102" s="566"/>
      <c r="CJ102" s="566"/>
      <c r="CK102" s="566"/>
      <c r="CL102" s="566"/>
      <c r="CM102" s="566"/>
      <c r="CN102" s="566"/>
      <c r="CO102" s="566"/>
      <c r="CP102" s="566"/>
      <c r="CQ102" s="566"/>
      <c r="CR102" s="566"/>
      <c r="CS102" s="566"/>
      <c r="CT102" s="566"/>
      <c r="CU102" s="566"/>
      <c r="CV102" s="476"/>
      <c r="CW102" s="345"/>
      <c r="CX102" s="345"/>
      <c r="CY102" s="345"/>
      <c r="CZ102" s="345"/>
      <c r="DA102" s="345"/>
      <c r="DB102" s="345"/>
      <c r="DC102" s="345"/>
      <c r="DD102" s="345"/>
      <c r="DE102" s="345"/>
      <c r="DF102" s="345"/>
      <c r="DG102" s="345"/>
      <c r="DH102" s="345"/>
      <c r="DI102" s="345"/>
      <c r="DJ102" s="345"/>
      <c r="DK102" s="345"/>
      <c r="DL102" s="345"/>
      <c r="DM102" s="345"/>
      <c r="DN102" s="345"/>
      <c r="DO102" s="345"/>
      <c r="DP102" s="345"/>
      <c r="DQ102" s="345"/>
      <c r="DR102" s="345"/>
      <c r="DS102" s="345"/>
      <c r="DT102" s="345"/>
      <c r="DU102" s="345"/>
      <c r="DV102" s="345"/>
      <c r="DW102" s="345"/>
      <c r="DX102" s="345"/>
      <c r="DY102" s="345"/>
      <c r="DZ102" s="345"/>
      <c r="EA102" s="345"/>
      <c r="EB102" s="345"/>
      <c r="EC102" s="345"/>
      <c r="ED102" s="345"/>
      <c r="EE102" s="345"/>
      <c r="EF102" s="345"/>
      <c r="EG102" s="345"/>
      <c r="EH102" s="345"/>
      <c r="EI102" s="345"/>
      <c r="EJ102" s="345"/>
      <c r="EK102" s="345"/>
      <c r="EL102" s="345"/>
      <c r="EM102" s="345"/>
      <c r="EN102" s="345"/>
      <c r="EO102" s="345"/>
      <c r="EP102" s="345"/>
      <c r="EQ102" s="345"/>
      <c r="ER102" s="345"/>
      <c r="ES102" s="345"/>
      <c r="ET102" s="345"/>
      <c r="EU102" s="345"/>
      <c r="EV102" s="345"/>
      <c r="EW102" s="345"/>
      <c r="EX102" s="345"/>
      <c r="EY102" s="345"/>
      <c r="EZ102" s="345"/>
      <c r="FA102" s="345"/>
      <c r="FB102" s="345"/>
      <c r="FC102" s="345"/>
      <c r="FD102" s="345"/>
      <c r="FE102" s="345"/>
      <c r="FF102" s="345"/>
      <c r="FG102" s="345"/>
      <c r="FH102" s="345"/>
      <c r="FI102" s="345"/>
      <c r="FJ102" s="345"/>
      <c r="FK102" s="345"/>
      <c r="FL102" s="345"/>
      <c r="FM102" s="345"/>
      <c r="FN102" s="345"/>
      <c r="FO102" s="345"/>
      <c r="FP102" s="345"/>
      <c r="FQ102" s="345"/>
      <c r="FR102" s="345"/>
      <c r="FS102" s="345"/>
      <c r="FT102" s="345"/>
      <c r="FU102" s="345"/>
      <c r="FV102" s="345"/>
      <c r="FW102" s="345"/>
      <c r="FX102" s="345"/>
      <c r="FY102" s="345"/>
      <c r="FZ102" s="345"/>
      <c r="GA102" s="345"/>
      <c r="GB102" s="345"/>
      <c r="GC102" s="345"/>
      <c r="GD102" s="345"/>
      <c r="GE102" s="345"/>
      <c r="GF102" s="345"/>
      <c r="GG102" s="345"/>
      <c r="GH102" s="345"/>
      <c r="GI102" s="345"/>
      <c r="GJ102" s="345"/>
      <c r="GK102" s="345"/>
      <c r="GL102" s="345"/>
      <c r="GM102" s="345"/>
      <c r="GN102" s="345"/>
      <c r="GO102" s="345"/>
      <c r="GP102" s="345"/>
      <c r="GQ102" s="345"/>
      <c r="GR102" s="345"/>
      <c r="GS102" s="345"/>
      <c r="GT102" s="345"/>
      <c r="GU102" s="345"/>
    </row>
    <row r="103" spans="1:203" ht="12.75" customHeight="1">
      <c r="A103" s="465">
        <f t="shared" si="95"/>
        <v>2</v>
      </c>
      <c r="B103" s="1108">
        <v>93</v>
      </c>
      <c r="C103" s="1109">
        <v>0</v>
      </c>
      <c r="D103" s="398">
        <v>391.1</v>
      </c>
      <c r="E103" s="1120"/>
      <c r="F103" s="465">
        <f t="shared" si="97"/>
        <v>2</v>
      </c>
      <c r="G103" s="1108">
        <v>93</v>
      </c>
      <c r="H103" s="1109">
        <v>1</v>
      </c>
      <c r="I103" s="398">
        <v>387.1</v>
      </c>
      <c r="J103" s="1120"/>
      <c r="K103" s="465"/>
      <c r="L103" s="465"/>
      <c r="M103" s="465">
        <f t="shared" si="93"/>
        <v>2</v>
      </c>
      <c r="N103" s="1108">
        <v>93</v>
      </c>
      <c r="O103" s="1109">
        <v>-1</v>
      </c>
      <c r="P103" s="398">
        <v>378.3</v>
      </c>
      <c r="Q103" s="1120"/>
      <c r="R103" s="465">
        <f t="shared" si="94"/>
        <v>2</v>
      </c>
      <c r="S103" s="1108">
        <v>93</v>
      </c>
      <c r="T103" s="1109">
        <v>-1</v>
      </c>
      <c r="U103" s="1110">
        <v>386.4</v>
      </c>
      <c r="V103" s="1120"/>
      <c r="W103" s="371"/>
      <c r="X103" s="494">
        <f t="shared" si="70"/>
        <v>391.1</v>
      </c>
      <c r="Y103" s="495" t="str">
        <f>IF('Feuilles=description générale'!$E$13="","",IF(X103="","",IF(X103&gt;('Feuilles=description générale'!$E$11+'Feuilles=description générale'!$E$10),"",100*(X103-'Feuilles=description générale'!$E$10)/('Feuilles=description générale'!$E$11))))</f>
        <v/>
      </c>
      <c r="Z103" s="495">
        <f>IF('Feuilles=description générale'!$E$13="","",IF(X103="","",IF(X103&lt;=('Feuilles=description générale'!$E$11+'Feuilles=description générale'!$E$10),"",100*(X103-'Feuilles=description générale'!$E$11-'Feuilles=description générale'!$E$10)/('Feuilles=description générale'!$E$12))))</f>
        <v>94.526207074619165</v>
      </c>
      <c r="AA103" s="1112">
        <f>IF('Feuilles=description générale'!$E$13="","",IF(X103="","",100*(X103-'Feuilles=description générale'!$E$10)/('Feuilles=description générale'!$E$13-'Feuilles=description générale'!$E$10)))</f>
        <v>95.880829015544037</v>
      </c>
      <c r="AB103" s="497">
        <f t="shared" si="71"/>
        <v>1</v>
      </c>
      <c r="AC103" s="500">
        <f t="shared" si="96"/>
        <v>1</v>
      </c>
      <c r="AD103" s="494">
        <f t="shared" si="72"/>
        <v>4</v>
      </c>
      <c r="AE103" s="499" t="str">
        <f t="shared" si="73"/>
        <v/>
      </c>
      <c r="AF103" s="371"/>
      <c r="AG103" s="494">
        <f t="shared" si="74"/>
        <v>387.1</v>
      </c>
      <c r="AH103" s="495" t="str">
        <f>IF('Feuilles=description générale'!$E$13="","",IF(AG103="","",IF(AG103&gt;('Feuilles=description générale'!$E$11+'Feuilles=description générale'!$E$10),"",100*(AG103-'Feuilles=description générale'!$E$10)/('Feuilles=description générale'!$E$11))))</f>
        <v/>
      </c>
      <c r="AI103" s="495">
        <f>IF('Feuilles=description générale'!$E$13="","",IF(AG103="","",IF(AG103&lt;=('Feuilles=description générale'!$E$11+'Feuilles=description générale'!$E$10),"",100*(AG103-'Feuilles=description générale'!$E$11-'Feuilles=description générale'!$E$10)/('Feuilles=description générale'!$E$12))))</f>
        <v>93.149152250623985</v>
      </c>
      <c r="AJ103" s="496">
        <f>IF('Feuilles=description générale'!$E$13="","",IF(AG103="","",100*(AG103-'Feuilles=description générale'!$E$10)/('Feuilles=description générale'!$E$13-'Feuilles=description générale'!$E$10)))</f>
        <v>94.844559585492235</v>
      </c>
      <c r="AK103" s="1113">
        <f t="shared" si="75"/>
        <v>1</v>
      </c>
      <c r="AL103" s="498" t="str">
        <f t="shared" si="76"/>
        <v/>
      </c>
      <c r="AM103" s="494" t="str">
        <f t="shared" si="77"/>
        <v/>
      </c>
      <c r="AN103" s="499">
        <f t="shared" si="78"/>
        <v>2.5999999999999659</v>
      </c>
      <c r="AO103" s="371"/>
      <c r="AP103" s="494">
        <f t="shared" si="79"/>
        <v>378.3</v>
      </c>
      <c r="AQ103" s="495" t="str">
        <f>IF('Feuilles=description générale'!$E$13="","",IF(AP103="","",IF(AP103&gt;('Feuilles=description générale'!$E$25+'Feuilles=description générale'!$E$24),"",100*(AP103-'Feuilles=description générale'!$E$24)/('Feuilles=description générale'!$E$25))))</f>
        <v/>
      </c>
      <c r="AR103" s="495">
        <f>IF('Feuilles=description générale'!$E$27="","",IF(AP103="","",IF(AP103&lt;=('Feuilles=description générale'!$E$25+'Feuilles=description générale'!$E$24),"",100*(AP103-'Feuilles=description générale'!$E$25-'Feuilles=description générale'!$E$24)/('Feuilles=description générale'!$E$26))))</f>
        <v>83.014996053670103</v>
      </c>
      <c r="AS103" s="496">
        <f>IF('Feuilles=description générale'!$E$27="","",IF(AP103="","",100*(AP103-'Feuilles=description générale'!$E$24)/('Feuilles=description générale'!$E$27-'Feuilles=description générale'!$E$24)))</f>
        <v>86.849181129308235</v>
      </c>
      <c r="AT103" s="497">
        <f t="shared" si="80"/>
        <v>3</v>
      </c>
      <c r="AU103" s="500">
        <f t="shared" si="81"/>
        <v>3</v>
      </c>
      <c r="AV103" s="494">
        <f t="shared" si="82"/>
        <v>4.5</v>
      </c>
      <c r="AW103" s="499" t="str">
        <f t="shared" si="83"/>
        <v/>
      </c>
      <c r="AX103" s="371"/>
      <c r="AY103" s="494">
        <f t="shared" si="84"/>
        <v>386.4</v>
      </c>
      <c r="AZ103" s="495" t="str">
        <f>IF('Feuilles=description générale'!$E$13="","",IF(AY103="","",IF(AY103&gt;('Feuilles=description générale'!$E$25+'Feuilles=description générale'!$E$24),"",100*(AY103-'Feuilles=description générale'!$E$24)/('Feuilles=description générale'!$E$25))))</f>
        <v/>
      </c>
      <c r="BA103" s="495">
        <f>IF('Feuilles=description générale'!$E$27="","",IF(AY103="","",IF(AY103&lt;=('Feuilles=description générale'!$E$25+'Feuilles=description générale'!$E$24),"",100*(AY103-'Feuilles=description générale'!$E$25-'Feuilles=description générale'!$E$24)/('Feuilles=description générale'!$E$26))))</f>
        <v>85.572217837411202</v>
      </c>
      <c r="BB103" s="496">
        <f>IF('Feuilles=description générale'!$E$27="","",IF(AY103="","",100*(AY103-'Feuilles=description générale'!$E$24)/('Feuilles=description générale'!$E$27-'Feuilles=description générale'!$E$24)))</f>
        <v>88.829137130285986</v>
      </c>
      <c r="BC103" s="497">
        <f t="shared" si="85"/>
        <v>2</v>
      </c>
      <c r="BD103" s="500">
        <f t="shared" si="86"/>
        <v>2</v>
      </c>
      <c r="BE103" s="494">
        <f t="shared" si="87"/>
        <v>5.3000000000000114</v>
      </c>
      <c r="BF103" s="499" t="str">
        <f t="shared" si="88"/>
        <v/>
      </c>
      <c r="BG103" s="476"/>
      <c r="BH103" s="561"/>
      <c r="BI103" s="560"/>
      <c r="BJ103" s="560"/>
      <c r="BK103" s="560"/>
      <c r="BL103" s="560"/>
      <c r="BM103" s="560"/>
      <c r="BN103" s="560"/>
      <c r="BO103" s="560"/>
      <c r="BP103" s="560"/>
      <c r="BQ103" s="560"/>
      <c r="BR103" s="560"/>
      <c r="BS103" s="560"/>
      <c r="BT103" s="560"/>
      <c r="BU103" s="568"/>
      <c r="BV103" s="1114">
        <f t="shared" si="89"/>
        <v>16</v>
      </c>
      <c r="BW103" s="1114" t="str">
        <f t="shared" si="89"/>
        <v/>
      </c>
      <c r="BX103" s="1114" t="str">
        <f t="shared" si="90"/>
        <v/>
      </c>
      <c r="BY103" s="1115">
        <f t="shared" si="90"/>
        <v>6.759999999999823</v>
      </c>
      <c r="BZ103" s="477"/>
      <c r="CA103" s="1114">
        <f t="shared" si="91"/>
        <v>20.25</v>
      </c>
      <c r="CB103" s="1114" t="str">
        <f t="shared" si="91"/>
        <v/>
      </c>
      <c r="CC103" s="1114">
        <f t="shared" si="92"/>
        <v>28.090000000000121</v>
      </c>
      <c r="CD103" s="1115" t="str">
        <f t="shared" si="92"/>
        <v/>
      </c>
      <c r="CE103" s="568"/>
      <c r="CF103" s="561"/>
      <c r="CG103" s="566"/>
      <c r="CH103" s="566"/>
      <c r="CI103" s="566"/>
      <c r="CJ103" s="566"/>
      <c r="CK103" s="566"/>
      <c r="CL103" s="566"/>
      <c r="CM103" s="566"/>
      <c r="CN103" s="566"/>
      <c r="CO103" s="566"/>
      <c r="CP103" s="566"/>
      <c r="CQ103" s="566"/>
      <c r="CR103" s="566"/>
      <c r="CS103" s="566"/>
      <c r="CT103" s="566"/>
      <c r="CU103" s="566"/>
      <c r="CV103" s="476"/>
      <c r="CW103" s="345"/>
      <c r="CX103" s="345"/>
      <c r="CY103" s="345"/>
      <c r="CZ103" s="345"/>
      <c r="DA103" s="345"/>
      <c r="DB103" s="345"/>
      <c r="DC103" s="345"/>
      <c r="DD103" s="345"/>
      <c r="DE103" s="345"/>
      <c r="DF103" s="345"/>
      <c r="DG103" s="345"/>
      <c r="DH103" s="345"/>
      <c r="DI103" s="345"/>
      <c r="DJ103" s="345"/>
      <c r="DK103" s="345"/>
      <c r="DL103" s="345"/>
      <c r="DM103" s="345"/>
      <c r="DN103" s="345"/>
      <c r="DO103" s="345"/>
      <c r="DP103" s="345"/>
      <c r="DQ103" s="345"/>
      <c r="DR103" s="345"/>
      <c r="DS103" s="345"/>
      <c r="DT103" s="345"/>
      <c r="DU103" s="345"/>
      <c r="DV103" s="345"/>
      <c r="DW103" s="345"/>
      <c r="DX103" s="345"/>
      <c r="DY103" s="345"/>
      <c r="DZ103" s="345"/>
      <c r="EA103" s="345"/>
      <c r="EB103" s="345"/>
      <c r="EC103" s="345"/>
      <c r="ED103" s="345"/>
      <c r="EE103" s="345"/>
      <c r="EF103" s="345"/>
      <c r="EG103" s="345"/>
      <c r="EH103" s="345"/>
      <c r="EI103" s="345"/>
      <c r="EJ103" s="345"/>
      <c r="EK103" s="345"/>
      <c r="EL103" s="345"/>
      <c r="EM103" s="345"/>
      <c r="EN103" s="345"/>
      <c r="EO103" s="345"/>
      <c r="EP103" s="345"/>
      <c r="EQ103" s="345"/>
      <c r="ER103" s="345"/>
      <c r="ES103" s="345"/>
      <c r="ET103" s="345"/>
      <c r="EU103" s="345"/>
      <c r="EV103" s="345"/>
      <c r="EW103" s="345"/>
      <c r="EX103" s="345"/>
      <c r="EY103" s="345"/>
      <c r="EZ103" s="345"/>
      <c r="FA103" s="345"/>
      <c r="FB103" s="345"/>
      <c r="FC103" s="345"/>
      <c r="FD103" s="345"/>
      <c r="FE103" s="345"/>
      <c r="FF103" s="345"/>
      <c r="FG103" s="345"/>
      <c r="FH103" s="345"/>
      <c r="FI103" s="345"/>
      <c r="FJ103" s="345"/>
      <c r="FK103" s="345"/>
      <c r="FL103" s="345"/>
      <c r="FM103" s="345"/>
      <c r="FN103" s="345"/>
      <c r="FO103" s="345"/>
      <c r="FP103" s="345"/>
      <c r="FQ103" s="345"/>
      <c r="FR103" s="345"/>
      <c r="FS103" s="345"/>
      <c r="FT103" s="345"/>
      <c r="FU103" s="345"/>
      <c r="FV103" s="345"/>
      <c r="FW103" s="345"/>
      <c r="FX103" s="345"/>
      <c r="FY103" s="345"/>
      <c r="FZ103" s="345"/>
      <c r="GA103" s="345"/>
      <c r="GB103" s="345"/>
      <c r="GC103" s="345"/>
      <c r="GD103" s="345"/>
      <c r="GE103" s="345"/>
      <c r="GF103" s="345"/>
      <c r="GG103" s="345"/>
      <c r="GH103" s="345"/>
      <c r="GI103" s="345"/>
      <c r="GJ103" s="345"/>
      <c r="GK103" s="345"/>
      <c r="GL103" s="345"/>
      <c r="GM103" s="345"/>
      <c r="GN103" s="345"/>
      <c r="GO103" s="345"/>
      <c r="GP103" s="345"/>
      <c r="GQ103" s="345"/>
      <c r="GR103" s="345"/>
      <c r="GS103" s="345"/>
      <c r="GT103" s="345"/>
      <c r="GU103" s="345"/>
    </row>
    <row r="104" spans="1:203" ht="12.75" customHeight="1">
      <c r="A104" s="465">
        <f t="shared" si="95"/>
        <v>2</v>
      </c>
      <c r="B104" s="1108">
        <v>94</v>
      </c>
      <c r="C104" s="1109">
        <v>1</v>
      </c>
      <c r="D104" s="398">
        <v>395.1</v>
      </c>
      <c r="E104" s="1120"/>
      <c r="F104" s="465">
        <f t="shared" si="97"/>
        <v>2</v>
      </c>
      <c r="G104" s="1108">
        <v>94</v>
      </c>
      <c r="H104" s="1109">
        <v>0</v>
      </c>
      <c r="I104" s="398">
        <v>389.7</v>
      </c>
      <c r="J104" s="1120"/>
      <c r="K104" s="465"/>
      <c r="L104" s="465"/>
      <c r="M104" s="465">
        <f t="shared" si="93"/>
        <v>2</v>
      </c>
      <c r="N104" s="1108">
        <v>94</v>
      </c>
      <c r="O104" s="1109">
        <v>1</v>
      </c>
      <c r="P104" s="398">
        <v>382.8</v>
      </c>
      <c r="Q104" s="1120"/>
      <c r="R104" s="465">
        <f t="shared" si="94"/>
        <v>2</v>
      </c>
      <c r="S104" s="1108">
        <v>94</v>
      </c>
      <c r="T104" s="1109">
        <v>1</v>
      </c>
      <c r="U104" s="1110">
        <v>391.7</v>
      </c>
      <c r="V104" s="1120"/>
      <c r="W104" s="371"/>
      <c r="X104" s="494">
        <f t="shared" si="70"/>
        <v>395.1</v>
      </c>
      <c r="Y104" s="495" t="str">
        <f>IF('Feuilles=description générale'!$E$13="","",IF(X104="","",IF(X104&gt;('Feuilles=description générale'!$E$11+'Feuilles=description générale'!$E$10),"",100*(X104-'Feuilles=description générale'!$E$10)/('Feuilles=description générale'!$E$11))))</f>
        <v/>
      </c>
      <c r="Z104" s="495">
        <f>IF('Feuilles=description générale'!$E$13="","",IF(X104="","",IF(X104&lt;=('Feuilles=description générale'!$E$11+'Feuilles=description générale'!$E$10),"",100*(X104-'Feuilles=description générale'!$E$11-'Feuilles=description générale'!$E$10)/('Feuilles=description générale'!$E$12))))</f>
        <v>95.903261898614346</v>
      </c>
      <c r="AA104" s="1112">
        <f>IF('Feuilles=description générale'!$E$13="","",IF(X104="","",100*(X104-'Feuilles=description générale'!$E$10)/('Feuilles=description générale'!$E$13-'Feuilles=description générale'!$E$10)))</f>
        <v>96.917098445595855</v>
      </c>
      <c r="AB104" s="497">
        <f t="shared" si="71"/>
        <v>1</v>
      </c>
      <c r="AC104" s="500" t="str">
        <f t="shared" si="96"/>
        <v/>
      </c>
      <c r="AD104" s="494" t="str">
        <f t="shared" si="72"/>
        <v/>
      </c>
      <c r="AE104" s="499">
        <f t="shared" si="73"/>
        <v>2.0999999999999659</v>
      </c>
      <c r="AF104" s="371"/>
      <c r="AG104" s="494">
        <f t="shared" si="74"/>
        <v>389.7</v>
      </c>
      <c r="AH104" s="495" t="str">
        <f>IF('Feuilles=description générale'!$E$13="","",IF(AG104="","",IF(AG104&gt;('Feuilles=description générale'!$E$11+'Feuilles=description générale'!$E$10),"",100*(AG104-'Feuilles=description générale'!$E$10)/('Feuilles=description générale'!$E$11))))</f>
        <v/>
      </c>
      <c r="AI104" s="495">
        <f>IF('Feuilles=description générale'!$E$13="","",IF(AG104="","",IF(AG104&lt;=('Feuilles=description générale'!$E$11+'Feuilles=description générale'!$E$10),"",100*(AG104-'Feuilles=description générale'!$E$11-'Feuilles=description générale'!$E$10)/('Feuilles=description générale'!$E$12))))</f>
        <v>94.044237886220841</v>
      </c>
      <c r="AJ104" s="496">
        <f>IF('Feuilles=description générale'!$E$13="","",IF(AG104="","",100*(AG104-'Feuilles=description générale'!$E$10)/('Feuilles=description générale'!$E$13-'Feuilles=description générale'!$E$10)))</f>
        <v>95.518134715025909</v>
      </c>
      <c r="AK104" s="1113">
        <f t="shared" si="75"/>
        <v>2</v>
      </c>
      <c r="AL104" s="498" t="str">
        <f t="shared" si="76"/>
        <v/>
      </c>
      <c r="AM104" s="494" t="str">
        <f t="shared" si="77"/>
        <v/>
      </c>
      <c r="AN104" s="499">
        <f t="shared" si="78"/>
        <v>2.6000000000000227</v>
      </c>
      <c r="AO104" s="371"/>
      <c r="AP104" s="494">
        <f t="shared" si="79"/>
        <v>382.8</v>
      </c>
      <c r="AQ104" s="495" t="str">
        <f>IF('Feuilles=description générale'!$E$13="","",IF(AP104="","",IF(AP104&gt;('Feuilles=description générale'!$E$25+'Feuilles=description générale'!$E$24),"",100*(AP104-'Feuilles=description générale'!$E$24)/('Feuilles=description générale'!$E$25))))</f>
        <v/>
      </c>
      <c r="AR104" s="495">
        <f>IF('Feuilles=description générale'!$E$27="","",IF(AP104="","",IF(AP104&lt;=('Feuilles=description générale'!$E$25+'Feuilles=description générale'!$E$24),"",100*(AP104-'Feuilles=description générale'!$E$25-'Feuilles=description générale'!$E$24)/('Feuilles=description générale'!$E$26))))</f>
        <v>84.435674822415166</v>
      </c>
      <c r="AS104" s="496">
        <f>IF('Feuilles=description générale'!$E$27="","",IF(AP104="","",100*(AP104-'Feuilles=description générale'!$E$24)/('Feuilles=description générale'!$E$27-'Feuilles=description générale'!$E$24)))</f>
        <v>87.94915668540699</v>
      </c>
      <c r="AT104" s="497">
        <f t="shared" si="80"/>
        <v>1</v>
      </c>
      <c r="AU104" s="500" t="str">
        <f t="shared" si="81"/>
        <v/>
      </c>
      <c r="AV104" s="494" t="str">
        <f t="shared" si="82"/>
        <v/>
      </c>
      <c r="AW104" s="499">
        <f t="shared" si="83"/>
        <v>2.1999999999999886</v>
      </c>
      <c r="AX104" s="371"/>
      <c r="AY104" s="494">
        <f t="shared" si="84"/>
        <v>391.7</v>
      </c>
      <c r="AZ104" s="495" t="str">
        <f>IF('Feuilles=description générale'!$E$13="","",IF(AY104="","",IF(AY104&gt;('Feuilles=description générale'!$E$25+'Feuilles=description générale'!$E$24),"",100*(AY104-'Feuilles=description générale'!$E$24)/('Feuilles=description générale'!$E$25))))</f>
        <v/>
      </c>
      <c r="BA104" s="495">
        <f>IF('Feuilles=description générale'!$E$27="","",IF(AY104="","",IF(AY104&lt;=('Feuilles=description générale'!$E$25+'Feuilles=description générale'!$E$24),"",100*(AY104-'Feuilles=description générale'!$E$25-'Feuilles=description générale'!$E$24)/('Feuilles=description générale'!$E$26))))</f>
        <v>87.245461720599849</v>
      </c>
      <c r="BB104" s="496">
        <f>IF('Feuilles=description générale'!$E$27="","",IF(AY104="","",100*(AY104-'Feuilles=description générale'!$E$24)/('Feuilles=description générale'!$E$27-'Feuilles=description générale'!$E$24)))</f>
        <v>90.124663896357859</v>
      </c>
      <c r="BC104" s="497">
        <f t="shared" si="85"/>
        <v>1</v>
      </c>
      <c r="BD104" s="500" t="str">
        <f t="shared" si="86"/>
        <v/>
      </c>
      <c r="BE104" s="494" t="str">
        <f t="shared" si="87"/>
        <v/>
      </c>
      <c r="BF104" s="499">
        <f t="shared" si="88"/>
        <v>1.5</v>
      </c>
      <c r="BG104" s="476"/>
      <c r="BH104" s="561"/>
      <c r="BI104" s="561"/>
      <c r="BJ104" s="561"/>
      <c r="BK104" s="561"/>
      <c r="BL104" s="561"/>
      <c r="BM104" s="561"/>
      <c r="BN104" s="561"/>
      <c r="BO104" s="561"/>
      <c r="BP104" s="561"/>
      <c r="BQ104" s="561"/>
      <c r="BR104" s="561"/>
      <c r="BS104" s="561"/>
      <c r="BT104" s="561"/>
      <c r="BU104" s="568"/>
      <c r="BV104" s="1114" t="str">
        <f t="shared" si="89"/>
        <v/>
      </c>
      <c r="BW104" s="1114">
        <f t="shared" si="89"/>
        <v>4.4099999999998571</v>
      </c>
      <c r="BX104" s="1114" t="str">
        <f t="shared" si="90"/>
        <v/>
      </c>
      <c r="BY104" s="1115">
        <f t="shared" si="90"/>
        <v>6.7600000000001179</v>
      </c>
      <c r="BZ104" s="477"/>
      <c r="CA104" s="1114" t="str">
        <f t="shared" si="91"/>
        <v/>
      </c>
      <c r="CB104" s="1114">
        <f t="shared" si="91"/>
        <v>4.8399999999999501</v>
      </c>
      <c r="CC104" s="1114" t="str">
        <f t="shared" si="92"/>
        <v/>
      </c>
      <c r="CD104" s="1115">
        <f t="shared" si="92"/>
        <v>2.25</v>
      </c>
      <c r="CE104" s="568"/>
      <c r="CF104" s="561"/>
      <c r="CG104" s="561"/>
      <c r="CH104" s="561"/>
      <c r="CI104" s="561"/>
      <c r="CJ104" s="561"/>
      <c r="CK104" s="561"/>
      <c r="CL104" s="561"/>
      <c r="CM104" s="561"/>
      <c r="CN104" s="561"/>
      <c r="CO104" s="561"/>
      <c r="CP104" s="561"/>
      <c r="CQ104" s="561"/>
      <c r="CR104" s="561"/>
      <c r="CS104" s="561"/>
      <c r="CT104" s="561"/>
      <c r="CU104" s="561"/>
      <c r="CV104" s="476"/>
      <c r="CW104" s="345"/>
      <c r="CX104" s="345"/>
      <c r="CY104" s="345"/>
      <c r="CZ104" s="345"/>
      <c r="DA104" s="345"/>
      <c r="DB104" s="345"/>
      <c r="DC104" s="345"/>
      <c r="DD104" s="345"/>
      <c r="DE104" s="345"/>
      <c r="DF104" s="345"/>
      <c r="DG104" s="345"/>
      <c r="DH104" s="345"/>
      <c r="DI104" s="345"/>
      <c r="DJ104" s="345"/>
      <c r="DK104" s="345"/>
      <c r="DL104" s="345"/>
      <c r="DM104" s="345"/>
      <c r="DN104" s="345"/>
      <c r="DO104" s="345"/>
      <c r="DP104" s="345"/>
      <c r="DQ104" s="345"/>
      <c r="DR104" s="345"/>
      <c r="DS104" s="345"/>
      <c r="DT104" s="345"/>
      <c r="DU104" s="345"/>
      <c r="DV104" s="345"/>
      <c r="DW104" s="345"/>
      <c r="DX104" s="345"/>
      <c r="DY104" s="345"/>
      <c r="DZ104" s="345"/>
      <c r="EA104" s="345"/>
      <c r="EB104" s="345"/>
      <c r="EC104" s="345"/>
      <c r="ED104" s="345"/>
      <c r="EE104" s="345"/>
      <c r="EF104" s="345"/>
      <c r="EG104" s="345"/>
      <c r="EH104" s="345"/>
      <c r="EI104" s="345"/>
      <c r="EJ104" s="345"/>
      <c r="EK104" s="345"/>
      <c r="EL104" s="345"/>
      <c r="EM104" s="345"/>
      <c r="EN104" s="345"/>
      <c r="EO104" s="345"/>
      <c r="EP104" s="345"/>
      <c r="EQ104" s="345"/>
      <c r="ER104" s="345"/>
      <c r="ES104" s="345"/>
      <c r="ET104" s="345"/>
      <c r="EU104" s="345"/>
      <c r="EV104" s="345"/>
      <c r="EW104" s="345"/>
      <c r="EX104" s="345"/>
      <c r="EY104" s="345"/>
      <c r="EZ104" s="345"/>
      <c r="FA104" s="345"/>
      <c r="FB104" s="345"/>
      <c r="FC104" s="345"/>
      <c r="FD104" s="345"/>
      <c r="FE104" s="345"/>
      <c r="FF104" s="345"/>
      <c r="FG104" s="345"/>
      <c r="FH104" s="345"/>
      <c r="FI104" s="345"/>
      <c r="FJ104" s="345"/>
      <c r="FK104" s="345"/>
      <c r="FL104" s="345"/>
      <c r="FM104" s="345"/>
      <c r="FN104" s="345"/>
      <c r="FO104" s="345"/>
      <c r="FP104" s="345"/>
      <c r="FQ104" s="345"/>
      <c r="FR104" s="345"/>
      <c r="FS104" s="345"/>
      <c r="FT104" s="345"/>
      <c r="FU104" s="345"/>
      <c r="FV104" s="345"/>
      <c r="FW104" s="345"/>
      <c r="FX104" s="345"/>
      <c r="FY104" s="345"/>
      <c r="FZ104" s="345"/>
      <c r="GA104" s="345"/>
      <c r="GB104" s="345"/>
      <c r="GC104" s="345"/>
      <c r="GD104" s="345"/>
      <c r="GE104" s="345"/>
      <c r="GF104" s="345"/>
      <c r="GG104" s="345"/>
      <c r="GH104" s="345"/>
      <c r="GI104" s="345"/>
      <c r="GJ104" s="345"/>
      <c r="GK104" s="345"/>
      <c r="GL104" s="345"/>
      <c r="GM104" s="345"/>
      <c r="GN104" s="345"/>
      <c r="GO104" s="345"/>
      <c r="GP104" s="345"/>
      <c r="GQ104" s="345"/>
      <c r="GR104" s="345"/>
      <c r="GS104" s="345"/>
      <c r="GT104" s="345"/>
      <c r="GU104" s="345"/>
    </row>
    <row r="105" spans="1:203" ht="12.75" customHeight="1">
      <c r="A105" s="465">
        <f t="shared" si="95"/>
        <v>2</v>
      </c>
      <c r="B105" s="1108">
        <v>95</v>
      </c>
      <c r="C105" s="1109">
        <v>-1</v>
      </c>
      <c r="D105" s="398">
        <v>397.2</v>
      </c>
      <c r="E105" s="1116"/>
      <c r="F105" s="465">
        <f t="shared" si="97"/>
        <v>2</v>
      </c>
      <c r="G105" s="1108">
        <v>95</v>
      </c>
      <c r="H105" s="1109">
        <v>-1</v>
      </c>
      <c r="I105" s="398">
        <v>392.3</v>
      </c>
      <c r="J105" s="1116"/>
      <c r="K105" s="465"/>
      <c r="L105" s="465"/>
      <c r="M105" s="465">
        <f t="shared" si="93"/>
        <v>2</v>
      </c>
      <c r="N105" s="1108">
        <v>95</v>
      </c>
      <c r="O105" s="1109">
        <v>-1</v>
      </c>
      <c r="P105" s="398">
        <v>385</v>
      </c>
      <c r="Q105" s="1116"/>
      <c r="R105" s="465">
        <f t="shared" si="94"/>
        <v>2</v>
      </c>
      <c r="S105" s="1108">
        <v>95</v>
      </c>
      <c r="T105" s="1109">
        <v>-1</v>
      </c>
      <c r="U105" s="1110">
        <v>393.2</v>
      </c>
      <c r="V105" s="1116"/>
      <c r="W105" s="371"/>
      <c r="X105" s="494">
        <f t="shared" si="70"/>
        <v>397.2</v>
      </c>
      <c r="Y105" s="495" t="str">
        <f>IF('Feuilles=description générale'!$E$13="","",IF(X105="","",IF(X105&gt;('Feuilles=description générale'!$E$11+'Feuilles=description générale'!$E$10),"",100*(X105-'Feuilles=description générale'!$E$10)/('Feuilles=description générale'!$E$11))))</f>
        <v/>
      </c>
      <c r="Z105" s="495">
        <f>IF('Feuilles=description générale'!$E$13="","",IF(X105="","",IF(X105&lt;=('Feuilles=description générale'!$E$11+'Feuilles=description générale'!$E$10),"",100*(X105-'Feuilles=description générale'!$E$11-'Feuilles=description générale'!$E$10)/('Feuilles=description générale'!$E$12))))</f>
        <v>96.626215681211804</v>
      </c>
      <c r="AA105" s="1112">
        <f>IF('Feuilles=description générale'!$E$13="","",IF(X105="","",100*(X105-'Feuilles=description générale'!$E$10)/('Feuilles=description générale'!$E$13-'Feuilles=description générale'!$E$10)))</f>
        <v>97.461139896373055</v>
      </c>
      <c r="AB105" s="497">
        <f t="shared" si="71"/>
        <v>2</v>
      </c>
      <c r="AC105" s="500">
        <f t="shared" si="96"/>
        <v>2</v>
      </c>
      <c r="AD105" s="494">
        <f t="shared" si="72"/>
        <v>4.1000000000000227</v>
      </c>
      <c r="AE105" s="499" t="str">
        <f t="shared" si="73"/>
        <v/>
      </c>
      <c r="AF105" s="371"/>
      <c r="AG105" s="494">
        <f t="shared" si="74"/>
        <v>392.3</v>
      </c>
      <c r="AH105" s="495" t="str">
        <f>IF('Feuilles=description générale'!$E$13="","",IF(AG105="","",IF(AG105&gt;('Feuilles=description générale'!$E$11+'Feuilles=description générale'!$E$10),"",100*(AG105-'Feuilles=description générale'!$E$10)/('Feuilles=description générale'!$E$11))))</f>
        <v/>
      </c>
      <c r="AI105" s="495">
        <f>IF('Feuilles=description générale'!$E$13="","",IF(AG105="","",IF(AG105&lt;=('Feuilles=description générale'!$E$11+'Feuilles=description générale'!$E$10),"",100*(AG105-'Feuilles=description générale'!$E$11-'Feuilles=description générale'!$E$10)/('Feuilles=description générale'!$E$12))))</f>
        <v>94.939323521817713</v>
      </c>
      <c r="AJ105" s="496">
        <f>IF('Feuilles=description générale'!$E$13="","",IF(AG105="","",100*(AG105-'Feuilles=description générale'!$E$10)/('Feuilles=description générale'!$E$13-'Feuilles=description générale'!$E$10)))</f>
        <v>96.191709844559583</v>
      </c>
      <c r="AK105" s="1113">
        <f t="shared" si="75"/>
        <v>3</v>
      </c>
      <c r="AL105" s="498">
        <f t="shared" si="76"/>
        <v>3</v>
      </c>
      <c r="AM105" s="494">
        <f t="shared" si="77"/>
        <v>4.6999999999999886</v>
      </c>
      <c r="AN105" s="499" t="str">
        <f t="shared" si="78"/>
        <v/>
      </c>
      <c r="AO105" s="371"/>
      <c r="AP105" s="494">
        <f t="shared" si="79"/>
        <v>385</v>
      </c>
      <c r="AQ105" s="495" t="str">
        <f>IF('Feuilles=description générale'!$E$13="","",IF(AP105="","",IF(AP105&gt;('Feuilles=description générale'!$E$25+'Feuilles=description générale'!$E$24),"",100*(AP105-'Feuilles=description générale'!$E$24)/('Feuilles=description générale'!$E$25))))</f>
        <v/>
      </c>
      <c r="AR105" s="495">
        <f>IF('Feuilles=description générale'!$E$27="","",IF(AP105="","",IF(AP105&lt;=('Feuilles=description générale'!$E$25+'Feuilles=description générale'!$E$24),"",100*(AP105-'Feuilles=description générale'!$E$25-'Feuilles=description générale'!$E$24)/('Feuilles=description générale'!$E$26))))</f>
        <v>85.130228887134948</v>
      </c>
      <c r="AS105" s="496">
        <f>IF('Feuilles=description générale'!$E$27="","",IF(AP105="","",100*(AP105-'Feuilles=description générale'!$E$24)/('Feuilles=description générale'!$E$27-'Feuilles=description générale'!$E$24)))</f>
        <v>88.486922512833047</v>
      </c>
      <c r="AT105" s="497">
        <f t="shared" si="80"/>
        <v>2</v>
      </c>
      <c r="AU105" s="500">
        <f t="shared" si="81"/>
        <v>2</v>
      </c>
      <c r="AV105" s="494">
        <f t="shared" si="82"/>
        <v>4.3000000000000114</v>
      </c>
      <c r="AW105" s="499" t="str">
        <f t="shared" si="83"/>
        <v/>
      </c>
      <c r="AX105" s="371"/>
      <c r="AY105" s="494">
        <f t="shared" si="84"/>
        <v>393.2</v>
      </c>
      <c r="AZ105" s="495" t="str">
        <f>IF('Feuilles=description générale'!$E$13="","",IF(AY105="","",IF(AY105&gt;('Feuilles=description générale'!$E$25+'Feuilles=description générale'!$E$24),"",100*(AY105-'Feuilles=description générale'!$E$24)/('Feuilles=description générale'!$E$25))))</f>
        <v/>
      </c>
      <c r="BA105" s="495">
        <f>IF('Feuilles=description générale'!$E$27="","",IF(AY105="","",IF(AY105&lt;=('Feuilles=description générale'!$E$25+'Feuilles=description générale'!$E$24),"",100*(AY105-'Feuilles=description générale'!$E$25-'Feuilles=description générale'!$E$24)/('Feuilles=description générale'!$E$26))))</f>
        <v>87.719021310181546</v>
      </c>
      <c r="BB105" s="496">
        <f>IF('Feuilles=description générale'!$E$27="","",IF(AY105="","",100*(AY105-'Feuilles=description générale'!$E$24)/('Feuilles=description générale'!$E$27-'Feuilles=description générale'!$E$24)))</f>
        <v>90.491322415057439</v>
      </c>
      <c r="BC105" s="497">
        <f t="shared" si="85"/>
        <v>2</v>
      </c>
      <c r="BD105" s="500">
        <f t="shared" si="86"/>
        <v>2</v>
      </c>
      <c r="BE105" s="494">
        <f t="shared" si="87"/>
        <v>4.1000000000000227</v>
      </c>
      <c r="BF105" s="499" t="str">
        <f t="shared" si="88"/>
        <v/>
      </c>
      <c r="BG105" s="476"/>
      <c r="BH105" s="561"/>
      <c r="BI105" s="561"/>
      <c r="BJ105" s="561"/>
      <c r="BK105" s="561"/>
      <c r="BL105" s="561"/>
      <c r="BM105" s="561"/>
      <c r="BN105" s="561"/>
      <c r="BO105" s="561"/>
      <c r="BP105" s="561"/>
      <c r="BQ105" s="561"/>
      <c r="BR105" s="561"/>
      <c r="BS105" s="561"/>
      <c r="BT105" s="561"/>
      <c r="BU105" s="568"/>
      <c r="BV105" s="1114">
        <f t="shared" si="89"/>
        <v>16.810000000000187</v>
      </c>
      <c r="BW105" s="1114" t="str">
        <f t="shared" si="89"/>
        <v/>
      </c>
      <c r="BX105" s="1114">
        <f t="shared" si="90"/>
        <v>22.089999999999893</v>
      </c>
      <c r="BY105" s="1115" t="str">
        <f t="shared" si="90"/>
        <v/>
      </c>
      <c r="BZ105" s="477"/>
      <c r="CA105" s="1114">
        <f t="shared" si="91"/>
        <v>18.490000000000098</v>
      </c>
      <c r="CB105" s="1114" t="str">
        <f t="shared" si="91"/>
        <v/>
      </c>
      <c r="CC105" s="1114">
        <f t="shared" si="92"/>
        <v>16.810000000000187</v>
      </c>
      <c r="CD105" s="1115" t="str">
        <f t="shared" si="92"/>
        <v/>
      </c>
      <c r="CE105" s="568"/>
      <c r="CF105" s="561"/>
      <c r="CG105" s="561"/>
      <c r="CH105" s="561"/>
      <c r="CI105" s="561"/>
      <c r="CJ105" s="561"/>
      <c r="CK105" s="561"/>
      <c r="CL105" s="561"/>
      <c r="CM105" s="561"/>
      <c r="CN105" s="561"/>
      <c r="CO105" s="561"/>
      <c r="CP105" s="561"/>
      <c r="CQ105" s="561"/>
      <c r="CR105" s="561"/>
      <c r="CS105" s="561"/>
      <c r="CT105" s="561"/>
      <c r="CU105" s="561"/>
      <c r="CV105" s="476"/>
      <c r="CW105" s="345"/>
      <c r="CX105" s="345"/>
      <c r="CY105" s="345"/>
      <c r="CZ105" s="345"/>
      <c r="DA105" s="345"/>
      <c r="DB105" s="345"/>
      <c r="DC105" s="345"/>
      <c r="DD105" s="345"/>
      <c r="DE105" s="345"/>
      <c r="DF105" s="345"/>
      <c r="DG105" s="345"/>
      <c r="DH105" s="345"/>
      <c r="DI105" s="345"/>
      <c r="DJ105" s="345"/>
      <c r="DK105" s="345"/>
      <c r="DL105" s="345"/>
      <c r="DM105" s="345"/>
      <c r="DN105" s="345"/>
      <c r="DO105" s="345"/>
      <c r="DP105" s="345"/>
      <c r="DQ105" s="345"/>
      <c r="DR105" s="345"/>
      <c r="DS105" s="345"/>
      <c r="DT105" s="345"/>
      <c r="DU105" s="345"/>
      <c r="DV105" s="345"/>
      <c r="DW105" s="345"/>
      <c r="DX105" s="345"/>
      <c r="DY105" s="345"/>
      <c r="DZ105" s="345"/>
      <c r="EA105" s="345"/>
      <c r="EB105" s="345"/>
      <c r="EC105" s="345"/>
      <c r="ED105" s="345"/>
      <c r="EE105" s="345"/>
      <c r="EF105" s="345"/>
      <c r="EG105" s="345"/>
      <c r="EH105" s="345"/>
      <c r="EI105" s="345"/>
      <c r="EJ105" s="345"/>
      <c r="EK105" s="345"/>
      <c r="EL105" s="345"/>
      <c r="EM105" s="345"/>
      <c r="EN105" s="345"/>
      <c r="EO105" s="345"/>
      <c r="EP105" s="345"/>
      <c r="EQ105" s="345"/>
      <c r="ER105" s="345"/>
      <c r="ES105" s="345"/>
      <c r="ET105" s="345"/>
      <c r="EU105" s="345"/>
      <c r="EV105" s="345"/>
      <c r="EW105" s="345"/>
      <c r="EX105" s="345"/>
      <c r="EY105" s="345"/>
      <c r="EZ105" s="345"/>
      <c r="FA105" s="345"/>
      <c r="FB105" s="345"/>
      <c r="FC105" s="345"/>
      <c r="FD105" s="345"/>
      <c r="FE105" s="345"/>
      <c r="FF105" s="345"/>
      <c r="FG105" s="345"/>
      <c r="FH105" s="345"/>
      <c r="FI105" s="345"/>
      <c r="FJ105" s="345"/>
      <c r="FK105" s="345"/>
      <c r="FL105" s="345"/>
      <c r="FM105" s="345"/>
      <c r="FN105" s="345"/>
      <c r="FO105" s="345"/>
      <c r="FP105" s="345"/>
      <c r="FQ105" s="345"/>
      <c r="FR105" s="345"/>
      <c r="FS105" s="345"/>
      <c r="FT105" s="345"/>
      <c r="FU105" s="345"/>
      <c r="FV105" s="345"/>
      <c r="FW105" s="345"/>
      <c r="FX105" s="345"/>
      <c r="FY105" s="345"/>
      <c r="FZ105" s="345"/>
      <c r="GA105" s="345"/>
      <c r="GB105" s="345"/>
      <c r="GC105" s="345"/>
      <c r="GD105" s="345"/>
      <c r="GE105" s="345"/>
      <c r="GF105" s="345"/>
      <c r="GG105" s="345"/>
      <c r="GH105" s="345"/>
      <c r="GI105" s="345"/>
      <c r="GJ105" s="345"/>
      <c r="GK105" s="345"/>
      <c r="GL105" s="345"/>
      <c r="GM105" s="345"/>
      <c r="GN105" s="345"/>
      <c r="GO105" s="345"/>
      <c r="GP105" s="345"/>
      <c r="GQ105" s="345"/>
      <c r="GR105" s="345"/>
      <c r="GS105" s="345"/>
      <c r="GT105" s="345"/>
      <c r="GU105" s="345"/>
    </row>
    <row r="106" spans="1:203" ht="12.75" customHeight="1">
      <c r="A106" s="465">
        <f t="shared" si="95"/>
        <v>2</v>
      </c>
      <c r="B106" s="1108">
        <v>96</v>
      </c>
      <c r="C106" s="1109">
        <v>1</v>
      </c>
      <c r="D106" s="398">
        <v>401.3</v>
      </c>
      <c r="E106" s="1116"/>
      <c r="F106" s="465">
        <f t="shared" si="97"/>
        <v>2</v>
      </c>
      <c r="G106" s="1108">
        <v>96</v>
      </c>
      <c r="H106" s="1109">
        <v>1</v>
      </c>
      <c r="I106" s="398">
        <v>397</v>
      </c>
      <c r="J106" s="1116"/>
      <c r="K106" s="465"/>
      <c r="L106" s="465"/>
      <c r="M106" s="465">
        <f t="shared" si="93"/>
        <v>2</v>
      </c>
      <c r="N106" s="1108">
        <v>96</v>
      </c>
      <c r="O106" s="1109">
        <v>1</v>
      </c>
      <c r="P106" s="398">
        <v>389.3</v>
      </c>
      <c r="Q106" s="1116"/>
      <c r="R106" s="465">
        <f t="shared" si="94"/>
        <v>2</v>
      </c>
      <c r="S106" s="1108">
        <v>96</v>
      </c>
      <c r="T106" s="1109">
        <v>1</v>
      </c>
      <c r="U106" s="1110">
        <v>397.3</v>
      </c>
      <c r="V106" s="1116"/>
      <c r="W106" s="371"/>
      <c r="X106" s="494">
        <f t="shared" si="70"/>
        <v>401.3</v>
      </c>
      <c r="Y106" s="495" t="str">
        <f>IF('Feuilles=description générale'!$E$13="","",IF(X106="","",IF(X106&gt;('Feuilles=description générale'!$E$11+'Feuilles=description générale'!$E$10),"",100*(X106-'Feuilles=description générale'!$E$10)/('Feuilles=description générale'!$E$11))))</f>
        <v/>
      </c>
      <c r="Z106" s="495">
        <f>IF('Feuilles=description générale'!$E$13="","",IF(X106="","",IF(X106&lt;=('Feuilles=description générale'!$E$11+'Feuilles=description générale'!$E$10),"",100*(X106-'Feuilles=description générale'!$E$11-'Feuilles=description générale'!$E$10)/('Feuilles=description générale'!$E$12))))</f>
        <v>98.037696875806873</v>
      </c>
      <c r="AA106" s="1112">
        <f>IF('Feuilles=description générale'!$E$13="","",IF(X106="","",100*(X106-'Feuilles=description générale'!$E$10)/('Feuilles=description générale'!$E$13-'Feuilles=description générale'!$E$10)))</f>
        <v>98.523316062176164</v>
      </c>
      <c r="AB106" s="497">
        <f t="shared" si="71"/>
        <v>1</v>
      </c>
      <c r="AC106" s="500" t="str">
        <f t="shared" si="96"/>
        <v/>
      </c>
      <c r="AD106" s="494" t="str">
        <f t="shared" si="72"/>
        <v/>
      </c>
      <c r="AE106" s="499">
        <f t="shared" si="73"/>
        <v>1.6999999999999886</v>
      </c>
      <c r="AF106" s="371"/>
      <c r="AG106" s="494">
        <f t="shared" si="74"/>
        <v>397</v>
      </c>
      <c r="AH106" s="495" t="str">
        <f>IF('Feuilles=description générale'!$E$13="","",IF(AG106="","",IF(AG106&gt;('Feuilles=description générale'!$E$11+'Feuilles=description générale'!$E$10),"",100*(AG106-'Feuilles=description générale'!$E$10)/('Feuilles=description générale'!$E$11))))</f>
        <v/>
      </c>
      <c r="AI106" s="495">
        <f>IF('Feuilles=description générale'!$E$13="","",IF(AG106="","",IF(AG106&lt;=('Feuilles=description générale'!$E$11+'Feuilles=description générale'!$E$10),"",100*(AG106-'Feuilles=description générale'!$E$11-'Feuilles=description générale'!$E$10)/('Feuilles=description générale'!$E$12))))</f>
        <v>96.557362940012055</v>
      </c>
      <c r="AJ106" s="496">
        <f>IF('Feuilles=description générale'!$E$13="","",IF(AG106="","",100*(AG106-'Feuilles=description générale'!$E$10)/('Feuilles=description générale'!$E$13-'Feuilles=description générale'!$E$10)))</f>
        <v>97.409326424870471</v>
      </c>
      <c r="AK106" s="1113">
        <f t="shared" si="75"/>
        <v>1</v>
      </c>
      <c r="AL106" s="498" t="str">
        <f t="shared" si="76"/>
        <v/>
      </c>
      <c r="AM106" s="494" t="str">
        <f t="shared" si="77"/>
        <v/>
      </c>
      <c r="AN106" s="499">
        <f t="shared" si="78"/>
        <v>1.6999999999999886</v>
      </c>
      <c r="AO106" s="371"/>
      <c r="AP106" s="494">
        <f t="shared" si="79"/>
        <v>389.3</v>
      </c>
      <c r="AQ106" s="495" t="str">
        <f>IF('Feuilles=description générale'!$E$13="","",IF(AP106="","",IF(AP106&gt;('Feuilles=description générale'!$E$25+'Feuilles=description générale'!$E$24),"",100*(AP106-'Feuilles=description générale'!$E$24)/('Feuilles=description générale'!$E$25))))</f>
        <v/>
      </c>
      <c r="AR106" s="495">
        <f>IF('Feuilles=description générale'!$E$27="","",IF(AP106="","",IF(AP106&lt;=('Feuilles=description générale'!$E$25+'Feuilles=description générale'!$E$24),"",100*(AP106-'Feuilles=description générale'!$E$25-'Feuilles=description générale'!$E$24)/('Feuilles=description générale'!$E$26))))</f>
        <v>86.487766377269153</v>
      </c>
      <c r="AS106" s="496">
        <f>IF('Feuilles=description générale'!$E$27="","",IF(AP106="","",100*(AP106-'Feuilles=description générale'!$E$24)/('Feuilles=description générale'!$E$27-'Feuilles=description générale'!$E$24)))</f>
        <v>89.538010266438519</v>
      </c>
      <c r="AT106" s="497">
        <f t="shared" si="80"/>
        <v>1</v>
      </c>
      <c r="AU106" s="500" t="str">
        <f t="shared" si="81"/>
        <v/>
      </c>
      <c r="AV106" s="494" t="str">
        <f t="shared" si="82"/>
        <v/>
      </c>
      <c r="AW106" s="499">
        <f t="shared" si="83"/>
        <v>2.5999999999999659</v>
      </c>
      <c r="AX106" s="371"/>
      <c r="AY106" s="494">
        <f t="shared" si="84"/>
        <v>397.3</v>
      </c>
      <c r="AZ106" s="495" t="str">
        <f>IF('Feuilles=description générale'!$E$13="","",IF(AY106="","",IF(AY106&gt;('Feuilles=description générale'!$E$25+'Feuilles=description générale'!$E$24),"",100*(AY106-'Feuilles=description générale'!$E$24)/('Feuilles=description générale'!$E$25))))</f>
        <v/>
      </c>
      <c r="BA106" s="495">
        <f>IF('Feuilles=description générale'!$E$27="","",IF(AY106="","",IF(AY106&lt;=('Feuilles=description générale'!$E$25+'Feuilles=description générale'!$E$24),"",100*(AY106-'Feuilles=description générale'!$E$25-'Feuilles=description générale'!$E$24)/('Feuilles=description générale'!$E$26))))</f>
        <v>89.013417521704824</v>
      </c>
      <c r="BB106" s="496">
        <f>IF('Feuilles=description générale'!$E$27="","",IF(AY106="","",100*(AY106-'Feuilles=description générale'!$E$24)/('Feuilles=description générale'!$E$27-'Feuilles=description générale'!$E$24)))</f>
        <v>91.493522366169643</v>
      </c>
      <c r="BC106" s="497">
        <f t="shared" si="85"/>
        <v>1</v>
      </c>
      <c r="BD106" s="500" t="str">
        <f t="shared" si="86"/>
        <v/>
      </c>
      <c r="BE106" s="494" t="str">
        <f t="shared" si="87"/>
        <v/>
      </c>
      <c r="BF106" s="499">
        <f t="shared" si="88"/>
        <v>2.3999999999999773</v>
      </c>
      <c r="BG106" s="476"/>
      <c r="BH106" s="567"/>
      <c r="BI106" s="562"/>
      <c r="BJ106" s="562"/>
      <c r="BK106" s="562"/>
      <c r="BL106" s="562"/>
      <c r="BM106" s="562"/>
      <c r="BN106" s="562"/>
      <c r="BO106" s="562"/>
      <c r="BP106" s="562"/>
      <c r="BQ106" s="562"/>
      <c r="BR106" s="562"/>
      <c r="BS106" s="562"/>
      <c r="BT106" s="562"/>
      <c r="BU106" s="568"/>
      <c r="BV106" s="1114" t="str">
        <f t="shared" si="89"/>
        <v/>
      </c>
      <c r="BW106" s="1114">
        <f t="shared" si="89"/>
        <v>2.8899999999999615</v>
      </c>
      <c r="BX106" s="1114" t="str">
        <f t="shared" si="90"/>
        <v/>
      </c>
      <c r="BY106" s="1115">
        <f t="shared" si="90"/>
        <v>2.8899999999999615</v>
      </c>
      <c r="BZ106" s="477"/>
      <c r="CA106" s="1114" t="str">
        <f t="shared" si="91"/>
        <v/>
      </c>
      <c r="CB106" s="1114">
        <f t="shared" si="91"/>
        <v>6.759999999999823</v>
      </c>
      <c r="CC106" s="1114" t="str">
        <f t="shared" si="92"/>
        <v/>
      </c>
      <c r="CD106" s="1115">
        <f t="shared" si="92"/>
        <v>5.7599999999998905</v>
      </c>
      <c r="CE106" s="568"/>
      <c r="CF106" s="567"/>
      <c r="CG106" s="562"/>
      <c r="CH106" s="562"/>
      <c r="CI106" s="562"/>
      <c r="CJ106" s="562"/>
      <c r="CK106" s="562"/>
      <c r="CL106" s="562"/>
      <c r="CM106" s="562"/>
      <c r="CN106" s="562"/>
      <c r="CO106" s="562"/>
      <c r="CP106" s="562"/>
      <c r="CQ106" s="562"/>
      <c r="CR106" s="562"/>
      <c r="CS106" s="562"/>
      <c r="CT106" s="562"/>
      <c r="CU106" s="562"/>
      <c r="CV106" s="476"/>
      <c r="CW106" s="345"/>
      <c r="CX106" s="345"/>
      <c r="CY106" s="345"/>
      <c r="CZ106" s="345"/>
      <c r="DA106" s="345"/>
      <c r="DB106" s="345"/>
      <c r="DC106" s="345"/>
      <c r="DD106" s="345"/>
      <c r="DE106" s="345"/>
      <c r="DF106" s="345"/>
      <c r="DG106" s="345"/>
      <c r="DH106" s="345"/>
      <c r="DI106" s="345"/>
      <c r="DJ106" s="345"/>
      <c r="DK106" s="345"/>
      <c r="DL106" s="345"/>
      <c r="DM106" s="345"/>
      <c r="DN106" s="345"/>
      <c r="DO106" s="345"/>
      <c r="DP106" s="345"/>
      <c r="DQ106" s="345"/>
      <c r="DR106" s="345"/>
      <c r="DS106" s="345"/>
      <c r="DT106" s="345"/>
      <c r="DU106" s="345"/>
      <c r="DV106" s="345"/>
      <c r="DW106" s="345"/>
      <c r="DX106" s="345"/>
      <c r="DY106" s="345"/>
      <c r="DZ106" s="345"/>
      <c r="EA106" s="345"/>
      <c r="EB106" s="345"/>
      <c r="EC106" s="345"/>
      <c r="ED106" s="345"/>
      <c r="EE106" s="345"/>
      <c r="EF106" s="345"/>
      <c r="EG106" s="345"/>
      <c r="EH106" s="345"/>
      <c r="EI106" s="345"/>
      <c r="EJ106" s="345"/>
      <c r="EK106" s="345"/>
      <c r="EL106" s="345"/>
      <c r="EM106" s="345"/>
      <c r="EN106" s="345"/>
      <c r="EO106" s="345"/>
      <c r="EP106" s="345"/>
      <c r="EQ106" s="345"/>
      <c r="ER106" s="345"/>
      <c r="ES106" s="345"/>
      <c r="ET106" s="345"/>
      <c r="EU106" s="345"/>
      <c r="EV106" s="345"/>
      <c r="EW106" s="345"/>
      <c r="EX106" s="345"/>
      <c r="EY106" s="345"/>
      <c r="EZ106" s="345"/>
      <c r="FA106" s="345"/>
      <c r="FB106" s="345"/>
      <c r="FC106" s="345"/>
      <c r="FD106" s="345"/>
      <c r="FE106" s="345"/>
      <c r="FF106" s="345"/>
      <c r="FG106" s="345"/>
      <c r="FH106" s="345"/>
      <c r="FI106" s="345"/>
      <c r="FJ106" s="345"/>
      <c r="FK106" s="345"/>
      <c r="FL106" s="345"/>
      <c r="FM106" s="345"/>
      <c r="FN106" s="345"/>
      <c r="FO106" s="345"/>
      <c r="FP106" s="345"/>
      <c r="FQ106" s="345"/>
      <c r="FR106" s="345"/>
      <c r="FS106" s="345"/>
      <c r="FT106" s="345"/>
      <c r="FU106" s="345"/>
      <c r="FV106" s="345"/>
      <c r="FW106" s="345"/>
      <c r="FX106" s="345"/>
      <c r="FY106" s="345"/>
      <c r="FZ106" s="345"/>
      <c r="GA106" s="345"/>
      <c r="GB106" s="345"/>
      <c r="GC106" s="345"/>
      <c r="GD106" s="345"/>
      <c r="GE106" s="345"/>
      <c r="GF106" s="345"/>
      <c r="GG106" s="345"/>
      <c r="GH106" s="345"/>
      <c r="GI106" s="345"/>
      <c r="GJ106" s="345"/>
      <c r="GK106" s="345"/>
      <c r="GL106" s="345"/>
      <c r="GM106" s="345"/>
      <c r="GN106" s="345"/>
      <c r="GO106" s="345"/>
      <c r="GP106" s="345"/>
      <c r="GQ106" s="345"/>
      <c r="GR106" s="345"/>
      <c r="GS106" s="345"/>
      <c r="GT106" s="345"/>
      <c r="GU106" s="345"/>
    </row>
    <row r="107" spans="1:203" ht="12.75" customHeight="1">
      <c r="A107" s="465">
        <f t="shared" si="95"/>
        <v>2</v>
      </c>
      <c r="B107" s="1108">
        <v>97</v>
      </c>
      <c r="C107" s="1109">
        <v>-1</v>
      </c>
      <c r="D107" s="398">
        <v>403</v>
      </c>
      <c r="E107" s="1116"/>
      <c r="F107" s="465">
        <f t="shared" si="97"/>
        <v>2</v>
      </c>
      <c r="G107" s="1108">
        <v>97</v>
      </c>
      <c r="H107" s="1109">
        <v>-1</v>
      </c>
      <c r="I107" s="398">
        <v>398.7</v>
      </c>
      <c r="J107" s="1116"/>
      <c r="K107" s="465"/>
      <c r="L107" s="465"/>
      <c r="M107" s="465">
        <f t="shared" si="93"/>
        <v>2</v>
      </c>
      <c r="N107" s="1108">
        <v>97</v>
      </c>
      <c r="O107" s="1109">
        <v>0</v>
      </c>
      <c r="P107" s="398">
        <v>391.9</v>
      </c>
      <c r="Q107" s="1116"/>
      <c r="R107" s="465">
        <f t="shared" si="94"/>
        <v>2</v>
      </c>
      <c r="S107" s="1108">
        <v>97</v>
      </c>
      <c r="T107" s="1109">
        <v>-1</v>
      </c>
      <c r="U107" s="1110">
        <v>399.7</v>
      </c>
      <c r="V107" s="1116"/>
      <c r="W107" s="371"/>
      <c r="X107" s="494">
        <f t="shared" si="70"/>
        <v>403</v>
      </c>
      <c r="Y107" s="495" t="str">
        <f>IF('Feuilles=description générale'!$E$13="","",IF(X107="","",IF(X107&gt;('Feuilles=description générale'!$E$11+'Feuilles=description générale'!$E$10),"",100*(X107-'Feuilles=description générale'!$E$10)/('Feuilles=description générale'!$E$11))))</f>
        <v/>
      </c>
      <c r="Z107" s="495">
        <f>IF('Feuilles=description générale'!$E$13="","",IF(X107="","",IF(X107&lt;=('Feuilles=description générale'!$E$11+'Feuilles=description générale'!$E$10),"",100*(X107-'Feuilles=description générale'!$E$11-'Feuilles=description générale'!$E$10)/('Feuilles=description générale'!$E$12))))</f>
        <v>98.622945176004819</v>
      </c>
      <c r="AA107" s="1112">
        <f>IF('Feuilles=description générale'!$E$13="","",IF(X107="","",100*(X107-'Feuilles=description générale'!$E$10)/('Feuilles=description générale'!$E$13-'Feuilles=description générale'!$E$10)))</f>
        <v>98.963730569948183</v>
      </c>
      <c r="AB107" s="497">
        <f t="shared" si="71"/>
        <v>2</v>
      </c>
      <c r="AC107" s="500">
        <f t="shared" si="96"/>
        <v>2</v>
      </c>
      <c r="AD107" s="494">
        <f t="shared" si="72"/>
        <v>2.6000000000000227</v>
      </c>
      <c r="AE107" s="499" t="str">
        <f t="shared" si="73"/>
        <v/>
      </c>
      <c r="AF107" s="371"/>
      <c r="AG107" s="494">
        <f t="shared" si="74"/>
        <v>398.7</v>
      </c>
      <c r="AH107" s="495" t="str">
        <f>IF('Feuilles=description générale'!$E$13="","",IF(AG107="","",IF(AG107&gt;('Feuilles=description générale'!$E$11+'Feuilles=description générale'!$E$10),"",100*(AG107-'Feuilles=description générale'!$E$10)/('Feuilles=description générale'!$E$11))))</f>
        <v/>
      </c>
      <c r="AI107" s="495">
        <f>IF('Feuilles=description générale'!$E$13="","",IF(AG107="","",IF(AG107&lt;=('Feuilles=description générale'!$E$11+'Feuilles=description générale'!$E$10),"",100*(AG107-'Feuilles=description générale'!$E$11-'Feuilles=description générale'!$E$10)/('Feuilles=description générale'!$E$12))))</f>
        <v>97.142611240209987</v>
      </c>
      <c r="AJ107" s="496">
        <f>IF('Feuilles=description générale'!$E$13="","",IF(AG107="","",100*(AG107-'Feuilles=description générale'!$E$10)/('Feuilles=description générale'!$E$13-'Feuilles=description générale'!$E$10)))</f>
        <v>97.84974093264249</v>
      </c>
      <c r="AK107" s="1113">
        <f t="shared" si="75"/>
        <v>2</v>
      </c>
      <c r="AL107" s="498">
        <f t="shared" si="76"/>
        <v>2</v>
      </c>
      <c r="AM107" s="494">
        <f t="shared" si="77"/>
        <v>4.3000000000000114</v>
      </c>
      <c r="AN107" s="499" t="str">
        <f t="shared" si="78"/>
        <v/>
      </c>
      <c r="AO107" s="371"/>
      <c r="AP107" s="494">
        <f t="shared" si="79"/>
        <v>391.9</v>
      </c>
      <c r="AQ107" s="495" t="str">
        <f>IF('Feuilles=description générale'!$E$13="","",IF(AP107="","",IF(AP107&gt;('Feuilles=description générale'!$E$25+'Feuilles=description générale'!$E$24),"",100*(AP107-'Feuilles=description générale'!$E$24)/('Feuilles=description générale'!$E$25))))</f>
        <v/>
      </c>
      <c r="AR107" s="495">
        <f>IF('Feuilles=description générale'!$E$27="","",IF(AP107="","",IF(AP107&lt;=('Feuilles=description générale'!$E$25+'Feuilles=description générale'!$E$24),"",100*(AP107-'Feuilles=description générale'!$E$25-'Feuilles=description générale'!$E$24)/('Feuilles=description générale'!$E$26))))</f>
        <v>87.30860299921072</v>
      </c>
      <c r="AS107" s="496">
        <f>IF('Feuilles=description générale'!$E$27="","",IF(AP107="","",100*(AP107-'Feuilles=description générale'!$E$24)/('Feuilles=description générale'!$E$27-'Feuilles=description générale'!$E$24)))</f>
        <v>90.173551698851128</v>
      </c>
      <c r="AT107" s="497">
        <f t="shared" si="80"/>
        <v>2</v>
      </c>
      <c r="AU107" s="500" t="str">
        <f t="shared" si="81"/>
        <v/>
      </c>
      <c r="AV107" s="494" t="str">
        <f t="shared" si="82"/>
        <v/>
      </c>
      <c r="AW107" s="499">
        <f t="shared" si="83"/>
        <v>2.3000000000000114</v>
      </c>
      <c r="AX107" s="371"/>
      <c r="AY107" s="494">
        <f t="shared" si="84"/>
        <v>399.7</v>
      </c>
      <c r="AZ107" s="495" t="str">
        <f>IF('Feuilles=description générale'!$E$13="","",IF(AY107="","",IF(AY107&gt;('Feuilles=description générale'!$E$25+'Feuilles=description générale'!$E$24),"",100*(AY107-'Feuilles=description générale'!$E$24)/('Feuilles=description générale'!$E$25))))</f>
        <v/>
      </c>
      <c r="BA107" s="495">
        <f>IF('Feuilles=description générale'!$E$27="","",IF(AY107="","",IF(AY107&lt;=('Feuilles=description générale'!$E$25+'Feuilles=description générale'!$E$24),"",100*(AY107-'Feuilles=description générale'!$E$25-'Feuilles=description générale'!$E$24)/('Feuilles=description générale'!$E$26))))</f>
        <v>89.771112865035533</v>
      </c>
      <c r="BB107" s="496">
        <f>IF('Feuilles=description générale'!$E$27="","",IF(AY107="","",100*(AY107-'Feuilles=description générale'!$E$24)/('Feuilles=description générale'!$E$27-'Feuilles=description générale'!$E$24)))</f>
        <v>92.080175996088968</v>
      </c>
      <c r="BC107" s="497">
        <f t="shared" si="85"/>
        <v>2</v>
      </c>
      <c r="BD107" s="500">
        <f t="shared" si="86"/>
        <v>2</v>
      </c>
      <c r="BE107" s="494">
        <f t="shared" si="87"/>
        <v>3.9000000000000341</v>
      </c>
      <c r="BF107" s="499" t="str">
        <f t="shared" si="88"/>
        <v/>
      </c>
      <c r="BG107" s="476"/>
      <c r="BH107" s="563"/>
      <c r="BI107" s="562"/>
      <c r="BJ107" s="562"/>
      <c r="BK107" s="562"/>
      <c r="BL107" s="562"/>
      <c r="BM107" s="562"/>
      <c r="BN107" s="562"/>
      <c r="BO107" s="562"/>
      <c r="BP107" s="562"/>
      <c r="BQ107" s="562"/>
      <c r="BR107" s="562"/>
      <c r="BS107" s="562"/>
      <c r="BT107" s="562"/>
      <c r="BU107" s="568"/>
      <c r="BV107" s="1114">
        <f t="shared" si="89"/>
        <v>6.7600000000001179</v>
      </c>
      <c r="BW107" s="1114" t="str">
        <f t="shared" si="89"/>
        <v/>
      </c>
      <c r="BX107" s="1114">
        <f t="shared" si="90"/>
        <v>18.490000000000098</v>
      </c>
      <c r="BY107" s="1115" t="str">
        <f t="shared" si="90"/>
        <v/>
      </c>
      <c r="BZ107" s="477"/>
      <c r="CA107" s="1114" t="str">
        <f t="shared" si="91"/>
        <v/>
      </c>
      <c r="CB107" s="1114">
        <f t="shared" si="91"/>
        <v>5.2900000000000524</v>
      </c>
      <c r="CC107" s="1114">
        <f t="shared" si="92"/>
        <v>15.210000000000266</v>
      </c>
      <c r="CD107" s="1115" t="str">
        <f t="shared" si="92"/>
        <v/>
      </c>
      <c r="CE107" s="568"/>
      <c r="CF107" s="563"/>
      <c r="CG107" s="562"/>
      <c r="CH107" s="562"/>
      <c r="CI107" s="562"/>
      <c r="CJ107" s="562"/>
      <c r="CK107" s="562"/>
      <c r="CL107" s="562"/>
      <c r="CM107" s="562"/>
      <c r="CN107" s="562"/>
      <c r="CO107" s="562"/>
      <c r="CP107" s="562"/>
      <c r="CQ107" s="562"/>
      <c r="CR107" s="562"/>
      <c r="CS107" s="562"/>
      <c r="CT107" s="562"/>
      <c r="CU107" s="562"/>
      <c r="CV107" s="476"/>
      <c r="CW107" s="345"/>
      <c r="CX107" s="345"/>
      <c r="CY107" s="345"/>
      <c r="CZ107" s="345"/>
      <c r="DA107" s="345"/>
      <c r="DB107" s="345"/>
      <c r="DC107" s="345"/>
      <c r="DD107" s="345"/>
      <c r="DE107" s="345"/>
      <c r="DF107" s="345"/>
      <c r="DG107" s="345"/>
      <c r="DH107" s="345"/>
      <c r="DI107" s="345"/>
      <c r="DJ107" s="345"/>
      <c r="DK107" s="345"/>
      <c r="DL107" s="345"/>
      <c r="DM107" s="345"/>
      <c r="DN107" s="345"/>
      <c r="DO107" s="345"/>
      <c r="DP107" s="345"/>
      <c r="DQ107" s="345"/>
      <c r="DR107" s="345"/>
      <c r="DS107" s="345"/>
      <c r="DT107" s="345"/>
      <c r="DU107" s="345"/>
      <c r="DV107" s="345"/>
      <c r="DW107" s="345"/>
      <c r="DX107" s="345"/>
      <c r="DY107" s="345"/>
      <c r="DZ107" s="345"/>
      <c r="EA107" s="345"/>
      <c r="EB107" s="345"/>
      <c r="EC107" s="345"/>
      <c r="ED107" s="345"/>
      <c r="EE107" s="345"/>
      <c r="EF107" s="345"/>
      <c r="EG107" s="345"/>
      <c r="EH107" s="345"/>
      <c r="EI107" s="345"/>
      <c r="EJ107" s="345"/>
      <c r="EK107" s="345"/>
      <c r="EL107" s="345"/>
      <c r="EM107" s="345"/>
      <c r="EN107" s="345"/>
      <c r="EO107" s="345"/>
      <c r="EP107" s="345"/>
      <c r="EQ107" s="345"/>
      <c r="ER107" s="345"/>
      <c r="ES107" s="345"/>
      <c r="ET107" s="345"/>
      <c r="EU107" s="345"/>
      <c r="EV107" s="345"/>
      <c r="EW107" s="345"/>
      <c r="EX107" s="345"/>
      <c r="EY107" s="345"/>
      <c r="EZ107" s="345"/>
      <c r="FA107" s="345"/>
      <c r="FB107" s="345"/>
      <c r="FC107" s="345"/>
      <c r="FD107" s="345"/>
      <c r="FE107" s="345"/>
      <c r="FF107" s="345"/>
      <c r="FG107" s="345"/>
      <c r="FH107" s="345"/>
      <c r="FI107" s="345"/>
      <c r="FJ107" s="345"/>
      <c r="FK107" s="345"/>
      <c r="FL107" s="345"/>
      <c r="FM107" s="345"/>
      <c r="FN107" s="345"/>
      <c r="FO107" s="345"/>
      <c r="FP107" s="345"/>
      <c r="FQ107" s="345"/>
      <c r="FR107" s="345"/>
      <c r="FS107" s="345"/>
      <c r="FT107" s="345"/>
      <c r="FU107" s="345"/>
      <c r="FV107" s="345"/>
      <c r="FW107" s="345"/>
      <c r="FX107" s="345"/>
      <c r="FY107" s="345"/>
      <c r="FZ107" s="345"/>
      <c r="GA107" s="345"/>
      <c r="GB107" s="345"/>
      <c r="GC107" s="345"/>
      <c r="GD107" s="345"/>
      <c r="GE107" s="345"/>
      <c r="GF107" s="345"/>
      <c r="GG107" s="345"/>
      <c r="GH107" s="345"/>
      <c r="GI107" s="345"/>
      <c r="GJ107" s="345"/>
      <c r="GK107" s="345"/>
      <c r="GL107" s="345"/>
      <c r="GM107" s="345"/>
      <c r="GN107" s="345"/>
      <c r="GO107" s="345"/>
      <c r="GP107" s="345"/>
      <c r="GQ107" s="345"/>
      <c r="GR107" s="345"/>
      <c r="GS107" s="345"/>
      <c r="GT107" s="345"/>
      <c r="GU107" s="345"/>
    </row>
    <row r="108" spans="1:203" ht="12.75" customHeight="1">
      <c r="A108" s="465">
        <f t="shared" si="95"/>
        <v>2</v>
      </c>
      <c r="B108" s="1108">
        <v>98</v>
      </c>
      <c r="C108" s="1109">
        <v>0</v>
      </c>
      <c r="D108" s="398">
        <v>405.6</v>
      </c>
      <c r="E108" s="1116"/>
      <c r="F108" s="465">
        <f t="shared" si="97"/>
        <v>2</v>
      </c>
      <c r="G108" s="1108">
        <v>98</v>
      </c>
      <c r="H108" s="1109">
        <v>1</v>
      </c>
      <c r="I108" s="398">
        <v>403</v>
      </c>
      <c r="J108" s="1116"/>
      <c r="K108" s="465"/>
      <c r="L108" s="465"/>
      <c r="M108" s="465">
        <f t="shared" si="93"/>
        <v>2</v>
      </c>
      <c r="N108" s="1108">
        <v>98</v>
      </c>
      <c r="O108" s="1109">
        <v>-1</v>
      </c>
      <c r="P108" s="398">
        <v>394.2</v>
      </c>
      <c r="Q108" s="1116"/>
      <c r="R108" s="465">
        <f t="shared" si="94"/>
        <v>2</v>
      </c>
      <c r="S108" s="1108">
        <v>98</v>
      </c>
      <c r="T108" s="1109">
        <v>0</v>
      </c>
      <c r="U108" s="1110">
        <v>403.6</v>
      </c>
      <c r="V108" s="1116"/>
      <c r="W108" s="371"/>
      <c r="X108" s="494">
        <f t="shared" si="70"/>
        <v>405.6</v>
      </c>
      <c r="Y108" s="495" t="str">
        <f>IF('Feuilles=description générale'!$E$13="","",IF(X108="","",IF(X108&gt;('Feuilles=description générale'!$E$11+'Feuilles=description générale'!$E$10),"",100*(X108-'Feuilles=description générale'!$E$10)/('Feuilles=description générale'!$E$11))))</f>
        <v/>
      </c>
      <c r="Z108" s="495">
        <f>IF('Feuilles=description générale'!$E$13="","",IF(X108="","",IF(X108&lt;=('Feuilles=description générale'!$E$11+'Feuilles=description générale'!$E$10),"",100*(X108-'Feuilles=description générale'!$E$11-'Feuilles=description générale'!$E$10)/('Feuilles=description générale'!$E$12))))</f>
        <v>99.51803081160169</v>
      </c>
      <c r="AA108" s="1112">
        <f>IF('Feuilles=description générale'!$E$13="","",IF(X108="","",100*(X108-'Feuilles=description générale'!$E$10)/('Feuilles=description générale'!$E$13-'Feuilles=description générale'!$E$10)))</f>
        <v>99.637305699481871</v>
      </c>
      <c r="AB108" s="497">
        <f t="shared" si="71"/>
        <v>1</v>
      </c>
      <c r="AC108" s="500">
        <f t="shared" si="96"/>
        <v>1</v>
      </c>
      <c r="AD108" s="494">
        <f t="shared" si="72"/>
        <v>0.89999999999997726</v>
      </c>
      <c r="AE108" s="499" t="str">
        <f t="shared" si="73"/>
        <v/>
      </c>
      <c r="AF108" s="371"/>
      <c r="AG108" s="494">
        <f t="shared" si="74"/>
        <v>403</v>
      </c>
      <c r="AH108" s="495" t="str">
        <f>IF('Feuilles=description générale'!$E$13="","",IF(AG108="","",IF(AG108&gt;('Feuilles=description générale'!$E$11+'Feuilles=description générale'!$E$10),"",100*(AG108-'Feuilles=description générale'!$E$10)/('Feuilles=description générale'!$E$11))))</f>
        <v/>
      </c>
      <c r="AI108" s="495">
        <f>IF('Feuilles=description générale'!$E$13="","",IF(AG108="","",IF(AG108&lt;=('Feuilles=description générale'!$E$11+'Feuilles=description générale'!$E$10),"",100*(AG108-'Feuilles=description générale'!$E$11-'Feuilles=description générale'!$E$10)/('Feuilles=description générale'!$E$12))))</f>
        <v>98.622945176004819</v>
      </c>
      <c r="AJ108" s="496">
        <f>IF('Feuilles=description générale'!$E$13="","",IF(AG108="","",100*(AG108-'Feuilles=description générale'!$E$10)/('Feuilles=description générale'!$E$13-'Feuilles=description générale'!$E$10)))</f>
        <v>98.963730569948183</v>
      </c>
      <c r="AK108" s="1113">
        <f t="shared" si="75"/>
        <v>1</v>
      </c>
      <c r="AL108" s="498" t="str">
        <f t="shared" si="76"/>
        <v/>
      </c>
      <c r="AM108" s="494" t="str">
        <f t="shared" si="77"/>
        <v/>
      </c>
      <c r="AN108" s="499">
        <f t="shared" si="78"/>
        <v>2.5</v>
      </c>
      <c r="AO108" s="371"/>
      <c r="AP108" s="494">
        <f t="shared" si="79"/>
        <v>394.2</v>
      </c>
      <c r="AQ108" s="495" t="str">
        <f>IF('Feuilles=description générale'!$E$13="","",IF(AP108="","",IF(AP108&gt;('Feuilles=description générale'!$E$25+'Feuilles=description générale'!$E$24),"",100*(AP108-'Feuilles=description générale'!$E$24)/('Feuilles=description générale'!$E$25))))</f>
        <v/>
      </c>
      <c r="AR108" s="495">
        <f>IF('Feuilles=description générale'!$E$27="","",IF(AP108="","",IF(AP108&lt;=('Feuilles=description générale'!$E$25+'Feuilles=description générale'!$E$24),"",100*(AP108-'Feuilles=description générale'!$E$25-'Feuilles=description générale'!$E$24)/('Feuilles=description générale'!$E$26))))</f>
        <v>88.034727703236001</v>
      </c>
      <c r="AS108" s="496">
        <f>IF('Feuilles=description générale'!$E$27="","",IF(AP108="","",100*(AP108-'Feuilles=description générale'!$E$24)/('Feuilles=description générale'!$E$27-'Feuilles=description générale'!$E$24)))</f>
        <v>90.735761427523826</v>
      </c>
      <c r="AT108" s="497">
        <f t="shared" si="80"/>
        <v>3</v>
      </c>
      <c r="AU108" s="500">
        <f t="shared" si="81"/>
        <v>3</v>
      </c>
      <c r="AV108" s="494">
        <f t="shared" si="82"/>
        <v>4</v>
      </c>
      <c r="AW108" s="499" t="str">
        <f t="shared" si="83"/>
        <v/>
      </c>
      <c r="AX108" s="371"/>
      <c r="AY108" s="494">
        <f t="shared" si="84"/>
        <v>403.6</v>
      </c>
      <c r="AZ108" s="495" t="str">
        <f>IF('Feuilles=description générale'!$E$13="","",IF(AY108="","",IF(AY108&gt;('Feuilles=description générale'!$E$25+'Feuilles=description générale'!$E$24),"",100*(AY108-'Feuilles=description générale'!$E$24)/('Feuilles=description générale'!$E$25))))</f>
        <v/>
      </c>
      <c r="BA108" s="495">
        <f>IF('Feuilles=description générale'!$E$27="","",IF(AY108="","",IF(AY108&lt;=('Feuilles=description générale'!$E$25+'Feuilles=description générale'!$E$24),"",100*(AY108-'Feuilles=description générale'!$E$25-'Feuilles=description générale'!$E$24)/('Feuilles=description générale'!$E$26))))</f>
        <v>91.002367797947912</v>
      </c>
      <c r="BB108" s="496">
        <f>IF('Feuilles=description générale'!$E$27="","",IF(AY108="","",100*(AY108-'Feuilles=description générale'!$E$24)/('Feuilles=description générale'!$E$27-'Feuilles=description générale'!$E$24)))</f>
        <v>93.033488144707889</v>
      </c>
      <c r="BC108" s="497">
        <f t="shared" si="85"/>
        <v>1</v>
      </c>
      <c r="BD108" s="500">
        <f t="shared" si="86"/>
        <v>1</v>
      </c>
      <c r="BE108" s="494">
        <f t="shared" si="87"/>
        <v>4.5</v>
      </c>
      <c r="BF108" s="499" t="str">
        <f t="shared" si="88"/>
        <v/>
      </c>
      <c r="BG108" s="476"/>
      <c r="BH108" s="563"/>
      <c r="BI108" s="562"/>
      <c r="BJ108" s="562"/>
      <c r="BK108" s="562"/>
      <c r="BL108" s="562"/>
      <c r="BM108" s="562"/>
      <c r="BN108" s="562"/>
      <c r="BO108" s="562"/>
      <c r="BP108" s="562"/>
      <c r="BQ108" s="562"/>
      <c r="BR108" s="562"/>
      <c r="BS108" s="562"/>
      <c r="BT108" s="562"/>
      <c r="BU108" s="568"/>
      <c r="BV108" s="1114">
        <f t="shared" si="89"/>
        <v>0.80999999999995909</v>
      </c>
      <c r="BW108" s="1114" t="str">
        <f t="shared" si="89"/>
        <v/>
      </c>
      <c r="BX108" s="1114" t="str">
        <f t="shared" si="90"/>
        <v/>
      </c>
      <c r="BY108" s="1115">
        <f t="shared" si="90"/>
        <v>6.25</v>
      </c>
      <c r="BZ108" s="477"/>
      <c r="CA108" s="1114">
        <f t="shared" si="91"/>
        <v>16</v>
      </c>
      <c r="CB108" s="1114" t="str">
        <f t="shared" si="91"/>
        <v/>
      </c>
      <c r="CC108" s="1114">
        <f t="shared" si="92"/>
        <v>20.25</v>
      </c>
      <c r="CD108" s="1115" t="str">
        <f t="shared" si="92"/>
        <v/>
      </c>
      <c r="CE108" s="568"/>
      <c r="CF108" s="563"/>
      <c r="CG108" s="562"/>
      <c r="CH108" s="562"/>
      <c r="CI108" s="562"/>
      <c r="CJ108" s="562"/>
      <c r="CK108" s="562"/>
      <c r="CL108" s="562"/>
      <c r="CM108" s="562"/>
      <c r="CN108" s="562"/>
      <c r="CO108" s="562"/>
      <c r="CP108" s="562"/>
      <c r="CQ108" s="562"/>
      <c r="CR108" s="562"/>
      <c r="CS108" s="562"/>
      <c r="CT108" s="562"/>
      <c r="CU108" s="562"/>
      <c r="CV108" s="476"/>
      <c r="CW108" s="345"/>
      <c r="CX108" s="345"/>
      <c r="CY108" s="345"/>
      <c r="CZ108" s="345"/>
      <c r="DA108" s="345"/>
      <c r="DB108" s="345"/>
      <c r="DC108" s="345"/>
      <c r="DD108" s="345"/>
      <c r="DE108" s="345"/>
      <c r="DF108" s="345"/>
      <c r="DG108" s="345"/>
      <c r="DH108" s="345"/>
      <c r="DI108" s="345"/>
      <c r="DJ108" s="345"/>
      <c r="DK108" s="345"/>
      <c r="DL108" s="345"/>
      <c r="DM108" s="345"/>
      <c r="DN108" s="345"/>
      <c r="DO108" s="345"/>
      <c r="DP108" s="345"/>
      <c r="DQ108" s="345"/>
      <c r="DR108" s="345"/>
      <c r="DS108" s="345"/>
      <c r="DT108" s="345"/>
      <c r="DU108" s="345"/>
      <c r="DV108" s="345"/>
      <c r="DW108" s="345"/>
      <c r="DX108" s="345"/>
      <c r="DY108" s="345"/>
      <c r="DZ108" s="345"/>
      <c r="EA108" s="345"/>
      <c r="EB108" s="345"/>
      <c r="EC108" s="345"/>
      <c r="ED108" s="345"/>
      <c r="EE108" s="345"/>
      <c r="EF108" s="345"/>
      <c r="EG108" s="345"/>
      <c r="EH108" s="345"/>
      <c r="EI108" s="345"/>
      <c r="EJ108" s="345"/>
      <c r="EK108" s="345"/>
      <c r="EL108" s="345"/>
      <c r="EM108" s="345"/>
      <c r="EN108" s="345"/>
      <c r="EO108" s="345"/>
      <c r="EP108" s="345"/>
      <c r="EQ108" s="345"/>
      <c r="ER108" s="345"/>
      <c r="ES108" s="345"/>
      <c r="ET108" s="345"/>
      <c r="EU108" s="345"/>
      <c r="EV108" s="345"/>
      <c r="EW108" s="345"/>
      <c r="EX108" s="345"/>
      <c r="EY108" s="345"/>
      <c r="EZ108" s="345"/>
      <c r="FA108" s="345"/>
      <c r="FB108" s="345"/>
      <c r="FC108" s="345"/>
      <c r="FD108" s="345"/>
      <c r="FE108" s="345"/>
      <c r="FF108" s="345"/>
      <c r="FG108" s="345"/>
      <c r="FH108" s="345"/>
      <c r="FI108" s="345"/>
      <c r="FJ108" s="345"/>
      <c r="FK108" s="345"/>
      <c r="FL108" s="345"/>
      <c r="FM108" s="345"/>
      <c r="FN108" s="345"/>
      <c r="FO108" s="345"/>
      <c r="FP108" s="345"/>
      <c r="FQ108" s="345"/>
      <c r="FR108" s="345"/>
      <c r="FS108" s="345"/>
      <c r="FT108" s="345"/>
      <c r="FU108" s="345"/>
      <c r="FV108" s="345"/>
      <c r="FW108" s="345"/>
      <c r="FX108" s="345"/>
      <c r="FY108" s="345"/>
      <c r="FZ108" s="345"/>
      <c r="GA108" s="345"/>
      <c r="GB108" s="345"/>
      <c r="GC108" s="345"/>
      <c r="GD108" s="345"/>
      <c r="GE108" s="345"/>
      <c r="GF108" s="345"/>
      <c r="GG108" s="345"/>
      <c r="GH108" s="345"/>
      <c r="GI108" s="345"/>
      <c r="GJ108" s="345"/>
      <c r="GK108" s="345"/>
      <c r="GL108" s="345"/>
      <c r="GM108" s="345"/>
      <c r="GN108" s="345"/>
      <c r="GO108" s="345"/>
      <c r="GP108" s="345"/>
      <c r="GQ108" s="345"/>
      <c r="GR108" s="345"/>
      <c r="GS108" s="345"/>
      <c r="GT108" s="345"/>
      <c r="GU108" s="345"/>
    </row>
    <row r="109" spans="1:203" ht="12.75" customHeight="1">
      <c r="A109" s="465">
        <f t="shared" si="95"/>
        <v>2</v>
      </c>
      <c r="B109" s="1108">
        <v>99</v>
      </c>
      <c r="C109" s="1109">
        <v>0</v>
      </c>
      <c r="D109" s="398">
        <v>406.5</v>
      </c>
      <c r="E109" s="1116"/>
      <c r="F109" s="465">
        <f t="shared" si="97"/>
        <v>2</v>
      </c>
      <c r="G109" s="1108">
        <v>99</v>
      </c>
      <c r="H109" s="1109">
        <v>-1</v>
      </c>
      <c r="I109" s="398">
        <v>405.5</v>
      </c>
      <c r="J109" s="1116"/>
      <c r="K109" s="465"/>
      <c r="L109" s="465"/>
      <c r="M109" s="465">
        <f t="shared" si="93"/>
        <v>2</v>
      </c>
      <c r="N109" s="1108">
        <v>99</v>
      </c>
      <c r="O109" s="1109">
        <v>1</v>
      </c>
      <c r="P109" s="398">
        <v>398.2</v>
      </c>
      <c r="Q109" s="1116"/>
      <c r="R109" s="465">
        <f t="shared" si="94"/>
        <v>2</v>
      </c>
      <c r="S109" s="1108">
        <v>99</v>
      </c>
      <c r="T109" s="1109">
        <v>1</v>
      </c>
      <c r="U109" s="1110">
        <v>408.1</v>
      </c>
      <c r="V109" s="1116"/>
      <c r="W109" s="371"/>
      <c r="X109" s="494">
        <f t="shared" si="70"/>
        <v>406.5</v>
      </c>
      <c r="Y109" s="495" t="str">
        <f>IF('Feuilles=description générale'!$E$13="","",IF(X109="","",IF(X109&gt;('Feuilles=description générale'!$E$11+'Feuilles=description générale'!$E$10),"",100*(X109-'Feuilles=description générale'!$E$10)/('Feuilles=description générale'!$E$11))))</f>
        <v/>
      </c>
      <c r="Z109" s="495">
        <f>IF('Feuilles=description générale'!$E$13="","",IF(X109="","",IF(X109&lt;=('Feuilles=description générale'!$E$11+'Feuilles=description générale'!$E$10),"",100*(X109-'Feuilles=description générale'!$E$11-'Feuilles=description générale'!$E$10)/('Feuilles=description générale'!$E$12))))</f>
        <v>99.827868147000601</v>
      </c>
      <c r="AA109" s="1112">
        <f>IF('Feuilles=description générale'!$E$13="","",IF(X109="","",100*(X109-'Feuilles=description générale'!$E$10)/('Feuilles=description générale'!$E$13-'Feuilles=description générale'!$E$10)))</f>
        <v>99.870466321243526</v>
      </c>
      <c r="AB109" s="497">
        <f t="shared" si="71"/>
        <v>1</v>
      </c>
      <c r="AC109" s="500">
        <f t="shared" si="96"/>
        <v>1</v>
      </c>
      <c r="AD109" s="494">
        <f t="shared" si="72"/>
        <v>0.5</v>
      </c>
      <c r="AE109" s="499" t="str">
        <f t="shared" si="73"/>
        <v/>
      </c>
      <c r="AF109" s="371"/>
      <c r="AG109" s="494">
        <f t="shared" si="74"/>
        <v>405.5</v>
      </c>
      <c r="AH109" s="495" t="str">
        <f>IF('Feuilles=description générale'!$E$13="","",IF(AG109="","",IF(AG109&gt;('Feuilles=description générale'!$E$11+'Feuilles=description générale'!$E$10),"",100*(AG109-'Feuilles=description générale'!$E$10)/('Feuilles=description générale'!$E$11))))</f>
        <v/>
      </c>
      <c r="AI109" s="495">
        <f>IF('Feuilles=description générale'!$E$13="","",IF(AG109="","",IF(AG109&lt;=('Feuilles=description générale'!$E$11+'Feuilles=description générale'!$E$10),"",100*(AG109-'Feuilles=description générale'!$E$11-'Feuilles=description générale'!$E$10)/('Feuilles=description générale'!$E$12))))</f>
        <v>99.483604441001816</v>
      </c>
      <c r="AJ109" s="496">
        <f>IF('Feuilles=description générale'!$E$13="","",IF(AG109="","",100*(AG109-'Feuilles=description générale'!$E$10)/('Feuilles=description générale'!$E$13-'Feuilles=description générale'!$E$10)))</f>
        <v>99.611398963730565</v>
      </c>
      <c r="AK109" s="1113">
        <f t="shared" si="75"/>
        <v>2</v>
      </c>
      <c r="AL109" s="498">
        <f t="shared" si="76"/>
        <v>2</v>
      </c>
      <c r="AM109" s="494">
        <f t="shared" si="77"/>
        <v>1.3999999999999773</v>
      </c>
      <c r="AN109" s="499" t="str">
        <f t="shared" si="78"/>
        <v/>
      </c>
      <c r="AO109" s="371"/>
      <c r="AP109" s="494">
        <f t="shared" si="79"/>
        <v>398.2</v>
      </c>
      <c r="AQ109" s="495" t="str">
        <f>IF('Feuilles=description générale'!$E$13="","",IF(AP109="","",IF(AP109&gt;('Feuilles=description générale'!$E$25+'Feuilles=description générale'!$E$24),"",100*(AP109-'Feuilles=description générale'!$E$24)/('Feuilles=description générale'!$E$25))))</f>
        <v/>
      </c>
      <c r="AR109" s="495">
        <f>IF('Feuilles=description générale'!$E$27="","",IF(AP109="","",IF(AP109&lt;=('Feuilles=description générale'!$E$25+'Feuilles=description générale'!$E$24),"",100*(AP109-'Feuilles=description générale'!$E$25-'Feuilles=description générale'!$E$24)/('Feuilles=description générale'!$E$26))))</f>
        <v>89.297553275453836</v>
      </c>
      <c r="AS109" s="496">
        <f>IF('Feuilles=description générale'!$E$27="","",IF(AP109="","",100*(AP109-'Feuilles=description générale'!$E$24)/('Feuilles=description générale'!$E$27-'Feuilles=description générale'!$E$24)))</f>
        <v>91.713517477389388</v>
      </c>
      <c r="AT109" s="497">
        <f t="shared" si="80"/>
        <v>1</v>
      </c>
      <c r="AU109" s="500" t="str">
        <f t="shared" si="81"/>
        <v/>
      </c>
      <c r="AV109" s="494" t="str">
        <f t="shared" si="82"/>
        <v/>
      </c>
      <c r="AW109" s="499">
        <f t="shared" si="83"/>
        <v>2.3000000000000114</v>
      </c>
      <c r="AX109" s="371"/>
      <c r="AY109" s="494">
        <f t="shared" si="84"/>
        <v>408.1</v>
      </c>
      <c r="AZ109" s="495" t="str">
        <f>IF('Feuilles=description générale'!$E$13="","",IF(AY109="","",IF(AY109&gt;('Feuilles=description générale'!$E$25+'Feuilles=description générale'!$E$24),"",100*(AY109-'Feuilles=description générale'!$E$24)/('Feuilles=description générale'!$E$25))))</f>
        <v/>
      </c>
      <c r="BA109" s="495">
        <f>IF('Feuilles=description générale'!$E$27="","",IF(AY109="","",IF(AY109&lt;=('Feuilles=description générale'!$E$25+'Feuilles=description générale'!$E$24),"",100*(AY109-'Feuilles=description générale'!$E$25-'Feuilles=description générale'!$E$24)/('Feuilles=description générale'!$E$26))))</f>
        <v>92.423046566692975</v>
      </c>
      <c r="BB109" s="496">
        <f>IF('Feuilles=description générale'!$E$27="","",IF(AY109="","",100*(AY109-'Feuilles=description générale'!$E$24)/('Feuilles=description générale'!$E$27-'Feuilles=description générale'!$E$24)))</f>
        <v>94.133463700806644</v>
      </c>
      <c r="BC109" s="497">
        <f t="shared" si="85"/>
        <v>1</v>
      </c>
      <c r="BD109" s="500" t="str">
        <f t="shared" si="86"/>
        <v/>
      </c>
      <c r="BE109" s="494" t="str">
        <f t="shared" si="87"/>
        <v/>
      </c>
      <c r="BF109" s="499">
        <f t="shared" si="88"/>
        <v>1.5999999999999659</v>
      </c>
      <c r="BG109" s="476"/>
      <c r="BH109" s="563"/>
      <c r="BI109" s="562"/>
      <c r="BJ109" s="562"/>
      <c r="BK109" s="562"/>
      <c r="BL109" s="562"/>
      <c r="BM109" s="562"/>
      <c r="BN109" s="562"/>
      <c r="BO109" s="562"/>
      <c r="BP109" s="562"/>
      <c r="BQ109" s="562"/>
      <c r="BR109" s="562"/>
      <c r="BS109" s="562"/>
      <c r="BT109" s="562"/>
      <c r="BU109" s="568"/>
      <c r="BV109" s="1114">
        <f t="shared" si="89"/>
        <v>0.25</v>
      </c>
      <c r="BW109" s="1114" t="str">
        <f t="shared" si="89"/>
        <v/>
      </c>
      <c r="BX109" s="1114">
        <f t="shared" si="90"/>
        <v>1.9599999999999362</v>
      </c>
      <c r="BY109" s="1115" t="str">
        <f t="shared" si="90"/>
        <v/>
      </c>
      <c r="BZ109" s="477"/>
      <c r="CA109" s="1114" t="str">
        <f t="shared" si="91"/>
        <v/>
      </c>
      <c r="CB109" s="1114">
        <f t="shared" si="91"/>
        <v>5.2900000000000524</v>
      </c>
      <c r="CC109" s="1114" t="str">
        <f t="shared" si="92"/>
        <v/>
      </c>
      <c r="CD109" s="1115">
        <f t="shared" si="92"/>
        <v>2.5599999999998908</v>
      </c>
      <c r="CE109" s="568"/>
      <c r="CF109" s="563"/>
      <c r="CG109" s="562"/>
      <c r="CH109" s="562"/>
      <c r="CI109" s="562"/>
      <c r="CJ109" s="562"/>
      <c r="CK109" s="562"/>
      <c r="CL109" s="562"/>
      <c r="CM109" s="562"/>
      <c r="CN109" s="562"/>
      <c r="CO109" s="562"/>
      <c r="CP109" s="562"/>
      <c r="CQ109" s="562"/>
      <c r="CR109" s="562"/>
      <c r="CS109" s="562"/>
      <c r="CT109" s="562"/>
      <c r="CU109" s="562"/>
      <c r="CV109" s="476"/>
      <c r="CW109" s="345"/>
      <c r="CX109" s="345"/>
      <c r="CY109" s="345"/>
      <c r="CZ109" s="345"/>
      <c r="DA109" s="345"/>
      <c r="DB109" s="345"/>
      <c r="DC109" s="345"/>
      <c r="DD109" s="345"/>
      <c r="DE109" s="345"/>
      <c r="DF109" s="345"/>
      <c r="DG109" s="345"/>
      <c r="DH109" s="345"/>
      <c r="DI109" s="345"/>
      <c r="DJ109" s="345"/>
      <c r="DK109" s="345"/>
      <c r="DL109" s="345"/>
      <c r="DM109" s="345"/>
      <c r="DN109" s="345"/>
      <c r="DO109" s="345"/>
      <c r="DP109" s="345"/>
      <c r="DQ109" s="345"/>
      <c r="DR109" s="345"/>
      <c r="DS109" s="345"/>
      <c r="DT109" s="345"/>
      <c r="DU109" s="345"/>
      <c r="DV109" s="345"/>
      <c r="DW109" s="345"/>
      <c r="DX109" s="345"/>
      <c r="DY109" s="345"/>
      <c r="DZ109" s="345"/>
      <c r="EA109" s="345"/>
      <c r="EB109" s="345"/>
      <c r="EC109" s="345"/>
      <c r="ED109" s="345"/>
      <c r="EE109" s="345"/>
      <c r="EF109" s="345"/>
      <c r="EG109" s="345"/>
      <c r="EH109" s="345"/>
      <c r="EI109" s="345"/>
      <c r="EJ109" s="345"/>
      <c r="EK109" s="345"/>
      <c r="EL109" s="345"/>
      <c r="EM109" s="345"/>
      <c r="EN109" s="345"/>
      <c r="EO109" s="345"/>
      <c r="EP109" s="345"/>
      <c r="EQ109" s="345"/>
      <c r="ER109" s="345"/>
      <c r="ES109" s="345"/>
      <c r="ET109" s="345"/>
      <c r="EU109" s="345"/>
      <c r="EV109" s="345"/>
      <c r="EW109" s="345"/>
      <c r="EX109" s="345"/>
      <c r="EY109" s="345"/>
      <c r="EZ109" s="345"/>
      <c r="FA109" s="345"/>
      <c r="FB109" s="345"/>
      <c r="FC109" s="345"/>
      <c r="FD109" s="345"/>
      <c r="FE109" s="345"/>
      <c r="FF109" s="345"/>
      <c r="FG109" s="345"/>
      <c r="FH109" s="345"/>
      <c r="FI109" s="345"/>
      <c r="FJ109" s="345"/>
      <c r="FK109" s="345"/>
      <c r="FL109" s="345"/>
      <c r="FM109" s="345"/>
      <c r="FN109" s="345"/>
      <c r="FO109" s="345"/>
      <c r="FP109" s="345"/>
      <c r="FQ109" s="345"/>
      <c r="FR109" s="345"/>
      <c r="FS109" s="345"/>
      <c r="FT109" s="345"/>
      <c r="FU109" s="345"/>
      <c r="FV109" s="345"/>
      <c r="FW109" s="345"/>
      <c r="FX109" s="345"/>
      <c r="FY109" s="345"/>
      <c r="FZ109" s="345"/>
      <c r="GA109" s="345"/>
      <c r="GB109" s="345"/>
      <c r="GC109" s="345"/>
      <c r="GD109" s="345"/>
      <c r="GE109" s="345"/>
      <c r="GF109" s="345"/>
      <c r="GG109" s="345"/>
      <c r="GH109" s="345"/>
      <c r="GI109" s="345"/>
      <c r="GJ109" s="345"/>
      <c r="GK109" s="345"/>
      <c r="GL109" s="345"/>
      <c r="GM109" s="345"/>
      <c r="GN109" s="345"/>
      <c r="GO109" s="345"/>
      <c r="GP109" s="345"/>
      <c r="GQ109" s="345"/>
      <c r="GR109" s="345"/>
      <c r="GS109" s="345"/>
      <c r="GT109" s="345"/>
      <c r="GU109" s="345"/>
    </row>
    <row r="110" spans="1:203" ht="12.75" customHeight="1">
      <c r="A110" s="465">
        <f t="shared" si="95"/>
        <v>3</v>
      </c>
      <c r="B110" s="1108">
        <v>100</v>
      </c>
      <c r="C110" s="1109" t="s">
        <v>1378</v>
      </c>
      <c r="D110" s="398">
        <v>407</v>
      </c>
      <c r="E110" s="1116"/>
      <c r="F110" s="465">
        <f t="shared" si="97"/>
        <v>2</v>
      </c>
      <c r="G110" s="1108">
        <v>100</v>
      </c>
      <c r="H110" s="1109">
        <v>0</v>
      </c>
      <c r="I110" s="398">
        <v>406.9</v>
      </c>
      <c r="J110" s="1116"/>
      <c r="K110" s="465"/>
      <c r="L110" s="465"/>
      <c r="M110" s="465">
        <f t="shared" si="93"/>
        <v>2</v>
      </c>
      <c r="N110" s="1108">
        <v>100</v>
      </c>
      <c r="O110" s="1109">
        <v>-1</v>
      </c>
      <c r="P110" s="398">
        <v>400.5</v>
      </c>
      <c r="Q110" s="1116"/>
      <c r="R110" s="465">
        <f t="shared" si="94"/>
        <v>2</v>
      </c>
      <c r="S110" s="1108">
        <v>100</v>
      </c>
      <c r="T110" s="1109">
        <v>-1</v>
      </c>
      <c r="U110" s="1110">
        <v>409.7</v>
      </c>
      <c r="V110" s="1116"/>
      <c r="W110" s="371"/>
      <c r="X110" s="494">
        <f t="shared" si="70"/>
        <v>407</v>
      </c>
      <c r="Y110" s="495" t="str">
        <f>IF('Feuilles=description générale'!$E$13="","",IF(X110="","",IF(X110&gt;('Feuilles=description générale'!$E$11+'Feuilles=description générale'!$E$10),"",100*(X110-'Feuilles=description générale'!$E$10)/('Feuilles=description générale'!$E$11))))</f>
        <v/>
      </c>
      <c r="Z110" s="495">
        <f>IF('Feuilles=description générale'!$E$13="","",IF(X110="","",IF(X110&lt;=('Feuilles=description générale'!$E$11+'Feuilles=description générale'!$E$10),"",100*(X110-'Feuilles=description générale'!$E$11-'Feuilles=description générale'!$E$10)/('Feuilles=description générale'!$E$12))))</f>
        <v>100</v>
      </c>
      <c r="AA110" s="1112">
        <f>IF('Feuilles=description générale'!$E$13="","",IF(X110="","",100*(X110-'Feuilles=description générale'!$E$10)/('Feuilles=description générale'!$E$13-'Feuilles=description générale'!$E$10)))</f>
        <v>100</v>
      </c>
      <c r="AB110" s="497">
        <f t="shared" si="71"/>
        <v>1</v>
      </c>
      <c r="AC110" s="500">
        <f t="shared" si="96"/>
        <v>1</v>
      </c>
      <c r="AD110" s="494" t="str">
        <f t="shared" si="72"/>
        <v/>
      </c>
      <c r="AE110" s="499" t="str">
        <f t="shared" si="73"/>
        <v/>
      </c>
      <c r="AF110" s="371"/>
      <c r="AG110" s="494">
        <f t="shared" si="74"/>
        <v>406.9</v>
      </c>
      <c r="AH110" s="495" t="str">
        <f>IF('Feuilles=description générale'!$E$13="","",IF(AG110="","",IF(AG110&gt;('Feuilles=description générale'!$E$11+'Feuilles=description générale'!$E$10),"",100*(AG110-'Feuilles=description générale'!$E$10)/('Feuilles=description générale'!$E$11))))</f>
        <v/>
      </c>
      <c r="AI110" s="495">
        <f>IF('Feuilles=description générale'!$E$13="","",IF(AG110="","",IF(AG110&lt;=('Feuilles=description générale'!$E$11+'Feuilles=description générale'!$E$10),"",100*(AG110-'Feuilles=description générale'!$E$11-'Feuilles=description générale'!$E$10)/('Feuilles=description générale'!$E$12))))</f>
        <v>99.965573629400112</v>
      </c>
      <c r="AJ110" s="496">
        <f>IF('Feuilles=description générale'!$E$13="","",IF(AG110="","",100*(AG110-'Feuilles=description générale'!$E$10)/('Feuilles=description générale'!$E$13-'Feuilles=description générale'!$E$10)))</f>
        <v>99.974093264248708</v>
      </c>
      <c r="AK110" s="1113">
        <f t="shared" si="75"/>
        <v>1</v>
      </c>
      <c r="AL110" s="498">
        <f t="shared" si="76"/>
        <v>1</v>
      </c>
      <c r="AM110" s="494" t="str">
        <f t="shared" si="77"/>
        <v/>
      </c>
      <c r="AN110" s="499" t="str">
        <f t="shared" si="78"/>
        <v/>
      </c>
      <c r="AO110" s="371"/>
      <c r="AP110" s="494">
        <f t="shared" si="79"/>
        <v>400.5</v>
      </c>
      <c r="AQ110" s="495" t="str">
        <f>IF('Feuilles=description générale'!$E$13="","",IF(AP110="","",IF(AP110&gt;('Feuilles=description générale'!$E$25+'Feuilles=description générale'!$E$24),"",100*(AP110-'Feuilles=description générale'!$E$24)/('Feuilles=description générale'!$E$25))))</f>
        <v/>
      </c>
      <c r="AR110" s="495">
        <f>IF('Feuilles=description générale'!$E$27="","",IF(AP110="","",IF(AP110&lt;=('Feuilles=description générale'!$E$25+'Feuilles=description générale'!$E$24),"",100*(AP110-'Feuilles=description générale'!$E$25-'Feuilles=description générale'!$E$24)/('Feuilles=description générale'!$E$26))))</f>
        <v>90.023677979479075</v>
      </c>
      <c r="AS110" s="496">
        <f>IF('Feuilles=description générale'!$E$27="","",IF(AP110="","",100*(AP110-'Feuilles=description générale'!$E$24)/('Feuilles=description générale'!$E$27-'Feuilles=description générale'!$E$24)))</f>
        <v>92.275727206062086</v>
      </c>
      <c r="AT110" s="497">
        <f t="shared" si="80"/>
        <v>2</v>
      </c>
      <c r="AU110" s="500">
        <f t="shared" si="81"/>
        <v>2</v>
      </c>
      <c r="AV110" s="494">
        <f t="shared" si="82"/>
        <v>4.3000000000000114</v>
      </c>
      <c r="AW110" s="499" t="str">
        <f t="shared" si="83"/>
        <v/>
      </c>
      <c r="AX110" s="371"/>
      <c r="AY110" s="494">
        <f t="shared" si="84"/>
        <v>409.7</v>
      </c>
      <c r="AZ110" s="495" t="str">
        <f>IF('Feuilles=description générale'!$E$13="","",IF(AY110="","",IF(AY110&gt;('Feuilles=description générale'!$E$25+'Feuilles=description générale'!$E$24),"",100*(AY110-'Feuilles=description générale'!$E$24)/('Feuilles=description générale'!$E$25))))</f>
        <v/>
      </c>
      <c r="BA110" s="495">
        <f>IF('Feuilles=description générale'!$E$27="","",IF(AY110="","",IF(AY110&lt;=('Feuilles=description générale'!$E$25+'Feuilles=description générale'!$E$24),"",100*(AY110-'Feuilles=description générale'!$E$25-'Feuilles=description générale'!$E$24)/('Feuilles=description générale'!$E$26))))</f>
        <v>92.928176795580129</v>
      </c>
      <c r="BB110" s="496">
        <f>IF('Feuilles=description générale'!$E$27="","",IF(AY110="","",100*(AY110-'Feuilles=description générale'!$E$24)/('Feuilles=description générale'!$E$27-'Feuilles=description générale'!$E$24)))</f>
        <v>94.524566120752866</v>
      </c>
      <c r="BC110" s="497">
        <f t="shared" si="85"/>
        <v>2</v>
      </c>
      <c r="BD110" s="500">
        <f t="shared" si="86"/>
        <v>2</v>
      </c>
      <c r="BE110" s="494">
        <f t="shared" si="87"/>
        <v>3.9000000000000341</v>
      </c>
      <c r="BF110" s="499" t="str">
        <f t="shared" si="88"/>
        <v/>
      </c>
      <c r="BG110" s="476"/>
      <c r="BH110" s="563"/>
      <c r="BI110" s="562"/>
      <c r="BJ110" s="562"/>
      <c r="BK110" s="562"/>
      <c r="BL110" s="562"/>
      <c r="BM110" s="562"/>
      <c r="BN110" s="562"/>
      <c r="BO110" s="562"/>
      <c r="BP110" s="562"/>
      <c r="BQ110" s="562"/>
      <c r="BR110" s="562"/>
      <c r="BS110" s="562"/>
      <c r="BT110" s="562"/>
      <c r="BU110" s="568"/>
      <c r="BV110" s="1114" t="str">
        <f t="shared" si="89"/>
        <v/>
      </c>
      <c r="BW110" s="1114" t="str">
        <f t="shared" si="89"/>
        <v/>
      </c>
      <c r="BX110" s="1114" t="str">
        <f t="shared" si="90"/>
        <v/>
      </c>
      <c r="BY110" s="1115" t="str">
        <f t="shared" si="90"/>
        <v/>
      </c>
      <c r="BZ110" s="477"/>
      <c r="CA110" s="1114">
        <f t="shared" si="91"/>
        <v>18.490000000000098</v>
      </c>
      <c r="CB110" s="1114" t="str">
        <f t="shared" si="91"/>
        <v/>
      </c>
      <c r="CC110" s="1114">
        <f t="shared" si="92"/>
        <v>15.210000000000266</v>
      </c>
      <c r="CD110" s="1115" t="str">
        <f t="shared" si="92"/>
        <v/>
      </c>
      <c r="CE110" s="568"/>
      <c r="CF110" s="563"/>
      <c r="CG110" s="562"/>
      <c r="CH110" s="562"/>
      <c r="CI110" s="562"/>
      <c r="CJ110" s="562"/>
      <c r="CK110" s="562"/>
      <c r="CL110" s="562"/>
      <c r="CM110" s="562"/>
      <c r="CN110" s="562"/>
      <c r="CO110" s="562"/>
      <c r="CP110" s="562"/>
      <c r="CQ110" s="562"/>
      <c r="CR110" s="562"/>
      <c r="CS110" s="562"/>
      <c r="CT110" s="562"/>
      <c r="CU110" s="562"/>
      <c r="CV110" s="476"/>
      <c r="CW110" s="345"/>
      <c r="CX110" s="345"/>
      <c r="CY110" s="345"/>
      <c r="CZ110" s="345"/>
      <c r="DA110" s="345"/>
      <c r="DB110" s="345"/>
      <c r="DC110" s="345"/>
      <c r="DD110" s="345"/>
      <c r="DE110" s="345"/>
      <c r="DF110" s="345"/>
      <c r="DG110" s="345"/>
      <c r="DH110" s="345"/>
      <c r="DI110" s="345"/>
      <c r="DJ110" s="345"/>
      <c r="DK110" s="345"/>
      <c r="DL110" s="345"/>
      <c r="DM110" s="345"/>
      <c r="DN110" s="345"/>
      <c r="DO110" s="345"/>
      <c r="DP110" s="345"/>
      <c r="DQ110" s="345"/>
      <c r="DR110" s="345"/>
      <c r="DS110" s="345"/>
      <c r="DT110" s="345"/>
      <c r="DU110" s="345"/>
      <c r="DV110" s="345"/>
      <c r="DW110" s="345"/>
      <c r="DX110" s="345"/>
      <c r="DY110" s="345"/>
      <c r="DZ110" s="345"/>
      <c r="EA110" s="345"/>
      <c r="EB110" s="345"/>
      <c r="EC110" s="345"/>
      <c r="ED110" s="345"/>
      <c r="EE110" s="345"/>
      <c r="EF110" s="345"/>
      <c r="EG110" s="345"/>
      <c r="EH110" s="345"/>
      <c r="EI110" s="345"/>
      <c r="EJ110" s="345"/>
      <c r="EK110" s="345"/>
      <c r="EL110" s="345"/>
      <c r="EM110" s="345"/>
      <c r="EN110" s="345"/>
      <c r="EO110" s="345"/>
      <c r="EP110" s="345"/>
      <c r="EQ110" s="345"/>
      <c r="ER110" s="345"/>
      <c r="ES110" s="345"/>
      <c r="ET110" s="345"/>
      <c r="EU110" s="345"/>
      <c r="EV110" s="345"/>
      <c r="EW110" s="345"/>
      <c r="EX110" s="345"/>
      <c r="EY110" s="345"/>
      <c r="EZ110" s="345"/>
      <c r="FA110" s="345"/>
      <c r="FB110" s="345"/>
      <c r="FC110" s="345"/>
      <c r="FD110" s="345"/>
      <c r="FE110" s="345"/>
      <c r="FF110" s="345"/>
      <c r="FG110" s="345"/>
      <c r="FH110" s="345"/>
      <c r="FI110" s="345"/>
      <c r="FJ110" s="345"/>
      <c r="FK110" s="345"/>
      <c r="FL110" s="345"/>
      <c r="FM110" s="345"/>
      <c r="FN110" s="345"/>
      <c r="FO110" s="345"/>
      <c r="FP110" s="345"/>
      <c r="FQ110" s="345"/>
      <c r="FR110" s="345"/>
      <c r="FS110" s="345"/>
      <c r="FT110" s="345"/>
      <c r="FU110" s="345"/>
      <c r="FV110" s="345"/>
      <c r="FW110" s="345"/>
      <c r="FX110" s="345"/>
      <c r="FY110" s="345"/>
      <c r="FZ110" s="345"/>
      <c r="GA110" s="345"/>
      <c r="GB110" s="345"/>
      <c r="GC110" s="345"/>
      <c r="GD110" s="345"/>
      <c r="GE110" s="345"/>
      <c r="GF110" s="345"/>
      <c r="GG110" s="345"/>
      <c r="GH110" s="345"/>
      <c r="GI110" s="345"/>
      <c r="GJ110" s="345"/>
      <c r="GK110" s="345"/>
      <c r="GL110" s="345"/>
      <c r="GM110" s="345"/>
      <c r="GN110" s="345"/>
      <c r="GO110" s="345"/>
      <c r="GP110" s="345"/>
      <c r="GQ110" s="345"/>
      <c r="GR110" s="345"/>
      <c r="GS110" s="345"/>
      <c r="GT110" s="345"/>
      <c r="GU110" s="345"/>
    </row>
    <row r="111" spans="1:203" ht="12.75" customHeight="1">
      <c r="A111" s="465" t="str">
        <f t="shared" si="95"/>
        <v/>
      </c>
      <c r="B111" s="1108">
        <v>101</v>
      </c>
      <c r="C111" s="1109"/>
      <c r="D111" s="398"/>
      <c r="E111" s="1116"/>
      <c r="F111" s="465" t="str">
        <f t="shared" si="97"/>
        <v/>
      </c>
      <c r="G111" s="1108">
        <v>101</v>
      </c>
      <c r="H111" s="1109"/>
      <c r="I111" s="398"/>
      <c r="J111" s="1116"/>
      <c r="K111" s="465"/>
      <c r="L111" s="465"/>
      <c r="M111" s="465">
        <f t="shared" si="93"/>
        <v>2</v>
      </c>
      <c r="N111" s="1108">
        <v>101</v>
      </c>
      <c r="O111" s="1109">
        <v>1</v>
      </c>
      <c r="P111" s="398">
        <v>404.8</v>
      </c>
      <c r="Q111" s="1116"/>
      <c r="R111" s="465">
        <f t="shared" si="94"/>
        <v>2</v>
      </c>
      <c r="S111" s="1108">
        <v>101</v>
      </c>
      <c r="T111" s="1109">
        <v>1</v>
      </c>
      <c r="U111" s="1110">
        <v>413.6</v>
      </c>
      <c r="V111" s="1116"/>
      <c r="W111" s="371"/>
      <c r="X111" s="494" t="str">
        <f t="shared" si="70"/>
        <v/>
      </c>
      <c r="Y111" s="495" t="str">
        <f>IF('Feuilles=description générale'!$E$13="","",IF(X111="","",IF(X111&gt;('Feuilles=description générale'!$E$11+'Feuilles=description générale'!$E$10),"",100*(X111-'Feuilles=description générale'!$E$10)/('Feuilles=description générale'!$E$11))))</f>
        <v/>
      </c>
      <c r="Z111" s="495" t="str">
        <f>IF('Feuilles=description générale'!$E$13="","",IF(X111="","",IF(X111&lt;=('Feuilles=description générale'!$E$11+'Feuilles=description générale'!$E$10),"",100*(X111-'Feuilles=description générale'!$E$11-'Feuilles=description générale'!$E$10)/('Feuilles=description générale'!$E$12))))</f>
        <v/>
      </c>
      <c r="AA111" s="1112" t="str">
        <f>IF('Feuilles=description générale'!$E$13="","",IF(X111="","",100*(X111-'Feuilles=description générale'!$E$10)/('Feuilles=description générale'!$E$13-'Feuilles=description générale'!$E$10)))</f>
        <v/>
      </c>
      <c r="AB111" s="497" t="str">
        <f t="shared" si="71"/>
        <v/>
      </c>
      <c r="AC111" s="500" t="str">
        <f t="shared" si="96"/>
        <v/>
      </c>
      <c r="AD111" s="494" t="str">
        <f t="shared" si="72"/>
        <v/>
      </c>
      <c r="AE111" s="499" t="str">
        <f t="shared" si="73"/>
        <v/>
      </c>
      <c r="AF111" s="371"/>
      <c r="AG111" s="494" t="str">
        <f t="shared" si="74"/>
        <v/>
      </c>
      <c r="AH111" s="495" t="str">
        <f>IF('Feuilles=description générale'!$E$13="","",IF(AG111="","",IF(AG111&gt;('Feuilles=description générale'!$E$11+'Feuilles=description générale'!$E$10),"",100*(AG111-'Feuilles=description générale'!$E$10)/('Feuilles=description générale'!$E$11))))</f>
        <v/>
      </c>
      <c r="AI111" s="495" t="str">
        <f>IF('Feuilles=description générale'!$E$13="","",IF(AG111="","",IF(AG111&lt;=('Feuilles=description générale'!$E$11+'Feuilles=description générale'!$E$10),"",100*(AG111-'Feuilles=description générale'!$E$11-'Feuilles=description générale'!$E$10)/('Feuilles=description générale'!$E$12))))</f>
        <v/>
      </c>
      <c r="AJ111" s="496" t="str">
        <f>IF('Feuilles=description générale'!$E$13="","",IF(AG111="","",100*(AG111-'Feuilles=description générale'!$E$10)/('Feuilles=description générale'!$E$13-'Feuilles=description générale'!$E$10)))</f>
        <v/>
      </c>
      <c r="AK111" s="1113" t="str">
        <f t="shared" si="75"/>
        <v/>
      </c>
      <c r="AL111" s="498" t="str">
        <f t="shared" si="76"/>
        <v/>
      </c>
      <c r="AM111" s="494" t="str">
        <f t="shared" si="77"/>
        <v/>
      </c>
      <c r="AN111" s="499" t="str">
        <f t="shared" si="78"/>
        <v/>
      </c>
      <c r="AO111" s="371"/>
      <c r="AP111" s="494">
        <f t="shared" si="79"/>
        <v>404.8</v>
      </c>
      <c r="AQ111" s="495" t="str">
        <f>IF('Feuilles=description générale'!$E$13="","",IF(AP111="","",IF(AP111&gt;('Feuilles=description générale'!$E$25+'Feuilles=description générale'!$E$24),"",100*(AP111-'Feuilles=description générale'!$E$24)/('Feuilles=description générale'!$E$25))))</f>
        <v/>
      </c>
      <c r="AR111" s="495">
        <f>IF('Feuilles=description générale'!$E$27="","",IF(AP111="","",IF(AP111&lt;=('Feuilles=description générale'!$E$25+'Feuilles=description générale'!$E$24),"",100*(AP111-'Feuilles=description générale'!$E$25-'Feuilles=description générale'!$E$24)/('Feuilles=description générale'!$E$26))))</f>
        <v>91.381215469613267</v>
      </c>
      <c r="AS111" s="496">
        <f>IF('Feuilles=description générale'!$E$27="","",IF(AP111="","",100*(AP111-'Feuilles=description générale'!$E$24)/('Feuilles=description générale'!$E$27-'Feuilles=description générale'!$E$24)))</f>
        <v>93.326814959667558</v>
      </c>
      <c r="AT111" s="497">
        <f t="shared" si="80"/>
        <v>1</v>
      </c>
      <c r="AU111" s="500" t="str">
        <f t="shared" si="81"/>
        <v/>
      </c>
      <c r="AV111" s="494" t="str">
        <f t="shared" si="82"/>
        <v/>
      </c>
      <c r="AW111" s="499">
        <f t="shared" si="83"/>
        <v>1.6999999999999886</v>
      </c>
      <c r="AX111" s="371"/>
      <c r="AY111" s="494">
        <f t="shared" si="84"/>
        <v>413.6</v>
      </c>
      <c r="AZ111" s="495" t="str">
        <f>IF('Feuilles=description générale'!$E$13="","",IF(AY111="","",IF(AY111&gt;('Feuilles=description générale'!$E$25+'Feuilles=description générale'!$E$24),"",100*(AY111-'Feuilles=description générale'!$E$24)/('Feuilles=description générale'!$E$25))))</f>
        <v/>
      </c>
      <c r="BA111" s="495">
        <f>IF('Feuilles=description générale'!$E$27="","",IF(AY111="","",IF(AY111&lt;=('Feuilles=description générale'!$E$25+'Feuilles=description générale'!$E$24),"",100*(AY111-'Feuilles=description générale'!$E$25-'Feuilles=description générale'!$E$24)/('Feuilles=description générale'!$E$26))))</f>
        <v>94.159431728492507</v>
      </c>
      <c r="BB111" s="496">
        <f>IF('Feuilles=description générale'!$E$27="","",IF(AY111="","",100*(AY111-'Feuilles=description générale'!$E$24)/('Feuilles=description générale'!$E$27-'Feuilles=description générale'!$E$24)))</f>
        <v>95.477878269371786</v>
      </c>
      <c r="BC111" s="497">
        <f t="shared" si="85"/>
        <v>1</v>
      </c>
      <c r="BD111" s="500" t="str">
        <f t="shared" si="86"/>
        <v/>
      </c>
      <c r="BE111" s="494" t="str">
        <f t="shared" si="87"/>
        <v/>
      </c>
      <c r="BF111" s="499">
        <f t="shared" si="88"/>
        <v>2.5999999999999659</v>
      </c>
      <c r="BG111" s="476"/>
      <c r="BH111" s="563"/>
      <c r="BI111" s="562"/>
      <c r="BJ111" s="562"/>
      <c r="BK111" s="562"/>
      <c r="BL111" s="562"/>
      <c r="BM111" s="562"/>
      <c r="BN111" s="562"/>
      <c r="BO111" s="562"/>
      <c r="BP111" s="562"/>
      <c r="BQ111" s="562"/>
      <c r="BR111" s="562"/>
      <c r="BS111" s="562"/>
      <c r="BT111" s="562"/>
      <c r="BU111" s="568"/>
      <c r="BV111" s="1114" t="str">
        <f t="shared" si="89"/>
        <v/>
      </c>
      <c r="BW111" s="1114" t="str">
        <f t="shared" si="89"/>
        <v/>
      </c>
      <c r="BX111" s="1114" t="str">
        <f t="shared" si="90"/>
        <v/>
      </c>
      <c r="BY111" s="1115" t="str">
        <f t="shared" si="90"/>
        <v/>
      </c>
      <c r="BZ111" s="477"/>
      <c r="CA111" s="1114" t="str">
        <f t="shared" si="91"/>
        <v/>
      </c>
      <c r="CB111" s="1114">
        <f t="shared" si="91"/>
        <v>2.8899999999999615</v>
      </c>
      <c r="CC111" s="1114" t="str">
        <f t="shared" si="92"/>
        <v/>
      </c>
      <c r="CD111" s="1115">
        <f t="shared" si="92"/>
        <v>6.759999999999823</v>
      </c>
      <c r="CE111" s="568"/>
      <c r="CF111" s="563"/>
      <c r="CG111" s="562"/>
      <c r="CH111" s="562"/>
      <c r="CI111" s="562"/>
      <c r="CJ111" s="562"/>
      <c r="CK111" s="562"/>
      <c r="CL111" s="562"/>
      <c r="CM111" s="562"/>
      <c r="CN111" s="562"/>
      <c r="CO111" s="562"/>
      <c r="CP111" s="562"/>
      <c r="CQ111" s="562"/>
      <c r="CR111" s="562"/>
      <c r="CS111" s="562"/>
      <c r="CT111" s="562"/>
      <c r="CU111" s="562"/>
      <c r="CV111" s="476"/>
      <c r="CW111" s="345"/>
      <c r="CX111" s="345"/>
      <c r="CY111" s="345"/>
      <c r="CZ111" s="345"/>
      <c r="DA111" s="345"/>
      <c r="DB111" s="345"/>
      <c r="DC111" s="345"/>
      <c r="DD111" s="345"/>
      <c r="DE111" s="345"/>
      <c r="DF111" s="345"/>
      <c r="DG111" s="345"/>
      <c r="DH111" s="345"/>
      <c r="DI111" s="345"/>
      <c r="DJ111" s="345"/>
      <c r="DK111" s="345"/>
      <c r="DL111" s="345"/>
      <c r="DM111" s="345"/>
      <c r="DN111" s="345"/>
      <c r="DO111" s="345"/>
      <c r="DP111" s="345"/>
      <c r="DQ111" s="345"/>
      <c r="DR111" s="345"/>
      <c r="DS111" s="345"/>
      <c r="DT111" s="345"/>
      <c r="DU111" s="345"/>
      <c r="DV111" s="345"/>
      <c r="DW111" s="345"/>
      <c r="DX111" s="345"/>
      <c r="DY111" s="345"/>
      <c r="DZ111" s="345"/>
      <c r="EA111" s="345"/>
      <c r="EB111" s="345"/>
      <c r="EC111" s="345"/>
      <c r="ED111" s="345"/>
      <c r="EE111" s="345"/>
      <c r="EF111" s="345"/>
      <c r="EG111" s="345"/>
      <c r="EH111" s="345"/>
      <c r="EI111" s="345"/>
      <c r="EJ111" s="345"/>
      <c r="EK111" s="345"/>
      <c r="EL111" s="345"/>
      <c r="EM111" s="345"/>
      <c r="EN111" s="345"/>
      <c r="EO111" s="345"/>
      <c r="EP111" s="345"/>
      <c r="EQ111" s="345"/>
      <c r="ER111" s="345"/>
      <c r="ES111" s="345"/>
      <c r="ET111" s="345"/>
      <c r="EU111" s="345"/>
      <c r="EV111" s="345"/>
      <c r="EW111" s="345"/>
      <c r="EX111" s="345"/>
      <c r="EY111" s="345"/>
      <c r="EZ111" s="345"/>
      <c r="FA111" s="345"/>
      <c r="FB111" s="345"/>
      <c r="FC111" s="345"/>
      <c r="FD111" s="345"/>
      <c r="FE111" s="345"/>
      <c r="FF111" s="345"/>
      <c r="FG111" s="345"/>
      <c r="FH111" s="345"/>
      <c r="FI111" s="345"/>
      <c r="FJ111" s="345"/>
      <c r="FK111" s="345"/>
      <c r="FL111" s="345"/>
      <c r="FM111" s="345"/>
      <c r="FN111" s="345"/>
      <c r="FO111" s="345"/>
      <c r="FP111" s="345"/>
      <c r="FQ111" s="345"/>
      <c r="FR111" s="345"/>
      <c r="FS111" s="345"/>
      <c r="FT111" s="345"/>
      <c r="FU111" s="345"/>
      <c r="FV111" s="345"/>
      <c r="FW111" s="345"/>
      <c r="FX111" s="345"/>
      <c r="FY111" s="345"/>
      <c r="FZ111" s="345"/>
      <c r="GA111" s="345"/>
      <c r="GB111" s="345"/>
      <c r="GC111" s="345"/>
      <c r="GD111" s="345"/>
      <c r="GE111" s="345"/>
      <c r="GF111" s="345"/>
      <c r="GG111" s="345"/>
      <c r="GH111" s="345"/>
      <c r="GI111" s="345"/>
      <c r="GJ111" s="345"/>
      <c r="GK111" s="345"/>
      <c r="GL111" s="345"/>
      <c r="GM111" s="345"/>
      <c r="GN111" s="345"/>
      <c r="GO111" s="345"/>
      <c r="GP111" s="345"/>
      <c r="GQ111" s="345"/>
      <c r="GR111" s="345"/>
      <c r="GS111" s="345"/>
      <c r="GT111" s="345"/>
      <c r="GU111" s="345"/>
    </row>
    <row r="112" spans="1:203" ht="12.75" customHeight="1">
      <c r="A112" s="465" t="str">
        <f t="shared" si="95"/>
        <v/>
      </c>
      <c r="B112" s="1108">
        <v>102</v>
      </c>
      <c r="C112" s="1109"/>
      <c r="D112" s="398"/>
      <c r="E112" s="1116"/>
      <c r="F112" s="465" t="str">
        <f t="shared" si="97"/>
        <v/>
      </c>
      <c r="G112" s="1108">
        <v>102</v>
      </c>
      <c r="H112" s="1109"/>
      <c r="I112" s="398"/>
      <c r="J112" s="1116"/>
      <c r="K112" s="465"/>
      <c r="L112" s="465"/>
      <c r="M112" s="465">
        <f t="shared" si="93"/>
        <v>2</v>
      </c>
      <c r="N112" s="1108">
        <v>102</v>
      </c>
      <c r="O112" s="1109">
        <v>-1</v>
      </c>
      <c r="P112" s="398">
        <v>406.5</v>
      </c>
      <c r="Q112" s="1116"/>
      <c r="R112" s="465">
        <f t="shared" si="94"/>
        <v>2</v>
      </c>
      <c r="S112" s="1108">
        <v>102</v>
      </c>
      <c r="T112" s="1109">
        <v>-1</v>
      </c>
      <c r="U112" s="1110">
        <v>416.2</v>
      </c>
      <c r="V112" s="1116"/>
      <c r="W112" s="371"/>
      <c r="X112" s="494" t="str">
        <f t="shared" si="70"/>
        <v/>
      </c>
      <c r="Y112" s="495" t="str">
        <f>IF('Feuilles=description générale'!$E$13="","",IF(X112="","",IF(X112&gt;('Feuilles=description générale'!$E$11+'Feuilles=description générale'!$E$10),"",100*(X112-'Feuilles=description générale'!$E$10)/('Feuilles=description générale'!$E$11))))</f>
        <v/>
      </c>
      <c r="Z112" s="495" t="str">
        <f>IF('Feuilles=description générale'!$E$13="","",IF(X112="","",IF(X112&lt;=('Feuilles=description générale'!$E$11+'Feuilles=description générale'!$E$10),"",100*(X112-'Feuilles=description générale'!$E$11-'Feuilles=description générale'!$E$10)/('Feuilles=description générale'!$E$12))))</f>
        <v/>
      </c>
      <c r="AA112" s="1112" t="str">
        <f>IF('Feuilles=description générale'!$E$13="","",IF(X112="","",100*(X112-'Feuilles=description générale'!$E$10)/('Feuilles=description générale'!$E$13-'Feuilles=description générale'!$E$10)))</f>
        <v/>
      </c>
      <c r="AB112" s="497" t="str">
        <f t="shared" si="71"/>
        <v/>
      </c>
      <c r="AC112" s="500" t="str">
        <f t="shared" si="96"/>
        <v/>
      </c>
      <c r="AD112" s="494" t="str">
        <f t="shared" si="72"/>
        <v/>
      </c>
      <c r="AE112" s="499" t="str">
        <f t="shared" si="73"/>
        <v/>
      </c>
      <c r="AF112" s="371"/>
      <c r="AG112" s="494" t="str">
        <f t="shared" si="74"/>
        <v/>
      </c>
      <c r="AH112" s="495" t="str">
        <f>IF('Feuilles=description générale'!$E$13="","",IF(AG112="","",IF(AG112&gt;('Feuilles=description générale'!$E$11+'Feuilles=description générale'!$E$10),"",100*(AG112-'Feuilles=description générale'!$E$10)/('Feuilles=description générale'!$E$11))))</f>
        <v/>
      </c>
      <c r="AI112" s="495" t="str">
        <f>IF('Feuilles=description générale'!$E$13="","",IF(AG112="","",IF(AG112&lt;=('Feuilles=description générale'!$E$11+'Feuilles=description générale'!$E$10),"",100*(AG112-'Feuilles=description générale'!$E$11-'Feuilles=description générale'!$E$10)/('Feuilles=description générale'!$E$12))))</f>
        <v/>
      </c>
      <c r="AJ112" s="496" t="str">
        <f>IF('Feuilles=description générale'!$E$13="","",IF(AG112="","",100*(AG112-'Feuilles=description générale'!$E$10)/('Feuilles=description générale'!$E$13-'Feuilles=description générale'!$E$10)))</f>
        <v/>
      </c>
      <c r="AK112" s="1113" t="str">
        <f t="shared" si="75"/>
        <v/>
      </c>
      <c r="AL112" s="498" t="str">
        <f t="shared" si="76"/>
        <v/>
      </c>
      <c r="AM112" s="494" t="str">
        <f t="shared" si="77"/>
        <v/>
      </c>
      <c r="AN112" s="499" t="str">
        <f t="shared" si="78"/>
        <v/>
      </c>
      <c r="AO112" s="371"/>
      <c r="AP112" s="494">
        <f t="shared" si="79"/>
        <v>406.5</v>
      </c>
      <c r="AQ112" s="495" t="str">
        <f>IF('Feuilles=description générale'!$E$13="","",IF(AP112="","",IF(AP112&gt;('Feuilles=description générale'!$E$25+'Feuilles=description générale'!$E$24),"",100*(AP112-'Feuilles=description générale'!$E$24)/('Feuilles=description générale'!$E$25))))</f>
        <v/>
      </c>
      <c r="AR112" s="495">
        <f>IF('Feuilles=description générale'!$E$27="","",IF(AP112="","",IF(AP112&lt;=('Feuilles=description générale'!$E$25+'Feuilles=description générale'!$E$24),"",100*(AP112-'Feuilles=description générale'!$E$25-'Feuilles=description générale'!$E$24)/('Feuilles=description générale'!$E$26))))</f>
        <v>91.917916337805835</v>
      </c>
      <c r="AS112" s="496">
        <f>IF('Feuilles=description générale'!$E$27="","",IF(AP112="","",100*(AP112-'Feuilles=description générale'!$E$24)/('Feuilles=description générale'!$E$27-'Feuilles=description générale'!$E$24)))</f>
        <v>93.742361280860422</v>
      </c>
      <c r="AT112" s="497">
        <f t="shared" si="80"/>
        <v>2</v>
      </c>
      <c r="AU112" s="500">
        <f t="shared" si="81"/>
        <v>2</v>
      </c>
      <c r="AV112" s="494">
        <f t="shared" si="82"/>
        <v>4</v>
      </c>
      <c r="AW112" s="499" t="str">
        <f t="shared" si="83"/>
        <v/>
      </c>
      <c r="AX112" s="371"/>
      <c r="AY112" s="494">
        <f t="shared" si="84"/>
        <v>416.2</v>
      </c>
      <c r="AZ112" s="495" t="str">
        <f>IF('Feuilles=description générale'!$E$13="","",IF(AY112="","",IF(AY112&gt;('Feuilles=description générale'!$E$25+'Feuilles=description générale'!$E$24),"",100*(AY112-'Feuilles=description générale'!$E$24)/('Feuilles=description générale'!$E$25))))</f>
        <v/>
      </c>
      <c r="BA112" s="495">
        <f>IF('Feuilles=description générale'!$E$27="","",IF(AY112="","",IF(AY112&lt;=('Feuilles=description générale'!$E$25+'Feuilles=description générale'!$E$24),"",100*(AY112-'Feuilles=description générale'!$E$25-'Feuilles=description générale'!$E$24)/('Feuilles=description générale'!$E$26))))</f>
        <v>94.980268350434102</v>
      </c>
      <c r="BB112" s="496">
        <f>IF('Feuilles=description générale'!$E$27="","",IF(AY112="","",100*(AY112-'Feuilles=description générale'!$E$24)/('Feuilles=description générale'!$E$27-'Feuilles=description générale'!$E$24)))</f>
        <v>96.113419701784395</v>
      </c>
      <c r="BC112" s="497">
        <f t="shared" si="85"/>
        <v>2</v>
      </c>
      <c r="BD112" s="500">
        <f t="shared" si="86"/>
        <v>2</v>
      </c>
      <c r="BE112" s="494">
        <f t="shared" si="87"/>
        <v>4.5</v>
      </c>
      <c r="BF112" s="499" t="str">
        <f t="shared" si="88"/>
        <v/>
      </c>
      <c r="BG112" s="476"/>
      <c r="BH112" s="563"/>
      <c r="BI112" s="562"/>
      <c r="BJ112" s="562"/>
      <c r="BK112" s="562"/>
      <c r="BL112" s="562"/>
      <c r="BM112" s="562"/>
      <c r="BN112" s="562"/>
      <c r="BO112" s="562"/>
      <c r="BP112" s="562"/>
      <c r="BQ112" s="562"/>
      <c r="BR112" s="562"/>
      <c r="BS112" s="562"/>
      <c r="BT112" s="562"/>
      <c r="BU112" s="568"/>
      <c r="BV112" s="1114" t="str">
        <f t="shared" si="89"/>
        <v/>
      </c>
      <c r="BW112" s="1114" t="str">
        <f t="shared" si="89"/>
        <v/>
      </c>
      <c r="BX112" s="1114" t="str">
        <f t="shared" si="90"/>
        <v/>
      </c>
      <c r="BY112" s="1115" t="str">
        <f t="shared" si="90"/>
        <v/>
      </c>
      <c r="BZ112" s="477"/>
      <c r="CA112" s="1114">
        <f t="shared" si="91"/>
        <v>16</v>
      </c>
      <c r="CB112" s="1114" t="str">
        <f t="shared" si="91"/>
        <v/>
      </c>
      <c r="CC112" s="1114">
        <f t="shared" si="92"/>
        <v>20.25</v>
      </c>
      <c r="CD112" s="1115" t="str">
        <f t="shared" si="92"/>
        <v/>
      </c>
      <c r="CE112" s="568"/>
      <c r="CF112" s="563"/>
      <c r="CG112" s="562"/>
      <c r="CH112" s="562"/>
      <c r="CI112" s="562"/>
      <c r="CJ112" s="562"/>
      <c r="CK112" s="562"/>
      <c r="CL112" s="562"/>
      <c r="CM112" s="562"/>
      <c r="CN112" s="562"/>
      <c r="CO112" s="562"/>
      <c r="CP112" s="562"/>
      <c r="CQ112" s="562"/>
      <c r="CR112" s="562"/>
      <c r="CS112" s="562"/>
      <c r="CT112" s="562"/>
      <c r="CU112" s="562"/>
      <c r="CV112" s="476"/>
      <c r="CW112" s="345"/>
      <c r="CX112" s="345"/>
      <c r="CY112" s="345"/>
      <c r="CZ112" s="345"/>
      <c r="DA112" s="345"/>
      <c r="DB112" s="345"/>
      <c r="DC112" s="345"/>
      <c r="DD112" s="345"/>
      <c r="DE112" s="345"/>
      <c r="DF112" s="345"/>
      <c r="DG112" s="345"/>
      <c r="DH112" s="345"/>
      <c r="DI112" s="345"/>
      <c r="DJ112" s="345"/>
      <c r="DK112" s="345"/>
      <c r="DL112" s="345"/>
      <c r="DM112" s="345"/>
      <c r="DN112" s="345"/>
      <c r="DO112" s="345"/>
      <c r="DP112" s="345"/>
      <c r="DQ112" s="345"/>
      <c r="DR112" s="345"/>
      <c r="DS112" s="345"/>
      <c r="DT112" s="345"/>
      <c r="DU112" s="345"/>
      <c r="DV112" s="345"/>
      <c r="DW112" s="345"/>
      <c r="DX112" s="345"/>
      <c r="DY112" s="345"/>
      <c r="DZ112" s="345"/>
      <c r="EA112" s="345"/>
      <c r="EB112" s="345"/>
      <c r="EC112" s="345"/>
      <c r="ED112" s="345"/>
      <c r="EE112" s="345"/>
      <c r="EF112" s="345"/>
      <c r="EG112" s="345"/>
      <c r="EH112" s="345"/>
      <c r="EI112" s="345"/>
      <c r="EJ112" s="345"/>
      <c r="EK112" s="345"/>
      <c r="EL112" s="345"/>
      <c r="EM112" s="345"/>
      <c r="EN112" s="345"/>
      <c r="EO112" s="345"/>
      <c r="EP112" s="345"/>
      <c r="EQ112" s="345"/>
      <c r="ER112" s="345"/>
      <c r="ES112" s="345"/>
      <c r="ET112" s="345"/>
      <c r="EU112" s="345"/>
      <c r="EV112" s="345"/>
      <c r="EW112" s="345"/>
      <c r="EX112" s="345"/>
      <c r="EY112" s="345"/>
      <c r="EZ112" s="345"/>
      <c r="FA112" s="345"/>
      <c r="FB112" s="345"/>
      <c r="FC112" s="345"/>
      <c r="FD112" s="345"/>
      <c r="FE112" s="345"/>
      <c r="FF112" s="345"/>
      <c r="FG112" s="345"/>
      <c r="FH112" s="345"/>
      <c r="FI112" s="345"/>
      <c r="FJ112" s="345"/>
      <c r="FK112" s="345"/>
      <c r="FL112" s="345"/>
      <c r="FM112" s="345"/>
      <c r="FN112" s="345"/>
      <c r="FO112" s="345"/>
      <c r="FP112" s="345"/>
      <c r="FQ112" s="345"/>
      <c r="FR112" s="345"/>
      <c r="FS112" s="345"/>
      <c r="FT112" s="345"/>
      <c r="FU112" s="345"/>
      <c r="FV112" s="345"/>
      <c r="FW112" s="345"/>
      <c r="FX112" s="345"/>
      <c r="FY112" s="345"/>
      <c r="FZ112" s="345"/>
      <c r="GA112" s="345"/>
      <c r="GB112" s="345"/>
      <c r="GC112" s="345"/>
      <c r="GD112" s="345"/>
      <c r="GE112" s="345"/>
      <c r="GF112" s="345"/>
      <c r="GG112" s="345"/>
      <c r="GH112" s="345"/>
      <c r="GI112" s="345"/>
      <c r="GJ112" s="345"/>
      <c r="GK112" s="345"/>
      <c r="GL112" s="345"/>
      <c r="GM112" s="345"/>
      <c r="GN112" s="345"/>
      <c r="GO112" s="345"/>
      <c r="GP112" s="345"/>
      <c r="GQ112" s="345"/>
      <c r="GR112" s="345"/>
      <c r="GS112" s="345"/>
      <c r="GT112" s="345"/>
      <c r="GU112" s="345"/>
    </row>
    <row r="113" spans="1:203" ht="12.75" customHeight="1">
      <c r="A113" s="465" t="str">
        <f t="shared" si="95"/>
        <v/>
      </c>
      <c r="B113" s="1108">
        <v>103</v>
      </c>
      <c r="C113" s="1109"/>
      <c r="D113" s="398"/>
      <c r="E113" s="1116"/>
      <c r="F113" s="465" t="str">
        <f t="shared" si="97"/>
        <v/>
      </c>
      <c r="G113" s="1108">
        <v>103</v>
      </c>
      <c r="H113" s="1109"/>
      <c r="I113" s="398"/>
      <c r="J113" s="1116"/>
      <c r="K113" s="465"/>
      <c r="L113" s="465"/>
      <c r="M113" s="465">
        <f t="shared" si="93"/>
        <v>2</v>
      </c>
      <c r="N113" s="1108">
        <v>103</v>
      </c>
      <c r="O113" s="1109">
        <v>0</v>
      </c>
      <c r="P113" s="398">
        <v>410.5</v>
      </c>
      <c r="Q113" s="1116"/>
      <c r="R113" s="465">
        <f t="shared" si="94"/>
        <v>2</v>
      </c>
      <c r="S113" s="1108">
        <v>103</v>
      </c>
      <c r="T113" s="1109">
        <v>1</v>
      </c>
      <c r="U113" s="1110">
        <v>420.7</v>
      </c>
      <c r="V113" s="1116"/>
      <c r="W113" s="371"/>
      <c r="X113" s="494" t="str">
        <f t="shared" si="70"/>
        <v/>
      </c>
      <c r="Y113" s="495" t="str">
        <f>IF('Feuilles=description générale'!$E$13="","",IF(X113="","",IF(X113&gt;('Feuilles=description générale'!$E$11+'Feuilles=description générale'!$E$10),"",100*(X113-'Feuilles=description générale'!$E$10)/('Feuilles=description générale'!$E$11))))</f>
        <v/>
      </c>
      <c r="Z113" s="495" t="str">
        <f>IF('Feuilles=description générale'!$E$13="","",IF(X113="","",IF(X113&lt;=('Feuilles=description générale'!$E$11+'Feuilles=description générale'!$E$10),"",100*(X113-'Feuilles=description générale'!$E$11-'Feuilles=description générale'!$E$10)/('Feuilles=description générale'!$E$12))))</f>
        <v/>
      </c>
      <c r="AA113" s="1112" t="str">
        <f>IF('Feuilles=description générale'!$E$13="","",IF(X113="","",100*(X113-'Feuilles=description générale'!$E$10)/('Feuilles=description générale'!$E$13-'Feuilles=description générale'!$E$10)))</f>
        <v/>
      </c>
      <c r="AB113" s="497" t="str">
        <f t="shared" si="71"/>
        <v/>
      </c>
      <c r="AC113" s="500" t="str">
        <f t="shared" si="96"/>
        <v/>
      </c>
      <c r="AD113" s="494" t="str">
        <f t="shared" si="72"/>
        <v/>
      </c>
      <c r="AE113" s="499" t="str">
        <f t="shared" si="73"/>
        <v/>
      </c>
      <c r="AF113" s="371"/>
      <c r="AG113" s="494" t="str">
        <f t="shared" si="74"/>
        <v/>
      </c>
      <c r="AH113" s="495" t="str">
        <f>IF('Feuilles=description générale'!$E$13="","",IF(AG113="","",IF(AG113&gt;('Feuilles=description générale'!$E$11+'Feuilles=description générale'!$E$10),"",100*(AG113-'Feuilles=description générale'!$E$10)/('Feuilles=description générale'!$E$11))))</f>
        <v/>
      </c>
      <c r="AI113" s="495" t="str">
        <f>IF('Feuilles=description générale'!$E$13="","",IF(AG113="","",IF(AG113&lt;=('Feuilles=description générale'!$E$11+'Feuilles=description générale'!$E$10),"",100*(AG113-'Feuilles=description générale'!$E$11-'Feuilles=description générale'!$E$10)/('Feuilles=description générale'!$E$12))))</f>
        <v/>
      </c>
      <c r="AJ113" s="496" t="str">
        <f>IF('Feuilles=description générale'!$E$13="","",IF(AG113="","",100*(AG113-'Feuilles=description générale'!$E$10)/('Feuilles=description générale'!$E$13-'Feuilles=description générale'!$E$10)))</f>
        <v/>
      </c>
      <c r="AK113" s="1113" t="str">
        <f t="shared" si="75"/>
        <v/>
      </c>
      <c r="AL113" s="498" t="str">
        <f t="shared" si="76"/>
        <v/>
      </c>
      <c r="AM113" s="494" t="str">
        <f t="shared" si="77"/>
        <v/>
      </c>
      <c r="AN113" s="499" t="str">
        <f t="shared" si="78"/>
        <v/>
      </c>
      <c r="AO113" s="371"/>
      <c r="AP113" s="494">
        <f t="shared" si="79"/>
        <v>410.5</v>
      </c>
      <c r="AQ113" s="495" t="str">
        <f>IF('Feuilles=description générale'!$E$13="","",IF(AP113="","",IF(AP113&gt;('Feuilles=description générale'!$E$25+'Feuilles=description générale'!$E$24),"",100*(AP113-'Feuilles=description générale'!$E$24)/('Feuilles=description générale'!$E$25))))</f>
        <v/>
      </c>
      <c r="AR113" s="495">
        <f>IF('Feuilles=description générale'!$E$27="","",IF(AP113="","",IF(AP113&lt;=('Feuilles=description générale'!$E$25+'Feuilles=description générale'!$E$24),"",100*(AP113-'Feuilles=description générale'!$E$25-'Feuilles=description générale'!$E$24)/('Feuilles=description générale'!$E$26))))</f>
        <v>93.18074191002367</v>
      </c>
      <c r="AS113" s="496">
        <f>IF('Feuilles=description générale'!$E$27="","",IF(AP113="","",100*(AP113-'Feuilles=description générale'!$E$24)/('Feuilles=description générale'!$E$27-'Feuilles=description générale'!$E$24)))</f>
        <v>94.720117330725984</v>
      </c>
      <c r="AT113" s="497">
        <f t="shared" si="80"/>
        <v>1</v>
      </c>
      <c r="AU113" s="500">
        <f t="shared" si="81"/>
        <v>1</v>
      </c>
      <c r="AV113" s="494">
        <f t="shared" si="82"/>
        <v>4</v>
      </c>
      <c r="AW113" s="499" t="str">
        <f t="shared" si="83"/>
        <v/>
      </c>
      <c r="AX113" s="371"/>
      <c r="AY113" s="494">
        <f t="shared" si="84"/>
        <v>420.7</v>
      </c>
      <c r="AZ113" s="495" t="str">
        <f>IF('Feuilles=description générale'!$E$13="","",IF(AY113="","",IF(AY113&gt;('Feuilles=description générale'!$E$25+'Feuilles=description générale'!$E$24),"",100*(AY113-'Feuilles=description générale'!$E$24)/('Feuilles=description générale'!$E$25))))</f>
        <v/>
      </c>
      <c r="BA113" s="495">
        <f>IF('Feuilles=description générale'!$E$27="","",IF(AY113="","",IF(AY113&lt;=('Feuilles=description générale'!$E$25+'Feuilles=description générale'!$E$24),"",100*(AY113-'Feuilles=description générale'!$E$25-'Feuilles=description générale'!$E$24)/('Feuilles=description générale'!$E$26))))</f>
        <v>96.400947119179179</v>
      </c>
      <c r="BB113" s="496">
        <f>IF('Feuilles=description générale'!$E$27="","",IF(AY113="","",100*(AY113-'Feuilles=description générale'!$E$24)/('Feuilles=description générale'!$E$27-'Feuilles=description générale'!$E$24)))</f>
        <v>97.21339525788315</v>
      </c>
      <c r="BC113" s="497">
        <f t="shared" si="85"/>
        <v>1</v>
      </c>
      <c r="BD113" s="500" t="str">
        <f t="shared" si="86"/>
        <v/>
      </c>
      <c r="BE113" s="494" t="str">
        <f t="shared" si="87"/>
        <v/>
      </c>
      <c r="BF113" s="499">
        <f t="shared" si="88"/>
        <v>1.8000000000000114</v>
      </c>
      <c r="BG113" s="476"/>
      <c r="BH113" s="563"/>
      <c r="BI113" s="562"/>
      <c r="BJ113" s="562"/>
      <c r="BK113" s="562"/>
      <c r="BL113" s="562"/>
      <c r="BM113" s="562"/>
      <c r="BN113" s="562"/>
      <c r="BO113" s="562"/>
      <c r="BP113" s="562"/>
      <c r="BQ113" s="562"/>
      <c r="BR113" s="562"/>
      <c r="BS113" s="562"/>
      <c r="BT113" s="562"/>
      <c r="BU113" s="568"/>
      <c r="BV113" s="1114" t="str">
        <f t="shared" si="89"/>
        <v/>
      </c>
      <c r="BW113" s="1114" t="str">
        <f t="shared" si="89"/>
        <v/>
      </c>
      <c r="BX113" s="1114" t="str">
        <f t="shared" si="90"/>
        <v/>
      </c>
      <c r="BY113" s="1115" t="str">
        <f t="shared" si="90"/>
        <v/>
      </c>
      <c r="BZ113" s="477"/>
      <c r="CA113" s="1114">
        <f t="shared" si="91"/>
        <v>16</v>
      </c>
      <c r="CB113" s="1114" t="str">
        <f t="shared" si="91"/>
        <v/>
      </c>
      <c r="CC113" s="1114" t="str">
        <f t="shared" si="92"/>
        <v/>
      </c>
      <c r="CD113" s="1115">
        <f t="shared" si="92"/>
        <v>3.2400000000000411</v>
      </c>
      <c r="CE113" s="568"/>
      <c r="CF113" s="563"/>
      <c r="CG113" s="562"/>
      <c r="CH113" s="562"/>
      <c r="CI113" s="562"/>
      <c r="CJ113" s="562"/>
      <c r="CK113" s="562"/>
      <c r="CL113" s="562"/>
      <c r="CM113" s="562"/>
      <c r="CN113" s="562"/>
      <c r="CO113" s="562"/>
      <c r="CP113" s="562"/>
      <c r="CQ113" s="562"/>
      <c r="CR113" s="562"/>
      <c r="CS113" s="562"/>
      <c r="CT113" s="562"/>
      <c r="CU113" s="562"/>
      <c r="CV113" s="476"/>
      <c r="CW113" s="345"/>
      <c r="CX113" s="345"/>
      <c r="CY113" s="345"/>
      <c r="CZ113" s="345"/>
      <c r="DA113" s="345"/>
      <c r="DB113" s="345"/>
      <c r="DC113" s="345"/>
      <c r="DD113" s="345"/>
      <c r="DE113" s="345"/>
      <c r="DF113" s="345"/>
      <c r="DG113" s="345"/>
      <c r="DH113" s="345"/>
      <c r="DI113" s="345"/>
      <c r="DJ113" s="345"/>
      <c r="DK113" s="345"/>
      <c r="DL113" s="345"/>
      <c r="DM113" s="345"/>
      <c r="DN113" s="345"/>
      <c r="DO113" s="345"/>
      <c r="DP113" s="345"/>
      <c r="DQ113" s="345"/>
      <c r="DR113" s="345"/>
      <c r="DS113" s="345"/>
      <c r="DT113" s="345"/>
      <c r="DU113" s="345"/>
      <c r="DV113" s="345"/>
      <c r="DW113" s="345"/>
      <c r="DX113" s="345"/>
      <c r="DY113" s="345"/>
      <c r="DZ113" s="345"/>
      <c r="EA113" s="345"/>
      <c r="EB113" s="345"/>
      <c r="EC113" s="345"/>
      <c r="ED113" s="345"/>
      <c r="EE113" s="345"/>
      <c r="EF113" s="345"/>
      <c r="EG113" s="345"/>
      <c r="EH113" s="345"/>
      <c r="EI113" s="345"/>
      <c r="EJ113" s="345"/>
      <c r="EK113" s="345"/>
      <c r="EL113" s="345"/>
      <c r="EM113" s="345"/>
      <c r="EN113" s="345"/>
      <c r="EO113" s="345"/>
      <c r="EP113" s="345"/>
      <c r="EQ113" s="345"/>
      <c r="ER113" s="345"/>
      <c r="ES113" s="345"/>
      <c r="ET113" s="345"/>
      <c r="EU113" s="345"/>
      <c r="EV113" s="345"/>
      <c r="EW113" s="345"/>
      <c r="EX113" s="345"/>
      <c r="EY113" s="345"/>
      <c r="EZ113" s="345"/>
      <c r="FA113" s="345"/>
      <c r="FB113" s="345"/>
      <c r="FC113" s="345"/>
      <c r="FD113" s="345"/>
      <c r="FE113" s="345"/>
      <c r="FF113" s="345"/>
      <c r="FG113" s="345"/>
      <c r="FH113" s="345"/>
      <c r="FI113" s="345"/>
      <c r="FJ113" s="345"/>
      <c r="FK113" s="345"/>
      <c r="FL113" s="345"/>
      <c r="FM113" s="345"/>
      <c r="FN113" s="345"/>
      <c r="FO113" s="345"/>
      <c r="FP113" s="345"/>
      <c r="FQ113" s="345"/>
      <c r="FR113" s="345"/>
      <c r="FS113" s="345"/>
      <c r="FT113" s="345"/>
      <c r="FU113" s="345"/>
      <c r="FV113" s="345"/>
      <c r="FW113" s="345"/>
      <c r="FX113" s="345"/>
      <c r="FY113" s="345"/>
      <c r="FZ113" s="345"/>
      <c r="GA113" s="345"/>
      <c r="GB113" s="345"/>
      <c r="GC113" s="345"/>
      <c r="GD113" s="345"/>
      <c r="GE113" s="345"/>
      <c r="GF113" s="345"/>
      <c r="GG113" s="345"/>
      <c r="GH113" s="345"/>
      <c r="GI113" s="345"/>
      <c r="GJ113" s="345"/>
      <c r="GK113" s="345"/>
      <c r="GL113" s="345"/>
      <c r="GM113" s="345"/>
      <c r="GN113" s="345"/>
      <c r="GO113" s="345"/>
      <c r="GP113" s="345"/>
      <c r="GQ113" s="345"/>
      <c r="GR113" s="345"/>
      <c r="GS113" s="345"/>
      <c r="GT113" s="345"/>
      <c r="GU113" s="345"/>
    </row>
    <row r="114" spans="1:203" ht="12.75" customHeight="1">
      <c r="A114" s="465" t="str">
        <f t="shared" si="95"/>
        <v/>
      </c>
      <c r="B114" s="1108">
        <v>104</v>
      </c>
      <c r="C114" s="1109"/>
      <c r="D114" s="398"/>
      <c r="E114" s="1116"/>
      <c r="F114" s="465" t="str">
        <f t="shared" si="97"/>
        <v/>
      </c>
      <c r="G114" s="1108">
        <v>104</v>
      </c>
      <c r="H114" s="1109"/>
      <c r="I114" s="398"/>
      <c r="J114" s="1116"/>
      <c r="K114" s="465"/>
      <c r="L114" s="465"/>
      <c r="M114" s="465">
        <f t="shared" si="93"/>
        <v>2</v>
      </c>
      <c r="N114" s="1108">
        <v>104</v>
      </c>
      <c r="O114" s="1109">
        <v>1</v>
      </c>
      <c r="P114" s="398">
        <v>414.5</v>
      </c>
      <c r="Q114" s="1116"/>
      <c r="R114" s="465">
        <f t="shared" si="94"/>
        <v>2</v>
      </c>
      <c r="S114" s="1108">
        <v>104</v>
      </c>
      <c r="T114" s="1109">
        <v>-1</v>
      </c>
      <c r="U114" s="1110">
        <v>422.5</v>
      </c>
      <c r="V114" s="1116"/>
      <c r="W114" s="371"/>
      <c r="X114" s="494" t="str">
        <f t="shared" si="70"/>
        <v/>
      </c>
      <c r="Y114" s="495" t="str">
        <f>IF('Feuilles=description générale'!$E$13="","",IF(X114="","",IF(X114&gt;('Feuilles=description générale'!$E$11+'Feuilles=description générale'!$E$10),"",100*(X114-'Feuilles=description générale'!$E$10)/('Feuilles=description générale'!$E$11))))</f>
        <v/>
      </c>
      <c r="Z114" s="495" t="str">
        <f>IF('Feuilles=description générale'!$E$13="","",IF(X114="","",IF(X114&lt;=('Feuilles=description générale'!$E$11+'Feuilles=description générale'!$E$10),"",100*(X114-'Feuilles=description générale'!$E$11-'Feuilles=description générale'!$E$10)/('Feuilles=description générale'!$E$12))))</f>
        <v/>
      </c>
      <c r="AA114" s="1112" t="str">
        <f>IF('Feuilles=description générale'!$E$13="","",IF(X114="","",100*(X114-'Feuilles=description générale'!$E$10)/('Feuilles=description générale'!$E$13-'Feuilles=description générale'!$E$10)))</f>
        <v/>
      </c>
      <c r="AB114" s="497" t="str">
        <f t="shared" si="71"/>
        <v/>
      </c>
      <c r="AC114" s="500" t="str">
        <f t="shared" si="96"/>
        <v/>
      </c>
      <c r="AD114" s="494" t="str">
        <f t="shared" si="72"/>
        <v/>
      </c>
      <c r="AE114" s="499" t="str">
        <f t="shared" si="73"/>
        <v/>
      </c>
      <c r="AF114" s="371"/>
      <c r="AG114" s="494" t="str">
        <f t="shared" si="74"/>
        <v/>
      </c>
      <c r="AH114" s="495" t="str">
        <f>IF('Feuilles=description générale'!$E$13="","",IF(AG114="","",IF(AG114&gt;('Feuilles=description générale'!$E$11+'Feuilles=description générale'!$E$10),"",100*(AG114-'Feuilles=description générale'!$E$10)/('Feuilles=description générale'!$E$11))))</f>
        <v/>
      </c>
      <c r="AI114" s="495" t="str">
        <f>IF('Feuilles=description générale'!$E$13="","",IF(AG114="","",IF(AG114&lt;=('Feuilles=description générale'!$E$11+'Feuilles=description générale'!$E$10),"",100*(AG114-'Feuilles=description générale'!$E$11-'Feuilles=description générale'!$E$10)/('Feuilles=description générale'!$E$12))))</f>
        <v/>
      </c>
      <c r="AJ114" s="496" t="str">
        <f>IF('Feuilles=description générale'!$E$13="","",IF(AG114="","",100*(AG114-'Feuilles=description générale'!$E$10)/('Feuilles=description générale'!$E$13-'Feuilles=description générale'!$E$10)))</f>
        <v/>
      </c>
      <c r="AK114" s="1113" t="str">
        <f t="shared" si="75"/>
        <v/>
      </c>
      <c r="AL114" s="498" t="str">
        <f t="shared" si="76"/>
        <v/>
      </c>
      <c r="AM114" s="494" t="str">
        <f t="shared" si="77"/>
        <v/>
      </c>
      <c r="AN114" s="499" t="str">
        <f t="shared" si="78"/>
        <v/>
      </c>
      <c r="AO114" s="371"/>
      <c r="AP114" s="494">
        <f t="shared" si="79"/>
        <v>414.5</v>
      </c>
      <c r="AQ114" s="495" t="str">
        <f>IF('Feuilles=description générale'!$E$13="","",IF(AP114="","",IF(AP114&gt;('Feuilles=description générale'!$E$25+'Feuilles=description générale'!$E$24),"",100*(AP114-'Feuilles=description générale'!$E$24)/('Feuilles=description générale'!$E$25))))</f>
        <v/>
      </c>
      <c r="AR114" s="495">
        <f>IF('Feuilles=description générale'!$E$27="","",IF(AP114="","",IF(AP114&lt;=('Feuilles=description générale'!$E$25+'Feuilles=description générale'!$E$24),"",100*(AP114-'Feuilles=description générale'!$E$25-'Feuilles=description générale'!$E$24)/('Feuilles=description générale'!$E$26))))</f>
        <v>94.443567482241505</v>
      </c>
      <c r="AS114" s="496">
        <f>IF('Feuilles=description générale'!$E$27="","",IF(AP114="","",100*(AP114-'Feuilles=description générale'!$E$24)/('Feuilles=description générale'!$E$27-'Feuilles=description générale'!$E$24)))</f>
        <v>95.697873380591531</v>
      </c>
      <c r="AT114" s="497">
        <f t="shared" si="80"/>
        <v>1</v>
      </c>
      <c r="AU114" s="500" t="str">
        <f t="shared" si="81"/>
        <v/>
      </c>
      <c r="AV114" s="494" t="str">
        <f t="shared" si="82"/>
        <v/>
      </c>
      <c r="AW114" s="499">
        <f t="shared" si="83"/>
        <v>1.5</v>
      </c>
      <c r="AX114" s="371"/>
      <c r="AY114" s="494">
        <f t="shared" si="84"/>
        <v>422.5</v>
      </c>
      <c r="AZ114" s="495" t="str">
        <f>IF('Feuilles=description générale'!$E$13="","",IF(AY114="","",IF(AY114&gt;('Feuilles=description générale'!$E$25+'Feuilles=description générale'!$E$24),"",100*(AY114-'Feuilles=description générale'!$E$24)/('Feuilles=description générale'!$E$25))))</f>
        <v/>
      </c>
      <c r="BA114" s="495">
        <f>IF('Feuilles=description générale'!$E$27="","",IF(AY114="","",IF(AY114&lt;=('Feuilles=description générale'!$E$25+'Feuilles=description générale'!$E$24),"",100*(AY114-'Feuilles=description générale'!$E$25-'Feuilles=description générale'!$E$24)/('Feuilles=description générale'!$E$26))))</f>
        <v>96.969218626677176</v>
      </c>
      <c r="BB114" s="496">
        <f>IF('Feuilles=description générale'!$E$27="","",IF(AY114="","",100*(AY114-'Feuilles=description générale'!$E$24)/('Feuilles=description générale'!$E$27-'Feuilles=description générale'!$E$24)))</f>
        <v>97.653385480322655</v>
      </c>
      <c r="BC114" s="497">
        <f t="shared" si="85"/>
        <v>2</v>
      </c>
      <c r="BD114" s="500">
        <f t="shared" si="86"/>
        <v>2</v>
      </c>
      <c r="BE114" s="494">
        <f t="shared" si="87"/>
        <v>3.6999999999999886</v>
      </c>
      <c r="BF114" s="499" t="str">
        <f t="shared" si="88"/>
        <v/>
      </c>
      <c r="BG114" s="476"/>
      <c r="BH114" s="563"/>
      <c r="BI114" s="562"/>
      <c r="BJ114" s="562"/>
      <c r="BK114" s="562"/>
      <c r="BL114" s="562"/>
      <c r="BM114" s="562"/>
      <c r="BN114" s="562"/>
      <c r="BO114" s="562"/>
      <c r="BP114" s="562"/>
      <c r="BQ114" s="562"/>
      <c r="BR114" s="562"/>
      <c r="BS114" s="562"/>
      <c r="BT114" s="562"/>
      <c r="BU114" s="568"/>
      <c r="BV114" s="1114" t="str">
        <f t="shared" si="89"/>
        <v/>
      </c>
      <c r="BW114" s="1114" t="str">
        <f t="shared" si="89"/>
        <v/>
      </c>
      <c r="BX114" s="1114" t="str">
        <f t="shared" si="90"/>
        <v/>
      </c>
      <c r="BY114" s="1115" t="str">
        <f t="shared" si="90"/>
        <v/>
      </c>
      <c r="BZ114" s="477"/>
      <c r="CA114" s="1114" t="str">
        <f t="shared" si="91"/>
        <v/>
      </c>
      <c r="CB114" s="1114">
        <f t="shared" si="91"/>
        <v>2.25</v>
      </c>
      <c r="CC114" s="1114">
        <f t="shared" si="92"/>
        <v>13.689999999999916</v>
      </c>
      <c r="CD114" s="1115" t="str">
        <f t="shared" si="92"/>
        <v/>
      </c>
      <c r="CE114" s="568"/>
      <c r="CF114" s="563"/>
      <c r="CG114" s="562"/>
      <c r="CH114" s="562"/>
      <c r="CI114" s="562"/>
      <c r="CJ114" s="562"/>
      <c r="CK114" s="562"/>
      <c r="CL114" s="562"/>
      <c r="CM114" s="562"/>
      <c r="CN114" s="562"/>
      <c r="CO114" s="562"/>
      <c r="CP114" s="562"/>
      <c r="CQ114" s="562"/>
      <c r="CR114" s="562"/>
      <c r="CS114" s="562"/>
      <c r="CT114" s="562"/>
      <c r="CU114" s="562"/>
      <c r="CV114" s="476"/>
      <c r="CW114" s="345"/>
      <c r="CX114" s="345"/>
      <c r="CY114" s="345"/>
      <c r="CZ114" s="345"/>
      <c r="DA114" s="345"/>
      <c r="DB114" s="345"/>
      <c r="DC114" s="345"/>
      <c r="DD114" s="345"/>
      <c r="DE114" s="345"/>
      <c r="DF114" s="345"/>
      <c r="DG114" s="345"/>
      <c r="DH114" s="345"/>
      <c r="DI114" s="345"/>
      <c r="DJ114" s="345"/>
      <c r="DK114" s="345"/>
      <c r="DL114" s="345"/>
      <c r="DM114" s="345"/>
      <c r="DN114" s="345"/>
      <c r="DO114" s="345"/>
      <c r="DP114" s="345"/>
      <c r="DQ114" s="345"/>
      <c r="DR114" s="345"/>
      <c r="DS114" s="345"/>
      <c r="DT114" s="345"/>
      <c r="DU114" s="345"/>
      <c r="DV114" s="345"/>
      <c r="DW114" s="345"/>
      <c r="DX114" s="345"/>
      <c r="DY114" s="345"/>
      <c r="DZ114" s="345"/>
      <c r="EA114" s="345"/>
      <c r="EB114" s="345"/>
      <c r="EC114" s="345"/>
      <c r="ED114" s="345"/>
      <c r="EE114" s="345"/>
      <c r="EF114" s="345"/>
      <c r="EG114" s="345"/>
      <c r="EH114" s="345"/>
      <c r="EI114" s="345"/>
      <c r="EJ114" s="345"/>
      <c r="EK114" s="345"/>
      <c r="EL114" s="345"/>
      <c r="EM114" s="345"/>
      <c r="EN114" s="345"/>
      <c r="EO114" s="345"/>
      <c r="EP114" s="345"/>
      <c r="EQ114" s="345"/>
      <c r="ER114" s="345"/>
      <c r="ES114" s="345"/>
      <c r="ET114" s="345"/>
      <c r="EU114" s="345"/>
      <c r="EV114" s="345"/>
      <c r="EW114" s="345"/>
      <c r="EX114" s="345"/>
      <c r="EY114" s="345"/>
      <c r="EZ114" s="345"/>
      <c r="FA114" s="345"/>
      <c r="FB114" s="345"/>
      <c r="FC114" s="345"/>
      <c r="FD114" s="345"/>
      <c r="FE114" s="345"/>
      <c r="FF114" s="345"/>
      <c r="FG114" s="345"/>
      <c r="FH114" s="345"/>
      <c r="FI114" s="345"/>
      <c r="FJ114" s="345"/>
      <c r="FK114" s="345"/>
      <c r="FL114" s="345"/>
      <c r="FM114" s="345"/>
      <c r="FN114" s="345"/>
      <c r="FO114" s="345"/>
      <c r="FP114" s="345"/>
      <c r="FQ114" s="345"/>
      <c r="FR114" s="345"/>
      <c r="FS114" s="345"/>
      <c r="FT114" s="345"/>
      <c r="FU114" s="345"/>
      <c r="FV114" s="345"/>
      <c r="FW114" s="345"/>
      <c r="FX114" s="345"/>
      <c r="FY114" s="345"/>
      <c r="FZ114" s="345"/>
      <c r="GA114" s="345"/>
      <c r="GB114" s="345"/>
      <c r="GC114" s="345"/>
      <c r="GD114" s="345"/>
      <c r="GE114" s="345"/>
      <c r="GF114" s="345"/>
      <c r="GG114" s="345"/>
      <c r="GH114" s="345"/>
      <c r="GI114" s="345"/>
      <c r="GJ114" s="345"/>
      <c r="GK114" s="345"/>
      <c r="GL114" s="345"/>
      <c r="GM114" s="345"/>
      <c r="GN114" s="345"/>
      <c r="GO114" s="345"/>
      <c r="GP114" s="345"/>
      <c r="GQ114" s="345"/>
      <c r="GR114" s="345"/>
      <c r="GS114" s="345"/>
      <c r="GT114" s="345"/>
      <c r="GU114" s="345"/>
    </row>
    <row r="115" spans="1:203" ht="12.75" customHeight="1">
      <c r="A115" s="465" t="str">
        <f t="shared" si="95"/>
        <v/>
      </c>
      <c r="B115" s="1108">
        <v>105</v>
      </c>
      <c r="C115" s="1109"/>
      <c r="D115" s="398"/>
      <c r="E115" s="1116"/>
      <c r="F115" s="465" t="str">
        <f t="shared" si="97"/>
        <v/>
      </c>
      <c r="G115" s="1108">
        <v>105</v>
      </c>
      <c r="H115" s="1109"/>
      <c r="I115" s="398"/>
      <c r="J115" s="1116"/>
      <c r="K115" s="465"/>
      <c r="L115" s="465"/>
      <c r="M115" s="465">
        <f t="shared" si="93"/>
        <v>2</v>
      </c>
      <c r="N115" s="1108">
        <v>105</v>
      </c>
      <c r="O115" s="1109">
        <v>-1</v>
      </c>
      <c r="P115" s="398">
        <v>416</v>
      </c>
      <c r="Q115" s="1116"/>
      <c r="R115" s="465">
        <f t="shared" si="94"/>
        <v>2</v>
      </c>
      <c r="S115" s="1108">
        <v>105</v>
      </c>
      <c r="T115" s="1109">
        <v>1</v>
      </c>
      <c r="U115" s="1110">
        <v>426.2</v>
      </c>
      <c r="V115" s="1116"/>
      <c r="W115" s="371"/>
      <c r="X115" s="494" t="str">
        <f t="shared" si="70"/>
        <v/>
      </c>
      <c r="Y115" s="495" t="str">
        <f>IF('Feuilles=description générale'!$E$13="","",IF(X115="","",IF(X115&gt;('Feuilles=description générale'!$E$11+'Feuilles=description générale'!$E$10),"",100*(X115-'Feuilles=description générale'!$E$10)/('Feuilles=description générale'!$E$11))))</f>
        <v/>
      </c>
      <c r="Z115" s="495" t="str">
        <f>IF('Feuilles=description générale'!$E$13="","",IF(X115="","",IF(X115&lt;=('Feuilles=description générale'!$E$11+'Feuilles=description générale'!$E$10),"",100*(X115-'Feuilles=description générale'!$E$11-'Feuilles=description générale'!$E$10)/('Feuilles=description générale'!$E$12))))</f>
        <v/>
      </c>
      <c r="AA115" s="1112" t="str">
        <f>IF('Feuilles=description générale'!$E$13="","",IF(X115="","",100*(X115-'Feuilles=description générale'!$E$10)/('Feuilles=description générale'!$E$13-'Feuilles=description générale'!$E$10)))</f>
        <v/>
      </c>
      <c r="AB115" s="497" t="str">
        <f t="shared" si="71"/>
        <v/>
      </c>
      <c r="AC115" s="500" t="str">
        <f t="shared" si="96"/>
        <v/>
      </c>
      <c r="AD115" s="494" t="str">
        <f t="shared" si="72"/>
        <v/>
      </c>
      <c r="AE115" s="499" t="str">
        <f t="shared" si="73"/>
        <v/>
      </c>
      <c r="AF115" s="371"/>
      <c r="AG115" s="494" t="str">
        <f t="shared" si="74"/>
        <v/>
      </c>
      <c r="AH115" s="495" t="str">
        <f>IF('Feuilles=description générale'!$E$13="","",IF(AG115="","",IF(AG115&gt;('Feuilles=description générale'!$E$11+'Feuilles=description générale'!$E$10),"",100*(AG115-'Feuilles=description générale'!$E$10)/('Feuilles=description générale'!$E$11))))</f>
        <v/>
      </c>
      <c r="AI115" s="495" t="str">
        <f>IF('Feuilles=description générale'!$E$13="","",IF(AG115="","",IF(AG115&lt;=('Feuilles=description générale'!$E$11+'Feuilles=description générale'!$E$10),"",100*(AG115-'Feuilles=description générale'!$E$11-'Feuilles=description générale'!$E$10)/('Feuilles=description générale'!$E$12))))</f>
        <v/>
      </c>
      <c r="AJ115" s="496" t="str">
        <f>IF('Feuilles=description générale'!$E$13="","",IF(AG115="","",100*(AG115-'Feuilles=description générale'!$E$10)/('Feuilles=description générale'!$E$13-'Feuilles=description générale'!$E$10)))</f>
        <v/>
      </c>
      <c r="AK115" s="1113" t="str">
        <f t="shared" si="75"/>
        <v/>
      </c>
      <c r="AL115" s="498" t="str">
        <f t="shared" si="76"/>
        <v/>
      </c>
      <c r="AM115" s="494" t="str">
        <f t="shared" si="77"/>
        <v/>
      </c>
      <c r="AN115" s="499" t="str">
        <f t="shared" si="78"/>
        <v/>
      </c>
      <c r="AO115" s="371"/>
      <c r="AP115" s="494">
        <f t="shared" si="79"/>
        <v>416</v>
      </c>
      <c r="AQ115" s="495" t="str">
        <f>IF('Feuilles=description générale'!$E$13="","",IF(AP115="","",IF(AP115&gt;('Feuilles=description générale'!$E$25+'Feuilles=description générale'!$E$24),"",100*(AP115-'Feuilles=description générale'!$E$24)/('Feuilles=description générale'!$E$25))))</f>
        <v/>
      </c>
      <c r="AR115" s="495">
        <f>IF('Feuilles=description générale'!$E$27="","",IF(AP115="","",IF(AP115&lt;=('Feuilles=description générale'!$E$25+'Feuilles=description générale'!$E$24),"",100*(AP115-'Feuilles=description générale'!$E$25-'Feuilles=description générale'!$E$24)/('Feuilles=description générale'!$E$26))))</f>
        <v>94.917127071823188</v>
      </c>
      <c r="AS115" s="496">
        <f>IF('Feuilles=description générale'!$E$27="","",IF(AP115="","",100*(AP115-'Feuilles=description générale'!$E$24)/('Feuilles=description générale'!$E$27-'Feuilles=description générale'!$E$24)))</f>
        <v>96.064531899291126</v>
      </c>
      <c r="AT115" s="497">
        <f t="shared" si="80"/>
        <v>2</v>
      </c>
      <c r="AU115" s="500">
        <f t="shared" si="81"/>
        <v>2</v>
      </c>
      <c r="AV115" s="494">
        <f t="shared" si="82"/>
        <v>5.1999999999999886</v>
      </c>
      <c r="AW115" s="499" t="str">
        <f t="shared" si="83"/>
        <v/>
      </c>
      <c r="AX115" s="371"/>
      <c r="AY115" s="494">
        <f t="shared" si="84"/>
        <v>426.2</v>
      </c>
      <c r="AZ115" s="495" t="str">
        <f>IF('Feuilles=description générale'!$E$13="","",IF(AY115="","",IF(AY115&gt;('Feuilles=description générale'!$E$25+'Feuilles=description générale'!$E$24),"",100*(AY115-'Feuilles=description générale'!$E$24)/('Feuilles=description générale'!$E$25))))</f>
        <v/>
      </c>
      <c r="BA115" s="495">
        <f>IF('Feuilles=description générale'!$E$27="","",IF(AY115="","",IF(AY115&lt;=('Feuilles=description générale'!$E$25+'Feuilles=description générale'!$E$24),"",100*(AY115-'Feuilles=description générale'!$E$25-'Feuilles=description générale'!$E$24)/('Feuilles=description générale'!$E$26))))</f>
        <v>98.137332280978697</v>
      </c>
      <c r="BB115" s="496">
        <f>IF('Feuilles=description générale'!$E$27="","",IF(AY115="","",100*(AY115-'Feuilles=description générale'!$E$24)/('Feuilles=description générale'!$E$27-'Feuilles=description générale'!$E$24)))</f>
        <v>98.557809826448292</v>
      </c>
      <c r="BC115" s="497">
        <f t="shared" si="85"/>
        <v>1</v>
      </c>
      <c r="BD115" s="500" t="str">
        <f t="shared" si="86"/>
        <v/>
      </c>
      <c r="BE115" s="494" t="str">
        <f t="shared" si="87"/>
        <v/>
      </c>
      <c r="BF115" s="499">
        <f t="shared" si="88"/>
        <v>1.9000000000000341</v>
      </c>
      <c r="BG115" s="476"/>
      <c r="BH115" s="563"/>
      <c r="BI115" s="562"/>
      <c r="BJ115" s="562"/>
      <c r="BK115" s="562"/>
      <c r="BL115" s="562"/>
      <c r="BM115" s="562"/>
      <c r="BN115" s="562"/>
      <c r="BO115" s="562"/>
      <c r="BP115" s="562"/>
      <c r="BQ115" s="562"/>
      <c r="BR115" s="562"/>
      <c r="BS115" s="562"/>
      <c r="BT115" s="562"/>
      <c r="BU115" s="568"/>
      <c r="BV115" s="1114" t="str">
        <f t="shared" si="89"/>
        <v/>
      </c>
      <c r="BW115" s="1114" t="str">
        <f t="shared" si="89"/>
        <v/>
      </c>
      <c r="BX115" s="1114" t="str">
        <f t="shared" si="90"/>
        <v/>
      </c>
      <c r="BY115" s="1115" t="str">
        <f t="shared" si="90"/>
        <v/>
      </c>
      <c r="BZ115" s="477"/>
      <c r="CA115" s="1114">
        <f t="shared" si="91"/>
        <v>27.039999999999882</v>
      </c>
      <c r="CB115" s="1114" t="str">
        <f t="shared" si="91"/>
        <v/>
      </c>
      <c r="CC115" s="1114" t="str">
        <f t="shared" si="92"/>
        <v/>
      </c>
      <c r="CD115" s="1115">
        <f t="shared" si="92"/>
        <v>3.6100000000001295</v>
      </c>
      <c r="CE115" s="568"/>
      <c r="CF115" s="563"/>
      <c r="CG115" s="562"/>
      <c r="CH115" s="562"/>
      <c r="CI115" s="562"/>
      <c r="CJ115" s="562"/>
      <c r="CK115" s="562"/>
      <c r="CL115" s="562"/>
      <c r="CM115" s="562"/>
      <c r="CN115" s="562"/>
      <c r="CO115" s="562"/>
      <c r="CP115" s="562"/>
      <c r="CQ115" s="562"/>
      <c r="CR115" s="562"/>
      <c r="CS115" s="562"/>
      <c r="CT115" s="562"/>
      <c r="CU115" s="562"/>
      <c r="CV115" s="476"/>
      <c r="CW115" s="345"/>
      <c r="CX115" s="345"/>
      <c r="CY115" s="345"/>
      <c r="CZ115" s="345"/>
      <c r="DA115" s="345"/>
      <c r="DB115" s="345"/>
      <c r="DC115" s="345"/>
      <c r="DD115" s="345"/>
      <c r="DE115" s="345"/>
      <c r="DF115" s="345"/>
      <c r="DG115" s="345"/>
      <c r="DH115" s="345"/>
      <c r="DI115" s="345"/>
      <c r="DJ115" s="345"/>
      <c r="DK115" s="345"/>
      <c r="DL115" s="345"/>
      <c r="DM115" s="345"/>
      <c r="DN115" s="345"/>
      <c r="DO115" s="345"/>
      <c r="DP115" s="345"/>
      <c r="DQ115" s="345"/>
      <c r="DR115" s="345"/>
      <c r="DS115" s="345"/>
      <c r="DT115" s="345"/>
      <c r="DU115" s="345"/>
      <c r="DV115" s="345"/>
      <c r="DW115" s="345"/>
      <c r="DX115" s="345"/>
      <c r="DY115" s="345"/>
      <c r="DZ115" s="345"/>
      <c r="EA115" s="345"/>
      <c r="EB115" s="345"/>
      <c r="EC115" s="345"/>
      <c r="ED115" s="345"/>
      <c r="EE115" s="345"/>
      <c r="EF115" s="345"/>
      <c r="EG115" s="345"/>
      <c r="EH115" s="345"/>
      <c r="EI115" s="345"/>
      <c r="EJ115" s="345"/>
      <c r="EK115" s="345"/>
      <c r="EL115" s="345"/>
      <c r="EM115" s="345"/>
      <c r="EN115" s="345"/>
      <c r="EO115" s="345"/>
      <c r="EP115" s="345"/>
      <c r="EQ115" s="345"/>
      <c r="ER115" s="345"/>
      <c r="ES115" s="345"/>
      <c r="ET115" s="345"/>
      <c r="EU115" s="345"/>
      <c r="EV115" s="345"/>
      <c r="EW115" s="345"/>
      <c r="EX115" s="345"/>
      <c r="EY115" s="345"/>
      <c r="EZ115" s="345"/>
      <c r="FA115" s="345"/>
      <c r="FB115" s="345"/>
      <c r="FC115" s="345"/>
      <c r="FD115" s="345"/>
      <c r="FE115" s="345"/>
      <c r="FF115" s="345"/>
      <c r="FG115" s="345"/>
      <c r="FH115" s="345"/>
      <c r="FI115" s="345"/>
      <c r="FJ115" s="345"/>
      <c r="FK115" s="345"/>
      <c r="FL115" s="345"/>
      <c r="FM115" s="345"/>
      <c r="FN115" s="345"/>
      <c r="FO115" s="345"/>
      <c r="FP115" s="345"/>
      <c r="FQ115" s="345"/>
      <c r="FR115" s="345"/>
      <c r="FS115" s="345"/>
      <c r="FT115" s="345"/>
      <c r="FU115" s="345"/>
      <c r="FV115" s="345"/>
      <c r="FW115" s="345"/>
      <c r="FX115" s="345"/>
      <c r="FY115" s="345"/>
      <c r="FZ115" s="345"/>
      <c r="GA115" s="345"/>
      <c r="GB115" s="345"/>
      <c r="GC115" s="345"/>
      <c r="GD115" s="345"/>
      <c r="GE115" s="345"/>
      <c r="GF115" s="345"/>
      <c r="GG115" s="345"/>
      <c r="GH115" s="345"/>
      <c r="GI115" s="345"/>
      <c r="GJ115" s="345"/>
      <c r="GK115" s="345"/>
      <c r="GL115" s="345"/>
      <c r="GM115" s="345"/>
      <c r="GN115" s="345"/>
      <c r="GO115" s="345"/>
      <c r="GP115" s="345"/>
      <c r="GQ115" s="345"/>
      <c r="GR115" s="345"/>
      <c r="GS115" s="345"/>
      <c r="GT115" s="345"/>
      <c r="GU115" s="345"/>
    </row>
    <row r="116" spans="1:203" ht="12.75" customHeight="1">
      <c r="A116" s="465" t="str">
        <f t="shared" si="95"/>
        <v/>
      </c>
      <c r="B116" s="1108">
        <v>106</v>
      </c>
      <c r="C116" s="1109"/>
      <c r="D116" s="398"/>
      <c r="E116" s="1116"/>
      <c r="F116" s="465" t="str">
        <f t="shared" si="97"/>
        <v/>
      </c>
      <c r="G116" s="1108">
        <v>106</v>
      </c>
      <c r="H116" s="1109"/>
      <c r="I116" s="398"/>
      <c r="J116" s="1116"/>
      <c r="K116" s="465"/>
      <c r="L116" s="465"/>
      <c r="M116" s="465">
        <f t="shared" si="93"/>
        <v>2</v>
      </c>
      <c r="N116" s="1108">
        <v>106</v>
      </c>
      <c r="O116" s="1109">
        <v>1</v>
      </c>
      <c r="P116" s="398">
        <v>421.2</v>
      </c>
      <c r="Q116" s="1116"/>
      <c r="R116" s="465">
        <f t="shared" si="94"/>
        <v>2</v>
      </c>
      <c r="S116" s="1108">
        <v>106</v>
      </c>
      <c r="T116" s="1109">
        <v>-1</v>
      </c>
      <c r="U116" s="1110">
        <v>428.1</v>
      </c>
      <c r="V116" s="1116"/>
      <c r="W116" s="371"/>
      <c r="X116" s="494" t="str">
        <f t="shared" si="70"/>
        <v/>
      </c>
      <c r="Y116" s="495" t="str">
        <f>IF('Feuilles=description générale'!$E$13="","",IF(X116="","",IF(X116&gt;('Feuilles=description générale'!$E$11+'Feuilles=description générale'!$E$10),"",100*(X116-'Feuilles=description générale'!$E$10)/('Feuilles=description générale'!$E$11))))</f>
        <v/>
      </c>
      <c r="Z116" s="495" t="str">
        <f>IF('Feuilles=description générale'!$E$13="","",IF(X116="","",IF(X116&lt;=('Feuilles=description générale'!$E$11+'Feuilles=description générale'!$E$10),"",100*(X116-'Feuilles=description générale'!$E$11-'Feuilles=description générale'!$E$10)/('Feuilles=description générale'!$E$12))))</f>
        <v/>
      </c>
      <c r="AA116" s="1112" t="str">
        <f>IF('Feuilles=description générale'!$E$13="","",IF(X116="","",100*(X116-'Feuilles=description générale'!$E$10)/('Feuilles=description générale'!$E$13-'Feuilles=description générale'!$E$10)))</f>
        <v/>
      </c>
      <c r="AB116" s="497" t="str">
        <f t="shared" si="71"/>
        <v/>
      </c>
      <c r="AC116" s="500" t="str">
        <f t="shared" si="96"/>
        <v/>
      </c>
      <c r="AD116" s="494" t="str">
        <f t="shared" si="72"/>
        <v/>
      </c>
      <c r="AE116" s="499" t="str">
        <f t="shared" si="73"/>
        <v/>
      </c>
      <c r="AF116" s="371"/>
      <c r="AG116" s="494" t="str">
        <f t="shared" si="74"/>
        <v/>
      </c>
      <c r="AH116" s="495" t="str">
        <f>IF('Feuilles=description générale'!$E$13="","",IF(AG116="","",IF(AG116&gt;('Feuilles=description générale'!$E$11+'Feuilles=description générale'!$E$10),"",100*(AG116-'Feuilles=description générale'!$E$10)/('Feuilles=description générale'!$E$11))))</f>
        <v/>
      </c>
      <c r="AI116" s="495" t="str">
        <f>IF('Feuilles=description générale'!$E$13="","",IF(AG116="","",IF(AG116&lt;=('Feuilles=description générale'!$E$11+'Feuilles=description générale'!$E$10),"",100*(AG116-'Feuilles=description générale'!$E$11-'Feuilles=description générale'!$E$10)/('Feuilles=description générale'!$E$12))))</f>
        <v/>
      </c>
      <c r="AJ116" s="496" t="str">
        <f>IF('Feuilles=description générale'!$E$13="","",IF(AG116="","",100*(AG116-'Feuilles=description générale'!$E$10)/('Feuilles=description générale'!$E$13-'Feuilles=description générale'!$E$10)))</f>
        <v/>
      </c>
      <c r="AK116" s="1113" t="str">
        <f t="shared" si="75"/>
        <v/>
      </c>
      <c r="AL116" s="498" t="str">
        <f t="shared" si="76"/>
        <v/>
      </c>
      <c r="AM116" s="494" t="str">
        <f t="shared" si="77"/>
        <v/>
      </c>
      <c r="AN116" s="499" t="str">
        <f t="shared" si="78"/>
        <v/>
      </c>
      <c r="AO116" s="371"/>
      <c r="AP116" s="494">
        <f t="shared" si="79"/>
        <v>421.2</v>
      </c>
      <c r="AQ116" s="495" t="str">
        <f>IF('Feuilles=description générale'!$E$13="","",IF(AP116="","",IF(AP116&gt;('Feuilles=description générale'!$E$25+'Feuilles=description générale'!$E$24),"",100*(AP116-'Feuilles=description générale'!$E$24)/('Feuilles=description générale'!$E$25))))</f>
        <v/>
      </c>
      <c r="AR116" s="495">
        <f>IF('Feuilles=description générale'!$E$27="","",IF(AP116="","",IF(AP116&lt;=('Feuilles=description générale'!$E$25+'Feuilles=description générale'!$E$24),"",100*(AP116-'Feuilles=description générale'!$E$25-'Feuilles=description générale'!$E$24)/('Feuilles=description générale'!$E$26))))</f>
        <v>96.558800315706407</v>
      </c>
      <c r="AS116" s="496">
        <f>IF('Feuilles=description générale'!$E$27="","",IF(AP116="","",100*(AP116-'Feuilles=description générale'!$E$24)/('Feuilles=description générale'!$E$27-'Feuilles=description générale'!$E$24)))</f>
        <v>97.335614764116343</v>
      </c>
      <c r="AT116" s="497">
        <f t="shared" si="80"/>
        <v>1</v>
      </c>
      <c r="AU116" s="500" t="str">
        <f t="shared" si="81"/>
        <v/>
      </c>
      <c r="AV116" s="494" t="str">
        <f t="shared" si="82"/>
        <v/>
      </c>
      <c r="AW116" s="499">
        <f t="shared" si="83"/>
        <v>2.4000000000000341</v>
      </c>
      <c r="AX116" s="371"/>
      <c r="AY116" s="494">
        <f t="shared" si="84"/>
        <v>428.1</v>
      </c>
      <c r="AZ116" s="495" t="str">
        <f>IF('Feuilles=description générale'!$E$13="","",IF(AY116="","",IF(AY116&gt;('Feuilles=description générale'!$E$25+'Feuilles=description générale'!$E$24),"",100*(AY116-'Feuilles=description générale'!$E$24)/('Feuilles=description générale'!$E$25))))</f>
        <v/>
      </c>
      <c r="BA116" s="495">
        <f>IF('Feuilles=description générale'!$E$27="","",IF(AY116="","",IF(AY116&lt;=('Feuilles=description générale'!$E$25+'Feuilles=description générale'!$E$24),"",100*(AY116-'Feuilles=description générale'!$E$25-'Feuilles=description générale'!$E$24)/('Feuilles=description générale'!$E$26))))</f>
        <v>98.737174427782165</v>
      </c>
      <c r="BB116" s="496">
        <f>IF('Feuilles=description générale'!$E$27="","",IF(AY116="","",100*(AY116-'Feuilles=description générale'!$E$24)/('Feuilles=description générale'!$E$27-'Feuilles=description générale'!$E$24)))</f>
        <v>99.022243950134438</v>
      </c>
      <c r="BC116" s="497">
        <f t="shared" si="85"/>
        <v>2</v>
      </c>
      <c r="BD116" s="500">
        <f t="shared" si="86"/>
        <v>2</v>
      </c>
      <c r="BE116" s="494">
        <f t="shared" si="87"/>
        <v>2.3999999999999773</v>
      </c>
      <c r="BF116" s="499" t="str">
        <f t="shared" si="88"/>
        <v/>
      </c>
      <c r="BG116" s="476"/>
      <c r="BH116" s="563"/>
      <c r="BI116" s="562"/>
      <c r="BJ116" s="562"/>
      <c r="BK116" s="562"/>
      <c r="BL116" s="562"/>
      <c r="BM116" s="562"/>
      <c r="BN116" s="562"/>
      <c r="BO116" s="562"/>
      <c r="BP116" s="562"/>
      <c r="BQ116" s="562"/>
      <c r="BR116" s="562"/>
      <c r="BS116" s="562"/>
      <c r="BT116" s="562"/>
      <c r="BU116" s="568"/>
      <c r="BV116" s="1114" t="str">
        <f t="shared" si="89"/>
        <v/>
      </c>
      <c r="BW116" s="1114" t="str">
        <f t="shared" si="89"/>
        <v/>
      </c>
      <c r="BX116" s="1114" t="str">
        <f t="shared" si="90"/>
        <v/>
      </c>
      <c r="BY116" s="1115" t="str">
        <f t="shared" si="90"/>
        <v/>
      </c>
      <c r="BZ116" s="477"/>
      <c r="CA116" s="1114" t="str">
        <f t="shared" si="91"/>
        <v/>
      </c>
      <c r="CB116" s="1114">
        <f t="shared" si="91"/>
        <v>5.7600000000001641</v>
      </c>
      <c r="CC116" s="1114">
        <f t="shared" si="92"/>
        <v>5.7599999999998905</v>
      </c>
      <c r="CD116" s="1115" t="str">
        <f t="shared" si="92"/>
        <v/>
      </c>
      <c r="CE116" s="568"/>
      <c r="CF116" s="563"/>
      <c r="CG116" s="562"/>
      <c r="CH116" s="562"/>
      <c r="CI116" s="562"/>
      <c r="CJ116" s="562"/>
      <c r="CK116" s="562"/>
      <c r="CL116" s="562"/>
      <c r="CM116" s="562"/>
      <c r="CN116" s="562"/>
      <c r="CO116" s="562"/>
      <c r="CP116" s="562"/>
      <c r="CQ116" s="562"/>
      <c r="CR116" s="562"/>
      <c r="CS116" s="562"/>
      <c r="CT116" s="562"/>
      <c r="CU116" s="562"/>
      <c r="CV116" s="476"/>
      <c r="CW116" s="345"/>
      <c r="CX116" s="345"/>
      <c r="CY116" s="345"/>
      <c r="CZ116" s="345"/>
      <c r="DA116" s="345"/>
      <c r="DB116" s="345"/>
      <c r="DC116" s="345"/>
      <c r="DD116" s="345"/>
      <c r="DE116" s="345"/>
      <c r="DF116" s="345"/>
      <c r="DG116" s="345"/>
      <c r="DH116" s="345"/>
      <c r="DI116" s="345"/>
      <c r="DJ116" s="345"/>
      <c r="DK116" s="345"/>
      <c r="DL116" s="345"/>
      <c r="DM116" s="345"/>
      <c r="DN116" s="345"/>
      <c r="DO116" s="345"/>
      <c r="DP116" s="345"/>
      <c r="DQ116" s="345"/>
      <c r="DR116" s="345"/>
      <c r="DS116" s="345"/>
      <c r="DT116" s="345"/>
      <c r="DU116" s="345"/>
      <c r="DV116" s="345"/>
      <c r="DW116" s="345"/>
      <c r="DX116" s="345"/>
      <c r="DY116" s="345"/>
      <c r="DZ116" s="345"/>
      <c r="EA116" s="345"/>
      <c r="EB116" s="345"/>
      <c r="EC116" s="345"/>
      <c r="ED116" s="345"/>
      <c r="EE116" s="345"/>
      <c r="EF116" s="345"/>
      <c r="EG116" s="345"/>
      <c r="EH116" s="345"/>
      <c r="EI116" s="345"/>
      <c r="EJ116" s="345"/>
      <c r="EK116" s="345"/>
      <c r="EL116" s="345"/>
      <c r="EM116" s="345"/>
      <c r="EN116" s="345"/>
      <c r="EO116" s="345"/>
      <c r="EP116" s="345"/>
      <c r="EQ116" s="345"/>
      <c r="ER116" s="345"/>
      <c r="ES116" s="345"/>
      <c r="ET116" s="345"/>
      <c r="EU116" s="345"/>
      <c r="EV116" s="345"/>
      <c r="EW116" s="345"/>
      <c r="EX116" s="345"/>
      <c r="EY116" s="345"/>
      <c r="EZ116" s="345"/>
      <c r="FA116" s="345"/>
      <c r="FB116" s="345"/>
      <c r="FC116" s="345"/>
      <c r="FD116" s="345"/>
      <c r="FE116" s="345"/>
      <c r="FF116" s="345"/>
      <c r="FG116" s="345"/>
      <c r="FH116" s="345"/>
      <c r="FI116" s="345"/>
      <c r="FJ116" s="345"/>
      <c r="FK116" s="345"/>
      <c r="FL116" s="345"/>
      <c r="FM116" s="345"/>
      <c r="FN116" s="345"/>
      <c r="FO116" s="345"/>
      <c r="FP116" s="345"/>
      <c r="FQ116" s="345"/>
      <c r="FR116" s="345"/>
      <c r="FS116" s="345"/>
      <c r="FT116" s="345"/>
      <c r="FU116" s="345"/>
      <c r="FV116" s="345"/>
      <c r="FW116" s="345"/>
      <c r="FX116" s="345"/>
      <c r="FY116" s="345"/>
      <c r="FZ116" s="345"/>
      <c r="GA116" s="345"/>
      <c r="GB116" s="345"/>
      <c r="GC116" s="345"/>
      <c r="GD116" s="345"/>
      <c r="GE116" s="345"/>
      <c r="GF116" s="345"/>
      <c r="GG116" s="345"/>
      <c r="GH116" s="345"/>
      <c r="GI116" s="345"/>
      <c r="GJ116" s="345"/>
      <c r="GK116" s="345"/>
      <c r="GL116" s="345"/>
      <c r="GM116" s="345"/>
      <c r="GN116" s="345"/>
      <c r="GO116" s="345"/>
      <c r="GP116" s="345"/>
      <c r="GQ116" s="345"/>
      <c r="GR116" s="345"/>
      <c r="GS116" s="345"/>
      <c r="GT116" s="345"/>
      <c r="GU116" s="345"/>
    </row>
    <row r="117" spans="1:203" ht="12.75" customHeight="1">
      <c r="A117" s="465" t="str">
        <f t="shared" si="95"/>
        <v/>
      </c>
      <c r="B117" s="1108">
        <v>107</v>
      </c>
      <c r="C117" s="1109"/>
      <c r="D117" s="398"/>
      <c r="E117" s="1116"/>
      <c r="F117" s="465" t="str">
        <f t="shared" si="97"/>
        <v/>
      </c>
      <c r="G117" s="1108">
        <v>107</v>
      </c>
      <c r="H117" s="1109"/>
      <c r="I117" s="398"/>
      <c r="J117" s="1116"/>
      <c r="K117" s="465"/>
      <c r="L117" s="465"/>
      <c r="M117" s="465">
        <f t="shared" si="93"/>
        <v>2</v>
      </c>
      <c r="N117" s="1108">
        <v>107</v>
      </c>
      <c r="O117" s="1109">
        <v>-1</v>
      </c>
      <c r="P117" s="398">
        <v>423.6</v>
      </c>
      <c r="Q117" s="1116"/>
      <c r="R117" s="465">
        <f t="shared" si="94"/>
        <v>2</v>
      </c>
      <c r="S117" s="1108">
        <v>107</v>
      </c>
      <c r="T117" s="1109">
        <v>1</v>
      </c>
      <c r="U117" s="1110">
        <v>430.5</v>
      </c>
      <c r="V117" s="1116"/>
      <c r="W117" s="371"/>
      <c r="X117" s="494" t="str">
        <f t="shared" si="70"/>
        <v/>
      </c>
      <c r="Y117" s="495" t="str">
        <f>IF('Feuilles=description générale'!$E$13="","",IF(X117="","",IF(X117&gt;('Feuilles=description générale'!$E$11+'Feuilles=description générale'!$E$10),"",100*(X117-'Feuilles=description générale'!$E$10)/('Feuilles=description générale'!$E$11))))</f>
        <v/>
      </c>
      <c r="Z117" s="495" t="str">
        <f>IF('Feuilles=description générale'!$E$13="","",IF(X117="","",IF(X117&lt;=('Feuilles=description générale'!$E$11+'Feuilles=description générale'!$E$10),"",100*(X117-'Feuilles=description générale'!$E$11-'Feuilles=description générale'!$E$10)/('Feuilles=description générale'!$E$12))))</f>
        <v/>
      </c>
      <c r="AA117" s="1112" t="str">
        <f>IF('Feuilles=description générale'!$E$13="","",IF(X117="","",100*(X117-'Feuilles=description générale'!$E$10)/('Feuilles=description générale'!$E$13-'Feuilles=description générale'!$E$10)))</f>
        <v/>
      </c>
      <c r="AB117" s="497" t="str">
        <f t="shared" si="71"/>
        <v/>
      </c>
      <c r="AC117" s="500" t="str">
        <f t="shared" si="96"/>
        <v/>
      </c>
      <c r="AD117" s="494" t="str">
        <f t="shared" si="72"/>
        <v/>
      </c>
      <c r="AE117" s="499" t="str">
        <f t="shared" si="73"/>
        <v/>
      </c>
      <c r="AF117" s="371"/>
      <c r="AG117" s="494" t="str">
        <f t="shared" si="74"/>
        <v/>
      </c>
      <c r="AH117" s="495" t="str">
        <f>IF('Feuilles=description générale'!$E$13="","",IF(AG117="","",IF(AG117&gt;('Feuilles=description générale'!$E$11+'Feuilles=description générale'!$E$10),"",100*(AG117-'Feuilles=description générale'!$E$10)/('Feuilles=description générale'!$E$11))))</f>
        <v/>
      </c>
      <c r="AI117" s="495" t="str">
        <f>IF('Feuilles=description générale'!$E$13="","",IF(AG117="","",IF(AG117&lt;=('Feuilles=description générale'!$E$11+'Feuilles=description générale'!$E$10),"",100*(AG117-'Feuilles=description générale'!$E$11-'Feuilles=description générale'!$E$10)/('Feuilles=description générale'!$E$12))))</f>
        <v/>
      </c>
      <c r="AJ117" s="496" t="str">
        <f>IF('Feuilles=description générale'!$E$13="","",IF(AG117="","",100*(AG117-'Feuilles=description générale'!$E$10)/('Feuilles=description générale'!$E$13-'Feuilles=description générale'!$E$10)))</f>
        <v/>
      </c>
      <c r="AK117" s="1113" t="str">
        <f t="shared" si="75"/>
        <v/>
      </c>
      <c r="AL117" s="498" t="str">
        <f t="shared" si="76"/>
        <v/>
      </c>
      <c r="AM117" s="494" t="str">
        <f t="shared" si="77"/>
        <v/>
      </c>
      <c r="AN117" s="499" t="str">
        <f t="shared" si="78"/>
        <v/>
      </c>
      <c r="AO117" s="371"/>
      <c r="AP117" s="494">
        <f t="shared" si="79"/>
        <v>423.6</v>
      </c>
      <c r="AQ117" s="495" t="str">
        <f>IF('Feuilles=description générale'!$E$13="","",IF(AP117="","",IF(AP117&gt;('Feuilles=description générale'!$E$25+'Feuilles=description générale'!$E$24),"",100*(AP117-'Feuilles=description générale'!$E$24)/('Feuilles=description générale'!$E$25))))</f>
        <v/>
      </c>
      <c r="AR117" s="495">
        <f>IF('Feuilles=description générale'!$E$27="","",IF(AP117="","",IF(AP117&lt;=('Feuilles=description générale'!$E$25+'Feuilles=description générale'!$E$24),"",100*(AP117-'Feuilles=description générale'!$E$25-'Feuilles=description générale'!$E$24)/('Feuilles=description générale'!$E$26))))</f>
        <v>97.316495659037102</v>
      </c>
      <c r="AS117" s="496">
        <f>IF('Feuilles=description générale'!$E$27="","",IF(AP117="","",100*(AP117-'Feuilles=description générale'!$E$24)/('Feuilles=description générale'!$E$27-'Feuilles=description générale'!$E$24)))</f>
        <v>97.922268394035683</v>
      </c>
      <c r="AT117" s="497">
        <f t="shared" si="80"/>
        <v>2</v>
      </c>
      <c r="AU117" s="500">
        <f t="shared" si="81"/>
        <v>2</v>
      </c>
      <c r="AV117" s="494">
        <f t="shared" si="82"/>
        <v>2.8999999999999773</v>
      </c>
      <c r="AW117" s="499" t="str">
        <f t="shared" si="83"/>
        <v/>
      </c>
      <c r="AX117" s="371"/>
      <c r="AY117" s="494">
        <f t="shared" si="84"/>
        <v>430.5</v>
      </c>
      <c r="AZ117" s="495" t="str">
        <f>IF('Feuilles=description générale'!$E$13="","",IF(AY117="","",IF(AY117&gt;('Feuilles=description générale'!$E$25+'Feuilles=description générale'!$E$24),"",100*(AY117-'Feuilles=description générale'!$E$24)/('Feuilles=description générale'!$E$25))))</f>
        <v/>
      </c>
      <c r="BA117" s="495">
        <f>IF('Feuilles=description générale'!$E$27="","",IF(AY117="","",IF(AY117&lt;=('Feuilles=description générale'!$E$25+'Feuilles=description générale'!$E$24),"",100*(AY117-'Feuilles=description générale'!$E$25-'Feuilles=description générale'!$E$24)/('Feuilles=description générale'!$E$26))))</f>
        <v>99.49486977111286</v>
      </c>
      <c r="BB117" s="496">
        <f>IF('Feuilles=description générale'!$E$27="","",IF(AY117="","",100*(AY117-'Feuilles=description générale'!$E$24)/('Feuilles=description générale'!$E$27-'Feuilles=description générale'!$E$24)))</f>
        <v>99.608897580053778</v>
      </c>
      <c r="BC117" s="497">
        <f t="shared" si="85"/>
        <v>1</v>
      </c>
      <c r="BD117" s="500" t="str">
        <f t="shared" si="86"/>
        <v/>
      </c>
      <c r="BE117" s="494" t="str">
        <f t="shared" si="87"/>
        <v/>
      </c>
      <c r="BF117" s="499">
        <f t="shared" si="88"/>
        <v>1.5</v>
      </c>
      <c r="BG117" s="476"/>
      <c r="BH117" s="563"/>
      <c r="BI117" s="562"/>
      <c r="BJ117" s="562"/>
      <c r="BK117" s="562"/>
      <c r="BL117" s="562"/>
      <c r="BM117" s="562"/>
      <c r="BN117" s="562"/>
      <c r="BO117" s="562"/>
      <c r="BP117" s="562"/>
      <c r="BQ117" s="562"/>
      <c r="BR117" s="562"/>
      <c r="BS117" s="562"/>
      <c r="BT117" s="562"/>
      <c r="BU117" s="568"/>
      <c r="BV117" s="1114" t="str">
        <f t="shared" si="89"/>
        <v/>
      </c>
      <c r="BW117" s="1114" t="str">
        <f t="shared" si="89"/>
        <v/>
      </c>
      <c r="BX117" s="1114" t="str">
        <f t="shared" si="90"/>
        <v/>
      </c>
      <c r="BY117" s="1115" t="str">
        <f t="shared" si="90"/>
        <v/>
      </c>
      <c r="BZ117" s="477"/>
      <c r="CA117" s="1114">
        <f t="shared" si="91"/>
        <v>8.4099999999998687</v>
      </c>
      <c r="CB117" s="1114" t="str">
        <f t="shared" si="91"/>
        <v/>
      </c>
      <c r="CC117" s="1114" t="str">
        <f t="shared" si="92"/>
        <v/>
      </c>
      <c r="CD117" s="1115">
        <f t="shared" si="92"/>
        <v>2.25</v>
      </c>
      <c r="CE117" s="568"/>
      <c r="CF117" s="563"/>
      <c r="CG117" s="562"/>
      <c r="CH117" s="562"/>
      <c r="CI117" s="562"/>
      <c r="CJ117" s="562"/>
      <c r="CK117" s="562"/>
      <c r="CL117" s="562"/>
      <c r="CM117" s="562"/>
      <c r="CN117" s="562"/>
      <c r="CO117" s="562"/>
      <c r="CP117" s="562"/>
      <c r="CQ117" s="562"/>
      <c r="CR117" s="562"/>
      <c r="CS117" s="562"/>
      <c r="CT117" s="562"/>
      <c r="CU117" s="562"/>
      <c r="CV117" s="476"/>
      <c r="CW117" s="345"/>
      <c r="CX117" s="345"/>
      <c r="CY117" s="345"/>
      <c r="CZ117" s="345"/>
      <c r="DA117" s="345"/>
      <c r="DB117" s="345"/>
      <c r="DC117" s="345"/>
      <c r="DD117" s="345"/>
      <c r="DE117" s="345"/>
      <c r="DF117" s="345"/>
      <c r="DG117" s="345"/>
      <c r="DH117" s="345"/>
      <c r="DI117" s="345"/>
      <c r="DJ117" s="345"/>
      <c r="DK117" s="345"/>
      <c r="DL117" s="345"/>
      <c r="DM117" s="345"/>
      <c r="DN117" s="345"/>
      <c r="DO117" s="345"/>
      <c r="DP117" s="345"/>
      <c r="DQ117" s="345"/>
      <c r="DR117" s="345"/>
      <c r="DS117" s="345"/>
      <c r="DT117" s="345"/>
      <c r="DU117" s="345"/>
      <c r="DV117" s="345"/>
      <c r="DW117" s="345"/>
      <c r="DX117" s="345"/>
      <c r="DY117" s="345"/>
      <c r="DZ117" s="345"/>
      <c r="EA117" s="345"/>
      <c r="EB117" s="345"/>
      <c r="EC117" s="345"/>
      <c r="ED117" s="345"/>
      <c r="EE117" s="345"/>
      <c r="EF117" s="345"/>
      <c r="EG117" s="345"/>
      <c r="EH117" s="345"/>
      <c r="EI117" s="345"/>
      <c r="EJ117" s="345"/>
      <c r="EK117" s="345"/>
      <c r="EL117" s="345"/>
      <c r="EM117" s="345"/>
      <c r="EN117" s="345"/>
      <c r="EO117" s="345"/>
      <c r="EP117" s="345"/>
      <c r="EQ117" s="345"/>
      <c r="ER117" s="345"/>
      <c r="ES117" s="345"/>
      <c r="ET117" s="345"/>
      <c r="EU117" s="345"/>
      <c r="EV117" s="345"/>
      <c r="EW117" s="345"/>
      <c r="EX117" s="345"/>
      <c r="EY117" s="345"/>
      <c r="EZ117" s="345"/>
      <c r="FA117" s="345"/>
      <c r="FB117" s="345"/>
      <c r="FC117" s="345"/>
      <c r="FD117" s="345"/>
      <c r="FE117" s="345"/>
      <c r="FF117" s="345"/>
      <c r="FG117" s="345"/>
      <c r="FH117" s="345"/>
      <c r="FI117" s="345"/>
      <c r="FJ117" s="345"/>
      <c r="FK117" s="345"/>
      <c r="FL117" s="345"/>
      <c r="FM117" s="345"/>
      <c r="FN117" s="345"/>
      <c r="FO117" s="345"/>
      <c r="FP117" s="345"/>
      <c r="FQ117" s="345"/>
      <c r="FR117" s="345"/>
      <c r="FS117" s="345"/>
      <c r="FT117" s="345"/>
      <c r="FU117" s="345"/>
      <c r="FV117" s="345"/>
      <c r="FW117" s="345"/>
      <c r="FX117" s="345"/>
      <c r="FY117" s="345"/>
      <c r="FZ117" s="345"/>
      <c r="GA117" s="345"/>
      <c r="GB117" s="345"/>
      <c r="GC117" s="345"/>
      <c r="GD117" s="345"/>
      <c r="GE117" s="345"/>
      <c r="GF117" s="345"/>
      <c r="GG117" s="345"/>
      <c r="GH117" s="345"/>
      <c r="GI117" s="345"/>
      <c r="GJ117" s="345"/>
      <c r="GK117" s="345"/>
      <c r="GL117" s="345"/>
      <c r="GM117" s="345"/>
      <c r="GN117" s="345"/>
      <c r="GO117" s="345"/>
      <c r="GP117" s="345"/>
      <c r="GQ117" s="345"/>
      <c r="GR117" s="345"/>
      <c r="GS117" s="345"/>
      <c r="GT117" s="345"/>
      <c r="GU117" s="345"/>
    </row>
    <row r="118" spans="1:203" ht="12.75" customHeight="1">
      <c r="A118" s="465" t="str">
        <f t="shared" si="95"/>
        <v/>
      </c>
      <c r="B118" s="1108">
        <v>108</v>
      </c>
      <c r="C118" s="1109"/>
      <c r="D118" s="398"/>
      <c r="E118" s="1116"/>
      <c r="F118" s="465" t="str">
        <f t="shared" si="97"/>
        <v/>
      </c>
      <c r="G118" s="1108">
        <v>108</v>
      </c>
      <c r="H118" s="1109"/>
      <c r="I118" s="398"/>
      <c r="J118" s="1116"/>
      <c r="K118" s="465"/>
      <c r="L118" s="465"/>
      <c r="M118" s="465">
        <f t="shared" si="93"/>
        <v>2</v>
      </c>
      <c r="N118" s="1108">
        <v>108</v>
      </c>
      <c r="O118" s="1109">
        <v>0</v>
      </c>
      <c r="P118" s="398">
        <v>426.5</v>
      </c>
      <c r="Q118" s="1116"/>
      <c r="R118" s="465">
        <f t="shared" si="94"/>
        <v>2</v>
      </c>
      <c r="S118" s="1108">
        <v>108</v>
      </c>
      <c r="T118" s="1109">
        <v>-1</v>
      </c>
      <c r="U118" s="1110">
        <v>432</v>
      </c>
      <c r="V118" s="1116"/>
      <c r="W118" s="371"/>
      <c r="X118" s="494" t="str">
        <f t="shared" si="70"/>
        <v/>
      </c>
      <c r="Y118" s="495" t="str">
        <f>IF('Feuilles=description générale'!$E$13="","",IF(X118="","",IF(X118&gt;('Feuilles=description générale'!$E$11+'Feuilles=description générale'!$E$10),"",100*(X118-'Feuilles=description générale'!$E$10)/('Feuilles=description générale'!$E$11))))</f>
        <v/>
      </c>
      <c r="Z118" s="495" t="str">
        <f>IF('Feuilles=description générale'!$E$13="","",IF(X118="","",IF(X118&lt;=('Feuilles=description générale'!$E$11+'Feuilles=description générale'!$E$10),"",100*(X118-'Feuilles=description générale'!$E$11-'Feuilles=description générale'!$E$10)/('Feuilles=description générale'!$E$12))))</f>
        <v/>
      </c>
      <c r="AA118" s="1112" t="str">
        <f>IF('Feuilles=description générale'!$E$13="","",IF(X118="","",100*(X118-'Feuilles=description générale'!$E$10)/('Feuilles=description générale'!$E$13-'Feuilles=description générale'!$E$10)))</f>
        <v/>
      </c>
      <c r="AB118" s="497" t="str">
        <f t="shared" si="71"/>
        <v/>
      </c>
      <c r="AC118" s="500" t="str">
        <f t="shared" si="96"/>
        <v/>
      </c>
      <c r="AD118" s="494" t="str">
        <f t="shared" si="72"/>
        <v/>
      </c>
      <c r="AE118" s="499" t="str">
        <f t="shared" si="73"/>
        <v/>
      </c>
      <c r="AF118" s="371"/>
      <c r="AG118" s="494" t="str">
        <f t="shared" si="74"/>
        <v/>
      </c>
      <c r="AH118" s="495" t="str">
        <f>IF('Feuilles=description générale'!$E$13="","",IF(AG118="","",IF(AG118&gt;('Feuilles=description générale'!$E$11+'Feuilles=description générale'!$E$10),"",100*(AG118-'Feuilles=description générale'!$E$10)/('Feuilles=description générale'!$E$11))))</f>
        <v/>
      </c>
      <c r="AI118" s="495" t="str">
        <f>IF('Feuilles=description générale'!$E$13="","",IF(AG118="","",IF(AG118&lt;=('Feuilles=description générale'!$E$11+'Feuilles=description générale'!$E$10),"",100*(AG118-'Feuilles=description générale'!$E$11-'Feuilles=description générale'!$E$10)/('Feuilles=description générale'!$E$12))))</f>
        <v/>
      </c>
      <c r="AJ118" s="496" t="str">
        <f>IF('Feuilles=description générale'!$E$13="","",IF(AG118="","",100*(AG118-'Feuilles=description générale'!$E$10)/('Feuilles=description générale'!$E$13-'Feuilles=description générale'!$E$10)))</f>
        <v/>
      </c>
      <c r="AK118" s="1113" t="str">
        <f t="shared" si="75"/>
        <v/>
      </c>
      <c r="AL118" s="498" t="str">
        <f t="shared" si="76"/>
        <v/>
      </c>
      <c r="AM118" s="494" t="str">
        <f t="shared" si="77"/>
        <v/>
      </c>
      <c r="AN118" s="499" t="str">
        <f t="shared" si="78"/>
        <v/>
      </c>
      <c r="AO118" s="371"/>
      <c r="AP118" s="494">
        <f t="shared" si="79"/>
        <v>426.5</v>
      </c>
      <c r="AQ118" s="495" t="str">
        <f>IF('Feuilles=description générale'!$E$13="","",IF(AP118="","",IF(AP118&gt;('Feuilles=description générale'!$E$25+'Feuilles=description générale'!$E$24),"",100*(AP118-'Feuilles=description générale'!$E$24)/('Feuilles=description générale'!$E$25))))</f>
        <v/>
      </c>
      <c r="AR118" s="495">
        <f>IF('Feuilles=description générale'!$E$27="","",IF(AP118="","",IF(AP118&lt;=('Feuilles=description générale'!$E$25+'Feuilles=description générale'!$E$24),"",100*(AP118-'Feuilles=description générale'!$E$25-'Feuilles=description générale'!$E$24)/('Feuilles=description générale'!$E$26))))</f>
        <v>98.232044198895011</v>
      </c>
      <c r="AS118" s="496">
        <f>IF('Feuilles=description générale'!$E$27="","",IF(AP118="","",100*(AP118-'Feuilles=description générale'!$E$24)/('Feuilles=description générale'!$E$27-'Feuilles=description générale'!$E$24)))</f>
        <v>98.631141530188216</v>
      </c>
      <c r="AT118" s="497">
        <f t="shared" si="80"/>
        <v>1</v>
      </c>
      <c r="AU118" s="500">
        <f t="shared" si="81"/>
        <v>1</v>
      </c>
      <c r="AV118" s="494">
        <f t="shared" si="82"/>
        <v>2.8000000000000114</v>
      </c>
      <c r="AW118" s="499" t="str">
        <f t="shared" si="83"/>
        <v/>
      </c>
      <c r="AX118" s="371"/>
      <c r="AY118" s="494">
        <f t="shared" si="84"/>
        <v>432</v>
      </c>
      <c r="AZ118" s="495" t="str">
        <f>IF('Feuilles=description générale'!$E$13="","",IF(AY118="","",IF(AY118&gt;('Feuilles=description générale'!$E$25+'Feuilles=description générale'!$E$24),"",100*(AY118-'Feuilles=description générale'!$E$24)/('Feuilles=description générale'!$E$25))))</f>
        <v/>
      </c>
      <c r="BA118" s="495">
        <f>IF('Feuilles=description générale'!$E$27="","",IF(AY118="","",IF(AY118&lt;=('Feuilles=description générale'!$E$25+'Feuilles=description générale'!$E$24),"",100*(AY118-'Feuilles=description générale'!$E$25-'Feuilles=description générale'!$E$24)/('Feuilles=description générale'!$E$26))))</f>
        <v>99.968429360694543</v>
      </c>
      <c r="BB118" s="496">
        <f>IF('Feuilles=description générale'!$E$27="","",IF(AY118="","",100*(AY118-'Feuilles=description générale'!$E$24)/('Feuilles=description générale'!$E$27-'Feuilles=description générale'!$E$24)))</f>
        <v>99.975556098753358</v>
      </c>
      <c r="BC118" s="497">
        <f t="shared" si="85"/>
        <v>2</v>
      </c>
      <c r="BD118" s="500">
        <f t="shared" si="86"/>
        <v>2</v>
      </c>
      <c r="BE118" s="494" t="str">
        <f t="shared" si="87"/>
        <v/>
      </c>
      <c r="BF118" s="499" t="str">
        <f t="shared" si="88"/>
        <v/>
      </c>
      <c r="BG118" s="476"/>
      <c r="BH118" s="563"/>
      <c r="BI118" s="562"/>
      <c r="BJ118" s="562"/>
      <c r="BK118" s="562"/>
      <c r="BL118" s="562"/>
      <c r="BM118" s="562"/>
      <c r="BN118" s="562"/>
      <c r="BO118" s="562"/>
      <c r="BP118" s="562"/>
      <c r="BQ118" s="562"/>
      <c r="BR118" s="562"/>
      <c r="BS118" s="562"/>
      <c r="BT118" s="562"/>
      <c r="BU118" s="568"/>
      <c r="BV118" s="1114" t="str">
        <f t="shared" si="89"/>
        <v/>
      </c>
      <c r="BW118" s="1114" t="str">
        <f t="shared" si="89"/>
        <v/>
      </c>
      <c r="BX118" s="1114" t="str">
        <f t="shared" si="90"/>
        <v/>
      </c>
      <c r="BY118" s="1115" t="str">
        <f t="shared" si="90"/>
        <v/>
      </c>
      <c r="BZ118" s="477"/>
      <c r="CA118" s="1114">
        <f t="shared" si="91"/>
        <v>7.8400000000000638</v>
      </c>
      <c r="CB118" s="1114" t="str">
        <f t="shared" si="91"/>
        <v/>
      </c>
      <c r="CC118" s="1114" t="str">
        <f t="shared" si="92"/>
        <v/>
      </c>
      <c r="CD118" s="1115" t="str">
        <f t="shared" si="92"/>
        <v/>
      </c>
      <c r="CE118" s="568"/>
      <c r="CF118" s="563"/>
      <c r="CG118" s="562"/>
      <c r="CH118" s="562"/>
      <c r="CI118" s="562"/>
      <c r="CJ118" s="562"/>
      <c r="CK118" s="562"/>
      <c r="CL118" s="562"/>
      <c r="CM118" s="562"/>
      <c r="CN118" s="562"/>
      <c r="CO118" s="562"/>
      <c r="CP118" s="562"/>
      <c r="CQ118" s="562"/>
      <c r="CR118" s="562"/>
      <c r="CS118" s="562"/>
      <c r="CT118" s="562"/>
      <c r="CU118" s="562"/>
      <c r="CV118" s="476"/>
      <c r="CW118" s="345"/>
      <c r="CX118" s="345"/>
      <c r="CY118" s="345"/>
      <c r="CZ118" s="345"/>
      <c r="DA118" s="345"/>
      <c r="DB118" s="345"/>
      <c r="DC118" s="345"/>
      <c r="DD118" s="345"/>
      <c r="DE118" s="345"/>
      <c r="DF118" s="345"/>
      <c r="DG118" s="345"/>
      <c r="DH118" s="345"/>
      <c r="DI118" s="345"/>
      <c r="DJ118" s="345"/>
      <c r="DK118" s="345"/>
      <c r="DL118" s="345"/>
      <c r="DM118" s="345"/>
      <c r="DN118" s="345"/>
      <c r="DO118" s="345"/>
      <c r="DP118" s="345"/>
      <c r="DQ118" s="345"/>
      <c r="DR118" s="345"/>
      <c r="DS118" s="345"/>
      <c r="DT118" s="345"/>
      <c r="DU118" s="345"/>
      <c r="DV118" s="345"/>
      <c r="DW118" s="345"/>
      <c r="DX118" s="345"/>
      <c r="DY118" s="345"/>
      <c r="DZ118" s="345"/>
      <c r="EA118" s="345"/>
      <c r="EB118" s="345"/>
      <c r="EC118" s="345"/>
      <c r="ED118" s="345"/>
      <c r="EE118" s="345"/>
      <c r="EF118" s="345"/>
      <c r="EG118" s="345"/>
      <c r="EH118" s="345"/>
      <c r="EI118" s="345"/>
      <c r="EJ118" s="345"/>
      <c r="EK118" s="345"/>
      <c r="EL118" s="345"/>
      <c r="EM118" s="345"/>
      <c r="EN118" s="345"/>
      <c r="EO118" s="345"/>
      <c r="EP118" s="345"/>
      <c r="EQ118" s="345"/>
      <c r="ER118" s="345"/>
      <c r="ES118" s="345"/>
      <c r="ET118" s="345"/>
      <c r="EU118" s="345"/>
      <c r="EV118" s="345"/>
      <c r="EW118" s="345"/>
      <c r="EX118" s="345"/>
      <c r="EY118" s="345"/>
      <c r="EZ118" s="345"/>
      <c r="FA118" s="345"/>
      <c r="FB118" s="345"/>
      <c r="FC118" s="345"/>
      <c r="FD118" s="345"/>
      <c r="FE118" s="345"/>
      <c r="FF118" s="345"/>
      <c r="FG118" s="345"/>
      <c r="FH118" s="345"/>
      <c r="FI118" s="345"/>
      <c r="FJ118" s="345"/>
      <c r="FK118" s="345"/>
      <c r="FL118" s="345"/>
      <c r="FM118" s="345"/>
      <c r="FN118" s="345"/>
      <c r="FO118" s="345"/>
      <c r="FP118" s="345"/>
      <c r="FQ118" s="345"/>
      <c r="FR118" s="345"/>
      <c r="FS118" s="345"/>
      <c r="FT118" s="345"/>
      <c r="FU118" s="345"/>
      <c r="FV118" s="345"/>
      <c r="FW118" s="345"/>
      <c r="FX118" s="345"/>
      <c r="FY118" s="345"/>
      <c r="FZ118" s="345"/>
      <c r="GA118" s="345"/>
      <c r="GB118" s="345"/>
      <c r="GC118" s="345"/>
      <c r="GD118" s="345"/>
      <c r="GE118" s="345"/>
      <c r="GF118" s="345"/>
      <c r="GG118" s="345"/>
      <c r="GH118" s="345"/>
      <c r="GI118" s="345"/>
      <c r="GJ118" s="345"/>
      <c r="GK118" s="345"/>
      <c r="GL118" s="345"/>
      <c r="GM118" s="345"/>
      <c r="GN118" s="345"/>
      <c r="GO118" s="345"/>
      <c r="GP118" s="345"/>
      <c r="GQ118" s="345"/>
      <c r="GR118" s="345"/>
      <c r="GS118" s="345"/>
      <c r="GT118" s="345"/>
      <c r="GU118" s="345"/>
    </row>
    <row r="119" spans="1:203" ht="12.75" customHeight="1">
      <c r="A119" s="465" t="str">
        <f t="shared" si="95"/>
        <v/>
      </c>
      <c r="B119" s="1108">
        <v>109</v>
      </c>
      <c r="C119" s="1109"/>
      <c r="D119" s="398"/>
      <c r="E119" s="1116"/>
      <c r="F119" s="465" t="str">
        <f t="shared" si="97"/>
        <v/>
      </c>
      <c r="G119" s="1108">
        <v>109</v>
      </c>
      <c r="H119" s="1109"/>
      <c r="I119" s="398"/>
      <c r="J119" s="1116"/>
      <c r="K119" s="465"/>
      <c r="L119" s="465"/>
      <c r="M119" s="465">
        <f t="shared" si="93"/>
        <v>2</v>
      </c>
      <c r="N119" s="1108">
        <v>109</v>
      </c>
      <c r="O119" s="1109">
        <v>1</v>
      </c>
      <c r="P119" s="398">
        <v>429.3</v>
      </c>
      <c r="Q119" s="1116"/>
      <c r="R119" s="465" t="str">
        <f t="shared" si="94"/>
        <v/>
      </c>
      <c r="S119" s="1108">
        <v>109</v>
      </c>
      <c r="T119" s="1109"/>
      <c r="U119" s="1110"/>
      <c r="V119" s="1116"/>
      <c r="W119" s="371"/>
      <c r="X119" s="494" t="str">
        <f t="shared" si="70"/>
        <v/>
      </c>
      <c r="Y119" s="495" t="str">
        <f>IF('Feuilles=description générale'!$E$13="","",IF(X119="","",IF(X119&gt;('Feuilles=description générale'!$E$11+'Feuilles=description générale'!$E$10),"",100*(X119-'Feuilles=description générale'!$E$10)/('Feuilles=description générale'!$E$11))))</f>
        <v/>
      </c>
      <c r="Z119" s="495" t="str">
        <f>IF('Feuilles=description générale'!$E$13="","",IF(X119="","",IF(X119&lt;=('Feuilles=description générale'!$E$11+'Feuilles=description générale'!$E$10),"",100*(X119-'Feuilles=description générale'!$E$11-'Feuilles=description générale'!$E$10)/('Feuilles=description générale'!$E$12))))</f>
        <v/>
      </c>
      <c r="AA119" s="1112" t="str">
        <f>IF('Feuilles=description générale'!$E$13="","",IF(X119="","",100*(X119-'Feuilles=description générale'!$E$10)/('Feuilles=description générale'!$E$13-'Feuilles=description générale'!$E$10)))</f>
        <v/>
      </c>
      <c r="AB119" s="497" t="str">
        <f t="shared" si="71"/>
        <v/>
      </c>
      <c r="AC119" s="500" t="str">
        <f t="shared" si="96"/>
        <v/>
      </c>
      <c r="AD119" s="494" t="str">
        <f t="shared" si="72"/>
        <v/>
      </c>
      <c r="AE119" s="499" t="str">
        <f t="shared" si="73"/>
        <v/>
      </c>
      <c r="AF119" s="371"/>
      <c r="AG119" s="494" t="str">
        <f t="shared" si="74"/>
        <v/>
      </c>
      <c r="AH119" s="495" t="str">
        <f>IF('Feuilles=description générale'!$E$13="","",IF(AG119="","",IF(AG119&gt;('Feuilles=description générale'!$E$11+'Feuilles=description générale'!$E$10),"",100*(AG119-'Feuilles=description générale'!$E$10)/('Feuilles=description générale'!$E$11))))</f>
        <v/>
      </c>
      <c r="AI119" s="495" t="str">
        <f>IF('Feuilles=description générale'!$E$13="","",IF(AG119="","",IF(AG119&lt;=('Feuilles=description générale'!$E$11+'Feuilles=description générale'!$E$10),"",100*(AG119-'Feuilles=description générale'!$E$11-'Feuilles=description générale'!$E$10)/('Feuilles=description générale'!$E$12))))</f>
        <v/>
      </c>
      <c r="AJ119" s="496" t="str">
        <f>IF('Feuilles=description générale'!$E$13="","",IF(AG119="","",100*(AG119-'Feuilles=description générale'!$E$10)/('Feuilles=description générale'!$E$13-'Feuilles=description générale'!$E$10)))</f>
        <v/>
      </c>
      <c r="AK119" s="1113" t="str">
        <f t="shared" si="75"/>
        <v/>
      </c>
      <c r="AL119" s="498" t="str">
        <f t="shared" si="76"/>
        <v/>
      </c>
      <c r="AM119" s="494" t="str">
        <f t="shared" si="77"/>
        <v/>
      </c>
      <c r="AN119" s="499" t="str">
        <f t="shared" si="78"/>
        <v/>
      </c>
      <c r="AO119" s="371"/>
      <c r="AP119" s="494">
        <f t="shared" si="79"/>
        <v>429.3</v>
      </c>
      <c r="AQ119" s="495" t="str">
        <f>IF('Feuilles=description générale'!$E$13="","",IF(AP119="","",IF(AP119&gt;('Feuilles=description générale'!$E$25+'Feuilles=description générale'!$E$24),"",100*(AP119-'Feuilles=description générale'!$E$24)/('Feuilles=description générale'!$E$25))))</f>
        <v/>
      </c>
      <c r="AR119" s="495">
        <f>IF('Feuilles=description générale'!$E$27="","",IF(AP119="","",IF(AP119&lt;=('Feuilles=description générale'!$E$25+'Feuilles=description générale'!$E$24),"",100*(AP119-'Feuilles=description générale'!$E$25-'Feuilles=description générale'!$E$24)/('Feuilles=description générale'!$E$26))))</f>
        <v>99.11602209944752</v>
      </c>
      <c r="AS119" s="496">
        <f>IF('Feuilles=description générale'!$E$27="","",IF(AP119="","",100*(AP119-'Feuilles=description générale'!$E$24)/('Feuilles=description générale'!$E$27-'Feuilles=description générale'!$E$24)))</f>
        <v>99.315570765094108</v>
      </c>
      <c r="AT119" s="497">
        <f t="shared" si="80"/>
        <v>1</v>
      </c>
      <c r="AU119" s="500" t="str">
        <f t="shared" si="81"/>
        <v/>
      </c>
      <c r="AV119" s="494" t="str">
        <f t="shared" si="82"/>
        <v/>
      </c>
      <c r="AW119" s="499">
        <f t="shared" si="83"/>
        <v>1.6999999999999886</v>
      </c>
      <c r="AX119" s="371"/>
      <c r="AY119" s="494" t="str">
        <f t="shared" si="84"/>
        <v/>
      </c>
      <c r="AZ119" s="495" t="str">
        <f>IF('Feuilles=description générale'!$E$13="","",IF(AY119="","",IF(AY119&gt;('Feuilles=description générale'!$E$25+'Feuilles=description générale'!$E$24),"",100*(AY119-'Feuilles=description générale'!$E$24)/('Feuilles=description générale'!$E$25))))</f>
        <v/>
      </c>
      <c r="BA119" s="495" t="str">
        <f>IF('Feuilles=description générale'!$E$27="","",IF(AY119="","",IF(AY119&lt;=('Feuilles=description générale'!$E$25+'Feuilles=description générale'!$E$24),"",100*(AY119-'Feuilles=description générale'!$E$25-'Feuilles=description générale'!$E$24)/('Feuilles=description générale'!$E$26))))</f>
        <v/>
      </c>
      <c r="BB119" s="496" t="str">
        <f>IF('Feuilles=description générale'!$E$27="","",IF(AY119="","",100*(AY119-'Feuilles=description générale'!$E$24)/('Feuilles=description générale'!$E$27-'Feuilles=description générale'!$E$24)))</f>
        <v/>
      </c>
      <c r="BC119" s="497" t="str">
        <f t="shared" si="85"/>
        <v/>
      </c>
      <c r="BD119" s="500" t="str">
        <f t="shared" si="86"/>
        <v/>
      </c>
      <c r="BE119" s="494" t="str">
        <f t="shared" si="87"/>
        <v/>
      </c>
      <c r="BF119" s="499" t="str">
        <f t="shared" si="88"/>
        <v/>
      </c>
      <c r="BG119" s="476"/>
      <c r="BH119" s="563"/>
      <c r="BI119" s="562"/>
      <c r="BJ119" s="562"/>
      <c r="BK119" s="562"/>
      <c r="BL119" s="562"/>
      <c r="BM119" s="562"/>
      <c r="BN119" s="562"/>
      <c r="BO119" s="562"/>
      <c r="BP119" s="562"/>
      <c r="BQ119" s="562"/>
      <c r="BR119" s="562"/>
      <c r="BS119" s="562"/>
      <c r="BT119" s="562"/>
      <c r="BU119" s="568"/>
      <c r="BV119" s="1114" t="str">
        <f t="shared" si="89"/>
        <v/>
      </c>
      <c r="BW119" s="1114" t="str">
        <f t="shared" si="89"/>
        <v/>
      </c>
      <c r="BX119" s="1114" t="str">
        <f t="shared" si="90"/>
        <v/>
      </c>
      <c r="BY119" s="1115" t="str">
        <f t="shared" si="90"/>
        <v/>
      </c>
      <c r="BZ119" s="477"/>
      <c r="CA119" s="1114" t="str">
        <f t="shared" si="91"/>
        <v/>
      </c>
      <c r="CB119" s="1114">
        <f t="shared" si="91"/>
        <v>2.8899999999999615</v>
      </c>
      <c r="CC119" s="1114" t="str">
        <f t="shared" si="92"/>
        <v/>
      </c>
      <c r="CD119" s="1115" t="str">
        <f t="shared" si="92"/>
        <v/>
      </c>
      <c r="CE119" s="568"/>
      <c r="CF119" s="563"/>
      <c r="CG119" s="562"/>
      <c r="CH119" s="562"/>
      <c r="CI119" s="562"/>
      <c r="CJ119" s="562"/>
      <c r="CK119" s="562"/>
      <c r="CL119" s="562"/>
      <c r="CM119" s="562"/>
      <c r="CN119" s="562"/>
      <c r="CO119" s="562"/>
      <c r="CP119" s="562"/>
      <c r="CQ119" s="562"/>
      <c r="CR119" s="562"/>
      <c r="CS119" s="562"/>
      <c r="CT119" s="562"/>
      <c r="CU119" s="562"/>
      <c r="CV119" s="476"/>
      <c r="CW119" s="345"/>
      <c r="CX119" s="345"/>
      <c r="CY119" s="345"/>
      <c r="CZ119" s="345"/>
      <c r="DA119" s="345"/>
      <c r="DB119" s="345"/>
      <c r="DC119" s="345"/>
      <c r="DD119" s="345"/>
      <c r="DE119" s="345"/>
      <c r="DF119" s="345"/>
      <c r="DG119" s="345"/>
      <c r="DH119" s="345"/>
      <c r="DI119" s="345"/>
      <c r="DJ119" s="345"/>
      <c r="DK119" s="345"/>
      <c r="DL119" s="345"/>
      <c r="DM119" s="345"/>
      <c r="DN119" s="345"/>
      <c r="DO119" s="345"/>
      <c r="DP119" s="345"/>
      <c r="DQ119" s="345"/>
      <c r="DR119" s="345"/>
      <c r="DS119" s="345"/>
      <c r="DT119" s="345"/>
      <c r="DU119" s="345"/>
      <c r="DV119" s="345"/>
      <c r="DW119" s="345"/>
      <c r="DX119" s="345"/>
      <c r="DY119" s="345"/>
      <c r="DZ119" s="345"/>
      <c r="EA119" s="345"/>
      <c r="EB119" s="345"/>
      <c r="EC119" s="345"/>
      <c r="ED119" s="345"/>
      <c r="EE119" s="345"/>
      <c r="EF119" s="345"/>
      <c r="EG119" s="345"/>
      <c r="EH119" s="345"/>
      <c r="EI119" s="345"/>
      <c r="EJ119" s="345"/>
      <c r="EK119" s="345"/>
      <c r="EL119" s="345"/>
      <c r="EM119" s="345"/>
      <c r="EN119" s="345"/>
      <c r="EO119" s="345"/>
      <c r="EP119" s="345"/>
      <c r="EQ119" s="345"/>
      <c r="ER119" s="345"/>
      <c r="ES119" s="345"/>
      <c r="ET119" s="345"/>
      <c r="EU119" s="345"/>
      <c r="EV119" s="345"/>
      <c r="EW119" s="345"/>
      <c r="EX119" s="345"/>
      <c r="EY119" s="345"/>
      <c r="EZ119" s="345"/>
      <c r="FA119" s="345"/>
      <c r="FB119" s="345"/>
      <c r="FC119" s="345"/>
      <c r="FD119" s="345"/>
      <c r="FE119" s="345"/>
      <c r="FF119" s="345"/>
      <c r="FG119" s="345"/>
      <c r="FH119" s="345"/>
      <c r="FI119" s="345"/>
      <c r="FJ119" s="345"/>
      <c r="FK119" s="345"/>
      <c r="FL119" s="345"/>
      <c r="FM119" s="345"/>
      <c r="FN119" s="345"/>
      <c r="FO119" s="345"/>
      <c r="FP119" s="345"/>
      <c r="FQ119" s="345"/>
      <c r="FR119" s="345"/>
      <c r="FS119" s="345"/>
      <c r="FT119" s="345"/>
      <c r="FU119" s="345"/>
      <c r="FV119" s="345"/>
      <c r="FW119" s="345"/>
      <c r="FX119" s="345"/>
      <c r="FY119" s="345"/>
      <c r="FZ119" s="345"/>
      <c r="GA119" s="345"/>
      <c r="GB119" s="345"/>
      <c r="GC119" s="345"/>
      <c r="GD119" s="345"/>
      <c r="GE119" s="345"/>
      <c r="GF119" s="345"/>
      <c r="GG119" s="345"/>
      <c r="GH119" s="345"/>
      <c r="GI119" s="345"/>
      <c r="GJ119" s="345"/>
      <c r="GK119" s="345"/>
      <c r="GL119" s="345"/>
      <c r="GM119" s="345"/>
      <c r="GN119" s="345"/>
      <c r="GO119" s="345"/>
      <c r="GP119" s="345"/>
      <c r="GQ119" s="345"/>
      <c r="GR119" s="345"/>
      <c r="GS119" s="345"/>
      <c r="GT119" s="345"/>
      <c r="GU119" s="345"/>
    </row>
    <row r="120" spans="1:203" ht="12.75" customHeight="1">
      <c r="A120" s="465" t="str">
        <f t="shared" si="95"/>
        <v/>
      </c>
      <c r="B120" s="1108">
        <v>110</v>
      </c>
      <c r="C120" s="1109"/>
      <c r="D120" s="398"/>
      <c r="E120" s="1116"/>
      <c r="F120" s="465" t="str">
        <f t="shared" si="97"/>
        <v/>
      </c>
      <c r="G120" s="1108">
        <v>110</v>
      </c>
      <c r="H120" s="1109"/>
      <c r="I120" s="398"/>
      <c r="J120" s="1116"/>
      <c r="K120" s="465"/>
      <c r="L120" s="465"/>
      <c r="M120" s="465">
        <f t="shared" si="93"/>
        <v>2</v>
      </c>
      <c r="N120" s="1108">
        <v>110</v>
      </c>
      <c r="O120" s="1109">
        <v>0</v>
      </c>
      <c r="P120" s="398">
        <v>431</v>
      </c>
      <c r="Q120" s="1116"/>
      <c r="R120" s="465" t="str">
        <f t="shared" si="94"/>
        <v/>
      </c>
      <c r="S120" s="1108">
        <v>110</v>
      </c>
      <c r="T120" s="1109"/>
      <c r="U120" s="1110"/>
      <c r="V120" s="1116"/>
      <c r="W120" s="371"/>
      <c r="X120" s="494" t="str">
        <f t="shared" si="70"/>
        <v/>
      </c>
      <c r="Y120" s="495" t="str">
        <f>IF('Feuilles=description générale'!$E$13="","",IF(X120="","",IF(X120&gt;('Feuilles=description générale'!$E$11+'Feuilles=description générale'!$E$10),"",100*(X120-'Feuilles=description générale'!$E$10)/('Feuilles=description générale'!$E$11))))</f>
        <v/>
      </c>
      <c r="Z120" s="495" t="str">
        <f>IF('Feuilles=description générale'!$E$13="","",IF(X120="","",IF(X120&lt;=('Feuilles=description générale'!$E$11+'Feuilles=description générale'!$E$10),"",100*(X120-'Feuilles=description générale'!$E$11-'Feuilles=description générale'!$E$10)/('Feuilles=description générale'!$E$12))))</f>
        <v/>
      </c>
      <c r="AA120" s="1112" t="str">
        <f>IF('Feuilles=description générale'!$E$13="","",IF(X120="","",100*(X120-'Feuilles=description générale'!$E$10)/('Feuilles=description générale'!$E$13-'Feuilles=description générale'!$E$10)))</f>
        <v/>
      </c>
      <c r="AB120" s="497" t="str">
        <f t="shared" si="71"/>
        <v/>
      </c>
      <c r="AC120" s="500" t="str">
        <f t="shared" si="96"/>
        <v/>
      </c>
      <c r="AD120" s="494" t="str">
        <f t="shared" si="72"/>
        <v/>
      </c>
      <c r="AE120" s="499" t="str">
        <f t="shared" si="73"/>
        <v/>
      </c>
      <c r="AF120" s="371"/>
      <c r="AG120" s="494" t="str">
        <f t="shared" si="74"/>
        <v/>
      </c>
      <c r="AH120" s="495" t="str">
        <f>IF('Feuilles=description générale'!$E$13="","",IF(AG120="","",IF(AG120&gt;('Feuilles=description générale'!$E$11+'Feuilles=description générale'!$E$10),"",100*(AG120-'Feuilles=description générale'!$E$10)/('Feuilles=description générale'!$E$11))))</f>
        <v/>
      </c>
      <c r="AI120" s="495" t="str">
        <f>IF('Feuilles=description générale'!$E$13="","",IF(AG120="","",IF(AG120&lt;=('Feuilles=description générale'!$E$11+'Feuilles=description générale'!$E$10),"",100*(AG120-'Feuilles=description générale'!$E$11-'Feuilles=description générale'!$E$10)/('Feuilles=description générale'!$E$12))))</f>
        <v/>
      </c>
      <c r="AJ120" s="496" t="str">
        <f>IF('Feuilles=description générale'!$E$13="","",IF(AG120="","",100*(AG120-'Feuilles=description générale'!$E$10)/('Feuilles=description générale'!$E$13-'Feuilles=description générale'!$E$10)))</f>
        <v/>
      </c>
      <c r="AK120" s="1113" t="str">
        <f t="shared" si="75"/>
        <v/>
      </c>
      <c r="AL120" s="498" t="str">
        <f t="shared" si="76"/>
        <v/>
      </c>
      <c r="AM120" s="494" t="str">
        <f t="shared" si="77"/>
        <v/>
      </c>
      <c r="AN120" s="499" t="str">
        <f t="shared" si="78"/>
        <v/>
      </c>
      <c r="AO120" s="371"/>
      <c r="AP120" s="494">
        <f t="shared" si="79"/>
        <v>431</v>
      </c>
      <c r="AQ120" s="495" t="str">
        <f>IF('Feuilles=description générale'!$E$13="","",IF(AP120="","",IF(AP120&gt;('Feuilles=description générale'!$E$25+'Feuilles=description générale'!$E$24),"",100*(AP120-'Feuilles=description générale'!$E$24)/('Feuilles=description générale'!$E$25))))</f>
        <v/>
      </c>
      <c r="AR120" s="495">
        <f>IF('Feuilles=description générale'!$E$27="","",IF(AP120="","",IF(AP120&lt;=('Feuilles=description générale'!$E$25+'Feuilles=description générale'!$E$24),"",100*(AP120-'Feuilles=description générale'!$E$25-'Feuilles=description générale'!$E$24)/('Feuilles=description générale'!$E$26))))</f>
        <v>99.652722967640088</v>
      </c>
      <c r="AS120" s="496">
        <f>IF('Feuilles=description générale'!$E$27="","",IF(AP120="","",100*(AP120-'Feuilles=description générale'!$E$24)/('Feuilles=description générale'!$E$27-'Feuilles=description générale'!$E$24)))</f>
        <v>99.731117086286972</v>
      </c>
      <c r="AT120" s="497">
        <f t="shared" si="80"/>
        <v>2</v>
      </c>
      <c r="AU120" s="500" t="str">
        <f t="shared" si="81"/>
        <v/>
      </c>
      <c r="AV120" s="494" t="str">
        <f t="shared" si="82"/>
        <v/>
      </c>
      <c r="AW120" s="499">
        <f t="shared" si="83"/>
        <v>1</v>
      </c>
      <c r="AX120" s="371"/>
      <c r="AY120" s="494" t="str">
        <f t="shared" si="84"/>
        <v/>
      </c>
      <c r="AZ120" s="495" t="str">
        <f>IF('Feuilles=description générale'!$E$13="","",IF(AY120="","",IF(AY120&gt;('Feuilles=description générale'!$E$25+'Feuilles=description générale'!$E$24),"",100*(AY120-'Feuilles=description générale'!$E$24)/('Feuilles=description générale'!$E$25))))</f>
        <v/>
      </c>
      <c r="BA120" s="495" t="str">
        <f>IF('Feuilles=description générale'!$E$27="","",IF(AY120="","",IF(AY120&lt;=('Feuilles=description générale'!$E$25+'Feuilles=description générale'!$E$24),"",100*(AY120-'Feuilles=description générale'!$E$25-'Feuilles=description générale'!$E$24)/('Feuilles=description générale'!$E$26))))</f>
        <v/>
      </c>
      <c r="BB120" s="496" t="str">
        <f>IF('Feuilles=description générale'!$E$27="","",IF(AY120="","",100*(AY120-'Feuilles=description générale'!$E$24)/('Feuilles=description générale'!$E$27-'Feuilles=description générale'!$E$24)))</f>
        <v/>
      </c>
      <c r="BC120" s="497" t="str">
        <f t="shared" si="85"/>
        <v/>
      </c>
      <c r="BD120" s="500" t="str">
        <f t="shared" si="86"/>
        <v/>
      </c>
      <c r="BE120" s="494" t="str">
        <f t="shared" si="87"/>
        <v/>
      </c>
      <c r="BF120" s="499" t="str">
        <f t="shared" si="88"/>
        <v/>
      </c>
      <c r="BG120" s="476"/>
      <c r="BH120" s="563"/>
      <c r="BI120" s="562"/>
      <c r="BJ120" s="562"/>
      <c r="BK120" s="562"/>
      <c r="BL120" s="562"/>
      <c r="BM120" s="562"/>
      <c r="BN120" s="562"/>
      <c r="BO120" s="562"/>
      <c r="BP120" s="562"/>
      <c r="BQ120" s="562"/>
      <c r="BR120" s="562"/>
      <c r="BS120" s="562"/>
      <c r="BT120" s="562"/>
      <c r="BU120" s="568"/>
      <c r="BV120" s="1114" t="str">
        <f t="shared" si="89"/>
        <v/>
      </c>
      <c r="BW120" s="1114" t="str">
        <f t="shared" si="89"/>
        <v/>
      </c>
      <c r="BX120" s="1114" t="str">
        <f t="shared" si="90"/>
        <v/>
      </c>
      <c r="BY120" s="1115" t="str">
        <f t="shared" si="90"/>
        <v/>
      </c>
      <c r="BZ120" s="477"/>
      <c r="CA120" s="1114" t="str">
        <f t="shared" si="91"/>
        <v/>
      </c>
      <c r="CB120" s="1114">
        <f t="shared" si="91"/>
        <v>1</v>
      </c>
      <c r="CC120" s="1114" t="str">
        <f t="shared" si="92"/>
        <v/>
      </c>
      <c r="CD120" s="1115" t="str">
        <f t="shared" si="92"/>
        <v/>
      </c>
      <c r="CE120" s="568"/>
      <c r="CF120" s="563"/>
      <c r="CG120" s="562"/>
      <c r="CH120" s="562"/>
      <c r="CI120" s="562"/>
      <c r="CJ120" s="562"/>
      <c r="CK120" s="562"/>
      <c r="CL120" s="562"/>
      <c r="CM120" s="562"/>
      <c r="CN120" s="562"/>
      <c r="CO120" s="562"/>
      <c r="CP120" s="562"/>
      <c r="CQ120" s="562"/>
      <c r="CR120" s="562"/>
      <c r="CS120" s="562"/>
      <c r="CT120" s="562"/>
      <c r="CU120" s="562"/>
      <c r="CV120" s="476"/>
      <c r="CW120" s="345"/>
      <c r="CX120" s="345"/>
      <c r="CY120" s="345"/>
      <c r="CZ120" s="345"/>
      <c r="DA120" s="345"/>
      <c r="DB120" s="345"/>
      <c r="DC120" s="345"/>
      <c r="DD120" s="345"/>
      <c r="DE120" s="345"/>
      <c r="DF120" s="345"/>
      <c r="DG120" s="345"/>
      <c r="DH120" s="345"/>
      <c r="DI120" s="345"/>
      <c r="DJ120" s="345"/>
      <c r="DK120" s="345"/>
      <c r="DL120" s="345"/>
      <c r="DM120" s="345"/>
      <c r="DN120" s="345"/>
      <c r="DO120" s="345"/>
      <c r="DP120" s="345"/>
      <c r="DQ120" s="345"/>
      <c r="DR120" s="345"/>
      <c r="DS120" s="345"/>
      <c r="DT120" s="345"/>
      <c r="DU120" s="345"/>
      <c r="DV120" s="345"/>
      <c r="DW120" s="345"/>
      <c r="DX120" s="345"/>
      <c r="DY120" s="345"/>
      <c r="DZ120" s="345"/>
      <c r="EA120" s="345"/>
      <c r="EB120" s="345"/>
      <c r="EC120" s="345"/>
      <c r="ED120" s="345"/>
      <c r="EE120" s="345"/>
      <c r="EF120" s="345"/>
      <c r="EG120" s="345"/>
      <c r="EH120" s="345"/>
      <c r="EI120" s="345"/>
      <c r="EJ120" s="345"/>
      <c r="EK120" s="345"/>
      <c r="EL120" s="345"/>
      <c r="EM120" s="345"/>
      <c r="EN120" s="345"/>
      <c r="EO120" s="345"/>
      <c r="EP120" s="345"/>
      <c r="EQ120" s="345"/>
      <c r="ER120" s="345"/>
      <c r="ES120" s="345"/>
      <c r="ET120" s="345"/>
      <c r="EU120" s="345"/>
      <c r="EV120" s="345"/>
      <c r="EW120" s="345"/>
      <c r="EX120" s="345"/>
      <c r="EY120" s="345"/>
      <c r="EZ120" s="345"/>
      <c r="FA120" s="345"/>
      <c r="FB120" s="345"/>
      <c r="FC120" s="345"/>
      <c r="FD120" s="345"/>
      <c r="FE120" s="345"/>
      <c r="FF120" s="345"/>
      <c r="FG120" s="345"/>
      <c r="FH120" s="345"/>
      <c r="FI120" s="345"/>
      <c r="FJ120" s="345"/>
      <c r="FK120" s="345"/>
      <c r="FL120" s="345"/>
      <c r="FM120" s="345"/>
      <c r="FN120" s="345"/>
      <c r="FO120" s="345"/>
      <c r="FP120" s="345"/>
      <c r="FQ120" s="345"/>
      <c r="FR120" s="345"/>
      <c r="FS120" s="345"/>
      <c r="FT120" s="345"/>
      <c r="FU120" s="345"/>
      <c r="FV120" s="345"/>
      <c r="FW120" s="345"/>
      <c r="FX120" s="345"/>
      <c r="FY120" s="345"/>
      <c r="FZ120" s="345"/>
      <c r="GA120" s="345"/>
      <c r="GB120" s="345"/>
      <c r="GC120" s="345"/>
      <c r="GD120" s="345"/>
      <c r="GE120" s="345"/>
      <c r="GF120" s="345"/>
      <c r="GG120" s="345"/>
      <c r="GH120" s="345"/>
      <c r="GI120" s="345"/>
      <c r="GJ120" s="345"/>
      <c r="GK120" s="345"/>
      <c r="GL120" s="345"/>
      <c r="GM120" s="345"/>
      <c r="GN120" s="345"/>
      <c r="GO120" s="345"/>
      <c r="GP120" s="345"/>
      <c r="GQ120" s="345"/>
      <c r="GR120" s="345"/>
      <c r="GS120" s="345"/>
      <c r="GT120" s="345"/>
      <c r="GU120" s="345"/>
    </row>
    <row r="121" spans="1:203" ht="12.75" customHeight="1">
      <c r="A121" s="465" t="str">
        <f t="shared" si="95"/>
        <v/>
      </c>
      <c r="B121" s="1108">
        <v>111</v>
      </c>
      <c r="C121" s="1109"/>
      <c r="D121" s="398"/>
      <c r="E121" s="1116"/>
      <c r="F121" s="465" t="str">
        <f t="shared" si="97"/>
        <v/>
      </c>
      <c r="G121" s="1108">
        <v>111</v>
      </c>
      <c r="H121" s="1109"/>
      <c r="I121" s="398"/>
      <c r="J121" s="1116"/>
      <c r="K121" s="465"/>
      <c r="L121" s="465"/>
      <c r="M121" s="465">
        <f t="shared" si="93"/>
        <v>2</v>
      </c>
      <c r="N121" s="1108">
        <v>111</v>
      </c>
      <c r="O121" s="1109">
        <v>-1</v>
      </c>
      <c r="P121" s="398">
        <v>432</v>
      </c>
      <c r="Q121" s="1116"/>
      <c r="R121" s="465" t="str">
        <f t="shared" si="94"/>
        <v/>
      </c>
      <c r="S121" s="1108">
        <v>111</v>
      </c>
      <c r="T121" s="1109"/>
      <c r="U121" s="1110"/>
      <c r="V121" s="1116"/>
      <c r="W121" s="371"/>
      <c r="X121" s="494" t="str">
        <f t="shared" si="70"/>
        <v/>
      </c>
      <c r="Y121" s="495" t="str">
        <f>IF('Feuilles=description générale'!$E$13="","",IF(X121="","",IF(X121&gt;('Feuilles=description générale'!$E$11+'Feuilles=description générale'!$E$10),"",100*(X121-'Feuilles=description générale'!$E$10)/('Feuilles=description générale'!$E$11))))</f>
        <v/>
      </c>
      <c r="Z121" s="495" t="str">
        <f>IF('Feuilles=description générale'!$E$13="","",IF(X121="","",IF(X121&lt;=('Feuilles=description générale'!$E$11+'Feuilles=description générale'!$E$10),"",100*(X121-'Feuilles=description générale'!$E$11-'Feuilles=description générale'!$E$10)/('Feuilles=description générale'!$E$12))))</f>
        <v/>
      </c>
      <c r="AA121" s="1112" t="str">
        <f>IF('Feuilles=description générale'!$E$13="","",IF(X121="","",100*(X121-'Feuilles=description générale'!$E$10)/('Feuilles=description générale'!$E$13-'Feuilles=description générale'!$E$10)))</f>
        <v/>
      </c>
      <c r="AB121" s="497" t="str">
        <f t="shared" si="71"/>
        <v/>
      </c>
      <c r="AC121" s="500" t="str">
        <f t="shared" si="96"/>
        <v/>
      </c>
      <c r="AD121" s="494" t="str">
        <f t="shared" si="72"/>
        <v/>
      </c>
      <c r="AE121" s="499" t="str">
        <f t="shared" si="73"/>
        <v/>
      </c>
      <c r="AF121" s="371"/>
      <c r="AG121" s="494" t="str">
        <f t="shared" si="74"/>
        <v/>
      </c>
      <c r="AH121" s="495" t="str">
        <f>IF('Feuilles=description générale'!$E$13="","",IF(AG121="","",IF(AG121&gt;('Feuilles=description générale'!$E$11+'Feuilles=description générale'!$E$10),"",100*(AG121-'Feuilles=description générale'!$E$10)/('Feuilles=description générale'!$E$11))))</f>
        <v/>
      </c>
      <c r="AI121" s="495" t="str">
        <f>IF('Feuilles=description générale'!$E$13="","",IF(AG121="","",IF(AG121&lt;=('Feuilles=description générale'!$E$11+'Feuilles=description générale'!$E$10),"",100*(AG121-'Feuilles=description générale'!$E$11-'Feuilles=description générale'!$E$10)/('Feuilles=description générale'!$E$12))))</f>
        <v/>
      </c>
      <c r="AJ121" s="496" t="str">
        <f>IF('Feuilles=description générale'!$E$13="","",IF(AG121="","",100*(AG121-'Feuilles=description générale'!$E$10)/('Feuilles=description générale'!$E$13-'Feuilles=description générale'!$E$10)))</f>
        <v/>
      </c>
      <c r="AK121" s="1113" t="str">
        <f t="shared" si="75"/>
        <v/>
      </c>
      <c r="AL121" s="498" t="str">
        <f t="shared" si="76"/>
        <v/>
      </c>
      <c r="AM121" s="494" t="str">
        <f t="shared" si="77"/>
        <v/>
      </c>
      <c r="AN121" s="499" t="str">
        <f t="shared" si="78"/>
        <v/>
      </c>
      <c r="AO121" s="371"/>
      <c r="AP121" s="494">
        <f t="shared" si="79"/>
        <v>432</v>
      </c>
      <c r="AQ121" s="495" t="str">
        <f>IF('Feuilles=description générale'!$E$13="","",IF(AP121="","",IF(AP121&gt;('Feuilles=description générale'!$E$25+'Feuilles=description générale'!$E$24),"",100*(AP121-'Feuilles=description générale'!$E$24)/('Feuilles=description générale'!$E$25))))</f>
        <v/>
      </c>
      <c r="AR121" s="495">
        <f>IF('Feuilles=description générale'!$E$27="","",IF(AP121="","",IF(AP121&lt;=('Feuilles=description générale'!$E$25+'Feuilles=description générale'!$E$24),"",100*(AP121-'Feuilles=description générale'!$E$25-'Feuilles=description générale'!$E$24)/('Feuilles=description générale'!$E$26))))</f>
        <v>99.968429360694543</v>
      </c>
      <c r="AS121" s="496">
        <f>IF('Feuilles=description générale'!$E$27="","",IF(AP121="","",100*(AP121-'Feuilles=description générale'!$E$24)/('Feuilles=description générale'!$E$27-'Feuilles=description générale'!$E$24)))</f>
        <v>99.975556098753358</v>
      </c>
      <c r="AT121" s="497">
        <f t="shared" si="80"/>
        <v>3</v>
      </c>
      <c r="AU121" s="500">
        <f t="shared" si="81"/>
        <v>3</v>
      </c>
      <c r="AV121" s="494">
        <f t="shared" si="82"/>
        <v>0.10000000000002274</v>
      </c>
      <c r="AW121" s="499" t="str">
        <f t="shared" si="83"/>
        <v/>
      </c>
      <c r="AX121" s="371"/>
      <c r="AY121" s="494" t="str">
        <f t="shared" si="84"/>
        <v/>
      </c>
      <c r="AZ121" s="495" t="str">
        <f>IF('Feuilles=description générale'!$E$13="","",IF(AY121="","",IF(AY121&gt;('Feuilles=description générale'!$E$25+'Feuilles=description générale'!$E$24),"",100*(AY121-'Feuilles=description générale'!$E$24)/('Feuilles=description générale'!$E$25))))</f>
        <v/>
      </c>
      <c r="BA121" s="495" t="str">
        <f>IF('Feuilles=description générale'!$E$27="","",IF(AY121="","",IF(AY121&lt;=('Feuilles=description générale'!$E$25+'Feuilles=description générale'!$E$24),"",100*(AY121-'Feuilles=description générale'!$E$25-'Feuilles=description générale'!$E$24)/('Feuilles=description générale'!$E$26))))</f>
        <v/>
      </c>
      <c r="BB121" s="496" t="str">
        <f>IF('Feuilles=description générale'!$E$27="","",IF(AY121="","",100*(AY121-'Feuilles=description générale'!$E$24)/('Feuilles=description générale'!$E$27-'Feuilles=description générale'!$E$24)))</f>
        <v/>
      </c>
      <c r="BC121" s="497" t="str">
        <f t="shared" si="85"/>
        <v/>
      </c>
      <c r="BD121" s="500" t="str">
        <f t="shared" si="86"/>
        <v/>
      </c>
      <c r="BE121" s="494" t="str">
        <f t="shared" si="87"/>
        <v/>
      </c>
      <c r="BF121" s="499" t="str">
        <f t="shared" si="88"/>
        <v/>
      </c>
      <c r="BG121" s="476"/>
      <c r="BH121" s="563"/>
      <c r="BI121" s="562"/>
      <c r="BJ121" s="562"/>
      <c r="BK121" s="562"/>
      <c r="BL121" s="562"/>
      <c r="BM121" s="562"/>
      <c r="BN121" s="562"/>
      <c r="BO121" s="562"/>
      <c r="BP121" s="562"/>
      <c r="BQ121" s="562"/>
      <c r="BR121" s="562"/>
      <c r="BS121" s="562"/>
      <c r="BT121" s="562"/>
      <c r="BU121" s="568"/>
      <c r="BV121" s="1114" t="str">
        <f t="shared" si="89"/>
        <v/>
      </c>
      <c r="BW121" s="1114" t="str">
        <f t="shared" si="89"/>
        <v/>
      </c>
      <c r="BX121" s="1114" t="str">
        <f t="shared" si="90"/>
        <v/>
      </c>
      <c r="BY121" s="1115" t="str">
        <f t="shared" si="90"/>
        <v/>
      </c>
      <c r="BZ121" s="477"/>
      <c r="CA121" s="1114">
        <f t="shared" si="91"/>
        <v>1.0000000000004547E-2</v>
      </c>
      <c r="CB121" s="1114" t="str">
        <f t="shared" si="91"/>
        <v/>
      </c>
      <c r="CC121" s="1114" t="str">
        <f t="shared" si="92"/>
        <v/>
      </c>
      <c r="CD121" s="1115" t="str">
        <f t="shared" si="92"/>
        <v/>
      </c>
      <c r="CE121" s="568"/>
      <c r="CF121" s="563"/>
      <c r="CG121" s="562"/>
      <c r="CH121" s="562"/>
      <c r="CI121" s="562"/>
      <c r="CJ121" s="562"/>
      <c r="CK121" s="562"/>
      <c r="CL121" s="562"/>
      <c r="CM121" s="562"/>
      <c r="CN121" s="562"/>
      <c r="CO121" s="562"/>
      <c r="CP121" s="562"/>
      <c r="CQ121" s="562"/>
      <c r="CR121" s="562"/>
      <c r="CS121" s="562"/>
      <c r="CT121" s="562"/>
      <c r="CU121" s="562"/>
      <c r="CV121" s="476"/>
      <c r="CW121" s="345"/>
      <c r="CX121" s="345"/>
      <c r="CY121" s="345"/>
      <c r="CZ121" s="345"/>
      <c r="DA121" s="345"/>
      <c r="DB121" s="345"/>
      <c r="DC121" s="345"/>
      <c r="DD121" s="345"/>
      <c r="DE121" s="345"/>
      <c r="DF121" s="345"/>
      <c r="DG121" s="345"/>
      <c r="DH121" s="345"/>
      <c r="DI121" s="345"/>
      <c r="DJ121" s="345"/>
      <c r="DK121" s="345"/>
      <c r="DL121" s="345"/>
      <c r="DM121" s="345"/>
      <c r="DN121" s="345"/>
      <c r="DO121" s="345"/>
      <c r="DP121" s="345"/>
      <c r="DQ121" s="345"/>
      <c r="DR121" s="345"/>
      <c r="DS121" s="345"/>
      <c r="DT121" s="345"/>
      <c r="DU121" s="345"/>
      <c r="DV121" s="345"/>
      <c r="DW121" s="345"/>
      <c r="DX121" s="345"/>
      <c r="DY121" s="345"/>
      <c r="DZ121" s="345"/>
      <c r="EA121" s="345"/>
      <c r="EB121" s="345"/>
      <c r="EC121" s="345"/>
      <c r="ED121" s="345"/>
      <c r="EE121" s="345"/>
      <c r="EF121" s="345"/>
      <c r="EG121" s="345"/>
      <c r="EH121" s="345"/>
      <c r="EI121" s="345"/>
      <c r="EJ121" s="345"/>
      <c r="EK121" s="345"/>
      <c r="EL121" s="345"/>
      <c r="EM121" s="345"/>
      <c r="EN121" s="345"/>
      <c r="EO121" s="345"/>
      <c r="EP121" s="345"/>
      <c r="EQ121" s="345"/>
      <c r="ER121" s="345"/>
      <c r="ES121" s="345"/>
      <c r="ET121" s="345"/>
      <c r="EU121" s="345"/>
      <c r="EV121" s="345"/>
      <c r="EW121" s="345"/>
      <c r="EX121" s="345"/>
      <c r="EY121" s="345"/>
      <c r="EZ121" s="345"/>
      <c r="FA121" s="345"/>
      <c r="FB121" s="345"/>
      <c r="FC121" s="345"/>
      <c r="FD121" s="345"/>
      <c r="FE121" s="345"/>
      <c r="FF121" s="345"/>
      <c r="FG121" s="345"/>
      <c r="FH121" s="345"/>
      <c r="FI121" s="345"/>
      <c r="FJ121" s="345"/>
      <c r="FK121" s="345"/>
      <c r="FL121" s="345"/>
      <c r="FM121" s="345"/>
      <c r="FN121" s="345"/>
      <c r="FO121" s="345"/>
      <c r="FP121" s="345"/>
      <c r="FQ121" s="345"/>
      <c r="FR121" s="345"/>
      <c r="FS121" s="345"/>
      <c r="FT121" s="345"/>
      <c r="FU121" s="345"/>
      <c r="FV121" s="345"/>
      <c r="FW121" s="345"/>
      <c r="FX121" s="345"/>
      <c r="FY121" s="345"/>
      <c r="FZ121" s="345"/>
      <c r="GA121" s="345"/>
      <c r="GB121" s="345"/>
      <c r="GC121" s="345"/>
      <c r="GD121" s="345"/>
      <c r="GE121" s="345"/>
      <c r="GF121" s="345"/>
      <c r="GG121" s="345"/>
      <c r="GH121" s="345"/>
      <c r="GI121" s="345"/>
      <c r="GJ121" s="345"/>
      <c r="GK121" s="345"/>
      <c r="GL121" s="345"/>
      <c r="GM121" s="345"/>
      <c r="GN121" s="345"/>
      <c r="GO121" s="345"/>
      <c r="GP121" s="345"/>
      <c r="GQ121" s="345"/>
      <c r="GR121" s="345"/>
      <c r="GS121" s="345"/>
      <c r="GT121" s="345"/>
      <c r="GU121" s="345"/>
    </row>
    <row r="122" spans="1:203" ht="12.75" customHeight="1">
      <c r="A122" s="465" t="str">
        <f t="shared" si="95"/>
        <v/>
      </c>
      <c r="B122" s="1108">
        <v>112</v>
      </c>
      <c r="C122" s="1109"/>
      <c r="D122" s="398"/>
      <c r="E122" s="1116"/>
      <c r="F122" s="465" t="str">
        <f t="shared" si="97"/>
        <v/>
      </c>
      <c r="G122" s="1108">
        <v>112</v>
      </c>
      <c r="H122" s="1109"/>
      <c r="I122" s="398"/>
      <c r="J122" s="1116"/>
      <c r="K122" s="465"/>
      <c r="L122" s="465"/>
      <c r="M122" s="465">
        <f t="shared" si="93"/>
        <v>3</v>
      </c>
      <c r="N122" s="1108">
        <v>112</v>
      </c>
      <c r="O122" s="1109" t="s">
        <v>1378</v>
      </c>
      <c r="P122" s="398">
        <v>432.1</v>
      </c>
      <c r="Q122" s="1116"/>
      <c r="R122" s="465" t="str">
        <f t="shared" si="94"/>
        <v/>
      </c>
      <c r="S122" s="1108">
        <v>112</v>
      </c>
      <c r="T122" s="1109"/>
      <c r="U122" s="1110"/>
      <c r="V122" s="1116"/>
      <c r="W122" s="371"/>
      <c r="X122" s="494" t="str">
        <f t="shared" si="70"/>
        <v/>
      </c>
      <c r="Y122" s="495" t="str">
        <f>IF('Feuilles=description générale'!$E$13="","",IF(X122="","",IF(X122&gt;('Feuilles=description générale'!$E$11+'Feuilles=description générale'!$E$10),"",100*(X122-'Feuilles=description générale'!$E$10)/('Feuilles=description générale'!$E$11))))</f>
        <v/>
      </c>
      <c r="Z122" s="495" t="str">
        <f>IF('Feuilles=description générale'!$E$13="","",IF(X122="","",IF(X122&lt;=('Feuilles=description générale'!$E$11+'Feuilles=description générale'!$E$10),"",100*(X122-'Feuilles=description générale'!$E$11-'Feuilles=description générale'!$E$10)/('Feuilles=description générale'!$E$12))))</f>
        <v/>
      </c>
      <c r="AA122" s="1112" t="str">
        <f>IF('Feuilles=description générale'!$E$13="","",IF(X122="","",100*(X122-'Feuilles=description générale'!$E$10)/('Feuilles=description générale'!$E$13-'Feuilles=description générale'!$E$10)))</f>
        <v/>
      </c>
      <c r="AB122" s="497" t="str">
        <f t="shared" si="71"/>
        <v/>
      </c>
      <c r="AC122" s="500" t="str">
        <f t="shared" si="96"/>
        <v/>
      </c>
      <c r="AD122" s="494" t="str">
        <f t="shared" si="72"/>
        <v/>
      </c>
      <c r="AE122" s="499" t="str">
        <f t="shared" si="73"/>
        <v/>
      </c>
      <c r="AF122" s="371"/>
      <c r="AG122" s="494" t="str">
        <f t="shared" si="74"/>
        <v/>
      </c>
      <c r="AH122" s="495" t="str">
        <f>IF('Feuilles=description générale'!$E$13="","",IF(AG122="","",IF(AG122&gt;('Feuilles=description générale'!$E$11+'Feuilles=description générale'!$E$10),"",100*(AG122-'Feuilles=description générale'!$E$10)/('Feuilles=description générale'!$E$11))))</f>
        <v/>
      </c>
      <c r="AI122" s="495" t="str">
        <f>IF('Feuilles=description générale'!$E$13="","",IF(AG122="","",IF(AG122&lt;=('Feuilles=description générale'!$E$11+'Feuilles=description générale'!$E$10),"",100*(AG122-'Feuilles=description générale'!$E$11-'Feuilles=description générale'!$E$10)/('Feuilles=description générale'!$E$12))))</f>
        <v/>
      </c>
      <c r="AJ122" s="496" t="str">
        <f>IF('Feuilles=description générale'!$E$13="","",IF(AG122="","",100*(AG122-'Feuilles=description générale'!$E$10)/('Feuilles=description générale'!$E$13-'Feuilles=description générale'!$E$10)))</f>
        <v/>
      </c>
      <c r="AK122" s="1113" t="str">
        <f t="shared" si="75"/>
        <v/>
      </c>
      <c r="AL122" s="498" t="str">
        <f t="shared" si="76"/>
        <v/>
      </c>
      <c r="AM122" s="494" t="str">
        <f t="shared" si="77"/>
        <v/>
      </c>
      <c r="AN122" s="499" t="str">
        <f t="shared" si="78"/>
        <v/>
      </c>
      <c r="AO122" s="371"/>
      <c r="AP122" s="494">
        <f t="shared" si="79"/>
        <v>432.1</v>
      </c>
      <c r="AQ122" s="495" t="str">
        <f>IF('Feuilles=description générale'!$E$13="","",IF(AP122="","",IF(AP122&gt;('Feuilles=description générale'!$E$25+'Feuilles=description générale'!$E$24),"",100*(AP122-'Feuilles=description générale'!$E$24)/('Feuilles=description générale'!$E$25))))</f>
        <v/>
      </c>
      <c r="AR122" s="495">
        <f>IF('Feuilles=description générale'!$E$27="","",IF(AP122="","",IF(AP122&lt;=('Feuilles=description générale'!$E$25+'Feuilles=description générale'!$E$24),"",100*(AP122-'Feuilles=description générale'!$E$25-'Feuilles=description générale'!$E$24)/('Feuilles=description générale'!$E$26))))</f>
        <v>100</v>
      </c>
      <c r="AS122" s="496">
        <f>IF('Feuilles=description générale'!$E$27="","",IF(AP122="","",100*(AP122-'Feuilles=description générale'!$E$24)/('Feuilles=description générale'!$E$27-'Feuilles=description générale'!$E$24)))</f>
        <v>100</v>
      </c>
      <c r="AT122" s="497">
        <f t="shared" si="80"/>
        <v>1</v>
      </c>
      <c r="AU122" s="500">
        <f t="shared" si="81"/>
        <v>1</v>
      </c>
      <c r="AV122" s="494" t="str">
        <f t="shared" si="82"/>
        <v/>
      </c>
      <c r="AW122" s="499" t="str">
        <f t="shared" si="83"/>
        <v/>
      </c>
      <c r="AX122" s="371"/>
      <c r="AY122" s="494" t="str">
        <f t="shared" si="84"/>
        <v/>
      </c>
      <c r="AZ122" s="495" t="str">
        <f>IF('Feuilles=description générale'!$E$13="","",IF(AY122="","",IF(AY122&gt;('Feuilles=description générale'!$E$25+'Feuilles=description générale'!$E$24),"",100*(AY122-'Feuilles=description générale'!$E$24)/('Feuilles=description générale'!$E$25))))</f>
        <v/>
      </c>
      <c r="BA122" s="495" t="str">
        <f>IF('Feuilles=description générale'!$E$27="","",IF(AY122="","",IF(AY122&lt;=('Feuilles=description générale'!$E$25+'Feuilles=description générale'!$E$24),"",100*(AY122-'Feuilles=description générale'!$E$25-'Feuilles=description générale'!$E$24)/('Feuilles=description générale'!$E$26))))</f>
        <v/>
      </c>
      <c r="BB122" s="496" t="str">
        <f>IF('Feuilles=description générale'!$E$27="","",IF(AY122="","",100*(AY122-'Feuilles=description générale'!$E$24)/('Feuilles=description générale'!$E$27-'Feuilles=description générale'!$E$24)))</f>
        <v/>
      </c>
      <c r="BC122" s="497" t="str">
        <f t="shared" si="85"/>
        <v/>
      </c>
      <c r="BD122" s="500" t="str">
        <f t="shared" si="86"/>
        <v/>
      </c>
      <c r="BE122" s="494" t="str">
        <f t="shared" si="87"/>
        <v/>
      </c>
      <c r="BF122" s="499" t="str">
        <f t="shared" si="88"/>
        <v/>
      </c>
      <c r="BG122" s="476"/>
      <c r="BH122" s="563"/>
      <c r="BI122" s="562"/>
      <c r="BJ122" s="562"/>
      <c r="BK122" s="562"/>
      <c r="BL122" s="562"/>
      <c r="BM122" s="562"/>
      <c r="BN122" s="562"/>
      <c r="BO122" s="562"/>
      <c r="BP122" s="562"/>
      <c r="BQ122" s="562"/>
      <c r="BR122" s="562"/>
      <c r="BS122" s="562"/>
      <c r="BT122" s="562"/>
      <c r="BU122" s="568"/>
      <c r="BV122" s="1114" t="str">
        <f t="shared" si="89"/>
        <v/>
      </c>
      <c r="BW122" s="1114" t="str">
        <f t="shared" si="89"/>
        <v/>
      </c>
      <c r="BX122" s="1114" t="str">
        <f t="shared" si="90"/>
        <v/>
      </c>
      <c r="BY122" s="1115" t="str">
        <f t="shared" si="90"/>
        <v/>
      </c>
      <c r="BZ122" s="477"/>
      <c r="CA122" s="1114" t="str">
        <f t="shared" si="91"/>
        <v/>
      </c>
      <c r="CB122" s="1114" t="str">
        <f t="shared" si="91"/>
        <v/>
      </c>
      <c r="CC122" s="1114" t="str">
        <f t="shared" si="92"/>
        <v/>
      </c>
      <c r="CD122" s="1115" t="str">
        <f t="shared" si="92"/>
        <v/>
      </c>
      <c r="CE122" s="568"/>
      <c r="CF122" s="563"/>
      <c r="CG122" s="562"/>
      <c r="CH122" s="562"/>
      <c r="CI122" s="562"/>
      <c r="CJ122" s="562"/>
      <c r="CK122" s="562"/>
      <c r="CL122" s="562"/>
      <c r="CM122" s="562"/>
      <c r="CN122" s="562"/>
      <c r="CO122" s="562"/>
      <c r="CP122" s="562"/>
      <c r="CQ122" s="562"/>
      <c r="CR122" s="562"/>
      <c r="CS122" s="562"/>
      <c r="CT122" s="562"/>
      <c r="CU122" s="562"/>
      <c r="CV122" s="476"/>
      <c r="CW122" s="345"/>
      <c r="CX122" s="345"/>
      <c r="CY122" s="345"/>
      <c r="CZ122" s="345"/>
      <c r="DA122" s="345"/>
      <c r="DB122" s="345"/>
      <c r="DC122" s="345"/>
      <c r="DD122" s="345"/>
      <c r="DE122" s="345"/>
      <c r="DF122" s="345"/>
      <c r="DG122" s="345"/>
      <c r="DH122" s="345"/>
      <c r="DI122" s="345"/>
      <c r="DJ122" s="345"/>
      <c r="DK122" s="345"/>
      <c r="DL122" s="345"/>
      <c r="DM122" s="345"/>
      <c r="DN122" s="345"/>
      <c r="DO122" s="345"/>
      <c r="DP122" s="345"/>
      <c r="DQ122" s="345"/>
      <c r="DR122" s="345"/>
      <c r="DS122" s="345"/>
      <c r="DT122" s="345"/>
      <c r="DU122" s="345"/>
      <c r="DV122" s="345"/>
      <c r="DW122" s="345"/>
      <c r="DX122" s="345"/>
      <c r="DY122" s="345"/>
      <c r="DZ122" s="345"/>
      <c r="EA122" s="345"/>
      <c r="EB122" s="345"/>
      <c r="EC122" s="345"/>
      <c r="ED122" s="345"/>
      <c r="EE122" s="345"/>
      <c r="EF122" s="345"/>
      <c r="EG122" s="345"/>
      <c r="EH122" s="345"/>
      <c r="EI122" s="345"/>
      <c r="EJ122" s="345"/>
      <c r="EK122" s="345"/>
      <c r="EL122" s="345"/>
      <c r="EM122" s="345"/>
      <c r="EN122" s="345"/>
      <c r="EO122" s="345"/>
      <c r="EP122" s="345"/>
      <c r="EQ122" s="345"/>
      <c r="ER122" s="345"/>
      <c r="ES122" s="345"/>
      <c r="ET122" s="345"/>
      <c r="EU122" s="345"/>
      <c r="EV122" s="345"/>
      <c r="EW122" s="345"/>
      <c r="EX122" s="345"/>
      <c r="EY122" s="345"/>
      <c r="EZ122" s="345"/>
      <c r="FA122" s="345"/>
      <c r="FB122" s="345"/>
      <c r="FC122" s="345"/>
      <c r="FD122" s="345"/>
      <c r="FE122" s="345"/>
      <c r="FF122" s="345"/>
      <c r="FG122" s="345"/>
      <c r="FH122" s="345"/>
      <c r="FI122" s="345"/>
      <c r="FJ122" s="345"/>
      <c r="FK122" s="345"/>
      <c r="FL122" s="345"/>
      <c r="FM122" s="345"/>
      <c r="FN122" s="345"/>
      <c r="FO122" s="345"/>
      <c r="FP122" s="345"/>
      <c r="FQ122" s="345"/>
      <c r="FR122" s="345"/>
      <c r="FS122" s="345"/>
      <c r="FT122" s="345"/>
      <c r="FU122" s="345"/>
      <c r="FV122" s="345"/>
      <c r="FW122" s="345"/>
      <c r="FX122" s="345"/>
      <c r="FY122" s="345"/>
      <c r="FZ122" s="345"/>
      <c r="GA122" s="345"/>
      <c r="GB122" s="345"/>
      <c r="GC122" s="345"/>
      <c r="GD122" s="345"/>
      <c r="GE122" s="345"/>
      <c r="GF122" s="345"/>
      <c r="GG122" s="345"/>
      <c r="GH122" s="345"/>
      <c r="GI122" s="345"/>
      <c r="GJ122" s="345"/>
      <c r="GK122" s="345"/>
      <c r="GL122" s="345"/>
      <c r="GM122" s="345"/>
      <c r="GN122" s="345"/>
      <c r="GO122" s="345"/>
      <c r="GP122" s="345"/>
      <c r="GQ122" s="345"/>
      <c r="GR122" s="345"/>
      <c r="GS122" s="345"/>
      <c r="GT122" s="345"/>
      <c r="GU122" s="345"/>
    </row>
    <row r="123" spans="1:203" ht="12.75" customHeight="1">
      <c r="A123" s="465" t="str">
        <f t="shared" si="95"/>
        <v/>
      </c>
      <c r="B123" s="1108">
        <v>113</v>
      </c>
      <c r="C123" s="1109"/>
      <c r="D123" s="398"/>
      <c r="E123" s="1116"/>
      <c r="F123" s="465" t="str">
        <f t="shared" si="97"/>
        <v/>
      </c>
      <c r="G123" s="1108">
        <v>113</v>
      </c>
      <c r="H123" s="1109"/>
      <c r="I123" s="398"/>
      <c r="J123" s="1116"/>
      <c r="K123" s="465"/>
      <c r="L123" s="465"/>
      <c r="M123" s="465" t="str">
        <f t="shared" si="93"/>
        <v/>
      </c>
      <c r="N123" s="1108">
        <v>113</v>
      </c>
      <c r="O123" s="1109"/>
      <c r="P123" s="398"/>
      <c r="Q123" s="1116"/>
      <c r="R123" s="465" t="str">
        <f t="shared" si="94"/>
        <v/>
      </c>
      <c r="S123" s="1108">
        <v>113</v>
      </c>
      <c r="T123" s="1109"/>
      <c r="U123" s="1110"/>
      <c r="V123" s="1116"/>
      <c r="W123" s="371"/>
      <c r="X123" s="494" t="str">
        <f t="shared" si="70"/>
        <v/>
      </c>
      <c r="Y123" s="495" t="str">
        <f>IF('Feuilles=description générale'!$E$13="","",IF(X123="","",IF(X123&gt;('Feuilles=description générale'!$E$11+'Feuilles=description générale'!$E$10),"",100*(X123-'Feuilles=description générale'!$E$10)/('Feuilles=description générale'!$E$11))))</f>
        <v/>
      </c>
      <c r="Z123" s="495" t="str">
        <f>IF('Feuilles=description générale'!$E$13="","",IF(X123="","",IF(X123&lt;=('Feuilles=description générale'!$E$11+'Feuilles=description générale'!$E$10),"",100*(X123-'Feuilles=description générale'!$E$11-'Feuilles=description générale'!$E$10)/('Feuilles=description générale'!$E$12))))</f>
        <v/>
      </c>
      <c r="AA123" s="1112" t="str">
        <f>IF('Feuilles=description générale'!$E$13="","",IF(X123="","",100*(X123-'Feuilles=description générale'!$E$10)/('Feuilles=description générale'!$E$13-'Feuilles=description générale'!$E$10)))</f>
        <v/>
      </c>
      <c r="AB123" s="497" t="str">
        <f t="shared" si="71"/>
        <v/>
      </c>
      <c r="AC123" s="500" t="str">
        <f t="shared" si="96"/>
        <v/>
      </c>
      <c r="AD123" s="494" t="str">
        <f t="shared" si="72"/>
        <v/>
      </c>
      <c r="AE123" s="499" t="str">
        <f t="shared" si="73"/>
        <v/>
      </c>
      <c r="AF123" s="371"/>
      <c r="AG123" s="494" t="str">
        <f t="shared" si="74"/>
        <v/>
      </c>
      <c r="AH123" s="495" t="str">
        <f>IF('Feuilles=description générale'!$E$13="","",IF(AG123="","",IF(AG123&gt;('Feuilles=description générale'!$E$11+'Feuilles=description générale'!$E$10),"",100*(AG123-'Feuilles=description générale'!$E$10)/('Feuilles=description générale'!$E$11))))</f>
        <v/>
      </c>
      <c r="AI123" s="495" t="str">
        <f>IF('Feuilles=description générale'!$E$13="","",IF(AG123="","",IF(AG123&lt;=('Feuilles=description générale'!$E$11+'Feuilles=description générale'!$E$10),"",100*(AG123-'Feuilles=description générale'!$E$11-'Feuilles=description générale'!$E$10)/('Feuilles=description générale'!$E$12))))</f>
        <v/>
      </c>
      <c r="AJ123" s="496" t="str">
        <f>IF('Feuilles=description générale'!$E$13="","",IF(AG123="","",100*(AG123-'Feuilles=description générale'!$E$10)/('Feuilles=description générale'!$E$13-'Feuilles=description générale'!$E$10)))</f>
        <v/>
      </c>
      <c r="AK123" s="1113" t="str">
        <f t="shared" si="75"/>
        <v/>
      </c>
      <c r="AL123" s="498" t="str">
        <f t="shared" si="76"/>
        <v/>
      </c>
      <c r="AM123" s="494" t="str">
        <f t="shared" si="77"/>
        <v/>
      </c>
      <c r="AN123" s="499" t="str">
        <f t="shared" si="78"/>
        <v/>
      </c>
      <c r="AO123" s="371"/>
      <c r="AP123" s="494" t="str">
        <f t="shared" si="79"/>
        <v/>
      </c>
      <c r="AQ123" s="495" t="str">
        <f>IF('Feuilles=description générale'!$E$13="","",IF(AP123="","",IF(AP123&gt;('Feuilles=description générale'!$E$25+'Feuilles=description générale'!$E$24),"",100*(AP123-'Feuilles=description générale'!$E$24)/('Feuilles=description générale'!$E$25))))</f>
        <v/>
      </c>
      <c r="AR123" s="495" t="str">
        <f>IF('Feuilles=description générale'!$E$27="","",IF(AP123="","",IF(AP123&lt;=('Feuilles=description générale'!$E$25+'Feuilles=description générale'!$E$24),"",100*(AP123-'Feuilles=description générale'!$E$25-'Feuilles=description générale'!$E$24)/('Feuilles=description générale'!$E$26))))</f>
        <v/>
      </c>
      <c r="AS123" s="496" t="str">
        <f>IF('Feuilles=description générale'!$E$27="","",IF(AP123="","",100*(AP123-'Feuilles=description générale'!$E$24)/('Feuilles=description générale'!$E$27-'Feuilles=description générale'!$E$24)))</f>
        <v/>
      </c>
      <c r="AT123" s="497" t="str">
        <f t="shared" si="80"/>
        <v/>
      </c>
      <c r="AU123" s="500" t="str">
        <f t="shared" si="81"/>
        <v/>
      </c>
      <c r="AV123" s="494" t="str">
        <f t="shared" si="82"/>
        <v/>
      </c>
      <c r="AW123" s="499" t="str">
        <f t="shared" si="83"/>
        <v/>
      </c>
      <c r="AX123" s="371"/>
      <c r="AY123" s="494" t="str">
        <f t="shared" si="84"/>
        <v/>
      </c>
      <c r="AZ123" s="495" t="str">
        <f>IF('Feuilles=description générale'!$E$13="","",IF(AY123="","",IF(AY123&gt;('Feuilles=description générale'!$E$25+'Feuilles=description générale'!$E$24),"",100*(AY123-'Feuilles=description générale'!$E$24)/('Feuilles=description générale'!$E$25))))</f>
        <v/>
      </c>
      <c r="BA123" s="495" t="str">
        <f>IF('Feuilles=description générale'!$E$27="","",IF(AY123="","",IF(AY123&lt;=('Feuilles=description générale'!$E$25+'Feuilles=description générale'!$E$24),"",100*(AY123-'Feuilles=description générale'!$E$25-'Feuilles=description générale'!$E$24)/('Feuilles=description générale'!$E$26))))</f>
        <v/>
      </c>
      <c r="BB123" s="496" t="str">
        <f>IF('Feuilles=description générale'!$E$27="","",IF(AY123="","",100*(AY123-'Feuilles=description générale'!$E$24)/('Feuilles=description générale'!$E$27-'Feuilles=description générale'!$E$24)))</f>
        <v/>
      </c>
      <c r="BC123" s="497" t="str">
        <f t="shared" si="85"/>
        <v/>
      </c>
      <c r="BD123" s="500" t="str">
        <f t="shared" si="86"/>
        <v/>
      </c>
      <c r="BE123" s="494" t="str">
        <f t="shared" si="87"/>
        <v/>
      </c>
      <c r="BF123" s="499" t="str">
        <f t="shared" si="88"/>
        <v/>
      </c>
      <c r="BG123" s="476"/>
      <c r="BH123" s="563"/>
      <c r="BI123" s="562"/>
      <c r="BJ123" s="562"/>
      <c r="BK123" s="562"/>
      <c r="BL123" s="562"/>
      <c r="BM123" s="562"/>
      <c r="BN123" s="562"/>
      <c r="BO123" s="562"/>
      <c r="BP123" s="562"/>
      <c r="BQ123" s="562"/>
      <c r="BR123" s="562"/>
      <c r="BS123" s="562"/>
      <c r="BT123" s="562"/>
      <c r="BU123" s="568"/>
      <c r="BV123" s="1114" t="str">
        <f t="shared" si="89"/>
        <v/>
      </c>
      <c r="BW123" s="1114" t="str">
        <f t="shared" si="89"/>
        <v/>
      </c>
      <c r="BX123" s="1114" t="str">
        <f t="shared" si="90"/>
        <v/>
      </c>
      <c r="BY123" s="1115" t="str">
        <f t="shared" si="90"/>
        <v/>
      </c>
      <c r="BZ123" s="477"/>
      <c r="CA123" s="1114" t="str">
        <f t="shared" si="91"/>
        <v/>
      </c>
      <c r="CB123" s="1114" t="str">
        <f t="shared" si="91"/>
        <v/>
      </c>
      <c r="CC123" s="1114" t="str">
        <f t="shared" si="92"/>
        <v/>
      </c>
      <c r="CD123" s="1115" t="str">
        <f t="shared" si="92"/>
        <v/>
      </c>
      <c r="CE123" s="568"/>
      <c r="CF123" s="563"/>
      <c r="CG123" s="562"/>
      <c r="CH123" s="562"/>
      <c r="CI123" s="562"/>
      <c r="CJ123" s="562"/>
      <c r="CK123" s="562"/>
      <c r="CL123" s="562"/>
      <c r="CM123" s="562"/>
      <c r="CN123" s="562"/>
      <c r="CO123" s="562"/>
      <c r="CP123" s="562"/>
      <c r="CQ123" s="562"/>
      <c r="CR123" s="562"/>
      <c r="CS123" s="562"/>
      <c r="CT123" s="562"/>
      <c r="CU123" s="562"/>
      <c r="CV123" s="476"/>
      <c r="CW123" s="345"/>
      <c r="CX123" s="345"/>
      <c r="CY123" s="345"/>
      <c r="CZ123" s="345"/>
      <c r="DA123" s="345"/>
      <c r="DB123" s="345"/>
      <c r="DC123" s="345"/>
      <c r="DD123" s="345"/>
      <c r="DE123" s="345"/>
      <c r="DF123" s="345"/>
      <c r="DG123" s="345"/>
      <c r="DH123" s="345"/>
      <c r="DI123" s="345"/>
      <c r="DJ123" s="345"/>
      <c r="DK123" s="345"/>
      <c r="DL123" s="345"/>
      <c r="DM123" s="345"/>
      <c r="DN123" s="345"/>
      <c r="DO123" s="345"/>
      <c r="DP123" s="345"/>
      <c r="DQ123" s="345"/>
      <c r="DR123" s="345"/>
      <c r="DS123" s="345"/>
      <c r="DT123" s="345"/>
      <c r="DU123" s="345"/>
      <c r="DV123" s="345"/>
      <c r="DW123" s="345"/>
      <c r="DX123" s="345"/>
      <c r="DY123" s="345"/>
      <c r="DZ123" s="345"/>
      <c r="EA123" s="345"/>
      <c r="EB123" s="345"/>
      <c r="EC123" s="345"/>
      <c r="ED123" s="345"/>
      <c r="EE123" s="345"/>
      <c r="EF123" s="345"/>
      <c r="EG123" s="345"/>
      <c r="EH123" s="345"/>
      <c r="EI123" s="345"/>
      <c r="EJ123" s="345"/>
      <c r="EK123" s="345"/>
      <c r="EL123" s="345"/>
      <c r="EM123" s="345"/>
      <c r="EN123" s="345"/>
      <c r="EO123" s="345"/>
      <c r="EP123" s="345"/>
      <c r="EQ123" s="345"/>
      <c r="ER123" s="345"/>
      <c r="ES123" s="345"/>
      <c r="ET123" s="345"/>
      <c r="EU123" s="345"/>
      <c r="EV123" s="345"/>
      <c r="EW123" s="345"/>
      <c r="EX123" s="345"/>
      <c r="EY123" s="345"/>
      <c r="EZ123" s="345"/>
      <c r="FA123" s="345"/>
      <c r="FB123" s="345"/>
      <c r="FC123" s="345"/>
      <c r="FD123" s="345"/>
      <c r="FE123" s="345"/>
      <c r="FF123" s="345"/>
      <c r="FG123" s="345"/>
      <c r="FH123" s="345"/>
      <c r="FI123" s="345"/>
      <c r="FJ123" s="345"/>
      <c r="FK123" s="345"/>
      <c r="FL123" s="345"/>
      <c r="FM123" s="345"/>
      <c r="FN123" s="345"/>
      <c r="FO123" s="345"/>
      <c r="FP123" s="345"/>
      <c r="FQ123" s="345"/>
      <c r="FR123" s="345"/>
      <c r="FS123" s="345"/>
      <c r="FT123" s="345"/>
      <c r="FU123" s="345"/>
      <c r="FV123" s="345"/>
      <c r="FW123" s="345"/>
      <c r="FX123" s="345"/>
      <c r="FY123" s="345"/>
      <c r="FZ123" s="345"/>
      <c r="GA123" s="345"/>
      <c r="GB123" s="345"/>
      <c r="GC123" s="345"/>
      <c r="GD123" s="345"/>
      <c r="GE123" s="345"/>
      <c r="GF123" s="345"/>
      <c r="GG123" s="345"/>
      <c r="GH123" s="345"/>
      <c r="GI123" s="345"/>
      <c r="GJ123" s="345"/>
      <c r="GK123" s="345"/>
      <c r="GL123" s="345"/>
      <c r="GM123" s="345"/>
      <c r="GN123" s="345"/>
      <c r="GO123" s="345"/>
      <c r="GP123" s="345"/>
      <c r="GQ123" s="345"/>
      <c r="GR123" s="345"/>
      <c r="GS123" s="345"/>
      <c r="GT123" s="345"/>
      <c r="GU123" s="345"/>
    </row>
    <row r="124" spans="1:203" ht="12.75" customHeight="1">
      <c r="A124" s="465" t="str">
        <f t="shared" si="95"/>
        <v/>
      </c>
      <c r="B124" s="1108">
        <v>114</v>
      </c>
      <c r="C124" s="1109"/>
      <c r="D124" s="398"/>
      <c r="E124" s="1116"/>
      <c r="F124" s="465" t="str">
        <f t="shared" si="97"/>
        <v/>
      </c>
      <c r="G124" s="1108">
        <v>114</v>
      </c>
      <c r="H124" s="1109"/>
      <c r="I124" s="398"/>
      <c r="J124" s="1116"/>
      <c r="K124" s="465"/>
      <c r="L124" s="465"/>
      <c r="M124" s="465" t="str">
        <f t="shared" si="93"/>
        <v/>
      </c>
      <c r="N124" s="1108">
        <v>114</v>
      </c>
      <c r="O124" s="1109"/>
      <c r="P124" s="398"/>
      <c r="Q124" s="1116"/>
      <c r="R124" s="465" t="str">
        <f t="shared" si="94"/>
        <v/>
      </c>
      <c r="S124" s="1108">
        <v>114</v>
      </c>
      <c r="T124" s="1109"/>
      <c r="U124" s="1110"/>
      <c r="V124" s="1116"/>
      <c r="W124" s="371"/>
      <c r="X124" s="494" t="str">
        <f t="shared" si="70"/>
        <v/>
      </c>
      <c r="Y124" s="495" t="str">
        <f>IF('Feuilles=description générale'!$E$13="","",IF(X124="","",IF(X124&gt;('Feuilles=description générale'!$E$11+'Feuilles=description générale'!$E$10),"",100*(X124-'Feuilles=description générale'!$E$10)/('Feuilles=description générale'!$E$11))))</f>
        <v/>
      </c>
      <c r="Z124" s="495" t="str">
        <f>IF('Feuilles=description générale'!$E$13="","",IF(X124="","",IF(X124&lt;=('Feuilles=description générale'!$E$11+'Feuilles=description générale'!$E$10),"",100*(X124-'Feuilles=description générale'!$E$11-'Feuilles=description générale'!$E$10)/('Feuilles=description générale'!$E$12))))</f>
        <v/>
      </c>
      <c r="AA124" s="1112" t="str">
        <f>IF('Feuilles=description générale'!$E$13="","",IF(X124="","",100*(X124-'Feuilles=description générale'!$E$10)/('Feuilles=description générale'!$E$13-'Feuilles=description générale'!$E$10)))</f>
        <v/>
      </c>
      <c r="AB124" s="497" t="str">
        <f t="shared" si="71"/>
        <v/>
      </c>
      <c r="AC124" s="500" t="str">
        <f t="shared" si="96"/>
        <v/>
      </c>
      <c r="AD124" s="494" t="str">
        <f t="shared" si="72"/>
        <v/>
      </c>
      <c r="AE124" s="499" t="str">
        <f t="shared" si="73"/>
        <v/>
      </c>
      <c r="AF124" s="371"/>
      <c r="AG124" s="494" t="str">
        <f t="shared" si="74"/>
        <v/>
      </c>
      <c r="AH124" s="495" t="str">
        <f>IF('Feuilles=description générale'!$E$13="","",IF(AG124="","",IF(AG124&gt;('Feuilles=description générale'!$E$11+'Feuilles=description générale'!$E$10),"",100*(AG124-'Feuilles=description générale'!$E$10)/('Feuilles=description générale'!$E$11))))</f>
        <v/>
      </c>
      <c r="AI124" s="495" t="str">
        <f>IF('Feuilles=description générale'!$E$13="","",IF(AG124="","",IF(AG124&lt;=('Feuilles=description générale'!$E$11+'Feuilles=description générale'!$E$10),"",100*(AG124-'Feuilles=description générale'!$E$11-'Feuilles=description générale'!$E$10)/('Feuilles=description générale'!$E$12))))</f>
        <v/>
      </c>
      <c r="AJ124" s="496" t="str">
        <f>IF('Feuilles=description générale'!$E$13="","",IF(AG124="","",100*(AG124-'Feuilles=description générale'!$E$10)/('Feuilles=description générale'!$E$13-'Feuilles=description générale'!$E$10)))</f>
        <v/>
      </c>
      <c r="AK124" s="1113" t="str">
        <f t="shared" si="75"/>
        <v/>
      </c>
      <c r="AL124" s="498" t="str">
        <f t="shared" si="76"/>
        <v/>
      </c>
      <c r="AM124" s="494" t="str">
        <f t="shared" si="77"/>
        <v/>
      </c>
      <c r="AN124" s="499" t="str">
        <f t="shared" si="78"/>
        <v/>
      </c>
      <c r="AO124" s="371"/>
      <c r="AP124" s="494" t="str">
        <f t="shared" si="79"/>
        <v/>
      </c>
      <c r="AQ124" s="495" t="str">
        <f>IF('Feuilles=description générale'!$E$13="","",IF(AP124="","",IF(AP124&gt;('Feuilles=description générale'!$E$25+'Feuilles=description générale'!$E$24),"",100*(AP124-'Feuilles=description générale'!$E$24)/('Feuilles=description générale'!$E$25))))</f>
        <v/>
      </c>
      <c r="AR124" s="495" t="str">
        <f>IF('Feuilles=description générale'!$E$27="","",IF(AP124="","",IF(AP124&lt;=('Feuilles=description générale'!$E$25+'Feuilles=description générale'!$E$24),"",100*(AP124-'Feuilles=description générale'!$E$25-'Feuilles=description générale'!$E$24)/('Feuilles=description générale'!$E$26))))</f>
        <v/>
      </c>
      <c r="AS124" s="496" t="str">
        <f>IF('Feuilles=description générale'!$E$27="","",IF(AP124="","",100*(AP124-'Feuilles=description générale'!$E$24)/('Feuilles=description générale'!$E$27-'Feuilles=description générale'!$E$24)))</f>
        <v/>
      </c>
      <c r="AT124" s="497" t="str">
        <f t="shared" si="80"/>
        <v/>
      </c>
      <c r="AU124" s="500" t="str">
        <f t="shared" si="81"/>
        <v/>
      </c>
      <c r="AV124" s="494" t="str">
        <f t="shared" si="82"/>
        <v/>
      </c>
      <c r="AW124" s="499" t="str">
        <f t="shared" si="83"/>
        <v/>
      </c>
      <c r="AX124" s="371"/>
      <c r="AY124" s="494" t="str">
        <f t="shared" si="84"/>
        <v/>
      </c>
      <c r="AZ124" s="495" t="str">
        <f>IF('Feuilles=description générale'!$E$13="","",IF(AY124="","",IF(AY124&gt;('Feuilles=description générale'!$E$25+'Feuilles=description générale'!$E$24),"",100*(AY124-'Feuilles=description générale'!$E$24)/('Feuilles=description générale'!$E$25))))</f>
        <v/>
      </c>
      <c r="BA124" s="495" t="str">
        <f>IF('Feuilles=description générale'!$E$27="","",IF(AY124="","",IF(AY124&lt;=('Feuilles=description générale'!$E$25+'Feuilles=description générale'!$E$24),"",100*(AY124-'Feuilles=description générale'!$E$25-'Feuilles=description générale'!$E$24)/('Feuilles=description générale'!$E$26))))</f>
        <v/>
      </c>
      <c r="BB124" s="496" t="str">
        <f>IF('Feuilles=description générale'!$E$27="","",IF(AY124="","",100*(AY124-'Feuilles=description générale'!$E$24)/('Feuilles=description générale'!$E$27-'Feuilles=description générale'!$E$24)))</f>
        <v/>
      </c>
      <c r="BC124" s="497" t="str">
        <f t="shared" si="85"/>
        <v/>
      </c>
      <c r="BD124" s="500" t="str">
        <f t="shared" si="86"/>
        <v/>
      </c>
      <c r="BE124" s="494" t="str">
        <f t="shared" si="87"/>
        <v/>
      </c>
      <c r="BF124" s="499" t="str">
        <f t="shared" si="88"/>
        <v/>
      </c>
      <c r="BG124" s="476"/>
      <c r="BH124" s="563"/>
      <c r="BI124" s="562"/>
      <c r="BJ124" s="562"/>
      <c r="BK124" s="562"/>
      <c r="BL124" s="562"/>
      <c r="BM124" s="562"/>
      <c r="BN124" s="562"/>
      <c r="BO124" s="562"/>
      <c r="BP124" s="562"/>
      <c r="BQ124" s="562"/>
      <c r="BR124" s="562"/>
      <c r="BS124" s="562"/>
      <c r="BT124" s="562"/>
      <c r="BU124" s="568"/>
      <c r="BV124" s="1114" t="str">
        <f t="shared" si="89"/>
        <v/>
      </c>
      <c r="BW124" s="1114" t="str">
        <f t="shared" si="89"/>
        <v/>
      </c>
      <c r="BX124" s="1114" t="str">
        <f t="shared" si="90"/>
        <v/>
      </c>
      <c r="BY124" s="1115" t="str">
        <f t="shared" si="90"/>
        <v/>
      </c>
      <c r="BZ124" s="477"/>
      <c r="CA124" s="1114" t="str">
        <f t="shared" si="91"/>
        <v/>
      </c>
      <c r="CB124" s="1114" t="str">
        <f t="shared" si="91"/>
        <v/>
      </c>
      <c r="CC124" s="1114" t="str">
        <f t="shared" si="92"/>
        <v/>
      </c>
      <c r="CD124" s="1115" t="str">
        <f t="shared" si="92"/>
        <v/>
      </c>
      <c r="CE124" s="568"/>
      <c r="CF124" s="563"/>
      <c r="CG124" s="562"/>
      <c r="CH124" s="562"/>
      <c r="CI124" s="562"/>
      <c r="CJ124" s="562"/>
      <c r="CK124" s="562"/>
      <c r="CL124" s="562"/>
      <c r="CM124" s="562"/>
      <c r="CN124" s="562"/>
      <c r="CO124" s="562"/>
      <c r="CP124" s="562"/>
      <c r="CQ124" s="562"/>
      <c r="CR124" s="562"/>
      <c r="CS124" s="562"/>
      <c r="CT124" s="562"/>
      <c r="CU124" s="562"/>
      <c r="CV124" s="476"/>
      <c r="CW124" s="345"/>
      <c r="CX124" s="345"/>
      <c r="CY124" s="345"/>
      <c r="CZ124" s="345"/>
      <c r="DA124" s="345"/>
      <c r="DB124" s="345"/>
      <c r="DC124" s="345"/>
      <c r="DD124" s="345"/>
      <c r="DE124" s="345"/>
      <c r="DF124" s="345"/>
      <c r="DG124" s="345"/>
      <c r="DH124" s="345"/>
      <c r="DI124" s="345"/>
      <c r="DJ124" s="345"/>
      <c r="DK124" s="345"/>
      <c r="DL124" s="345"/>
      <c r="DM124" s="345"/>
      <c r="DN124" s="345"/>
      <c r="DO124" s="345"/>
      <c r="DP124" s="345"/>
      <c r="DQ124" s="345"/>
      <c r="DR124" s="345"/>
      <c r="DS124" s="345"/>
      <c r="DT124" s="345"/>
      <c r="DU124" s="345"/>
      <c r="DV124" s="345"/>
      <c r="DW124" s="345"/>
      <c r="DX124" s="345"/>
      <c r="DY124" s="345"/>
      <c r="DZ124" s="345"/>
      <c r="EA124" s="345"/>
      <c r="EB124" s="345"/>
      <c r="EC124" s="345"/>
      <c r="ED124" s="345"/>
      <c r="EE124" s="345"/>
      <c r="EF124" s="345"/>
      <c r="EG124" s="345"/>
      <c r="EH124" s="345"/>
      <c r="EI124" s="345"/>
      <c r="EJ124" s="345"/>
      <c r="EK124" s="345"/>
      <c r="EL124" s="345"/>
      <c r="EM124" s="345"/>
      <c r="EN124" s="345"/>
      <c r="EO124" s="345"/>
      <c r="EP124" s="345"/>
      <c r="EQ124" s="345"/>
      <c r="ER124" s="345"/>
      <c r="ES124" s="345"/>
      <c r="ET124" s="345"/>
      <c r="EU124" s="345"/>
      <c r="EV124" s="345"/>
      <c r="EW124" s="345"/>
      <c r="EX124" s="345"/>
      <c r="EY124" s="345"/>
      <c r="EZ124" s="345"/>
      <c r="FA124" s="345"/>
      <c r="FB124" s="345"/>
      <c r="FC124" s="345"/>
      <c r="FD124" s="345"/>
      <c r="FE124" s="345"/>
      <c r="FF124" s="345"/>
      <c r="FG124" s="345"/>
      <c r="FH124" s="345"/>
      <c r="FI124" s="345"/>
      <c r="FJ124" s="345"/>
      <c r="FK124" s="345"/>
      <c r="FL124" s="345"/>
      <c r="FM124" s="345"/>
      <c r="FN124" s="345"/>
      <c r="FO124" s="345"/>
      <c r="FP124" s="345"/>
      <c r="FQ124" s="345"/>
      <c r="FR124" s="345"/>
      <c r="FS124" s="345"/>
      <c r="FT124" s="345"/>
      <c r="FU124" s="345"/>
      <c r="FV124" s="345"/>
      <c r="FW124" s="345"/>
      <c r="FX124" s="345"/>
      <c r="FY124" s="345"/>
      <c r="FZ124" s="345"/>
      <c r="GA124" s="345"/>
      <c r="GB124" s="345"/>
      <c r="GC124" s="345"/>
      <c r="GD124" s="345"/>
      <c r="GE124" s="345"/>
      <c r="GF124" s="345"/>
      <c r="GG124" s="345"/>
      <c r="GH124" s="345"/>
      <c r="GI124" s="345"/>
      <c r="GJ124" s="345"/>
      <c r="GK124" s="345"/>
      <c r="GL124" s="345"/>
      <c r="GM124" s="345"/>
      <c r="GN124" s="345"/>
      <c r="GO124" s="345"/>
      <c r="GP124" s="345"/>
      <c r="GQ124" s="345"/>
      <c r="GR124" s="345"/>
      <c r="GS124" s="345"/>
      <c r="GT124" s="345"/>
      <c r="GU124" s="345"/>
    </row>
    <row r="125" spans="1:203" ht="12.75" customHeight="1">
      <c r="A125" s="465" t="str">
        <f t="shared" si="95"/>
        <v/>
      </c>
      <c r="B125" s="1108">
        <v>115</v>
      </c>
      <c r="C125" s="1109"/>
      <c r="D125" s="398"/>
      <c r="E125" s="1116"/>
      <c r="F125" s="465" t="str">
        <f t="shared" si="97"/>
        <v/>
      </c>
      <c r="G125" s="1108">
        <v>115</v>
      </c>
      <c r="H125" s="1109"/>
      <c r="I125" s="398"/>
      <c r="J125" s="1116"/>
      <c r="K125" s="465"/>
      <c r="L125" s="465"/>
      <c r="M125" s="465" t="str">
        <f t="shared" si="93"/>
        <v/>
      </c>
      <c r="N125" s="1108">
        <v>115</v>
      </c>
      <c r="O125" s="1109"/>
      <c r="P125" s="398"/>
      <c r="Q125" s="1116"/>
      <c r="R125" s="465" t="str">
        <f t="shared" si="94"/>
        <v/>
      </c>
      <c r="S125" s="1108">
        <v>115</v>
      </c>
      <c r="T125" s="1109"/>
      <c r="U125" s="1110"/>
      <c r="V125" s="1116"/>
      <c r="W125" s="371"/>
      <c r="X125" s="494" t="str">
        <f t="shared" si="70"/>
        <v/>
      </c>
      <c r="Y125" s="495" t="str">
        <f>IF('Feuilles=description générale'!$E$13="","",IF(X125="","",IF(X125&gt;('Feuilles=description générale'!$E$11+'Feuilles=description générale'!$E$10),"",100*(X125-'Feuilles=description générale'!$E$10)/('Feuilles=description générale'!$E$11))))</f>
        <v/>
      </c>
      <c r="Z125" s="495" t="str">
        <f>IF('Feuilles=description générale'!$E$13="","",IF(X125="","",IF(X125&lt;=('Feuilles=description générale'!$E$11+'Feuilles=description générale'!$E$10),"",100*(X125-'Feuilles=description générale'!$E$11-'Feuilles=description générale'!$E$10)/('Feuilles=description générale'!$E$12))))</f>
        <v/>
      </c>
      <c r="AA125" s="1112" t="str">
        <f>IF('Feuilles=description générale'!$E$13="","",IF(X125="","",100*(X125-'Feuilles=description générale'!$E$10)/('Feuilles=description générale'!$E$13-'Feuilles=description générale'!$E$10)))</f>
        <v/>
      </c>
      <c r="AB125" s="497" t="str">
        <f t="shared" si="71"/>
        <v/>
      </c>
      <c r="AC125" s="500" t="str">
        <f t="shared" si="96"/>
        <v/>
      </c>
      <c r="AD125" s="494" t="str">
        <f t="shared" si="72"/>
        <v/>
      </c>
      <c r="AE125" s="499" t="str">
        <f t="shared" si="73"/>
        <v/>
      </c>
      <c r="AF125" s="371"/>
      <c r="AG125" s="494" t="str">
        <f t="shared" si="74"/>
        <v/>
      </c>
      <c r="AH125" s="495" t="str">
        <f>IF('Feuilles=description générale'!$E$13="","",IF(AG125="","",IF(AG125&gt;('Feuilles=description générale'!$E$11+'Feuilles=description générale'!$E$10),"",100*(AG125-'Feuilles=description générale'!$E$10)/('Feuilles=description générale'!$E$11))))</f>
        <v/>
      </c>
      <c r="AI125" s="495" t="str">
        <f>IF('Feuilles=description générale'!$E$13="","",IF(AG125="","",IF(AG125&lt;=('Feuilles=description générale'!$E$11+'Feuilles=description générale'!$E$10),"",100*(AG125-'Feuilles=description générale'!$E$11-'Feuilles=description générale'!$E$10)/('Feuilles=description générale'!$E$12))))</f>
        <v/>
      </c>
      <c r="AJ125" s="496" t="str">
        <f>IF('Feuilles=description générale'!$E$13="","",IF(AG125="","",100*(AG125-'Feuilles=description générale'!$E$10)/('Feuilles=description générale'!$E$13-'Feuilles=description générale'!$E$10)))</f>
        <v/>
      </c>
      <c r="AK125" s="1113" t="str">
        <f t="shared" si="75"/>
        <v/>
      </c>
      <c r="AL125" s="498" t="str">
        <f t="shared" si="76"/>
        <v/>
      </c>
      <c r="AM125" s="494" t="str">
        <f t="shared" si="77"/>
        <v/>
      </c>
      <c r="AN125" s="499" t="str">
        <f t="shared" si="78"/>
        <v/>
      </c>
      <c r="AO125" s="371"/>
      <c r="AP125" s="494" t="str">
        <f t="shared" si="79"/>
        <v/>
      </c>
      <c r="AQ125" s="495" t="str">
        <f>IF('Feuilles=description générale'!$E$13="","",IF(AP125="","",IF(AP125&gt;('Feuilles=description générale'!$E$25+'Feuilles=description générale'!$E$24),"",100*(AP125-'Feuilles=description générale'!$E$24)/('Feuilles=description générale'!$E$25))))</f>
        <v/>
      </c>
      <c r="AR125" s="495" t="str">
        <f>IF('Feuilles=description générale'!$E$27="","",IF(AP125="","",IF(AP125&lt;=('Feuilles=description générale'!$E$25+'Feuilles=description générale'!$E$24),"",100*(AP125-'Feuilles=description générale'!$E$25-'Feuilles=description générale'!$E$24)/('Feuilles=description générale'!$E$26))))</f>
        <v/>
      </c>
      <c r="AS125" s="496" t="str">
        <f>IF('Feuilles=description générale'!$E$27="","",IF(AP125="","",100*(AP125-'Feuilles=description générale'!$E$24)/('Feuilles=description générale'!$E$27-'Feuilles=description générale'!$E$24)))</f>
        <v/>
      </c>
      <c r="AT125" s="497" t="str">
        <f t="shared" si="80"/>
        <v/>
      </c>
      <c r="AU125" s="500" t="str">
        <f t="shared" si="81"/>
        <v/>
      </c>
      <c r="AV125" s="494" t="str">
        <f t="shared" si="82"/>
        <v/>
      </c>
      <c r="AW125" s="499" t="str">
        <f t="shared" si="83"/>
        <v/>
      </c>
      <c r="AX125" s="371"/>
      <c r="AY125" s="494" t="str">
        <f t="shared" si="84"/>
        <v/>
      </c>
      <c r="AZ125" s="495" t="str">
        <f>IF('Feuilles=description générale'!$E$13="","",IF(AY125="","",IF(AY125&gt;('Feuilles=description générale'!$E$25+'Feuilles=description générale'!$E$24),"",100*(AY125-'Feuilles=description générale'!$E$24)/('Feuilles=description générale'!$E$25))))</f>
        <v/>
      </c>
      <c r="BA125" s="495" t="str">
        <f>IF('Feuilles=description générale'!$E$27="","",IF(AY125="","",IF(AY125&lt;=('Feuilles=description générale'!$E$25+'Feuilles=description générale'!$E$24),"",100*(AY125-'Feuilles=description générale'!$E$25-'Feuilles=description générale'!$E$24)/('Feuilles=description générale'!$E$26))))</f>
        <v/>
      </c>
      <c r="BB125" s="496" t="str">
        <f>IF('Feuilles=description générale'!$E$27="","",IF(AY125="","",100*(AY125-'Feuilles=description générale'!$E$24)/('Feuilles=description générale'!$E$27-'Feuilles=description générale'!$E$24)))</f>
        <v/>
      </c>
      <c r="BC125" s="497" t="str">
        <f t="shared" si="85"/>
        <v/>
      </c>
      <c r="BD125" s="500" t="str">
        <f t="shared" si="86"/>
        <v/>
      </c>
      <c r="BE125" s="494" t="str">
        <f t="shared" si="87"/>
        <v/>
      </c>
      <c r="BF125" s="499" t="str">
        <f t="shared" si="88"/>
        <v/>
      </c>
      <c r="BG125" s="476"/>
      <c r="BH125" s="563"/>
      <c r="BI125" s="562"/>
      <c r="BJ125" s="562"/>
      <c r="BK125" s="562"/>
      <c r="BL125" s="562"/>
      <c r="BM125" s="562"/>
      <c r="BN125" s="562"/>
      <c r="BO125" s="562"/>
      <c r="BP125" s="562"/>
      <c r="BQ125" s="562"/>
      <c r="BR125" s="562"/>
      <c r="BS125" s="562"/>
      <c r="BT125" s="562"/>
      <c r="BU125" s="568"/>
      <c r="BV125" s="1114" t="str">
        <f t="shared" si="89"/>
        <v/>
      </c>
      <c r="BW125" s="1114" t="str">
        <f t="shared" si="89"/>
        <v/>
      </c>
      <c r="BX125" s="1114" t="str">
        <f t="shared" si="90"/>
        <v/>
      </c>
      <c r="BY125" s="1115" t="str">
        <f t="shared" si="90"/>
        <v/>
      </c>
      <c r="BZ125" s="477"/>
      <c r="CA125" s="1114" t="str">
        <f t="shared" si="91"/>
        <v/>
      </c>
      <c r="CB125" s="1114" t="str">
        <f t="shared" si="91"/>
        <v/>
      </c>
      <c r="CC125" s="1114" t="str">
        <f t="shared" si="92"/>
        <v/>
      </c>
      <c r="CD125" s="1115" t="str">
        <f t="shared" si="92"/>
        <v/>
      </c>
      <c r="CE125" s="568"/>
      <c r="CF125" s="563"/>
      <c r="CG125" s="562"/>
      <c r="CH125" s="562"/>
      <c r="CI125" s="562"/>
      <c r="CJ125" s="562"/>
      <c r="CK125" s="562"/>
      <c r="CL125" s="562"/>
      <c r="CM125" s="562"/>
      <c r="CN125" s="562"/>
      <c r="CO125" s="562"/>
      <c r="CP125" s="562"/>
      <c r="CQ125" s="562"/>
      <c r="CR125" s="562"/>
      <c r="CS125" s="562"/>
      <c r="CT125" s="562"/>
      <c r="CU125" s="562"/>
      <c r="CV125" s="476"/>
      <c r="CW125" s="345"/>
      <c r="CX125" s="345"/>
      <c r="CY125" s="345"/>
      <c r="CZ125" s="345"/>
      <c r="DA125" s="345"/>
      <c r="DB125" s="345"/>
      <c r="DC125" s="345"/>
      <c r="DD125" s="345"/>
      <c r="DE125" s="345"/>
      <c r="DF125" s="345"/>
      <c r="DG125" s="345"/>
      <c r="DH125" s="345"/>
      <c r="DI125" s="345"/>
      <c r="DJ125" s="345"/>
      <c r="DK125" s="345"/>
      <c r="DL125" s="345"/>
      <c r="DM125" s="345"/>
      <c r="DN125" s="345"/>
      <c r="DO125" s="345"/>
      <c r="DP125" s="345"/>
      <c r="DQ125" s="345"/>
      <c r="DR125" s="345"/>
      <c r="DS125" s="345"/>
      <c r="DT125" s="345"/>
      <c r="DU125" s="345"/>
      <c r="DV125" s="345"/>
      <c r="DW125" s="345"/>
      <c r="DX125" s="345"/>
      <c r="DY125" s="345"/>
      <c r="DZ125" s="345"/>
      <c r="EA125" s="345"/>
      <c r="EB125" s="345"/>
      <c r="EC125" s="345"/>
      <c r="ED125" s="345"/>
      <c r="EE125" s="345"/>
      <c r="EF125" s="345"/>
      <c r="EG125" s="345"/>
      <c r="EH125" s="345"/>
      <c r="EI125" s="345"/>
      <c r="EJ125" s="345"/>
      <c r="EK125" s="345"/>
      <c r="EL125" s="345"/>
      <c r="EM125" s="345"/>
      <c r="EN125" s="345"/>
      <c r="EO125" s="345"/>
      <c r="EP125" s="345"/>
      <c r="EQ125" s="345"/>
      <c r="ER125" s="345"/>
      <c r="ES125" s="345"/>
      <c r="ET125" s="345"/>
      <c r="EU125" s="345"/>
      <c r="EV125" s="345"/>
      <c r="EW125" s="345"/>
      <c r="EX125" s="345"/>
      <c r="EY125" s="345"/>
      <c r="EZ125" s="345"/>
      <c r="FA125" s="345"/>
      <c r="FB125" s="345"/>
      <c r="FC125" s="345"/>
      <c r="FD125" s="345"/>
      <c r="FE125" s="345"/>
      <c r="FF125" s="345"/>
      <c r="FG125" s="345"/>
      <c r="FH125" s="345"/>
      <c r="FI125" s="345"/>
      <c r="FJ125" s="345"/>
      <c r="FK125" s="345"/>
      <c r="FL125" s="345"/>
      <c r="FM125" s="345"/>
      <c r="FN125" s="345"/>
      <c r="FO125" s="345"/>
      <c r="FP125" s="345"/>
      <c r="FQ125" s="345"/>
      <c r="FR125" s="345"/>
      <c r="FS125" s="345"/>
      <c r="FT125" s="345"/>
      <c r="FU125" s="345"/>
      <c r="FV125" s="345"/>
      <c r="FW125" s="345"/>
      <c r="FX125" s="345"/>
      <c r="FY125" s="345"/>
      <c r="FZ125" s="345"/>
      <c r="GA125" s="345"/>
      <c r="GB125" s="345"/>
      <c r="GC125" s="345"/>
      <c r="GD125" s="345"/>
      <c r="GE125" s="345"/>
      <c r="GF125" s="345"/>
      <c r="GG125" s="345"/>
      <c r="GH125" s="345"/>
      <c r="GI125" s="345"/>
      <c r="GJ125" s="345"/>
      <c r="GK125" s="345"/>
      <c r="GL125" s="345"/>
      <c r="GM125" s="345"/>
      <c r="GN125" s="345"/>
      <c r="GO125" s="345"/>
      <c r="GP125" s="345"/>
      <c r="GQ125" s="345"/>
      <c r="GR125" s="345"/>
      <c r="GS125" s="345"/>
      <c r="GT125" s="345"/>
      <c r="GU125" s="345"/>
    </row>
    <row r="126" spans="1:203" ht="12.75" customHeight="1">
      <c r="A126" s="465" t="str">
        <f t="shared" si="95"/>
        <v/>
      </c>
      <c r="B126" s="1108">
        <v>116</v>
      </c>
      <c r="C126" s="1109"/>
      <c r="D126" s="398"/>
      <c r="E126" s="1116"/>
      <c r="F126" s="465" t="str">
        <f t="shared" si="97"/>
        <v/>
      </c>
      <c r="G126" s="1108">
        <v>116</v>
      </c>
      <c r="H126" s="1109"/>
      <c r="I126" s="398"/>
      <c r="J126" s="1116"/>
      <c r="K126" s="465"/>
      <c r="L126" s="465"/>
      <c r="M126" s="465" t="str">
        <f t="shared" si="93"/>
        <v/>
      </c>
      <c r="N126" s="1108">
        <v>116</v>
      </c>
      <c r="O126" s="1109"/>
      <c r="P126" s="398"/>
      <c r="Q126" s="1116"/>
      <c r="R126" s="465" t="str">
        <f t="shared" si="94"/>
        <v/>
      </c>
      <c r="S126" s="1108">
        <v>116</v>
      </c>
      <c r="T126" s="1109"/>
      <c r="U126" s="1110"/>
      <c r="V126" s="1116"/>
      <c r="W126" s="371"/>
      <c r="X126" s="494" t="str">
        <f t="shared" si="70"/>
        <v/>
      </c>
      <c r="Y126" s="495" t="str">
        <f>IF('Feuilles=description générale'!$E$13="","",IF(X126="","",IF(X126&gt;('Feuilles=description générale'!$E$11+'Feuilles=description générale'!$E$10),"",100*(X126-'Feuilles=description générale'!$E$10)/('Feuilles=description générale'!$E$11))))</f>
        <v/>
      </c>
      <c r="Z126" s="495" t="str">
        <f>IF('Feuilles=description générale'!$E$13="","",IF(X126="","",IF(X126&lt;=('Feuilles=description générale'!$E$11+'Feuilles=description générale'!$E$10),"",100*(X126-'Feuilles=description générale'!$E$11-'Feuilles=description générale'!$E$10)/('Feuilles=description générale'!$E$12))))</f>
        <v/>
      </c>
      <c r="AA126" s="1112" t="str">
        <f>IF('Feuilles=description générale'!$E$13="","",IF(X126="","",100*(X126-'Feuilles=description générale'!$E$10)/('Feuilles=description générale'!$E$13-'Feuilles=description générale'!$E$10)))</f>
        <v/>
      </c>
      <c r="AB126" s="497" t="str">
        <f t="shared" si="71"/>
        <v/>
      </c>
      <c r="AC126" s="500" t="str">
        <f t="shared" si="96"/>
        <v/>
      </c>
      <c r="AD126" s="494" t="str">
        <f t="shared" si="72"/>
        <v/>
      </c>
      <c r="AE126" s="499" t="str">
        <f t="shared" si="73"/>
        <v/>
      </c>
      <c r="AF126" s="371"/>
      <c r="AG126" s="494" t="str">
        <f t="shared" si="74"/>
        <v/>
      </c>
      <c r="AH126" s="495" t="str">
        <f>IF('Feuilles=description générale'!$E$13="","",IF(AG126="","",IF(AG126&gt;('Feuilles=description générale'!$E$11+'Feuilles=description générale'!$E$10),"",100*(AG126-'Feuilles=description générale'!$E$10)/('Feuilles=description générale'!$E$11))))</f>
        <v/>
      </c>
      <c r="AI126" s="495" t="str">
        <f>IF('Feuilles=description générale'!$E$13="","",IF(AG126="","",IF(AG126&lt;=('Feuilles=description générale'!$E$11+'Feuilles=description générale'!$E$10),"",100*(AG126-'Feuilles=description générale'!$E$11-'Feuilles=description générale'!$E$10)/('Feuilles=description générale'!$E$12))))</f>
        <v/>
      </c>
      <c r="AJ126" s="496" t="str">
        <f>IF('Feuilles=description générale'!$E$13="","",IF(AG126="","",100*(AG126-'Feuilles=description générale'!$E$10)/('Feuilles=description générale'!$E$13-'Feuilles=description générale'!$E$10)))</f>
        <v/>
      </c>
      <c r="AK126" s="1113" t="str">
        <f t="shared" si="75"/>
        <v/>
      </c>
      <c r="AL126" s="498" t="str">
        <f t="shared" si="76"/>
        <v/>
      </c>
      <c r="AM126" s="494" t="str">
        <f t="shared" si="77"/>
        <v/>
      </c>
      <c r="AN126" s="499" t="str">
        <f t="shared" si="78"/>
        <v/>
      </c>
      <c r="AO126" s="371"/>
      <c r="AP126" s="494" t="str">
        <f t="shared" si="79"/>
        <v/>
      </c>
      <c r="AQ126" s="495" t="str">
        <f>IF('Feuilles=description générale'!$E$13="","",IF(AP126="","",IF(AP126&gt;('Feuilles=description générale'!$E$25+'Feuilles=description générale'!$E$24),"",100*(AP126-'Feuilles=description générale'!$E$24)/('Feuilles=description générale'!$E$25))))</f>
        <v/>
      </c>
      <c r="AR126" s="495" t="str">
        <f>IF('Feuilles=description générale'!$E$27="","",IF(AP126="","",IF(AP126&lt;=('Feuilles=description générale'!$E$25+'Feuilles=description générale'!$E$24),"",100*(AP126-'Feuilles=description générale'!$E$25-'Feuilles=description générale'!$E$24)/('Feuilles=description générale'!$E$26))))</f>
        <v/>
      </c>
      <c r="AS126" s="496" t="str">
        <f>IF('Feuilles=description générale'!$E$27="","",IF(AP126="","",100*(AP126-'Feuilles=description générale'!$E$24)/('Feuilles=description générale'!$E$27-'Feuilles=description générale'!$E$24)))</f>
        <v/>
      </c>
      <c r="AT126" s="497" t="str">
        <f t="shared" si="80"/>
        <v/>
      </c>
      <c r="AU126" s="500" t="str">
        <f t="shared" si="81"/>
        <v/>
      </c>
      <c r="AV126" s="494" t="str">
        <f t="shared" si="82"/>
        <v/>
      </c>
      <c r="AW126" s="499" t="str">
        <f t="shared" si="83"/>
        <v/>
      </c>
      <c r="AX126" s="371"/>
      <c r="AY126" s="494" t="str">
        <f t="shared" si="84"/>
        <v/>
      </c>
      <c r="AZ126" s="495" t="str">
        <f>IF('Feuilles=description générale'!$E$13="","",IF(AY126="","",IF(AY126&gt;('Feuilles=description générale'!$E$25+'Feuilles=description générale'!$E$24),"",100*(AY126-'Feuilles=description générale'!$E$24)/('Feuilles=description générale'!$E$25))))</f>
        <v/>
      </c>
      <c r="BA126" s="495" t="str">
        <f>IF('Feuilles=description générale'!$E$27="","",IF(AY126="","",IF(AY126&lt;=('Feuilles=description générale'!$E$25+'Feuilles=description générale'!$E$24),"",100*(AY126-'Feuilles=description générale'!$E$25-'Feuilles=description générale'!$E$24)/('Feuilles=description générale'!$E$26))))</f>
        <v/>
      </c>
      <c r="BB126" s="496" t="str">
        <f>IF('Feuilles=description générale'!$E$27="","",IF(AY126="","",100*(AY126-'Feuilles=description générale'!$E$24)/('Feuilles=description générale'!$E$27-'Feuilles=description générale'!$E$24)))</f>
        <v/>
      </c>
      <c r="BC126" s="497" t="str">
        <f t="shared" si="85"/>
        <v/>
      </c>
      <c r="BD126" s="500" t="str">
        <f t="shared" si="86"/>
        <v/>
      </c>
      <c r="BE126" s="494" t="str">
        <f t="shared" si="87"/>
        <v/>
      </c>
      <c r="BF126" s="499" t="str">
        <f t="shared" si="88"/>
        <v/>
      </c>
      <c r="BG126" s="476"/>
      <c r="BH126" s="563"/>
      <c r="BI126" s="562"/>
      <c r="BJ126" s="562"/>
      <c r="BK126" s="562"/>
      <c r="BL126" s="562"/>
      <c r="BM126" s="562"/>
      <c r="BN126" s="562"/>
      <c r="BO126" s="562"/>
      <c r="BP126" s="562"/>
      <c r="BQ126" s="562"/>
      <c r="BR126" s="562"/>
      <c r="BS126" s="562"/>
      <c r="BT126" s="562"/>
      <c r="BU126" s="568"/>
      <c r="BV126" s="1114" t="str">
        <f t="shared" si="89"/>
        <v/>
      </c>
      <c r="BW126" s="1114" t="str">
        <f t="shared" si="89"/>
        <v/>
      </c>
      <c r="BX126" s="1114" t="str">
        <f t="shared" si="90"/>
        <v/>
      </c>
      <c r="BY126" s="1115" t="str">
        <f t="shared" si="90"/>
        <v/>
      </c>
      <c r="BZ126" s="477"/>
      <c r="CA126" s="1114" t="str">
        <f t="shared" si="91"/>
        <v/>
      </c>
      <c r="CB126" s="1114" t="str">
        <f t="shared" si="91"/>
        <v/>
      </c>
      <c r="CC126" s="1114" t="str">
        <f t="shared" si="92"/>
        <v/>
      </c>
      <c r="CD126" s="1115" t="str">
        <f t="shared" si="92"/>
        <v/>
      </c>
      <c r="CE126" s="568"/>
      <c r="CF126" s="563"/>
      <c r="CG126" s="562"/>
      <c r="CH126" s="562"/>
      <c r="CI126" s="562"/>
      <c r="CJ126" s="562"/>
      <c r="CK126" s="562"/>
      <c r="CL126" s="562"/>
      <c r="CM126" s="562"/>
      <c r="CN126" s="562"/>
      <c r="CO126" s="562"/>
      <c r="CP126" s="562"/>
      <c r="CQ126" s="562"/>
      <c r="CR126" s="562"/>
      <c r="CS126" s="562"/>
      <c r="CT126" s="562"/>
      <c r="CU126" s="562"/>
      <c r="CV126" s="476"/>
      <c r="CW126" s="345"/>
      <c r="CX126" s="345"/>
      <c r="CY126" s="345"/>
      <c r="CZ126" s="345"/>
      <c r="DA126" s="345"/>
      <c r="DB126" s="345"/>
      <c r="DC126" s="345"/>
      <c r="DD126" s="345"/>
      <c r="DE126" s="345"/>
      <c r="DF126" s="345"/>
      <c r="DG126" s="345"/>
      <c r="DH126" s="345"/>
      <c r="DI126" s="345"/>
      <c r="DJ126" s="345"/>
      <c r="DK126" s="345"/>
      <c r="DL126" s="345"/>
      <c r="DM126" s="345"/>
      <c r="DN126" s="345"/>
      <c r="DO126" s="345"/>
      <c r="DP126" s="345"/>
      <c r="DQ126" s="345"/>
      <c r="DR126" s="345"/>
      <c r="DS126" s="345"/>
      <c r="DT126" s="345"/>
      <c r="DU126" s="345"/>
      <c r="DV126" s="345"/>
      <c r="DW126" s="345"/>
      <c r="DX126" s="345"/>
      <c r="DY126" s="345"/>
      <c r="DZ126" s="345"/>
      <c r="EA126" s="345"/>
      <c r="EB126" s="345"/>
      <c r="EC126" s="345"/>
      <c r="ED126" s="345"/>
      <c r="EE126" s="345"/>
      <c r="EF126" s="345"/>
      <c r="EG126" s="345"/>
      <c r="EH126" s="345"/>
      <c r="EI126" s="345"/>
      <c r="EJ126" s="345"/>
      <c r="EK126" s="345"/>
      <c r="EL126" s="345"/>
      <c r="EM126" s="345"/>
      <c r="EN126" s="345"/>
      <c r="EO126" s="345"/>
      <c r="EP126" s="345"/>
      <c r="EQ126" s="345"/>
      <c r="ER126" s="345"/>
      <c r="ES126" s="345"/>
      <c r="ET126" s="345"/>
      <c r="EU126" s="345"/>
      <c r="EV126" s="345"/>
      <c r="EW126" s="345"/>
      <c r="EX126" s="345"/>
      <c r="EY126" s="345"/>
      <c r="EZ126" s="345"/>
      <c r="FA126" s="345"/>
      <c r="FB126" s="345"/>
      <c r="FC126" s="345"/>
      <c r="FD126" s="345"/>
      <c r="FE126" s="345"/>
      <c r="FF126" s="345"/>
      <c r="FG126" s="345"/>
      <c r="FH126" s="345"/>
      <c r="FI126" s="345"/>
      <c r="FJ126" s="345"/>
      <c r="FK126" s="345"/>
      <c r="FL126" s="345"/>
      <c r="FM126" s="345"/>
      <c r="FN126" s="345"/>
      <c r="FO126" s="345"/>
      <c r="FP126" s="345"/>
      <c r="FQ126" s="345"/>
      <c r="FR126" s="345"/>
      <c r="FS126" s="345"/>
      <c r="FT126" s="345"/>
      <c r="FU126" s="345"/>
      <c r="FV126" s="345"/>
      <c r="FW126" s="345"/>
      <c r="FX126" s="345"/>
      <c r="FY126" s="345"/>
      <c r="FZ126" s="345"/>
      <c r="GA126" s="345"/>
      <c r="GB126" s="345"/>
      <c r="GC126" s="345"/>
      <c r="GD126" s="345"/>
      <c r="GE126" s="345"/>
      <c r="GF126" s="345"/>
      <c r="GG126" s="345"/>
      <c r="GH126" s="345"/>
      <c r="GI126" s="345"/>
      <c r="GJ126" s="345"/>
      <c r="GK126" s="345"/>
      <c r="GL126" s="345"/>
      <c r="GM126" s="345"/>
      <c r="GN126" s="345"/>
      <c r="GO126" s="345"/>
      <c r="GP126" s="345"/>
      <c r="GQ126" s="345"/>
      <c r="GR126" s="345"/>
      <c r="GS126" s="345"/>
      <c r="GT126" s="345"/>
      <c r="GU126" s="345"/>
    </row>
    <row r="127" spans="1:203" ht="12.75" customHeight="1">
      <c r="A127" s="465" t="str">
        <f t="shared" si="95"/>
        <v/>
      </c>
      <c r="B127" s="1108">
        <v>117</v>
      </c>
      <c r="C127" s="1109"/>
      <c r="D127" s="398"/>
      <c r="E127" s="1116"/>
      <c r="F127" s="465" t="str">
        <f t="shared" si="97"/>
        <v/>
      </c>
      <c r="G127" s="1108">
        <v>117</v>
      </c>
      <c r="H127" s="1109"/>
      <c r="I127" s="398"/>
      <c r="J127" s="1116"/>
      <c r="K127" s="465"/>
      <c r="L127" s="465"/>
      <c r="M127" s="465" t="str">
        <f t="shared" si="93"/>
        <v/>
      </c>
      <c r="N127" s="1108">
        <v>117</v>
      </c>
      <c r="O127" s="1109"/>
      <c r="P127" s="398"/>
      <c r="Q127" s="1116"/>
      <c r="R127" s="465" t="str">
        <f t="shared" si="94"/>
        <v/>
      </c>
      <c r="S127" s="1108">
        <v>117</v>
      </c>
      <c r="T127" s="1109"/>
      <c r="U127" s="1110"/>
      <c r="V127" s="1116"/>
      <c r="W127" s="371"/>
      <c r="X127" s="494" t="str">
        <f t="shared" si="70"/>
        <v/>
      </c>
      <c r="Y127" s="495" t="str">
        <f>IF('Feuilles=description générale'!$E$13="","",IF(X127="","",IF(X127&gt;('Feuilles=description générale'!$E$11+'Feuilles=description générale'!$E$10),"",100*(X127-'Feuilles=description générale'!$E$10)/('Feuilles=description générale'!$E$11))))</f>
        <v/>
      </c>
      <c r="Z127" s="495" t="str">
        <f>IF('Feuilles=description générale'!$E$13="","",IF(X127="","",IF(X127&lt;=('Feuilles=description générale'!$E$11+'Feuilles=description générale'!$E$10),"",100*(X127-'Feuilles=description générale'!$E$11-'Feuilles=description générale'!$E$10)/('Feuilles=description générale'!$E$12))))</f>
        <v/>
      </c>
      <c r="AA127" s="1112" t="str">
        <f>IF('Feuilles=description générale'!$E$13="","",IF(X127="","",100*(X127-'Feuilles=description générale'!$E$10)/('Feuilles=description générale'!$E$13-'Feuilles=description générale'!$E$10)))</f>
        <v/>
      </c>
      <c r="AB127" s="497" t="str">
        <f t="shared" si="71"/>
        <v/>
      </c>
      <c r="AC127" s="500" t="str">
        <f t="shared" si="96"/>
        <v/>
      </c>
      <c r="AD127" s="494" t="str">
        <f t="shared" si="72"/>
        <v/>
      </c>
      <c r="AE127" s="499" t="str">
        <f t="shared" si="73"/>
        <v/>
      </c>
      <c r="AF127" s="371"/>
      <c r="AG127" s="494" t="str">
        <f t="shared" si="74"/>
        <v/>
      </c>
      <c r="AH127" s="495" t="str">
        <f>IF('Feuilles=description générale'!$E$13="","",IF(AG127="","",IF(AG127&gt;('Feuilles=description générale'!$E$11+'Feuilles=description générale'!$E$10),"",100*(AG127-'Feuilles=description générale'!$E$10)/('Feuilles=description générale'!$E$11))))</f>
        <v/>
      </c>
      <c r="AI127" s="495" t="str">
        <f>IF('Feuilles=description générale'!$E$13="","",IF(AG127="","",IF(AG127&lt;=('Feuilles=description générale'!$E$11+'Feuilles=description générale'!$E$10),"",100*(AG127-'Feuilles=description générale'!$E$11-'Feuilles=description générale'!$E$10)/('Feuilles=description générale'!$E$12))))</f>
        <v/>
      </c>
      <c r="AJ127" s="496" t="str">
        <f>IF('Feuilles=description générale'!$E$13="","",IF(AG127="","",100*(AG127-'Feuilles=description générale'!$E$10)/('Feuilles=description générale'!$E$13-'Feuilles=description générale'!$E$10)))</f>
        <v/>
      </c>
      <c r="AK127" s="1113" t="str">
        <f t="shared" si="75"/>
        <v/>
      </c>
      <c r="AL127" s="498" t="str">
        <f t="shared" si="76"/>
        <v/>
      </c>
      <c r="AM127" s="494" t="str">
        <f t="shared" si="77"/>
        <v/>
      </c>
      <c r="AN127" s="499" t="str">
        <f t="shared" si="78"/>
        <v/>
      </c>
      <c r="AO127" s="371"/>
      <c r="AP127" s="494" t="str">
        <f t="shared" si="79"/>
        <v/>
      </c>
      <c r="AQ127" s="495" t="str">
        <f>IF('Feuilles=description générale'!$E$13="","",IF(AP127="","",IF(AP127&gt;('Feuilles=description générale'!$E$25+'Feuilles=description générale'!$E$24),"",100*(AP127-'Feuilles=description générale'!$E$24)/('Feuilles=description générale'!$E$25))))</f>
        <v/>
      </c>
      <c r="AR127" s="495" t="str">
        <f>IF('Feuilles=description générale'!$E$27="","",IF(AP127="","",IF(AP127&lt;=('Feuilles=description générale'!$E$25+'Feuilles=description générale'!$E$24),"",100*(AP127-'Feuilles=description générale'!$E$25-'Feuilles=description générale'!$E$24)/('Feuilles=description générale'!$E$26))))</f>
        <v/>
      </c>
      <c r="AS127" s="496" t="str">
        <f>IF('Feuilles=description générale'!$E$27="","",IF(AP127="","",100*(AP127-'Feuilles=description générale'!$E$24)/('Feuilles=description générale'!$E$27-'Feuilles=description générale'!$E$24)))</f>
        <v/>
      </c>
      <c r="AT127" s="497" t="str">
        <f t="shared" si="80"/>
        <v/>
      </c>
      <c r="AU127" s="500" t="str">
        <f t="shared" si="81"/>
        <v/>
      </c>
      <c r="AV127" s="494" t="str">
        <f t="shared" si="82"/>
        <v/>
      </c>
      <c r="AW127" s="499" t="str">
        <f t="shared" si="83"/>
        <v/>
      </c>
      <c r="AX127" s="371"/>
      <c r="AY127" s="494" t="str">
        <f t="shared" si="84"/>
        <v/>
      </c>
      <c r="AZ127" s="495" t="str">
        <f>IF('Feuilles=description générale'!$E$13="","",IF(AY127="","",IF(AY127&gt;('Feuilles=description générale'!$E$25+'Feuilles=description générale'!$E$24),"",100*(AY127-'Feuilles=description générale'!$E$24)/('Feuilles=description générale'!$E$25))))</f>
        <v/>
      </c>
      <c r="BA127" s="495" t="str">
        <f>IF('Feuilles=description générale'!$E$27="","",IF(AY127="","",IF(AY127&lt;=('Feuilles=description générale'!$E$25+'Feuilles=description générale'!$E$24),"",100*(AY127-'Feuilles=description générale'!$E$25-'Feuilles=description générale'!$E$24)/('Feuilles=description générale'!$E$26))))</f>
        <v/>
      </c>
      <c r="BB127" s="496" t="str">
        <f>IF('Feuilles=description générale'!$E$27="","",IF(AY127="","",100*(AY127-'Feuilles=description générale'!$E$24)/('Feuilles=description générale'!$E$27-'Feuilles=description générale'!$E$24)))</f>
        <v/>
      </c>
      <c r="BC127" s="497" t="str">
        <f t="shared" si="85"/>
        <v/>
      </c>
      <c r="BD127" s="500" t="str">
        <f t="shared" si="86"/>
        <v/>
      </c>
      <c r="BE127" s="494" t="str">
        <f t="shared" si="87"/>
        <v/>
      </c>
      <c r="BF127" s="499" t="str">
        <f t="shared" si="88"/>
        <v/>
      </c>
      <c r="BG127" s="476"/>
      <c r="BH127" s="563"/>
      <c r="BI127" s="562"/>
      <c r="BJ127" s="562"/>
      <c r="BK127" s="562"/>
      <c r="BL127" s="562"/>
      <c r="BM127" s="562"/>
      <c r="BN127" s="562"/>
      <c r="BO127" s="562"/>
      <c r="BP127" s="562"/>
      <c r="BQ127" s="562"/>
      <c r="BR127" s="562"/>
      <c r="BS127" s="562"/>
      <c r="BT127" s="562"/>
      <c r="BU127" s="568"/>
      <c r="BV127" s="1114" t="str">
        <f t="shared" si="89"/>
        <v/>
      </c>
      <c r="BW127" s="1114" t="str">
        <f t="shared" si="89"/>
        <v/>
      </c>
      <c r="BX127" s="1114" t="str">
        <f t="shared" si="90"/>
        <v/>
      </c>
      <c r="BY127" s="1115" t="str">
        <f t="shared" si="90"/>
        <v/>
      </c>
      <c r="BZ127" s="477"/>
      <c r="CA127" s="1114" t="str">
        <f t="shared" si="91"/>
        <v/>
      </c>
      <c r="CB127" s="1114" t="str">
        <f t="shared" si="91"/>
        <v/>
      </c>
      <c r="CC127" s="1114" t="str">
        <f t="shared" si="92"/>
        <v/>
      </c>
      <c r="CD127" s="1115" t="str">
        <f t="shared" si="92"/>
        <v/>
      </c>
      <c r="CE127" s="568"/>
      <c r="CF127" s="563"/>
      <c r="CG127" s="562"/>
      <c r="CH127" s="562"/>
      <c r="CI127" s="562"/>
      <c r="CJ127" s="562"/>
      <c r="CK127" s="562"/>
      <c r="CL127" s="562"/>
      <c r="CM127" s="562"/>
      <c r="CN127" s="562"/>
      <c r="CO127" s="562"/>
      <c r="CP127" s="562"/>
      <c r="CQ127" s="562"/>
      <c r="CR127" s="562"/>
      <c r="CS127" s="562"/>
      <c r="CT127" s="562"/>
      <c r="CU127" s="562"/>
      <c r="CV127" s="476"/>
      <c r="CW127" s="345"/>
      <c r="CX127" s="345"/>
      <c r="CY127" s="345"/>
      <c r="CZ127" s="345"/>
      <c r="DA127" s="345"/>
      <c r="DB127" s="345"/>
      <c r="DC127" s="345"/>
      <c r="DD127" s="345"/>
      <c r="DE127" s="345"/>
      <c r="DF127" s="345"/>
      <c r="DG127" s="345"/>
      <c r="DH127" s="345"/>
      <c r="DI127" s="345"/>
      <c r="DJ127" s="345"/>
      <c r="DK127" s="345"/>
      <c r="DL127" s="345"/>
      <c r="DM127" s="345"/>
      <c r="DN127" s="345"/>
      <c r="DO127" s="345"/>
      <c r="DP127" s="345"/>
      <c r="DQ127" s="345"/>
      <c r="DR127" s="345"/>
      <c r="DS127" s="345"/>
      <c r="DT127" s="345"/>
      <c r="DU127" s="345"/>
      <c r="DV127" s="345"/>
      <c r="DW127" s="345"/>
      <c r="DX127" s="345"/>
      <c r="DY127" s="345"/>
      <c r="DZ127" s="345"/>
      <c r="EA127" s="345"/>
      <c r="EB127" s="345"/>
      <c r="EC127" s="345"/>
      <c r="ED127" s="345"/>
      <c r="EE127" s="345"/>
      <c r="EF127" s="345"/>
      <c r="EG127" s="345"/>
      <c r="EH127" s="345"/>
      <c r="EI127" s="345"/>
      <c r="EJ127" s="345"/>
      <c r="EK127" s="345"/>
      <c r="EL127" s="345"/>
      <c r="EM127" s="345"/>
      <c r="EN127" s="345"/>
      <c r="EO127" s="345"/>
      <c r="EP127" s="345"/>
      <c r="EQ127" s="345"/>
      <c r="ER127" s="345"/>
      <c r="ES127" s="345"/>
      <c r="ET127" s="345"/>
      <c r="EU127" s="345"/>
      <c r="EV127" s="345"/>
      <c r="EW127" s="345"/>
      <c r="EX127" s="345"/>
      <c r="EY127" s="345"/>
      <c r="EZ127" s="345"/>
      <c r="FA127" s="345"/>
      <c r="FB127" s="345"/>
      <c r="FC127" s="345"/>
      <c r="FD127" s="345"/>
      <c r="FE127" s="345"/>
      <c r="FF127" s="345"/>
      <c r="FG127" s="345"/>
      <c r="FH127" s="345"/>
      <c r="FI127" s="345"/>
      <c r="FJ127" s="345"/>
      <c r="FK127" s="345"/>
      <c r="FL127" s="345"/>
      <c r="FM127" s="345"/>
      <c r="FN127" s="345"/>
      <c r="FO127" s="345"/>
      <c r="FP127" s="345"/>
      <c r="FQ127" s="345"/>
      <c r="FR127" s="345"/>
      <c r="FS127" s="345"/>
      <c r="FT127" s="345"/>
      <c r="FU127" s="345"/>
      <c r="FV127" s="345"/>
      <c r="FW127" s="345"/>
      <c r="FX127" s="345"/>
      <c r="FY127" s="345"/>
      <c r="FZ127" s="345"/>
      <c r="GA127" s="345"/>
      <c r="GB127" s="345"/>
      <c r="GC127" s="345"/>
      <c r="GD127" s="345"/>
      <c r="GE127" s="345"/>
      <c r="GF127" s="345"/>
      <c r="GG127" s="345"/>
      <c r="GH127" s="345"/>
      <c r="GI127" s="345"/>
      <c r="GJ127" s="345"/>
      <c r="GK127" s="345"/>
      <c r="GL127" s="345"/>
      <c r="GM127" s="345"/>
      <c r="GN127" s="345"/>
      <c r="GO127" s="345"/>
      <c r="GP127" s="345"/>
      <c r="GQ127" s="345"/>
      <c r="GR127" s="345"/>
      <c r="GS127" s="345"/>
      <c r="GT127" s="345"/>
      <c r="GU127" s="345"/>
    </row>
    <row r="128" spans="1:203" ht="12.75" customHeight="1">
      <c r="A128" s="465" t="str">
        <f t="shared" si="95"/>
        <v/>
      </c>
      <c r="B128" s="1108">
        <v>118</v>
      </c>
      <c r="C128" s="1109"/>
      <c r="D128" s="398"/>
      <c r="E128" s="1116"/>
      <c r="F128" s="465" t="str">
        <f t="shared" si="97"/>
        <v/>
      </c>
      <c r="G128" s="1108">
        <v>118</v>
      </c>
      <c r="H128" s="1109"/>
      <c r="I128" s="398"/>
      <c r="J128" s="1116"/>
      <c r="K128" s="465"/>
      <c r="L128" s="465"/>
      <c r="M128" s="465" t="str">
        <f t="shared" si="93"/>
        <v/>
      </c>
      <c r="N128" s="1108">
        <v>118</v>
      </c>
      <c r="O128" s="1109"/>
      <c r="P128" s="398"/>
      <c r="Q128" s="1116"/>
      <c r="R128" s="465" t="str">
        <f t="shared" si="94"/>
        <v/>
      </c>
      <c r="S128" s="1108">
        <v>118</v>
      </c>
      <c r="T128" s="1109"/>
      <c r="U128" s="1110"/>
      <c r="V128" s="1116"/>
      <c r="W128" s="371"/>
      <c r="X128" s="494" t="str">
        <f t="shared" si="70"/>
        <v/>
      </c>
      <c r="Y128" s="495" t="str">
        <f>IF('Feuilles=description générale'!$E$13="","",IF(X128="","",IF(X128&gt;('Feuilles=description générale'!$E$11+'Feuilles=description générale'!$E$10),"",100*(X128-'Feuilles=description générale'!$E$10)/('Feuilles=description générale'!$E$11))))</f>
        <v/>
      </c>
      <c r="Z128" s="495" t="str">
        <f>IF('Feuilles=description générale'!$E$13="","",IF(X128="","",IF(X128&lt;=('Feuilles=description générale'!$E$11+'Feuilles=description générale'!$E$10),"",100*(X128-'Feuilles=description générale'!$E$11-'Feuilles=description générale'!$E$10)/('Feuilles=description générale'!$E$12))))</f>
        <v/>
      </c>
      <c r="AA128" s="1112" t="str">
        <f>IF('Feuilles=description générale'!$E$13="","",IF(X128="","",100*(X128-'Feuilles=description générale'!$E$10)/('Feuilles=description générale'!$E$13-'Feuilles=description générale'!$E$10)))</f>
        <v/>
      </c>
      <c r="AB128" s="497" t="str">
        <f t="shared" si="71"/>
        <v/>
      </c>
      <c r="AC128" s="500" t="str">
        <f t="shared" si="96"/>
        <v/>
      </c>
      <c r="AD128" s="494" t="str">
        <f t="shared" si="72"/>
        <v/>
      </c>
      <c r="AE128" s="499" t="str">
        <f t="shared" si="73"/>
        <v/>
      </c>
      <c r="AF128" s="371"/>
      <c r="AG128" s="494" t="str">
        <f t="shared" si="74"/>
        <v/>
      </c>
      <c r="AH128" s="495" t="str">
        <f>IF('Feuilles=description générale'!$E$13="","",IF(AG128="","",IF(AG128&gt;('Feuilles=description générale'!$E$11+'Feuilles=description générale'!$E$10),"",100*(AG128-'Feuilles=description générale'!$E$10)/('Feuilles=description générale'!$E$11))))</f>
        <v/>
      </c>
      <c r="AI128" s="495" t="str">
        <f>IF('Feuilles=description générale'!$E$13="","",IF(AG128="","",IF(AG128&lt;=('Feuilles=description générale'!$E$11+'Feuilles=description générale'!$E$10),"",100*(AG128-'Feuilles=description générale'!$E$11-'Feuilles=description générale'!$E$10)/('Feuilles=description générale'!$E$12))))</f>
        <v/>
      </c>
      <c r="AJ128" s="496" t="str">
        <f>IF('Feuilles=description générale'!$E$13="","",IF(AG128="","",100*(AG128-'Feuilles=description générale'!$E$10)/('Feuilles=description générale'!$E$13-'Feuilles=description générale'!$E$10)))</f>
        <v/>
      </c>
      <c r="AK128" s="1113" t="str">
        <f t="shared" si="75"/>
        <v/>
      </c>
      <c r="AL128" s="498" t="str">
        <f t="shared" si="76"/>
        <v/>
      </c>
      <c r="AM128" s="494" t="str">
        <f t="shared" si="77"/>
        <v/>
      </c>
      <c r="AN128" s="499" t="str">
        <f t="shared" si="78"/>
        <v/>
      </c>
      <c r="AO128" s="371"/>
      <c r="AP128" s="494" t="str">
        <f t="shared" si="79"/>
        <v/>
      </c>
      <c r="AQ128" s="495" t="str">
        <f>IF('Feuilles=description générale'!$E$13="","",IF(AP128="","",IF(AP128&gt;('Feuilles=description générale'!$E$25+'Feuilles=description générale'!$E$24),"",100*(AP128-'Feuilles=description générale'!$E$24)/('Feuilles=description générale'!$E$25))))</f>
        <v/>
      </c>
      <c r="AR128" s="495" t="str">
        <f>IF('Feuilles=description générale'!$E$27="","",IF(AP128="","",IF(AP128&lt;=('Feuilles=description générale'!$E$25+'Feuilles=description générale'!$E$24),"",100*(AP128-'Feuilles=description générale'!$E$25-'Feuilles=description générale'!$E$24)/('Feuilles=description générale'!$E$26))))</f>
        <v/>
      </c>
      <c r="AS128" s="496" t="str">
        <f>IF('Feuilles=description générale'!$E$27="","",IF(AP128="","",100*(AP128-'Feuilles=description générale'!$E$24)/('Feuilles=description générale'!$E$27-'Feuilles=description générale'!$E$24)))</f>
        <v/>
      </c>
      <c r="AT128" s="497" t="str">
        <f t="shared" si="80"/>
        <v/>
      </c>
      <c r="AU128" s="500" t="str">
        <f t="shared" si="81"/>
        <v/>
      </c>
      <c r="AV128" s="494" t="str">
        <f t="shared" si="82"/>
        <v/>
      </c>
      <c r="AW128" s="499" t="str">
        <f t="shared" si="83"/>
        <v/>
      </c>
      <c r="AX128" s="371"/>
      <c r="AY128" s="494" t="str">
        <f t="shared" si="84"/>
        <v/>
      </c>
      <c r="AZ128" s="495" t="str">
        <f>IF('Feuilles=description générale'!$E$13="","",IF(AY128="","",IF(AY128&gt;('Feuilles=description générale'!$E$25+'Feuilles=description générale'!$E$24),"",100*(AY128-'Feuilles=description générale'!$E$24)/('Feuilles=description générale'!$E$25))))</f>
        <v/>
      </c>
      <c r="BA128" s="495" t="str">
        <f>IF('Feuilles=description générale'!$E$27="","",IF(AY128="","",IF(AY128&lt;=('Feuilles=description générale'!$E$25+'Feuilles=description générale'!$E$24),"",100*(AY128-'Feuilles=description générale'!$E$25-'Feuilles=description générale'!$E$24)/('Feuilles=description générale'!$E$26))))</f>
        <v/>
      </c>
      <c r="BB128" s="496" t="str">
        <f>IF('Feuilles=description générale'!$E$27="","",IF(AY128="","",100*(AY128-'Feuilles=description générale'!$E$24)/('Feuilles=description générale'!$E$27-'Feuilles=description générale'!$E$24)))</f>
        <v/>
      </c>
      <c r="BC128" s="497" t="str">
        <f t="shared" si="85"/>
        <v/>
      </c>
      <c r="BD128" s="500" t="str">
        <f t="shared" si="86"/>
        <v/>
      </c>
      <c r="BE128" s="494" t="str">
        <f t="shared" si="87"/>
        <v/>
      </c>
      <c r="BF128" s="499" t="str">
        <f t="shared" si="88"/>
        <v/>
      </c>
      <c r="BG128" s="476"/>
      <c r="BH128" s="563"/>
      <c r="BI128" s="562"/>
      <c r="BJ128" s="562"/>
      <c r="BK128" s="562"/>
      <c r="BL128" s="562"/>
      <c r="BM128" s="562"/>
      <c r="BN128" s="562"/>
      <c r="BO128" s="562"/>
      <c r="BP128" s="562"/>
      <c r="BQ128" s="562"/>
      <c r="BR128" s="562"/>
      <c r="BS128" s="562"/>
      <c r="BT128" s="562"/>
      <c r="BU128" s="568"/>
      <c r="BV128" s="1114" t="str">
        <f t="shared" si="89"/>
        <v/>
      </c>
      <c r="BW128" s="1114" t="str">
        <f t="shared" si="89"/>
        <v/>
      </c>
      <c r="BX128" s="1114" t="str">
        <f t="shared" si="90"/>
        <v/>
      </c>
      <c r="BY128" s="1115" t="str">
        <f t="shared" si="90"/>
        <v/>
      </c>
      <c r="BZ128" s="477"/>
      <c r="CA128" s="1114" t="str">
        <f t="shared" si="91"/>
        <v/>
      </c>
      <c r="CB128" s="1114" t="str">
        <f t="shared" si="91"/>
        <v/>
      </c>
      <c r="CC128" s="1114" t="str">
        <f t="shared" si="92"/>
        <v/>
      </c>
      <c r="CD128" s="1115" t="str">
        <f t="shared" si="92"/>
        <v/>
      </c>
      <c r="CE128" s="568"/>
      <c r="CF128" s="563"/>
      <c r="CG128" s="562"/>
      <c r="CH128" s="562"/>
      <c r="CI128" s="562"/>
      <c r="CJ128" s="562"/>
      <c r="CK128" s="562"/>
      <c r="CL128" s="562"/>
      <c r="CM128" s="562"/>
      <c r="CN128" s="562"/>
      <c r="CO128" s="562"/>
      <c r="CP128" s="562"/>
      <c r="CQ128" s="562"/>
      <c r="CR128" s="562"/>
      <c r="CS128" s="562"/>
      <c r="CT128" s="562"/>
      <c r="CU128" s="562"/>
      <c r="CV128" s="476"/>
      <c r="CW128" s="345"/>
      <c r="CX128" s="345"/>
      <c r="CY128" s="345"/>
      <c r="CZ128" s="345"/>
      <c r="DA128" s="345"/>
      <c r="DB128" s="345"/>
      <c r="DC128" s="345"/>
      <c r="DD128" s="345"/>
      <c r="DE128" s="345"/>
      <c r="DF128" s="345"/>
      <c r="DG128" s="345"/>
      <c r="DH128" s="345"/>
      <c r="DI128" s="345"/>
      <c r="DJ128" s="345"/>
      <c r="DK128" s="345"/>
      <c r="DL128" s="345"/>
      <c r="DM128" s="345"/>
      <c r="DN128" s="345"/>
      <c r="DO128" s="345"/>
      <c r="DP128" s="345"/>
      <c r="DQ128" s="345"/>
      <c r="DR128" s="345"/>
      <c r="DS128" s="345"/>
      <c r="DT128" s="345"/>
      <c r="DU128" s="345"/>
      <c r="DV128" s="345"/>
      <c r="DW128" s="345"/>
      <c r="DX128" s="345"/>
      <c r="DY128" s="345"/>
      <c r="DZ128" s="345"/>
      <c r="EA128" s="345"/>
      <c r="EB128" s="345"/>
      <c r="EC128" s="345"/>
      <c r="ED128" s="345"/>
      <c r="EE128" s="345"/>
      <c r="EF128" s="345"/>
      <c r="EG128" s="345"/>
      <c r="EH128" s="345"/>
      <c r="EI128" s="345"/>
      <c r="EJ128" s="345"/>
      <c r="EK128" s="345"/>
      <c r="EL128" s="345"/>
      <c r="EM128" s="345"/>
      <c r="EN128" s="345"/>
      <c r="EO128" s="345"/>
      <c r="EP128" s="345"/>
      <c r="EQ128" s="345"/>
      <c r="ER128" s="345"/>
      <c r="ES128" s="345"/>
      <c r="ET128" s="345"/>
      <c r="EU128" s="345"/>
      <c r="EV128" s="345"/>
      <c r="EW128" s="345"/>
      <c r="EX128" s="345"/>
      <c r="EY128" s="345"/>
      <c r="EZ128" s="345"/>
      <c r="FA128" s="345"/>
      <c r="FB128" s="345"/>
      <c r="FC128" s="345"/>
      <c r="FD128" s="345"/>
      <c r="FE128" s="345"/>
      <c r="FF128" s="345"/>
      <c r="FG128" s="345"/>
      <c r="FH128" s="345"/>
      <c r="FI128" s="345"/>
      <c r="FJ128" s="345"/>
      <c r="FK128" s="345"/>
      <c r="FL128" s="345"/>
      <c r="FM128" s="345"/>
      <c r="FN128" s="345"/>
      <c r="FO128" s="345"/>
      <c r="FP128" s="345"/>
      <c r="FQ128" s="345"/>
      <c r="FR128" s="345"/>
      <c r="FS128" s="345"/>
      <c r="FT128" s="345"/>
      <c r="FU128" s="345"/>
      <c r="FV128" s="345"/>
      <c r="FW128" s="345"/>
      <c r="FX128" s="345"/>
      <c r="FY128" s="345"/>
      <c r="FZ128" s="345"/>
      <c r="GA128" s="345"/>
      <c r="GB128" s="345"/>
      <c r="GC128" s="345"/>
      <c r="GD128" s="345"/>
      <c r="GE128" s="345"/>
      <c r="GF128" s="345"/>
      <c r="GG128" s="345"/>
      <c r="GH128" s="345"/>
      <c r="GI128" s="345"/>
      <c r="GJ128" s="345"/>
      <c r="GK128" s="345"/>
      <c r="GL128" s="345"/>
      <c r="GM128" s="345"/>
      <c r="GN128" s="345"/>
      <c r="GO128" s="345"/>
      <c r="GP128" s="345"/>
      <c r="GQ128" s="345"/>
      <c r="GR128" s="345"/>
      <c r="GS128" s="345"/>
      <c r="GT128" s="345"/>
      <c r="GU128" s="345"/>
    </row>
    <row r="129" spans="1:203" ht="12.75" customHeight="1">
      <c r="A129" s="465" t="str">
        <f t="shared" si="95"/>
        <v/>
      </c>
      <c r="B129" s="1108">
        <v>119</v>
      </c>
      <c r="C129" s="1109"/>
      <c r="D129" s="398"/>
      <c r="E129" s="1116"/>
      <c r="F129" s="465" t="str">
        <f t="shared" si="97"/>
        <v/>
      </c>
      <c r="G129" s="1108">
        <v>119</v>
      </c>
      <c r="H129" s="1109"/>
      <c r="I129" s="398"/>
      <c r="J129" s="1116"/>
      <c r="K129" s="465"/>
      <c r="L129" s="465"/>
      <c r="M129" s="465" t="str">
        <f t="shared" si="93"/>
        <v/>
      </c>
      <c r="N129" s="1108">
        <v>119</v>
      </c>
      <c r="O129" s="1109"/>
      <c r="P129" s="398"/>
      <c r="Q129" s="1116"/>
      <c r="R129" s="465" t="str">
        <f t="shared" si="94"/>
        <v/>
      </c>
      <c r="S129" s="1108">
        <v>119</v>
      </c>
      <c r="T129" s="1109"/>
      <c r="U129" s="1110"/>
      <c r="V129" s="1116"/>
      <c r="W129" s="371"/>
      <c r="X129" s="494" t="str">
        <f t="shared" si="70"/>
        <v/>
      </c>
      <c r="Y129" s="495" t="str">
        <f>IF('Feuilles=description générale'!$E$13="","",IF(X129="","",IF(X129&gt;('Feuilles=description générale'!$E$11+'Feuilles=description générale'!$E$10),"",100*(X129-'Feuilles=description générale'!$E$10)/('Feuilles=description générale'!$E$11))))</f>
        <v/>
      </c>
      <c r="Z129" s="495" t="str">
        <f>IF('Feuilles=description générale'!$E$13="","",IF(X129="","",IF(X129&lt;=('Feuilles=description générale'!$E$11+'Feuilles=description générale'!$E$10),"",100*(X129-'Feuilles=description générale'!$E$11-'Feuilles=description générale'!$E$10)/('Feuilles=description générale'!$E$12))))</f>
        <v/>
      </c>
      <c r="AA129" s="1112" t="str">
        <f>IF('Feuilles=description générale'!$E$13="","",IF(X129="","",100*(X129-'Feuilles=description générale'!$E$10)/('Feuilles=description générale'!$E$13-'Feuilles=description générale'!$E$10)))</f>
        <v/>
      </c>
      <c r="AB129" s="497" t="str">
        <f t="shared" si="71"/>
        <v/>
      </c>
      <c r="AC129" s="500" t="str">
        <f t="shared" si="96"/>
        <v/>
      </c>
      <c r="AD129" s="494" t="str">
        <f t="shared" si="72"/>
        <v/>
      </c>
      <c r="AE129" s="499" t="str">
        <f t="shared" si="73"/>
        <v/>
      </c>
      <c r="AF129" s="371"/>
      <c r="AG129" s="494" t="str">
        <f t="shared" si="74"/>
        <v/>
      </c>
      <c r="AH129" s="495" t="str">
        <f>IF('Feuilles=description générale'!$E$13="","",IF(AG129="","",IF(AG129&gt;('Feuilles=description générale'!$E$11+'Feuilles=description générale'!$E$10),"",100*(AG129-'Feuilles=description générale'!$E$10)/('Feuilles=description générale'!$E$11))))</f>
        <v/>
      </c>
      <c r="AI129" s="495" t="str">
        <f>IF('Feuilles=description générale'!$E$13="","",IF(AG129="","",IF(AG129&lt;=('Feuilles=description générale'!$E$11+'Feuilles=description générale'!$E$10),"",100*(AG129-'Feuilles=description générale'!$E$11-'Feuilles=description générale'!$E$10)/('Feuilles=description générale'!$E$12))))</f>
        <v/>
      </c>
      <c r="AJ129" s="496" t="str">
        <f>IF('Feuilles=description générale'!$E$13="","",IF(AG129="","",100*(AG129-'Feuilles=description générale'!$E$10)/('Feuilles=description générale'!$E$13-'Feuilles=description générale'!$E$10)))</f>
        <v/>
      </c>
      <c r="AK129" s="1113" t="str">
        <f t="shared" si="75"/>
        <v/>
      </c>
      <c r="AL129" s="498" t="str">
        <f t="shared" si="76"/>
        <v/>
      </c>
      <c r="AM129" s="494" t="str">
        <f t="shared" si="77"/>
        <v/>
      </c>
      <c r="AN129" s="499" t="str">
        <f t="shared" si="78"/>
        <v/>
      </c>
      <c r="AO129" s="371"/>
      <c r="AP129" s="494" t="str">
        <f t="shared" si="79"/>
        <v/>
      </c>
      <c r="AQ129" s="495" t="str">
        <f>IF('Feuilles=description générale'!$E$13="","",IF(AP129="","",IF(AP129&gt;('Feuilles=description générale'!$E$25+'Feuilles=description générale'!$E$24),"",100*(AP129-'Feuilles=description générale'!$E$24)/('Feuilles=description générale'!$E$25))))</f>
        <v/>
      </c>
      <c r="AR129" s="495" t="str">
        <f>IF('Feuilles=description générale'!$E$27="","",IF(AP129="","",IF(AP129&lt;=('Feuilles=description générale'!$E$25+'Feuilles=description générale'!$E$24),"",100*(AP129-'Feuilles=description générale'!$E$25-'Feuilles=description générale'!$E$24)/('Feuilles=description générale'!$E$26))))</f>
        <v/>
      </c>
      <c r="AS129" s="496" t="str">
        <f>IF('Feuilles=description générale'!$E$27="","",IF(AP129="","",100*(AP129-'Feuilles=description générale'!$E$24)/('Feuilles=description générale'!$E$27-'Feuilles=description générale'!$E$24)))</f>
        <v/>
      </c>
      <c r="AT129" s="497" t="str">
        <f t="shared" si="80"/>
        <v/>
      </c>
      <c r="AU129" s="500" t="str">
        <f t="shared" si="81"/>
        <v/>
      </c>
      <c r="AV129" s="494" t="str">
        <f t="shared" si="82"/>
        <v/>
      </c>
      <c r="AW129" s="499" t="str">
        <f t="shared" si="83"/>
        <v/>
      </c>
      <c r="AX129" s="371"/>
      <c r="AY129" s="494" t="str">
        <f t="shared" si="84"/>
        <v/>
      </c>
      <c r="AZ129" s="495" t="str">
        <f>IF('Feuilles=description générale'!$E$13="","",IF(AY129="","",IF(AY129&gt;('Feuilles=description générale'!$E$25+'Feuilles=description générale'!$E$24),"",100*(AY129-'Feuilles=description générale'!$E$24)/('Feuilles=description générale'!$E$25))))</f>
        <v/>
      </c>
      <c r="BA129" s="495" t="str">
        <f>IF('Feuilles=description générale'!$E$27="","",IF(AY129="","",IF(AY129&lt;=('Feuilles=description générale'!$E$25+'Feuilles=description générale'!$E$24),"",100*(AY129-'Feuilles=description générale'!$E$25-'Feuilles=description générale'!$E$24)/('Feuilles=description générale'!$E$26))))</f>
        <v/>
      </c>
      <c r="BB129" s="496" t="str">
        <f>IF('Feuilles=description générale'!$E$27="","",IF(AY129="","",100*(AY129-'Feuilles=description générale'!$E$24)/('Feuilles=description générale'!$E$27-'Feuilles=description générale'!$E$24)))</f>
        <v/>
      </c>
      <c r="BC129" s="497" t="str">
        <f t="shared" si="85"/>
        <v/>
      </c>
      <c r="BD129" s="500" t="str">
        <f t="shared" si="86"/>
        <v/>
      </c>
      <c r="BE129" s="494" t="str">
        <f t="shared" si="87"/>
        <v/>
      </c>
      <c r="BF129" s="499" t="str">
        <f t="shared" si="88"/>
        <v/>
      </c>
      <c r="BG129" s="476"/>
      <c r="BH129" s="563"/>
      <c r="BI129" s="562"/>
      <c r="BJ129" s="562"/>
      <c r="BK129" s="562"/>
      <c r="BL129" s="562"/>
      <c r="BM129" s="562"/>
      <c r="BN129" s="562"/>
      <c r="BO129" s="562"/>
      <c r="BP129" s="562"/>
      <c r="BQ129" s="562"/>
      <c r="BR129" s="562"/>
      <c r="BS129" s="562"/>
      <c r="BT129" s="562"/>
      <c r="BU129" s="568"/>
      <c r="BV129" s="1114" t="str">
        <f t="shared" si="89"/>
        <v/>
      </c>
      <c r="BW129" s="1114" t="str">
        <f t="shared" si="89"/>
        <v/>
      </c>
      <c r="BX129" s="1114" t="str">
        <f t="shared" si="90"/>
        <v/>
      </c>
      <c r="BY129" s="1115" t="str">
        <f t="shared" si="90"/>
        <v/>
      </c>
      <c r="BZ129" s="477"/>
      <c r="CA129" s="1114" t="str">
        <f t="shared" si="91"/>
        <v/>
      </c>
      <c r="CB129" s="1114" t="str">
        <f t="shared" si="91"/>
        <v/>
      </c>
      <c r="CC129" s="1114" t="str">
        <f t="shared" si="92"/>
        <v/>
      </c>
      <c r="CD129" s="1115" t="str">
        <f t="shared" si="92"/>
        <v/>
      </c>
      <c r="CE129" s="568"/>
      <c r="CF129" s="563"/>
      <c r="CG129" s="562"/>
      <c r="CH129" s="562"/>
      <c r="CI129" s="562"/>
      <c r="CJ129" s="562"/>
      <c r="CK129" s="562"/>
      <c r="CL129" s="562"/>
      <c r="CM129" s="562"/>
      <c r="CN129" s="562"/>
      <c r="CO129" s="562"/>
      <c r="CP129" s="562"/>
      <c r="CQ129" s="562"/>
      <c r="CR129" s="562"/>
      <c r="CS129" s="562"/>
      <c r="CT129" s="562"/>
      <c r="CU129" s="562"/>
      <c r="CV129" s="476"/>
      <c r="CW129" s="345"/>
      <c r="CX129" s="345"/>
      <c r="CY129" s="345"/>
      <c r="CZ129" s="345"/>
      <c r="DA129" s="345"/>
      <c r="DB129" s="345"/>
      <c r="DC129" s="345"/>
      <c r="DD129" s="345"/>
      <c r="DE129" s="345"/>
      <c r="DF129" s="345"/>
      <c r="DG129" s="345"/>
      <c r="DH129" s="345"/>
      <c r="DI129" s="345"/>
      <c r="DJ129" s="345"/>
      <c r="DK129" s="345"/>
      <c r="DL129" s="345"/>
      <c r="DM129" s="345"/>
      <c r="DN129" s="345"/>
      <c r="DO129" s="345"/>
      <c r="DP129" s="345"/>
      <c r="DQ129" s="345"/>
      <c r="DR129" s="345"/>
      <c r="DS129" s="345"/>
      <c r="DT129" s="345"/>
      <c r="DU129" s="345"/>
      <c r="DV129" s="345"/>
      <c r="DW129" s="345"/>
      <c r="DX129" s="345"/>
      <c r="DY129" s="345"/>
      <c r="DZ129" s="345"/>
      <c r="EA129" s="345"/>
      <c r="EB129" s="345"/>
      <c r="EC129" s="345"/>
      <c r="ED129" s="345"/>
      <c r="EE129" s="345"/>
      <c r="EF129" s="345"/>
      <c r="EG129" s="345"/>
      <c r="EH129" s="345"/>
      <c r="EI129" s="345"/>
      <c r="EJ129" s="345"/>
      <c r="EK129" s="345"/>
      <c r="EL129" s="345"/>
      <c r="EM129" s="345"/>
      <c r="EN129" s="345"/>
      <c r="EO129" s="345"/>
      <c r="EP129" s="345"/>
      <c r="EQ129" s="345"/>
      <c r="ER129" s="345"/>
      <c r="ES129" s="345"/>
      <c r="ET129" s="345"/>
      <c r="EU129" s="345"/>
      <c r="EV129" s="345"/>
      <c r="EW129" s="345"/>
      <c r="EX129" s="345"/>
      <c r="EY129" s="345"/>
      <c r="EZ129" s="345"/>
      <c r="FA129" s="345"/>
      <c r="FB129" s="345"/>
      <c r="FC129" s="345"/>
      <c r="FD129" s="345"/>
      <c r="FE129" s="345"/>
      <c r="FF129" s="345"/>
      <c r="FG129" s="345"/>
      <c r="FH129" s="345"/>
      <c r="FI129" s="345"/>
      <c r="FJ129" s="345"/>
      <c r="FK129" s="345"/>
      <c r="FL129" s="345"/>
      <c r="FM129" s="345"/>
      <c r="FN129" s="345"/>
      <c r="FO129" s="345"/>
      <c r="FP129" s="345"/>
      <c r="FQ129" s="345"/>
      <c r="FR129" s="345"/>
      <c r="FS129" s="345"/>
      <c r="FT129" s="345"/>
      <c r="FU129" s="345"/>
      <c r="FV129" s="345"/>
      <c r="FW129" s="345"/>
      <c r="FX129" s="345"/>
      <c r="FY129" s="345"/>
      <c r="FZ129" s="345"/>
      <c r="GA129" s="345"/>
      <c r="GB129" s="345"/>
      <c r="GC129" s="345"/>
      <c r="GD129" s="345"/>
      <c r="GE129" s="345"/>
      <c r="GF129" s="345"/>
      <c r="GG129" s="345"/>
      <c r="GH129" s="345"/>
      <c r="GI129" s="345"/>
      <c r="GJ129" s="345"/>
      <c r="GK129" s="345"/>
      <c r="GL129" s="345"/>
      <c r="GM129" s="345"/>
      <c r="GN129" s="345"/>
      <c r="GO129" s="345"/>
      <c r="GP129" s="345"/>
      <c r="GQ129" s="345"/>
      <c r="GR129" s="345"/>
      <c r="GS129" s="345"/>
      <c r="GT129" s="345"/>
      <c r="GU129" s="345"/>
    </row>
    <row r="130" spans="1:203" ht="12.75" customHeight="1">
      <c r="A130" s="465" t="str">
        <f t="shared" si="95"/>
        <v/>
      </c>
      <c r="B130" s="1108">
        <v>120</v>
      </c>
      <c r="C130" s="1109"/>
      <c r="D130" s="398"/>
      <c r="E130" s="1116"/>
      <c r="F130" s="465" t="str">
        <f t="shared" si="97"/>
        <v/>
      </c>
      <c r="G130" s="1108">
        <v>120</v>
      </c>
      <c r="H130" s="1109"/>
      <c r="I130" s="398"/>
      <c r="J130" s="1116"/>
      <c r="K130" s="465"/>
      <c r="L130" s="465"/>
      <c r="M130" s="465" t="str">
        <f t="shared" si="93"/>
        <v/>
      </c>
      <c r="N130" s="1108">
        <v>120</v>
      </c>
      <c r="O130" s="1109"/>
      <c r="P130" s="398"/>
      <c r="Q130" s="1116"/>
      <c r="R130" s="465" t="str">
        <f t="shared" si="94"/>
        <v/>
      </c>
      <c r="S130" s="1108">
        <v>120</v>
      </c>
      <c r="T130" s="1109"/>
      <c r="U130" s="1110"/>
      <c r="V130" s="1116"/>
      <c r="W130" s="371"/>
      <c r="X130" s="494" t="str">
        <f t="shared" si="70"/>
        <v/>
      </c>
      <c r="Y130" s="495" t="str">
        <f>IF('Feuilles=description générale'!$E$13="","",IF(X130="","",IF(X130&gt;('Feuilles=description générale'!$E$11+'Feuilles=description générale'!$E$10),"",100*(X130-'Feuilles=description générale'!$E$10)/('Feuilles=description générale'!$E$11))))</f>
        <v/>
      </c>
      <c r="Z130" s="495" t="str">
        <f>IF('Feuilles=description générale'!$E$13="","",IF(X130="","",IF(X130&lt;=('Feuilles=description générale'!$E$11+'Feuilles=description générale'!$E$10),"",100*(X130-'Feuilles=description générale'!$E$11-'Feuilles=description générale'!$E$10)/('Feuilles=description générale'!$E$12))))</f>
        <v/>
      </c>
      <c r="AA130" s="1112" t="str">
        <f>IF('Feuilles=description générale'!$E$13="","",IF(X130="","",100*(X130-'Feuilles=description générale'!$E$10)/('Feuilles=description générale'!$E$13-'Feuilles=description générale'!$E$10)))</f>
        <v/>
      </c>
      <c r="AB130" s="497" t="str">
        <f t="shared" si="71"/>
        <v/>
      </c>
      <c r="AC130" s="500" t="str">
        <f t="shared" si="96"/>
        <v/>
      </c>
      <c r="AD130" s="494" t="str">
        <f t="shared" si="72"/>
        <v/>
      </c>
      <c r="AE130" s="499" t="str">
        <f t="shared" si="73"/>
        <v/>
      </c>
      <c r="AF130" s="371"/>
      <c r="AG130" s="494" t="str">
        <f t="shared" si="74"/>
        <v/>
      </c>
      <c r="AH130" s="495" t="str">
        <f>IF('Feuilles=description générale'!$E$13="","",IF(AG130="","",IF(AG130&gt;('Feuilles=description générale'!$E$11+'Feuilles=description générale'!$E$10),"",100*(AG130-'Feuilles=description générale'!$E$10)/('Feuilles=description générale'!$E$11))))</f>
        <v/>
      </c>
      <c r="AI130" s="495" t="str">
        <f>IF('Feuilles=description générale'!$E$13="","",IF(AG130="","",IF(AG130&lt;=('Feuilles=description générale'!$E$11+'Feuilles=description générale'!$E$10),"",100*(AG130-'Feuilles=description générale'!$E$11-'Feuilles=description générale'!$E$10)/('Feuilles=description générale'!$E$12))))</f>
        <v/>
      </c>
      <c r="AJ130" s="496" t="str">
        <f>IF('Feuilles=description générale'!$E$13="","",IF(AG130="","",100*(AG130-'Feuilles=description générale'!$E$10)/('Feuilles=description générale'!$E$13-'Feuilles=description générale'!$E$10)))</f>
        <v/>
      </c>
      <c r="AK130" s="1113" t="str">
        <f t="shared" si="75"/>
        <v/>
      </c>
      <c r="AL130" s="498" t="str">
        <f t="shared" si="76"/>
        <v/>
      </c>
      <c r="AM130" s="494" t="str">
        <f t="shared" si="77"/>
        <v/>
      </c>
      <c r="AN130" s="499" t="str">
        <f t="shared" si="78"/>
        <v/>
      </c>
      <c r="AO130" s="371"/>
      <c r="AP130" s="494" t="str">
        <f t="shared" si="79"/>
        <v/>
      </c>
      <c r="AQ130" s="495" t="str">
        <f>IF('Feuilles=description générale'!$E$13="","",IF(AP130="","",IF(AP130&gt;('Feuilles=description générale'!$E$25+'Feuilles=description générale'!$E$24),"",100*(AP130-'Feuilles=description générale'!$E$24)/('Feuilles=description générale'!$E$25))))</f>
        <v/>
      </c>
      <c r="AR130" s="495" t="str">
        <f>IF('Feuilles=description générale'!$E$27="","",IF(AP130="","",IF(AP130&lt;=('Feuilles=description générale'!$E$25+'Feuilles=description générale'!$E$24),"",100*(AP130-'Feuilles=description générale'!$E$25-'Feuilles=description générale'!$E$24)/('Feuilles=description générale'!$E$26))))</f>
        <v/>
      </c>
      <c r="AS130" s="496" t="str">
        <f>IF('Feuilles=description générale'!$E$27="","",IF(AP130="","",100*(AP130-'Feuilles=description générale'!$E$24)/('Feuilles=description générale'!$E$27-'Feuilles=description générale'!$E$24)))</f>
        <v/>
      </c>
      <c r="AT130" s="497" t="str">
        <f t="shared" si="80"/>
        <v/>
      </c>
      <c r="AU130" s="500" t="str">
        <f t="shared" si="81"/>
        <v/>
      </c>
      <c r="AV130" s="494" t="str">
        <f t="shared" si="82"/>
        <v/>
      </c>
      <c r="AW130" s="499" t="str">
        <f t="shared" si="83"/>
        <v/>
      </c>
      <c r="AX130" s="371"/>
      <c r="AY130" s="494" t="str">
        <f t="shared" si="84"/>
        <v/>
      </c>
      <c r="AZ130" s="495" t="str">
        <f>IF('Feuilles=description générale'!$E$13="","",IF(AY130="","",IF(AY130&gt;('Feuilles=description générale'!$E$25+'Feuilles=description générale'!$E$24),"",100*(AY130-'Feuilles=description générale'!$E$24)/('Feuilles=description générale'!$E$25))))</f>
        <v/>
      </c>
      <c r="BA130" s="495" t="str">
        <f>IF('Feuilles=description générale'!$E$27="","",IF(AY130="","",IF(AY130&lt;=('Feuilles=description générale'!$E$25+'Feuilles=description générale'!$E$24),"",100*(AY130-'Feuilles=description générale'!$E$25-'Feuilles=description générale'!$E$24)/('Feuilles=description générale'!$E$26))))</f>
        <v/>
      </c>
      <c r="BB130" s="496" t="str">
        <f>IF('Feuilles=description générale'!$E$27="","",IF(AY130="","",100*(AY130-'Feuilles=description générale'!$E$24)/('Feuilles=description générale'!$E$27-'Feuilles=description générale'!$E$24)))</f>
        <v/>
      </c>
      <c r="BC130" s="497" t="str">
        <f t="shared" si="85"/>
        <v/>
      </c>
      <c r="BD130" s="500" t="str">
        <f t="shared" si="86"/>
        <v/>
      </c>
      <c r="BE130" s="494" t="str">
        <f t="shared" si="87"/>
        <v/>
      </c>
      <c r="BF130" s="499" t="str">
        <f t="shared" si="88"/>
        <v/>
      </c>
      <c r="BG130" s="476"/>
      <c r="BH130" s="563"/>
      <c r="BI130" s="564"/>
      <c r="BJ130" s="564"/>
      <c r="BK130" s="564"/>
      <c r="BL130" s="564"/>
      <c r="BM130" s="564"/>
      <c r="BN130" s="564"/>
      <c r="BO130" s="564"/>
      <c r="BP130" s="564"/>
      <c r="BQ130" s="564"/>
      <c r="BR130" s="564"/>
      <c r="BS130" s="564"/>
      <c r="BT130" s="564"/>
      <c r="BU130" s="568"/>
      <c r="BV130" s="1114" t="str">
        <f t="shared" si="89"/>
        <v/>
      </c>
      <c r="BW130" s="1114" t="str">
        <f t="shared" si="89"/>
        <v/>
      </c>
      <c r="BX130" s="1114" t="str">
        <f t="shared" si="90"/>
        <v/>
      </c>
      <c r="BY130" s="1115" t="str">
        <f t="shared" si="90"/>
        <v/>
      </c>
      <c r="BZ130" s="477"/>
      <c r="CA130" s="1114" t="str">
        <f t="shared" si="91"/>
        <v/>
      </c>
      <c r="CB130" s="1114" t="str">
        <f t="shared" si="91"/>
        <v/>
      </c>
      <c r="CC130" s="1114" t="str">
        <f t="shared" si="92"/>
        <v/>
      </c>
      <c r="CD130" s="1115" t="str">
        <f t="shared" si="92"/>
        <v/>
      </c>
      <c r="CE130" s="568"/>
      <c r="CF130" s="563"/>
      <c r="CG130" s="564"/>
      <c r="CH130" s="564"/>
      <c r="CI130" s="564"/>
      <c r="CJ130" s="1128"/>
      <c r="CK130" s="1128"/>
      <c r="CL130" s="564"/>
      <c r="CM130" s="564"/>
      <c r="CN130" s="564"/>
      <c r="CO130" s="1128"/>
      <c r="CP130" s="1128"/>
      <c r="CQ130" s="564"/>
      <c r="CR130" s="564"/>
      <c r="CS130" s="564"/>
      <c r="CT130" s="1128"/>
      <c r="CU130" s="1128"/>
      <c r="CV130" s="476"/>
      <c r="CW130" s="345"/>
      <c r="CX130" s="345"/>
      <c r="CY130" s="345"/>
      <c r="CZ130" s="345"/>
      <c r="DA130" s="345"/>
      <c r="DB130" s="345"/>
      <c r="DC130" s="345"/>
      <c r="DD130" s="345"/>
      <c r="DE130" s="345"/>
      <c r="DF130" s="345"/>
      <c r="DG130" s="345"/>
      <c r="DH130" s="345"/>
      <c r="DI130" s="345"/>
      <c r="DJ130" s="345"/>
      <c r="DK130" s="345"/>
      <c r="DL130" s="345"/>
      <c r="DM130" s="345"/>
      <c r="DN130" s="345"/>
      <c r="DO130" s="345"/>
      <c r="DP130" s="345"/>
      <c r="DQ130" s="345"/>
      <c r="DR130" s="345"/>
      <c r="DS130" s="345"/>
      <c r="DT130" s="345"/>
      <c r="DU130" s="345"/>
      <c r="DV130" s="345"/>
      <c r="DW130" s="345"/>
      <c r="DX130" s="345"/>
      <c r="DY130" s="345"/>
      <c r="DZ130" s="345"/>
      <c r="EA130" s="345"/>
      <c r="EB130" s="345"/>
      <c r="EC130" s="345"/>
      <c r="ED130" s="345"/>
      <c r="EE130" s="345"/>
      <c r="EF130" s="345"/>
      <c r="EG130" s="345"/>
      <c r="EH130" s="345"/>
      <c r="EI130" s="345"/>
      <c r="EJ130" s="345"/>
      <c r="EK130" s="345"/>
      <c r="EL130" s="345"/>
      <c r="EM130" s="345"/>
      <c r="EN130" s="345"/>
      <c r="EO130" s="345"/>
      <c r="EP130" s="345"/>
      <c r="EQ130" s="345"/>
      <c r="ER130" s="345"/>
      <c r="ES130" s="345"/>
      <c r="ET130" s="345"/>
      <c r="EU130" s="345"/>
      <c r="EV130" s="345"/>
      <c r="EW130" s="345"/>
      <c r="EX130" s="345"/>
      <c r="EY130" s="345"/>
      <c r="EZ130" s="345"/>
      <c r="FA130" s="345"/>
      <c r="FB130" s="345"/>
      <c r="FC130" s="345"/>
      <c r="FD130" s="345"/>
      <c r="FE130" s="345"/>
      <c r="FF130" s="345"/>
      <c r="FG130" s="345"/>
      <c r="FH130" s="345"/>
      <c r="FI130" s="345"/>
      <c r="FJ130" s="345"/>
      <c r="FK130" s="345"/>
      <c r="FL130" s="345"/>
      <c r="FM130" s="345"/>
      <c r="FN130" s="345"/>
      <c r="FO130" s="345"/>
      <c r="FP130" s="345"/>
      <c r="FQ130" s="345"/>
      <c r="FR130" s="345"/>
      <c r="FS130" s="345"/>
      <c r="FT130" s="345"/>
      <c r="FU130" s="345"/>
      <c r="FV130" s="345"/>
      <c r="FW130" s="345"/>
      <c r="FX130" s="345"/>
      <c r="FY130" s="345"/>
      <c r="FZ130" s="345"/>
      <c r="GA130" s="345"/>
      <c r="GB130" s="345"/>
      <c r="GC130" s="345"/>
      <c r="GD130" s="345"/>
      <c r="GE130" s="345"/>
      <c r="GF130" s="345"/>
      <c r="GG130" s="345"/>
      <c r="GH130" s="345"/>
      <c r="GI130" s="345"/>
      <c r="GJ130" s="345"/>
      <c r="GK130" s="345"/>
      <c r="GL130" s="345"/>
      <c r="GM130" s="345"/>
      <c r="GN130" s="345"/>
      <c r="GO130" s="345"/>
      <c r="GP130" s="345"/>
      <c r="GQ130" s="345"/>
      <c r="GR130" s="345"/>
      <c r="GS130" s="345"/>
      <c r="GT130" s="345"/>
      <c r="GU130" s="345"/>
    </row>
    <row r="131" spans="1:203" ht="12.75" customHeight="1" thickBot="1">
      <c r="A131" s="465" t="str">
        <f t="shared" si="95"/>
        <v/>
      </c>
      <c r="B131" s="1108">
        <v>121</v>
      </c>
      <c r="C131" s="1109"/>
      <c r="D131" s="398"/>
      <c r="E131" s="1116"/>
      <c r="F131" s="465" t="str">
        <f t="shared" si="97"/>
        <v/>
      </c>
      <c r="G131" s="1108">
        <v>121</v>
      </c>
      <c r="H131" s="1109"/>
      <c r="I131" s="398"/>
      <c r="J131" s="1116"/>
      <c r="K131" s="465"/>
      <c r="L131" s="465"/>
      <c r="M131" s="465" t="str">
        <f t="shared" si="93"/>
        <v/>
      </c>
      <c r="N131" s="1108">
        <v>121</v>
      </c>
      <c r="O131" s="1109"/>
      <c r="P131" s="398"/>
      <c r="Q131" s="1116"/>
      <c r="R131" s="465" t="str">
        <f t="shared" si="94"/>
        <v/>
      </c>
      <c r="S131" s="1108">
        <v>121</v>
      </c>
      <c r="T131" s="1109"/>
      <c r="U131" s="1110"/>
      <c r="V131" s="1116"/>
      <c r="W131" s="371"/>
      <c r="X131" s="494" t="str">
        <f t="shared" si="70"/>
        <v/>
      </c>
      <c r="Y131" s="495" t="str">
        <f>IF('Feuilles=description générale'!$E$13="","",IF(X131="","",IF(X131&gt;('Feuilles=description générale'!$E$11+'Feuilles=description générale'!$E$10),"",100*(X131-'Feuilles=description générale'!$E$10)/('Feuilles=description générale'!$E$11))))</f>
        <v/>
      </c>
      <c r="Z131" s="495" t="str">
        <f>IF('Feuilles=description générale'!$E$13="","",IF(X131="","",IF(X131&lt;=('Feuilles=description générale'!$E$11+'Feuilles=description générale'!$E$10),"",100*(X131-'Feuilles=description générale'!$E$11-'Feuilles=description générale'!$E$10)/('Feuilles=description générale'!$E$12))))</f>
        <v/>
      </c>
      <c r="AA131" s="1112" t="str">
        <f>IF('Feuilles=description générale'!$E$13="","",IF(X131="","",100*(X131-'Feuilles=description générale'!$E$10)/('Feuilles=description générale'!$E$13-'Feuilles=description générale'!$E$10)))</f>
        <v/>
      </c>
      <c r="AB131" s="497" t="str">
        <f t="shared" si="71"/>
        <v/>
      </c>
      <c r="AC131" s="500" t="str">
        <f t="shared" si="96"/>
        <v/>
      </c>
      <c r="AD131" s="494" t="str">
        <f t="shared" si="72"/>
        <v/>
      </c>
      <c r="AE131" s="499" t="str">
        <f t="shared" si="73"/>
        <v/>
      </c>
      <c r="AF131" s="371"/>
      <c r="AG131" s="494" t="str">
        <f t="shared" si="74"/>
        <v/>
      </c>
      <c r="AH131" s="495" t="str">
        <f>IF('Feuilles=description générale'!$E$13="","",IF(AG131="","",IF(AG131&gt;('Feuilles=description générale'!$E$11+'Feuilles=description générale'!$E$10),"",100*(AG131-'Feuilles=description générale'!$E$10)/('Feuilles=description générale'!$E$11))))</f>
        <v/>
      </c>
      <c r="AI131" s="495" t="str">
        <f>IF('Feuilles=description générale'!$E$13="","",IF(AG131="","",IF(AG131&lt;=('Feuilles=description générale'!$E$11+'Feuilles=description générale'!$E$10),"",100*(AG131-'Feuilles=description générale'!$E$11-'Feuilles=description générale'!$E$10)/('Feuilles=description générale'!$E$12))))</f>
        <v/>
      </c>
      <c r="AJ131" s="496" t="str">
        <f>IF('Feuilles=description générale'!$E$13="","",IF(AG131="","",100*(AG131-'Feuilles=description générale'!$E$10)/('Feuilles=description générale'!$E$13-'Feuilles=description générale'!$E$10)))</f>
        <v/>
      </c>
      <c r="AK131" s="1113" t="str">
        <f t="shared" si="75"/>
        <v/>
      </c>
      <c r="AL131" s="498" t="str">
        <f t="shared" si="76"/>
        <v/>
      </c>
      <c r="AM131" s="494" t="str">
        <f t="shared" si="77"/>
        <v/>
      </c>
      <c r="AN131" s="499" t="str">
        <f t="shared" si="78"/>
        <v/>
      </c>
      <c r="AO131" s="371"/>
      <c r="AP131" s="494" t="str">
        <f t="shared" si="79"/>
        <v/>
      </c>
      <c r="AQ131" s="495" t="str">
        <f>IF('Feuilles=description générale'!$E$13="","",IF(AP131="","",IF(AP131&gt;('Feuilles=description générale'!$E$25+'Feuilles=description générale'!$E$24),"",100*(AP131-'Feuilles=description générale'!$E$24)/('Feuilles=description générale'!$E$25))))</f>
        <v/>
      </c>
      <c r="AR131" s="495" t="str">
        <f>IF('Feuilles=description générale'!$E$27="","",IF(AP131="","",IF(AP131&lt;=('Feuilles=description générale'!$E$25+'Feuilles=description générale'!$E$24),"",100*(AP131-'Feuilles=description générale'!$E$25-'Feuilles=description générale'!$E$24)/('Feuilles=description générale'!$E$26))))</f>
        <v/>
      </c>
      <c r="AS131" s="496" t="str">
        <f>IF('Feuilles=description générale'!$E$27="","",IF(AP131="","",100*(AP131-'Feuilles=description générale'!$E$24)/('Feuilles=description générale'!$E$27-'Feuilles=description générale'!$E$24)))</f>
        <v/>
      </c>
      <c r="AT131" s="497" t="str">
        <f t="shared" si="80"/>
        <v/>
      </c>
      <c r="AU131" s="500" t="str">
        <f t="shared" si="81"/>
        <v/>
      </c>
      <c r="AV131" s="494" t="str">
        <f t="shared" si="82"/>
        <v/>
      </c>
      <c r="AW131" s="499" t="str">
        <f t="shared" si="83"/>
        <v/>
      </c>
      <c r="AX131" s="371"/>
      <c r="AY131" s="494" t="str">
        <f t="shared" si="84"/>
        <v/>
      </c>
      <c r="AZ131" s="495" t="str">
        <f>IF('Feuilles=description générale'!$E$13="","",IF(AY131="","",IF(AY131&gt;('Feuilles=description générale'!$E$25+'Feuilles=description générale'!$E$24),"",100*(AY131-'Feuilles=description générale'!$E$24)/('Feuilles=description générale'!$E$25))))</f>
        <v/>
      </c>
      <c r="BA131" s="495" t="str">
        <f>IF('Feuilles=description générale'!$E$27="","",IF(AY131="","",IF(AY131&lt;=('Feuilles=description générale'!$E$25+'Feuilles=description générale'!$E$24),"",100*(AY131-'Feuilles=description générale'!$E$25-'Feuilles=description générale'!$E$24)/('Feuilles=description générale'!$E$26))))</f>
        <v/>
      </c>
      <c r="BB131" s="496" t="str">
        <f>IF('Feuilles=description générale'!$E$27="","",IF(AY131="","",100*(AY131-'Feuilles=description générale'!$E$24)/('Feuilles=description générale'!$E$27-'Feuilles=description générale'!$E$24)))</f>
        <v/>
      </c>
      <c r="BC131" s="497" t="str">
        <f t="shared" si="85"/>
        <v/>
      </c>
      <c r="BD131" s="500" t="str">
        <f t="shared" si="86"/>
        <v/>
      </c>
      <c r="BE131" s="494" t="str">
        <f t="shared" si="87"/>
        <v/>
      </c>
      <c r="BF131" s="499" t="str">
        <f t="shared" si="88"/>
        <v/>
      </c>
      <c r="BG131" s="476"/>
      <c r="BH131" s="565"/>
      <c r="BI131" s="564"/>
      <c r="BJ131" s="564"/>
      <c r="BK131" s="564"/>
      <c r="BL131" s="564"/>
      <c r="BM131" s="564"/>
      <c r="BN131" s="564"/>
      <c r="BO131" s="564"/>
      <c r="BP131" s="564"/>
      <c r="BQ131" s="554"/>
      <c r="BR131" s="554"/>
      <c r="BS131" s="554"/>
      <c r="BT131" s="554"/>
      <c r="BU131" s="568"/>
      <c r="BV131" s="1114" t="str">
        <f t="shared" si="89"/>
        <v/>
      </c>
      <c r="BW131" s="1114" t="str">
        <f t="shared" si="89"/>
        <v/>
      </c>
      <c r="BX131" s="1114" t="str">
        <f t="shared" si="90"/>
        <v/>
      </c>
      <c r="BY131" s="1115" t="str">
        <f t="shared" si="90"/>
        <v/>
      </c>
      <c r="BZ131" s="477"/>
      <c r="CA131" s="1114" t="str">
        <f t="shared" si="91"/>
        <v/>
      </c>
      <c r="CB131" s="1114" t="str">
        <f t="shared" si="91"/>
        <v/>
      </c>
      <c r="CC131" s="1114" t="str">
        <f t="shared" si="92"/>
        <v/>
      </c>
      <c r="CD131" s="1115" t="str">
        <f t="shared" si="92"/>
        <v/>
      </c>
      <c r="CE131" s="568"/>
      <c r="CF131" s="477"/>
      <c r="CG131" s="477"/>
      <c r="CH131" s="477"/>
      <c r="CI131" s="477"/>
      <c r="CJ131" s="477"/>
      <c r="CK131" s="477"/>
      <c r="CL131" s="477"/>
      <c r="CM131" s="477"/>
      <c r="CN131" s="477"/>
      <c r="CO131" s="477"/>
      <c r="CP131" s="477"/>
      <c r="CQ131" s="477"/>
      <c r="CR131" s="477"/>
      <c r="CS131" s="477"/>
      <c r="CT131" s="477"/>
      <c r="CU131" s="477"/>
      <c r="CV131" s="476"/>
      <c r="CW131" s="345"/>
      <c r="CX131" s="345"/>
      <c r="CY131" s="345"/>
      <c r="CZ131" s="345"/>
      <c r="DA131" s="345"/>
      <c r="DB131" s="345"/>
      <c r="DC131" s="345"/>
      <c r="DD131" s="345"/>
      <c r="DE131" s="345"/>
      <c r="DF131" s="345"/>
      <c r="DG131" s="345"/>
      <c r="DH131" s="345"/>
      <c r="DI131" s="345"/>
      <c r="DJ131" s="345"/>
      <c r="DK131" s="345"/>
      <c r="DL131" s="345"/>
      <c r="DM131" s="345"/>
      <c r="DN131" s="345"/>
      <c r="DO131" s="345"/>
      <c r="DP131" s="345"/>
      <c r="DQ131" s="345"/>
      <c r="DR131" s="345"/>
      <c r="DS131" s="345"/>
      <c r="DT131" s="345"/>
      <c r="DU131" s="345"/>
      <c r="DV131" s="345"/>
      <c r="DW131" s="345"/>
      <c r="DX131" s="345"/>
      <c r="DY131" s="345"/>
      <c r="DZ131" s="345"/>
      <c r="EA131" s="345"/>
      <c r="EB131" s="345"/>
      <c r="EC131" s="345"/>
      <c r="ED131" s="345"/>
      <c r="EE131" s="345"/>
      <c r="EF131" s="345"/>
      <c r="EG131" s="345"/>
      <c r="EH131" s="345"/>
      <c r="EI131" s="345"/>
      <c r="EJ131" s="345"/>
      <c r="EK131" s="345"/>
      <c r="EL131" s="345"/>
      <c r="EM131" s="345"/>
      <c r="EN131" s="345"/>
      <c r="EO131" s="345"/>
      <c r="EP131" s="345"/>
      <c r="EQ131" s="345"/>
      <c r="ER131" s="345"/>
      <c r="ES131" s="345"/>
      <c r="ET131" s="345"/>
      <c r="EU131" s="345"/>
      <c r="EV131" s="345"/>
      <c r="EW131" s="345"/>
      <c r="EX131" s="345"/>
      <c r="EY131" s="345"/>
      <c r="EZ131" s="345"/>
      <c r="FA131" s="345"/>
      <c r="FB131" s="345"/>
      <c r="FC131" s="345"/>
      <c r="FD131" s="345"/>
      <c r="FE131" s="345"/>
      <c r="FF131" s="345"/>
      <c r="FG131" s="345"/>
      <c r="FH131" s="345"/>
      <c r="FI131" s="345"/>
      <c r="FJ131" s="345"/>
      <c r="FK131" s="345"/>
      <c r="FL131" s="345"/>
      <c r="FM131" s="345"/>
      <c r="FN131" s="345"/>
      <c r="FO131" s="345"/>
      <c r="FP131" s="345"/>
      <c r="FQ131" s="345"/>
      <c r="FR131" s="345"/>
      <c r="FS131" s="345"/>
      <c r="FT131" s="345"/>
      <c r="FU131" s="345"/>
      <c r="FV131" s="345"/>
      <c r="FW131" s="345"/>
      <c r="FX131" s="345"/>
      <c r="FY131" s="345"/>
      <c r="FZ131" s="345"/>
      <c r="GA131" s="345"/>
      <c r="GB131" s="345"/>
      <c r="GC131" s="345"/>
      <c r="GD131" s="345"/>
      <c r="GE131" s="345"/>
      <c r="GF131" s="345"/>
      <c r="GG131" s="345"/>
      <c r="GH131" s="345"/>
      <c r="GI131" s="345"/>
      <c r="GJ131" s="345"/>
      <c r="GK131" s="345"/>
      <c r="GL131" s="345"/>
      <c r="GM131" s="345"/>
      <c r="GN131" s="345"/>
      <c r="GO131" s="345"/>
      <c r="GP131" s="345"/>
      <c r="GQ131" s="345"/>
      <c r="GR131" s="345"/>
      <c r="GS131" s="345"/>
      <c r="GT131" s="345"/>
      <c r="GU131" s="345"/>
    </row>
    <row r="132" spans="1:203" ht="12.75" customHeight="1">
      <c r="A132" s="465" t="str">
        <f t="shared" si="95"/>
        <v/>
      </c>
      <c r="B132" s="1108">
        <v>122</v>
      </c>
      <c r="C132" s="1109"/>
      <c r="D132" s="398"/>
      <c r="E132" s="1116"/>
      <c r="F132" s="465" t="str">
        <f t="shared" si="97"/>
        <v/>
      </c>
      <c r="G132" s="1108">
        <v>122</v>
      </c>
      <c r="H132" s="1109"/>
      <c r="I132" s="398"/>
      <c r="J132" s="1116"/>
      <c r="K132" s="465"/>
      <c r="L132" s="465"/>
      <c r="M132" s="465" t="str">
        <f t="shared" si="93"/>
        <v/>
      </c>
      <c r="N132" s="1108">
        <v>122</v>
      </c>
      <c r="O132" s="1109"/>
      <c r="P132" s="398"/>
      <c r="Q132" s="1116"/>
      <c r="R132" s="465" t="str">
        <f t="shared" si="94"/>
        <v/>
      </c>
      <c r="S132" s="1108">
        <v>122</v>
      </c>
      <c r="T132" s="1109"/>
      <c r="U132" s="1110"/>
      <c r="V132" s="1116"/>
      <c r="W132" s="371"/>
      <c r="X132" s="494" t="str">
        <f t="shared" si="70"/>
        <v/>
      </c>
      <c r="Y132" s="495" t="str">
        <f>IF('Feuilles=description générale'!$E$13="","",IF(X132="","",IF(X132&gt;('Feuilles=description générale'!$E$11+'Feuilles=description générale'!$E$10),"",100*(X132-'Feuilles=description générale'!$E$10)/('Feuilles=description générale'!$E$11))))</f>
        <v/>
      </c>
      <c r="Z132" s="495" t="str">
        <f>IF('Feuilles=description générale'!$E$13="","",IF(X132="","",IF(X132&lt;=('Feuilles=description générale'!$E$11+'Feuilles=description générale'!$E$10),"",100*(X132-'Feuilles=description générale'!$E$11-'Feuilles=description générale'!$E$10)/('Feuilles=description générale'!$E$12))))</f>
        <v/>
      </c>
      <c r="AA132" s="1112" t="str">
        <f>IF('Feuilles=description générale'!$E$13="","",IF(X132="","",100*(X132-'Feuilles=description générale'!$E$10)/('Feuilles=description générale'!$E$13-'Feuilles=description générale'!$E$10)))</f>
        <v/>
      </c>
      <c r="AB132" s="497" t="str">
        <f t="shared" si="71"/>
        <v/>
      </c>
      <c r="AC132" s="500" t="str">
        <f t="shared" si="96"/>
        <v/>
      </c>
      <c r="AD132" s="494" t="str">
        <f t="shared" si="72"/>
        <v/>
      </c>
      <c r="AE132" s="499" t="str">
        <f t="shared" si="73"/>
        <v/>
      </c>
      <c r="AF132" s="371"/>
      <c r="AG132" s="494" t="str">
        <f t="shared" si="74"/>
        <v/>
      </c>
      <c r="AH132" s="495" t="str">
        <f>IF('Feuilles=description générale'!$E$13="","",IF(AG132="","",IF(AG132&gt;('Feuilles=description générale'!$E$11+'Feuilles=description générale'!$E$10),"",100*(AG132-'Feuilles=description générale'!$E$10)/('Feuilles=description générale'!$E$11))))</f>
        <v/>
      </c>
      <c r="AI132" s="495" t="str">
        <f>IF('Feuilles=description générale'!$E$13="","",IF(AG132="","",IF(AG132&lt;=('Feuilles=description générale'!$E$11+'Feuilles=description générale'!$E$10),"",100*(AG132-'Feuilles=description générale'!$E$11-'Feuilles=description générale'!$E$10)/('Feuilles=description générale'!$E$12))))</f>
        <v/>
      </c>
      <c r="AJ132" s="496" t="str">
        <f>IF('Feuilles=description générale'!$E$13="","",IF(AG132="","",100*(AG132-'Feuilles=description générale'!$E$10)/('Feuilles=description générale'!$E$13-'Feuilles=description générale'!$E$10)))</f>
        <v/>
      </c>
      <c r="AK132" s="1113" t="str">
        <f t="shared" si="75"/>
        <v/>
      </c>
      <c r="AL132" s="498" t="str">
        <f t="shared" si="76"/>
        <v/>
      </c>
      <c r="AM132" s="494" t="str">
        <f t="shared" si="77"/>
        <v/>
      </c>
      <c r="AN132" s="499" t="str">
        <f t="shared" si="78"/>
        <v/>
      </c>
      <c r="AO132" s="371"/>
      <c r="AP132" s="494" t="str">
        <f t="shared" si="79"/>
        <v/>
      </c>
      <c r="AQ132" s="495" t="str">
        <f>IF('Feuilles=description générale'!$E$13="","",IF(AP132="","",IF(AP132&gt;('Feuilles=description générale'!$E$25+'Feuilles=description générale'!$E$24),"",100*(AP132-'Feuilles=description générale'!$E$24)/('Feuilles=description générale'!$E$25))))</f>
        <v/>
      </c>
      <c r="AR132" s="495" t="str">
        <f>IF('Feuilles=description générale'!$E$27="","",IF(AP132="","",IF(AP132&lt;=('Feuilles=description générale'!$E$25+'Feuilles=description générale'!$E$24),"",100*(AP132-'Feuilles=description générale'!$E$25-'Feuilles=description générale'!$E$24)/('Feuilles=description générale'!$E$26))))</f>
        <v/>
      </c>
      <c r="AS132" s="496" t="str">
        <f>IF('Feuilles=description générale'!$E$27="","",IF(AP132="","",100*(AP132-'Feuilles=description générale'!$E$24)/('Feuilles=description générale'!$E$27-'Feuilles=description générale'!$E$24)))</f>
        <v/>
      </c>
      <c r="AT132" s="497" t="str">
        <f t="shared" si="80"/>
        <v/>
      </c>
      <c r="AU132" s="500" t="str">
        <f t="shared" si="81"/>
        <v/>
      </c>
      <c r="AV132" s="494" t="str">
        <f t="shared" si="82"/>
        <v/>
      </c>
      <c r="AW132" s="499" t="str">
        <f t="shared" si="83"/>
        <v/>
      </c>
      <c r="AX132" s="371"/>
      <c r="AY132" s="494" t="str">
        <f t="shared" si="84"/>
        <v/>
      </c>
      <c r="AZ132" s="495" t="str">
        <f>IF('Feuilles=description générale'!$E$13="","",IF(AY132="","",IF(AY132&gt;('Feuilles=description générale'!$E$25+'Feuilles=description générale'!$E$24),"",100*(AY132-'Feuilles=description générale'!$E$24)/('Feuilles=description générale'!$E$25))))</f>
        <v/>
      </c>
      <c r="BA132" s="495" t="str">
        <f>IF('Feuilles=description générale'!$E$27="","",IF(AY132="","",IF(AY132&lt;=('Feuilles=description générale'!$E$25+'Feuilles=description générale'!$E$24),"",100*(AY132-'Feuilles=description générale'!$E$25-'Feuilles=description générale'!$E$24)/('Feuilles=description générale'!$E$26))))</f>
        <v/>
      </c>
      <c r="BB132" s="496" t="str">
        <f>IF('Feuilles=description générale'!$E$27="","",IF(AY132="","",100*(AY132-'Feuilles=description générale'!$E$24)/('Feuilles=description générale'!$E$27-'Feuilles=description générale'!$E$24)))</f>
        <v/>
      </c>
      <c r="BC132" s="497" t="str">
        <f t="shared" si="85"/>
        <v/>
      </c>
      <c r="BD132" s="500" t="str">
        <f t="shared" si="86"/>
        <v/>
      </c>
      <c r="BE132" s="494" t="str">
        <f t="shared" si="87"/>
        <v/>
      </c>
      <c r="BF132" s="499" t="str">
        <f t="shared" si="88"/>
        <v/>
      </c>
      <c r="BG132" s="476"/>
      <c r="BH132" s="554"/>
      <c r="BI132" s="560"/>
      <c r="BJ132" s="560"/>
      <c r="BK132" s="560"/>
      <c r="BL132" s="560"/>
      <c r="BM132" s="560"/>
      <c r="BN132" s="560"/>
      <c r="BO132" s="560"/>
      <c r="BP132" s="560"/>
      <c r="BQ132" s="560"/>
      <c r="BR132" s="560"/>
      <c r="BS132" s="560"/>
      <c r="BT132" s="560"/>
      <c r="BU132" s="568"/>
      <c r="BV132" s="1114" t="str">
        <f t="shared" si="89"/>
        <v/>
      </c>
      <c r="BW132" s="1114" t="str">
        <f t="shared" si="89"/>
        <v/>
      </c>
      <c r="BX132" s="1114" t="str">
        <f t="shared" si="90"/>
        <v/>
      </c>
      <c r="BY132" s="1115" t="str">
        <f t="shared" si="90"/>
        <v/>
      </c>
      <c r="BZ132" s="477"/>
      <c r="CA132" s="1114" t="str">
        <f t="shared" si="91"/>
        <v/>
      </c>
      <c r="CB132" s="1114" t="str">
        <f t="shared" si="91"/>
        <v/>
      </c>
      <c r="CC132" s="1114" t="str">
        <f t="shared" si="92"/>
        <v/>
      </c>
      <c r="CD132" s="1115" t="str">
        <f t="shared" si="92"/>
        <v/>
      </c>
      <c r="CE132" s="568"/>
      <c r="CF132" s="477"/>
      <c r="CG132" s="1447" t="s">
        <v>1334</v>
      </c>
      <c r="CH132" s="1448"/>
      <c r="CI132" s="1448"/>
      <c r="CJ132" s="1448"/>
      <c r="CK132" s="1448"/>
      <c r="CL132" s="1448"/>
      <c r="CM132" s="1448"/>
      <c r="CN132" s="1448"/>
      <c r="CO132" s="1448"/>
      <c r="CP132" s="1448"/>
      <c r="CQ132" s="1448"/>
      <c r="CR132" s="1448"/>
      <c r="CS132" s="1448"/>
      <c r="CT132" s="1448"/>
      <c r="CU132" s="1449"/>
      <c r="CV132" s="476"/>
      <c r="CW132" s="345"/>
      <c r="CX132" s="345"/>
      <c r="CY132" s="345"/>
      <c r="CZ132" s="345"/>
      <c r="DA132" s="345"/>
      <c r="DB132" s="345"/>
      <c r="DC132" s="345"/>
      <c r="DD132" s="345"/>
      <c r="DE132" s="345"/>
      <c r="DF132" s="345"/>
      <c r="DG132" s="345"/>
      <c r="DH132" s="345"/>
      <c r="DI132" s="345"/>
      <c r="DJ132" s="345"/>
      <c r="DK132" s="345"/>
      <c r="DL132" s="345"/>
      <c r="DM132" s="345"/>
      <c r="DN132" s="345"/>
      <c r="DO132" s="345"/>
      <c r="DP132" s="345"/>
      <c r="DQ132" s="345"/>
      <c r="DR132" s="345"/>
      <c r="DS132" s="345"/>
      <c r="DT132" s="345"/>
      <c r="DU132" s="345"/>
      <c r="DV132" s="345"/>
      <c r="DW132" s="345"/>
      <c r="DX132" s="345"/>
      <c r="DY132" s="345"/>
      <c r="DZ132" s="345"/>
      <c r="EA132" s="345"/>
      <c r="EB132" s="345"/>
      <c r="EC132" s="345"/>
      <c r="ED132" s="345"/>
      <c r="EE132" s="345"/>
      <c r="EF132" s="345"/>
      <c r="EG132" s="345"/>
      <c r="EH132" s="345"/>
      <c r="EI132" s="345"/>
      <c r="EJ132" s="345"/>
      <c r="EK132" s="345"/>
      <c r="EL132" s="345"/>
      <c r="EM132" s="345"/>
      <c r="EN132" s="345"/>
      <c r="EO132" s="345"/>
      <c r="EP132" s="345"/>
      <c r="EQ132" s="345"/>
      <c r="ER132" s="345"/>
      <c r="ES132" s="345"/>
      <c r="ET132" s="345"/>
      <c r="EU132" s="345"/>
      <c r="EV132" s="345"/>
      <c r="EW132" s="345"/>
      <c r="EX132" s="345"/>
      <c r="EY132" s="345"/>
      <c r="EZ132" s="345"/>
      <c r="FA132" s="345"/>
      <c r="FB132" s="345"/>
      <c r="FC132" s="345"/>
      <c r="FD132" s="345"/>
      <c r="FE132" s="345"/>
      <c r="FF132" s="345"/>
      <c r="FG132" s="345"/>
      <c r="FH132" s="345"/>
      <c r="FI132" s="345"/>
      <c r="FJ132" s="345"/>
      <c r="FK132" s="345"/>
      <c r="FL132" s="345"/>
      <c r="FM132" s="345"/>
      <c r="FN132" s="345"/>
      <c r="FO132" s="345"/>
      <c r="FP132" s="345"/>
      <c r="FQ132" s="345"/>
      <c r="FR132" s="345"/>
      <c r="FS132" s="345"/>
      <c r="FT132" s="345"/>
      <c r="FU132" s="345"/>
      <c r="FV132" s="345"/>
      <c r="FW132" s="345"/>
      <c r="FX132" s="345"/>
      <c r="FY132" s="345"/>
      <c r="FZ132" s="345"/>
      <c r="GA132" s="345"/>
      <c r="GB132" s="345"/>
      <c r="GC132" s="345"/>
      <c r="GD132" s="345"/>
      <c r="GE132" s="345"/>
      <c r="GF132" s="345"/>
      <c r="GG132" s="345"/>
      <c r="GH132" s="345"/>
      <c r="GI132" s="345"/>
      <c r="GJ132" s="345"/>
      <c r="GK132" s="345"/>
      <c r="GL132" s="345"/>
      <c r="GM132" s="345"/>
      <c r="GN132" s="345"/>
      <c r="GO132" s="345"/>
      <c r="GP132" s="345"/>
      <c r="GQ132" s="345"/>
      <c r="GR132" s="345"/>
      <c r="GS132" s="345"/>
      <c r="GT132" s="345"/>
      <c r="GU132" s="345"/>
    </row>
    <row r="133" spans="1:203" ht="12.75" customHeight="1" thickBot="1">
      <c r="A133" s="465" t="str">
        <f t="shared" si="95"/>
        <v/>
      </c>
      <c r="B133" s="1108">
        <v>123</v>
      </c>
      <c r="C133" s="1109"/>
      <c r="D133" s="398"/>
      <c r="E133" s="1129"/>
      <c r="F133" s="465" t="str">
        <f t="shared" si="97"/>
        <v/>
      </c>
      <c r="G133" s="1108">
        <v>123</v>
      </c>
      <c r="H133" s="1109"/>
      <c r="I133" s="398"/>
      <c r="J133" s="1129"/>
      <c r="K133" s="465"/>
      <c r="L133" s="465"/>
      <c r="M133" s="465" t="str">
        <f t="shared" si="93"/>
        <v/>
      </c>
      <c r="N133" s="1108">
        <v>123</v>
      </c>
      <c r="O133" s="1109"/>
      <c r="P133" s="398"/>
      <c r="Q133" s="1129"/>
      <c r="R133" s="465" t="str">
        <f t="shared" si="94"/>
        <v/>
      </c>
      <c r="S133" s="1108">
        <v>123</v>
      </c>
      <c r="T133" s="1109"/>
      <c r="U133" s="1110"/>
      <c r="V133" s="1129"/>
      <c r="W133" s="371"/>
      <c r="X133" s="494" t="str">
        <f t="shared" si="70"/>
        <v/>
      </c>
      <c r="Y133" s="495" t="str">
        <f>IF('Feuilles=description générale'!$E$13="","",IF(X133="","",IF(X133&gt;('Feuilles=description générale'!$E$11+'Feuilles=description générale'!$E$10),"",100*(X133-'Feuilles=description générale'!$E$10)/('Feuilles=description générale'!$E$11))))</f>
        <v/>
      </c>
      <c r="Z133" s="495" t="str">
        <f>IF('Feuilles=description générale'!$E$13="","",IF(X133="","",IF(X133&lt;=('Feuilles=description générale'!$E$11+'Feuilles=description générale'!$E$10),"",100*(X133-'Feuilles=description générale'!$E$11-'Feuilles=description générale'!$E$10)/('Feuilles=description générale'!$E$12))))</f>
        <v/>
      </c>
      <c r="AA133" s="1112" t="str">
        <f>IF('Feuilles=description générale'!$E$13="","",IF(X133="","",100*(X133-'Feuilles=description générale'!$E$10)/('Feuilles=description générale'!$E$13-'Feuilles=description générale'!$E$10)))</f>
        <v/>
      </c>
      <c r="AB133" s="497" t="str">
        <f t="shared" si="71"/>
        <v/>
      </c>
      <c r="AC133" s="500" t="str">
        <f t="shared" si="96"/>
        <v/>
      </c>
      <c r="AD133" s="494" t="str">
        <f t="shared" si="72"/>
        <v/>
      </c>
      <c r="AE133" s="499" t="str">
        <f t="shared" si="73"/>
        <v/>
      </c>
      <c r="AF133" s="371"/>
      <c r="AG133" s="494" t="str">
        <f t="shared" si="74"/>
        <v/>
      </c>
      <c r="AH133" s="495" t="str">
        <f>IF('Feuilles=description générale'!$E$13="","",IF(AG133="","",IF(AG133&gt;('Feuilles=description générale'!$E$11+'Feuilles=description générale'!$E$10),"",100*(AG133-'Feuilles=description générale'!$E$10)/('Feuilles=description générale'!$E$11))))</f>
        <v/>
      </c>
      <c r="AI133" s="495" t="str">
        <f>IF('Feuilles=description générale'!$E$13="","",IF(AG133="","",IF(AG133&lt;=('Feuilles=description générale'!$E$11+'Feuilles=description générale'!$E$10),"",100*(AG133-'Feuilles=description générale'!$E$11-'Feuilles=description générale'!$E$10)/('Feuilles=description générale'!$E$12))))</f>
        <v/>
      </c>
      <c r="AJ133" s="496" t="str">
        <f>IF('Feuilles=description générale'!$E$13="","",IF(AG133="","",100*(AG133-'Feuilles=description générale'!$E$10)/('Feuilles=description générale'!$E$13-'Feuilles=description générale'!$E$10)))</f>
        <v/>
      </c>
      <c r="AK133" s="1113" t="str">
        <f t="shared" si="75"/>
        <v/>
      </c>
      <c r="AL133" s="498" t="str">
        <f t="shared" si="76"/>
        <v/>
      </c>
      <c r="AM133" s="494" t="str">
        <f t="shared" si="77"/>
        <v/>
      </c>
      <c r="AN133" s="499" t="str">
        <f t="shared" si="78"/>
        <v/>
      </c>
      <c r="AO133" s="371"/>
      <c r="AP133" s="494" t="str">
        <f t="shared" si="79"/>
        <v/>
      </c>
      <c r="AQ133" s="495" t="str">
        <f>IF('Feuilles=description générale'!$E$13="","",IF(AP133="","",IF(AP133&gt;('Feuilles=description générale'!$E$25+'Feuilles=description générale'!$E$24),"",100*(AP133-'Feuilles=description générale'!$E$24)/('Feuilles=description générale'!$E$25))))</f>
        <v/>
      </c>
      <c r="AR133" s="495" t="str">
        <f>IF('Feuilles=description générale'!$E$27="","",IF(AP133="","",IF(AP133&lt;=('Feuilles=description générale'!$E$25+'Feuilles=description générale'!$E$24),"",100*(AP133-'Feuilles=description générale'!$E$25-'Feuilles=description générale'!$E$24)/('Feuilles=description générale'!$E$26))))</f>
        <v/>
      </c>
      <c r="AS133" s="496" t="str">
        <f>IF('Feuilles=description générale'!$E$27="","",IF(AP133="","",100*(AP133-'Feuilles=description générale'!$E$24)/('Feuilles=description générale'!$E$27-'Feuilles=description générale'!$E$24)))</f>
        <v/>
      </c>
      <c r="AT133" s="497" t="str">
        <f t="shared" si="80"/>
        <v/>
      </c>
      <c r="AU133" s="500" t="str">
        <f t="shared" si="81"/>
        <v/>
      </c>
      <c r="AV133" s="494" t="str">
        <f t="shared" si="82"/>
        <v/>
      </c>
      <c r="AW133" s="499" t="str">
        <f t="shared" si="83"/>
        <v/>
      </c>
      <c r="AX133" s="371"/>
      <c r="AY133" s="494" t="str">
        <f t="shared" si="84"/>
        <v/>
      </c>
      <c r="AZ133" s="495" t="str">
        <f>IF('Feuilles=description générale'!$E$13="","",IF(AY133="","",IF(AY133&gt;('Feuilles=description générale'!$E$25+'Feuilles=description générale'!$E$24),"",100*(AY133-'Feuilles=description générale'!$E$24)/('Feuilles=description générale'!$E$25))))</f>
        <v/>
      </c>
      <c r="BA133" s="495" t="str">
        <f>IF('Feuilles=description générale'!$E$27="","",IF(AY133="","",IF(AY133&lt;=('Feuilles=description générale'!$E$25+'Feuilles=description générale'!$E$24),"",100*(AY133-'Feuilles=description générale'!$E$25-'Feuilles=description générale'!$E$24)/('Feuilles=description générale'!$E$26))))</f>
        <v/>
      </c>
      <c r="BB133" s="496" t="str">
        <f>IF('Feuilles=description générale'!$E$27="","",IF(AY133="","",100*(AY133-'Feuilles=description générale'!$E$24)/('Feuilles=description générale'!$E$27-'Feuilles=description générale'!$E$24)))</f>
        <v/>
      </c>
      <c r="BC133" s="497" t="str">
        <f t="shared" si="85"/>
        <v/>
      </c>
      <c r="BD133" s="500" t="str">
        <f t="shared" si="86"/>
        <v/>
      </c>
      <c r="BE133" s="494" t="str">
        <f t="shared" si="87"/>
        <v/>
      </c>
      <c r="BF133" s="499" t="str">
        <f t="shared" si="88"/>
        <v/>
      </c>
      <c r="BG133" s="476"/>
      <c r="BH133" s="566"/>
      <c r="BI133" s="560"/>
      <c r="BJ133" s="560"/>
      <c r="BK133" s="560"/>
      <c r="BL133" s="560"/>
      <c r="BM133" s="560"/>
      <c r="BN133" s="560"/>
      <c r="BO133" s="560"/>
      <c r="BP133" s="560"/>
      <c r="BQ133" s="560"/>
      <c r="BR133" s="560"/>
      <c r="BS133" s="560"/>
      <c r="BT133" s="560"/>
      <c r="BU133" s="568"/>
      <c r="BV133" s="1114" t="str">
        <f t="shared" si="89"/>
        <v/>
      </c>
      <c r="BW133" s="1114" t="str">
        <f t="shared" si="89"/>
        <v/>
      </c>
      <c r="BX133" s="1114" t="str">
        <f t="shared" si="90"/>
        <v/>
      </c>
      <c r="BY133" s="1115" t="str">
        <f t="shared" si="90"/>
        <v/>
      </c>
      <c r="BZ133" s="477"/>
      <c r="CA133" s="1114" t="str">
        <f t="shared" si="91"/>
        <v/>
      </c>
      <c r="CB133" s="1114" t="str">
        <f t="shared" si="91"/>
        <v/>
      </c>
      <c r="CC133" s="1114" t="str">
        <f t="shared" si="92"/>
        <v/>
      </c>
      <c r="CD133" s="1115" t="str">
        <f t="shared" si="92"/>
        <v/>
      </c>
      <c r="CE133" s="568"/>
      <c r="CF133" s="477"/>
      <c r="CG133" s="1450"/>
      <c r="CH133" s="1451"/>
      <c r="CI133" s="1451"/>
      <c r="CJ133" s="1451"/>
      <c r="CK133" s="1451"/>
      <c r="CL133" s="1451"/>
      <c r="CM133" s="1451"/>
      <c r="CN133" s="1451"/>
      <c r="CO133" s="1451"/>
      <c r="CP133" s="1451"/>
      <c r="CQ133" s="1451"/>
      <c r="CR133" s="1451"/>
      <c r="CS133" s="1451"/>
      <c r="CT133" s="1451"/>
      <c r="CU133" s="1452"/>
      <c r="CV133" s="476"/>
      <c r="CW133" s="345"/>
      <c r="CX133" s="345"/>
      <c r="CY133" s="345"/>
      <c r="CZ133" s="345"/>
      <c r="DA133" s="345"/>
      <c r="DB133" s="345"/>
      <c r="DC133" s="345"/>
      <c r="DD133" s="345"/>
      <c r="DE133" s="345"/>
      <c r="DF133" s="345"/>
      <c r="DG133" s="345"/>
      <c r="DH133" s="345"/>
      <c r="DI133" s="345"/>
      <c r="DJ133" s="345"/>
      <c r="DK133" s="345"/>
      <c r="DL133" s="345"/>
      <c r="DM133" s="345"/>
      <c r="DN133" s="345"/>
      <c r="DO133" s="345"/>
      <c r="DP133" s="345"/>
      <c r="DQ133" s="345"/>
      <c r="DR133" s="345"/>
      <c r="DS133" s="345"/>
      <c r="DT133" s="345"/>
      <c r="DU133" s="345"/>
      <c r="DV133" s="345"/>
      <c r="DW133" s="345"/>
      <c r="DX133" s="345"/>
      <c r="DY133" s="345"/>
      <c r="DZ133" s="345"/>
      <c r="EA133" s="345"/>
      <c r="EB133" s="345"/>
      <c r="EC133" s="345"/>
      <c r="ED133" s="345"/>
      <c r="EE133" s="345"/>
      <c r="EF133" s="345"/>
      <c r="EG133" s="345"/>
      <c r="EH133" s="345"/>
      <c r="EI133" s="345"/>
      <c r="EJ133" s="345"/>
      <c r="EK133" s="345"/>
      <c r="EL133" s="345"/>
      <c r="EM133" s="345"/>
      <c r="EN133" s="345"/>
      <c r="EO133" s="345"/>
      <c r="EP133" s="345"/>
      <c r="EQ133" s="345"/>
      <c r="ER133" s="345"/>
      <c r="ES133" s="345"/>
      <c r="ET133" s="345"/>
      <c r="EU133" s="345"/>
      <c r="EV133" s="345"/>
      <c r="EW133" s="345"/>
      <c r="EX133" s="345"/>
      <c r="EY133" s="345"/>
      <c r="EZ133" s="345"/>
      <c r="FA133" s="345"/>
      <c r="FB133" s="345"/>
      <c r="FC133" s="345"/>
      <c r="FD133" s="345"/>
      <c r="FE133" s="345"/>
      <c r="FF133" s="345"/>
      <c r="FG133" s="345"/>
      <c r="FH133" s="345"/>
      <c r="FI133" s="345"/>
      <c r="FJ133" s="345"/>
      <c r="FK133" s="345"/>
      <c r="FL133" s="345"/>
      <c r="FM133" s="345"/>
      <c r="FN133" s="345"/>
      <c r="FO133" s="345"/>
      <c r="FP133" s="345"/>
      <c r="FQ133" s="345"/>
      <c r="FR133" s="345"/>
      <c r="FS133" s="345"/>
      <c r="FT133" s="345"/>
      <c r="FU133" s="345"/>
      <c r="FV133" s="345"/>
      <c r="FW133" s="345"/>
      <c r="FX133" s="345"/>
      <c r="FY133" s="345"/>
      <c r="FZ133" s="345"/>
      <c r="GA133" s="345"/>
      <c r="GB133" s="345"/>
      <c r="GC133" s="345"/>
      <c r="GD133" s="345"/>
      <c r="GE133" s="345"/>
      <c r="GF133" s="345"/>
      <c r="GG133" s="345"/>
      <c r="GH133" s="345"/>
      <c r="GI133" s="345"/>
      <c r="GJ133" s="345"/>
      <c r="GK133" s="345"/>
      <c r="GL133" s="345"/>
      <c r="GM133" s="345"/>
      <c r="GN133" s="345"/>
      <c r="GO133" s="345"/>
      <c r="GP133" s="345"/>
      <c r="GQ133" s="345"/>
      <c r="GR133" s="345"/>
      <c r="GS133" s="345"/>
      <c r="GT133" s="345"/>
      <c r="GU133" s="345"/>
    </row>
    <row r="134" spans="1:203" ht="12.75" customHeight="1">
      <c r="A134" s="465" t="str">
        <f t="shared" si="95"/>
        <v/>
      </c>
      <c r="B134" s="1108">
        <v>124</v>
      </c>
      <c r="C134" s="1109"/>
      <c r="D134" s="398"/>
      <c r="E134" s="1116"/>
      <c r="F134" s="465" t="str">
        <f t="shared" si="97"/>
        <v/>
      </c>
      <c r="G134" s="1108">
        <v>124</v>
      </c>
      <c r="H134" s="1109"/>
      <c r="I134" s="398"/>
      <c r="J134" s="1116"/>
      <c r="K134" s="465"/>
      <c r="L134" s="465"/>
      <c r="M134" s="465" t="str">
        <f t="shared" si="93"/>
        <v/>
      </c>
      <c r="N134" s="1108">
        <v>124</v>
      </c>
      <c r="O134" s="1109"/>
      <c r="P134" s="398"/>
      <c r="Q134" s="1116"/>
      <c r="R134" s="465" t="str">
        <f t="shared" si="94"/>
        <v/>
      </c>
      <c r="S134" s="1108">
        <v>124</v>
      </c>
      <c r="T134" s="1109"/>
      <c r="U134" s="1110"/>
      <c r="V134" s="1116"/>
      <c r="W134" s="371"/>
      <c r="X134" s="494" t="str">
        <f t="shared" si="70"/>
        <v/>
      </c>
      <c r="Y134" s="495" t="str">
        <f>IF('Feuilles=description générale'!$E$13="","",IF(X134="","",IF(X134&gt;('Feuilles=description générale'!$E$11+'Feuilles=description générale'!$E$10),"",100*(X134-'Feuilles=description générale'!$E$10)/('Feuilles=description générale'!$E$11))))</f>
        <v/>
      </c>
      <c r="Z134" s="495" t="str">
        <f>IF('Feuilles=description générale'!$E$13="","",IF(X134="","",IF(X134&lt;=('Feuilles=description générale'!$E$11+'Feuilles=description générale'!$E$10),"",100*(X134-'Feuilles=description générale'!$E$11-'Feuilles=description générale'!$E$10)/('Feuilles=description générale'!$E$12))))</f>
        <v/>
      </c>
      <c r="AA134" s="1112" t="str">
        <f>IF('Feuilles=description générale'!$E$13="","",IF(X134="","",100*(X134-'Feuilles=description générale'!$E$10)/('Feuilles=description générale'!$E$13-'Feuilles=description générale'!$E$10)))</f>
        <v/>
      </c>
      <c r="AB134" s="497" t="str">
        <f t="shared" si="71"/>
        <v/>
      </c>
      <c r="AC134" s="500" t="str">
        <f t="shared" si="96"/>
        <v/>
      </c>
      <c r="AD134" s="494" t="str">
        <f t="shared" si="72"/>
        <v/>
      </c>
      <c r="AE134" s="499" t="str">
        <f t="shared" si="73"/>
        <v/>
      </c>
      <c r="AF134" s="371"/>
      <c r="AG134" s="494" t="str">
        <f t="shared" si="74"/>
        <v/>
      </c>
      <c r="AH134" s="495" t="str">
        <f>IF('Feuilles=description générale'!$E$13="","",IF(AG134="","",IF(AG134&gt;('Feuilles=description générale'!$E$11+'Feuilles=description générale'!$E$10),"",100*(AG134-'Feuilles=description générale'!$E$10)/('Feuilles=description générale'!$E$11))))</f>
        <v/>
      </c>
      <c r="AI134" s="495" t="str">
        <f>IF('Feuilles=description générale'!$E$13="","",IF(AG134="","",IF(AG134&lt;=('Feuilles=description générale'!$E$11+'Feuilles=description générale'!$E$10),"",100*(AG134-'Feuilles=description générale'!$E$11-'Feuilles=description générale'!$E$10)/('Feuilles=description générale'!$E$12))))</f>
        <v/>
      </c>
      <c r="AJ134" s="496" t="str">
        <f>IF('Feuilles=description générale'!$E$13="","",IF(AG134="","",100*(AG134-'Feuilles=description générale'!$E$10)/('Feuilles=description générale'!$E$13-'Feuilles=description générale'!$E$10)))</f>
        <v/>
      </c>
      <c r="AK134" s="1113" t="str">
        <f t="shared" si="75"/>
        <v/>
      </c>
      <c r="AL134" s="498" t="str">
        <f t="shared" si="76"/>
        <v/>
      </c>
      <c r="AM134" s="494" t="str">
        <f t="shared" si="77"/>
        <v/>
      </c>
      <c r="AN134" s="499" t="str">
        <f t="shared" si="78"/>
        <v/>
      </c>
      <c r="AO134" s="371"/>
      <c r="AP134" s="494" t="str">
        <f t="shared" si="79"/>
        <v/>
      </c>
      <c r="AQ134" s="495" t="str">
        <f>IF('Feuilles=description générale'!$E$13="","",IF(AP134="","",IF(AP134&gt;('Feuilles=description générale'!$E$25+'Feuilles=description générale'!$E$24),"",100*(AP134-'Feuilles=description générale'!$E$24)/('Feuilles=description générale'!$E$25))))</f>
        <v/>
      </c>
      <c r="AR134" s="495" t="str">
        <f>IF('Feuilles=description générale'!$E$27="","",IF(AP134="","",IF(AP134&lt;=('Feuilles=description générale'!$E$25+'Feuilles=description générale'!$E$24),"",100*(AP134-'Feuilles=description générale'!$E$25-'Feuilles=description générale'!$E$24)/('Feuilles=description générale'!$E$26))))</f>
        <v/>
      </c>
      <c r="AS134" s="496" t="str">
        <f>IF('Feuilles=description générale'!$E$27="","",IF(AP134="","",100*(AP134-'Feuilles=description générale'!$E$24)/('Feuilles=description générale'!$E$27-'Feuilles=description générale'!$E$24)))</f>
        <v/>
      </c>
      <c r="AT134" s="497" t="str">
        <f t="shared" si="80"/>
        <v/>
      </c>
      <c r="AU134" s="500" t="str">
        <f t="shared" si="81"/>
        <v/>
      </c>
      <c r="AV134" s="494" t="str">
        <f t="shared" si="82"/>
        <v/>
      </c>
      <c r="AW134" s="499" t="str">
        <f t="shared" si="83"/>
        <v/>
      </c>
      <c r="AX134" s="371"/>
      <c r="AY134" s="494" t="str">
        <f t="shared" si="84"/>
        <v/>
      </c>
      <c r="AZ134" s="495" t="str">
        <f>IF('Feuilles=description générale'!$E$13="","",IF(AY134="","",IF(AY134&gt;('Feuilles=description générale'!$E$25+'Feuilles=description générale'!$E$24),"",100*(AY134-'Feuilles=description générale'!$E$24)/('Feuilles=description générale'!$E$25))))</f>
        <v/>
      </c>
      <c r="BA134" s="495" t="str">
        <f>IF('Feuilles=description générale'!$E$27="","",IF(AY134="","",IF(AY134&lt;=('Feuilles=description générale'!$E$25+'Feuilles=description générale'!$E$24),"",100*(AY134-'Feuilles=description générale'!$E$25-'Feuilles=description générale'!$E$24)/('Feuilles=description générale'!$E$26))))</f>
        <v/>
      </c>
      <c r="BB134" s="496" t="str">
        <f>IF('Feuilles=description générale'!$E$27="","",IF(AY134="","",100*(AY134-'Feuilles=description générale'!$E$24)/('Feuilles=description générale'!$E$27-'Feuilles=description générale'!$E$24)))</f>
        <v/>
      </c>
      <c r="BC134" s="497" t="str">
        <f t="shared" si="85"/>
        <v/>
      </c>
      <c r="BD134" s="500" t="str">
        <f t="shared" si="86"/>
        <v/>
      </c>
      <c r="BE134" s="494" t="str">
        <f t="shared" si="87"/>
        <v/>
      </c>
      <c r="BF134" s="499" t="str">
        <f t="shared" si="88"/>
        <v/>
      </c>
      <c r="BG134" s="476"/>
      <c r="BH134" s="561"/>
      <c r="BI134" s="560"/>
      <c r="BJ134" s="560"/>
      <c r="BK134" s="560"/>
      <c r="BL134" s="560"/>
      <c r="BM134" s="560"/>
      <c r="BN134" s="560"/>
      <c r="BO134" s="560"/>
      <c r="BP134" s="560"/>
      <c r="BQ134" s="560"/>
      <c r="BR134" s="560"/>
      <c r="BS134" s="560"/>
      <c r="BT134" s="560"/>
      <c r="BU134" s="568"/>
      <c r="BV134" s="1114" t="str">
        <f t="shared" si="89"/>
        <v/>
      </c>
      <c r="BW134" s="1114" t="str">
        <f t="shared" si="89"/>
        <v/>
      </c>
      <c r="BX134" s="1114" t="str">
        <f t="shared" si="90"/>
        <v/>
      </c>
      <c r="BY134" s="1115" t="str">
        <f t="shared" si="90"/>
        <v/>
      </c>
      <c r="BZ134" s="477"/>
      <c r="CA134" s="1114" t="str">
        <f t="shared" si="91"/>
        <v/>
      </c>
      <c r="CB134" s="1114" t="str">
        <f t="shared" si="91"/>
        <v/>
      </c>
      <c r="CC134" s="1114" t="str">
        <f t="shared" si="92"/>
        <v/>
      </c>
      <c r="CD134" s="1115" t="str">
        <f t="shared" si="92"/>
        <v/>
      </c>
      <c r="CE134" s="568"/>
      <c r="CF134" s="1453" t="s">
        <v>1328</v>
      </c>
      <c r="CG134" s="1457" t="s">
        <v>1220</v>
      </c>
      <c r="CH134" s="1457"/>
      <c r="CI134" s="1457"/>
      <c r="CJ134" s="1457"/>
      <c r="CK134" s="1458"/>
      <c r="CL134" s="1461" t="s">
        <v>1221</v>
      </c>
      <c r="CM134" s="1457"/>
      <c r="CN134" s="1457"/>
      <c r="CO134" s="1457"/>
      <c r="CP134" s="1458"/>
      <c r="CQ134" s="1461" t="s">
        <v>1139</v>
      </c>
      <c r="CR134" s="1457"/>
      <c r="CS134" s="1457"/>
      <c r="CT134" s="1457"/>
      <c r="CU134" s="1458"/>
      <c r="CV134" s="476"/>
      <c r="CW134" s="345"/>
      <c r="CX134" s="345"/>
      <c r="CY134" s="345"/>
      <c r="CZ134" s="345"/>
      <c r="DA134" s="345"/>
      <c r="DB134" s="345"/>
      <c r="DC134" s="345"/>
      <c r="DD134" s="345"/>
      <c r="DE134" s="345"/>
      <c r="DF134" s="345"/>
      <c r="DG134" s="345"/>
      <c r="DH134" s="345"/>
      <c r="DI134" s="345"/>
      <c r="DJ134" s="345"/>
      <c r="DK134" s="345"/>
      <c r="DL134" s="345"/>
      <c r="DM134" s="345"/>
      <c r="DN134" s="345"/>
      <c r="DO134" s="345"/>
      <c r="DP134" s="345"/>
      <c r="DQ134" s="345"/>
      <c r="DR134" s="345"/>
      <c r="DS134" s="345"/>
      <c r="DT134" s="345"/>
      <c r="DU134" s="345"/>
      <c r="DV134" s="345"/>
      <c r="DW134" s="345"/>
      <c r="DX134" s="345"/>
      <c r="DY134" s="345"/>
      <c r="DZ134" s="345"/>
      <c r="EA134" s="345"/>
      <c r="EB134" s="345"/>
      <c r="EC134" s="345"/>
      <c r="ED134" s="345"/>
      <c r="EE134" s="345"/>
      <c r="EF134" s="345"/>
      <c r="EG134" s="345"/>
      <c r="EH134" s="345"/>
      <c r="EI134" s="345"/>
      <c r="EJ134" s="345"/>
      <c r="EK134" s="345"/>
      <c r="EL134" s="345"/>
      <c r="EM134" s="345"/>
      <c r="EN134" s="345"/>
      <c r="EO134" s="345"/>
      <c r="EP134" s="345"/>
      <c r="EQ134" s="345"/>
      <c r="ER134" s="345"/>
      <c r="ES134" s="345"/>
      <c r="ET134" s="345"/>
      <c r="EU134" s="345"/>
      <c r="EV134" s="345"/>
      <c r="EW134" s="345"/>
      <c r="EX134" s="345"/>
      <c r="EY134" s="345"/>
      <c r="EZ134" s="345"/>
      <c r="FA134" s="345"/>
      <c r="FB134" s="345"/>
      <c r="FC134" s="345"/>
      <c r="FD134" s="345"/>
      <c r="FE134" s="345"/>
      <c r="FF134" s="345"/>
      <c r="FG134" s="345"/>
      <c r="FH134" s="345"/>
      <c r="FI134" s="345"/>
      <c r="FJ134" s="345"/>
      <c r="FK134" s="345"/>
      <c r="FL134" s="345"/>
      <c r="FM134" s="345"/>
      <c r="FN134" s="345"/>
      <c r="FO134" s="345"/>
      <c r="FP134" s="345"/>
      <c r="FQ134" s="345"/>
      <c r="FR134" s="345"/>
      <c r="FS134" s="345"/>
      <c r="FT134" s="345"/>
      <c r="FU134" s="345"/>
      <c r="FV134" s="345"/>
      <c r="FW134" s="345"/>
      <c r="FX134" s="345"/>
      <c r="FY134" s="345"/>
      <c r="FZ134" s="345"/>
      <c r="GA134" s="345"/>
      <c r="GB134" s="345"/>
      <c r="GC134" s="345"/>
      <c r="GD134" s="345"/>
      <c r="GE134" s="345"/>
      <c r="GF134" s="345"/>
      <c r="GG134" s="345"/>
      <c r="GH134" s="345"/>
      <c r="GI134" s="345"/>
      <c r="GJ134" s="345"/>
      <c r="GK134" s="345"/>
      <c r="GL134" s="345"/>
      <c r="GM134" s="345"/>
      <c r="GN134" s="345"/>
      <c r="GO134" s="345"/>
      <c r="GP134" s="345"/>
      <c r="GQ134" s="345"/>
      <c r="GR134" s="345"/>
      <c r="GS134" s="345"/>
      <c r="GT134" s="345"/>
      <c r="GU134" s="345"/>
    </row>
    <row r="135" spans="1:203" ht="12.75" customHeight="1" thickBot="1">
      <c r="A135" s="465" t="str">
        <f t="shared" si="95"/>
        <v/>
      </c>
      <c r="B135" s="1108">
        <v>125</v>
      </c>
      <c r="C135" s="1109"/>
      <c r="D135" s="398"/>
      <c r="E135" s="1116"/>
      <c r="F135" s="465" t="str">
        <f t="shared" si="97"/>
        <v/>
      </c>
      <c r="G135" s="1108">
        <v>125</v>
      </c>
      <c r="H135" s="1109"/>
      <c r="I135" s="398"/>
      <c r="J135" s="1116"/>
      <c r="K135" s="465"/>
      <c r="L135" s="465"/>
      <c r="M135" s="465" t="str">
        <f t="shared" si="93"/>
        <v/>
      </c>
      <c r="N135" s="1108">
        <v>125</v>
      </c>
      <c r="O135" s="1109"/>
      <c r="P135" s="398"/>
      <c r="Q135" s="1116"/>
      <c r="R135" s="465" t="str">
        <f t="shared" si="94"/>
        <v/>
      </c>
      <c r="S135" s="1108">
        <v>125</v>
      </c>
      <c r="T135" s="1109"/>
      <c r="U135" s="1110"/>
      <c r="V135" s="1116"/>
      <c r="W135" s="371"/>
      <c r="X135" s="494" t="str">
        <f t="shared" si="70"/>
        <v/>
      </c>
      <c r="Y135" s="495" t="str">
        <f>IF('Feuilles=description générale'!$E$13="","",IF(X135="","",IF(X135&gt;('Feuilles=description générale'!$E$11+'Feuilles=description générale'!$E$10),"",100*(X135-'Feuilles=description générale'!$E$10)/('Feuilles=description générale'!$E$11))))</f>
        <v/>
      </c>
      <c r="Z135" s="495" t="str">
        <f>IF('Feuilles=description générale'!$E$13="","",IF(X135="","",IF(X135&lt;=('Feuilles=description générale'!$E$11+'Feuilles=description générale'!$E$10),"",100*(X135-'Feuilles=description générale'!$E$11-'Feuilles=description générale'!$E$10)/('Feuilles=description générale'!$E$12))))</f>
        <v/>
      </c>
      <c r="AA135" s="1112" t="str">
        <f>IF('Feuilles=description générale'!$E$13="","",IF(X135="","",100*(X135-'Feuilles=description générale'!$E$10)/('Feuilles=description générale'!$E$13-'Feuilles=description générale'!$E$10)))</f>
        <v/>
      </c>
      <c r="AB135" s="497" t="str">
        <f t="shared" si="71"/>
        <v/>
      </c>
      <c r="AC135" s="500" t="str">
        <f t="shared" si="96"/>
        <v/>
      </c>
      <c r="AD135" s="494" t="str">
        <f t="shared" si="72"/>
        <v/>
      </c>
      <c r="AE135" s="499" t="str">
        <f t="shared" si="73"/>
        <v/>
      </c>
      <c r="AF135" s="371"/>
      <c r="AG135" s="494" t="str">
        <f t="shared" si="74"/>
        <v/>
      </c>
      <c r="AH135" s="495" t="str">
        <f>IF('Feuilles=description générale'!$E$13="","",IF(AG135="","",IF(AG135&gt;('Feuilles=description générale'!$E$11+'Feuilles=description générale'!$E$10),"",100*(AG135-'Feuilles=description générale'!$E$10)/('Feuilles=description générale'!$E$11))))</f>
        <v/>
      </c>
      <c r="AI135" s="495" t="str">
        <f>IF('Feuilles=description générale'!$E$13="","",IF(AG135="","",IF(AG135&lt;=('Feuilles=description générale'!$E$11+'Feuilles=description générale'!$E$10),"",100*(AG135-'Feuilles=description générale'!$E$11-'Feuilles=description générale'!$E$10)/('Feuilles=description générale'!$E$12))))</f>
        <v/>
      </c>
      <c r="AJ135" s="496" t="str">
        <f>IF('Feuilles=description générale'!$E$13="","",IF(AG135="","",100*(AG135-'Feuilles=description générale'!$E$10)/('Feuilles=description générale'!$E$13-'Feuilles=description générale'!$E$10)))</f>
        <v/>
      </c>
      <c r="AK135" s="1113" t="str">
        <f t="shared" si="75"/>
        <v/>
      </c>
      <c r="AL135" s="498" t="str">
        <f t="shared" si="76"/>
        <v/>
      </c>
      <c r="AM135" s="494" t="str">
        <f t="shared" si="77"/>
        <v/>
      </c>
      <c r="AN135" s="499" t="str">
        <f t="shared" si="78"/>
        <v/>
      </c>
      <c r="AO135" s="371"/>
      <c r="AP135" s="494" t="str">
        <f t="shared" si="79"/>
        <v/>
      </c>
      <c r="AQ135" s="495" t="str">
        <f>IF('Feuilles=description générale'!$E$13="","",IF(AP135="","",IF(AP135&gt;('Feuilles=description générale'!$E$25+'Feuilles=description générale'!$E$24),"",100*(AP135-'Feuilles=description générale'!$E$24)/('Feuilles=description générale'!$E$25))))</f>
        <v/>
      </c>
      <c r="AR135" s="495" t="str">
        <f>IF('Feuilles=description générale'!$E$27="","",IF(AP135="","",IF(AP135&lt;=('Feuilles=description générale'!$E$25+'Feuilles=description générale'!$E$24),"",100*(AP135-'Feuilles=description générale'!$E$25-'Feuilles=description générale'!$E$24)/('Feuilles=description générale'!$E$26))))</f>
        <v/>
      </c>
      <c r="AS135" s="496" t="str">
        <f>IF('Feuilles=description générale'!$E$27="","",IF(AP135="","",100*(AP135-'Feuilles=description générale'!$E$24)/('Feuilles=description générale'!$E$27-'Feuilles=description générale'!$E$24)))</f>
        <v/>
      </c>
      <c r="AT135" s="497" t="str">
        <f t="shared" si="80"/>
        <v/>
      </c>
      <c r="AU135" s="500" t="str">
        <f t="shared" si="81"/>
        <v/>
      </c>
      <c r="AV135" s="494" t="str">
        <f t="shared" si="82"/>
        <v/>
      </c>
      <c r="AW135" s="499" t="str">
        <f t="shared" si="83"/>
        <v/>
      </c>
      <c r="AX135" s="371"/>
      <c r="AY135" s="494" t="str">
        <f t="shared" si="84"/>
        <v/>
      </c>
      <c r="AZ135" s="495" t="str">
        <f>IF('Feuilles=description générale'!$E$13="","",IF(AY135="","",IF(AY135&gt;('Feuilles=description générale'!$E$25+'Feuilles=description générale'!$E$24),"",100*(AY135-'Feuilles=description générale'!$E$24)/('Feuilles=description générale'!$E$25))))</f>
        <v/>
      </c>
      <c r="BA135" s="495" t="str">
        <f>IF('Feuilles=description générale'!$E$27="","",IF(AY135="","",IF(AY135&lt;=('Feuilles=description générale'!$E$25+'Feuilles=description générale'!$E$24),"",100*(AY135-'Feuilles=description générale'!$E$25-'Feuilles=description générale'!$E$24)/('Feuilles=description générale'!$E$26))))</f>
        <v/>
      </c>
      <c r="BB135" s="496" t="str">
        <f>IF('Feuilles=description générale'!$E$27="","",IF(AY135="","",100*(AY135-'Feuilles=description générale'!$E$24)/('Feuilles=description générale'!$E$27-'Feuilles=description générale'!$E$24)))</f>
        <v/>
      </c>
      <c r="BC135" s="497" t="str">
        <f t="shared" si="85"/>
        <v/>
      </c>
      <c r="BD135" s="500" t="str">
        <f t="shared" si="86"/>
        <v/>
      </c>
      <c r="BE135" s="494" t="str">
        <f t="shared" si="87"/>
        <v/>
      </c>
      <c r="BF135" s="499" t="str">
        <f t="shared" si="88"/>
        <v/>
      </c>
      <c r="BG135" s="476"/>
      <c r="BH135" s="561"/>
      <c r="BI135" s="560"/>
      <c r="BJ135" s="560"/>
      <c r="BK135" s="560"/>
      <c r="BL135" s="560"/>
      <c r="BM135" s="560"/>
      <c r="BN135" s="560"/>
      <c r="BO135" s="560"/>
      <c r="BP135" s="560"/>
      <c r="BQ135" s="560"/>
      <c r="BR135" s="560"/>
      <c r="BS135" s="560"/>
      <c r="BT135" s="560"/>
      <c r="BU135" s="568"/>
      <c r="BV135" s="1114" t="str">
        <f t="shared" si="89"/>
        <v/>
      </c>
      <c r="BW135" s="1114" t="str">
        <f t="shared" si="89"/>
        <v/>
      </c>
      <c r="BX135" s="1114" t="str">
        <f t="shared" si="90"/>
        <v/>
      </c>
      <c r="BY135" s="1115" t="str">
        <f t="shared" si="90"/>
        <v/>
      </c>
      <c r="BZ135" s="477"/>
      <c r="CA135" s="1114" t="str">
        <f t="shared" si="91"/>
        <v/>
      </c>
      <c r="CB135" s="1114" t="str">
        <f t="shared" si="91"/>
        <v/>
      </c>
      <c r="CC135" s="1114" t="str">
        <f t="shared" si="92"/>
        <v/>
      </c>
      <c r="CD135" s="1115" t="str">
        <f t="shared" si="92"/>
        <v/>
      </c>
      <c r="CE135" s="568"/>
      <c r="CF135" s="1454"/>
      <c r="CG135" s="1459"/>
      <c r="CH135" s="1459"/>
      <c r="CI135" s="1459"/>
      <c r="CJ135" s="1459"/>
      <c r="CK135" s="1460"/>
      <c r="CL135" s="1462"/>
      <c r="CM135" s="1459"/>
      <c r="CN135" s="1459"/>
      <c r="CO135" s="1459"/>
      <c r="CP135" s="1460"/>
      <c r="CQ135" s="1462"/>
      <c r="CR135" s="1459"/>
      <c r="CS135" s="1459"/>
      <c r="CT135" s="1459"/>
      <c r="CU135" s="1460"/>
      <c r="CV135" s="476"/>
      <c r="CW135" s="345"/>
      <c r="CX135" s="345"/>
      <c r="CY135" s="345"/>
      <c r="CZ135" s="345"/>
      <c r="DA135" s="345"/>
      <c r="DB135" s="345"/>
      <c r="DC135" s="345"/>
      <c r="DD135" s="345"/>
      <c r="DE135" s="345"/>
      <c r="DF135" s="345"/>
      <c r="DG135" s="345"/>
      <c r="DH135" s="345"/>
      <c r="DI135" s="345"/>
      <c r="DJ135" s="345"/>
      <c r="DK135" s="345"/>
      <c r="DL135" s="345"/>
      <c r="DM135" s="345"/>
      <c r="DN135" s="345"/>
      <c r="DO135" s="345"/>
      <c r="DP135" s="345"/>
      <c r="DQ135" s="345"/>
      <c r="DR135" s="345"/>
      <c r="DS135" s="345"/>
      <c r="DT135" s="345"/>
      <c r="DU135" s="345"/>
      <c r="DV135" s="345"/>
      <c r="DW135" s="345"/>
      <c r="DX135" s="345"/>
      <c r="DY135" s="345"/>
      <c r="DZ135" s="345"/>
      <c r="EA135" s="345"/>
      <c r="EB135" s="345"/>
      <c r="EC135" s="345"/>
      <c r="ED135" s="345"/>
      <c r="EE135" s="345"/>
      <c r="EF135" s="345"/>
      <c r="EG135" s="345"/>
      <c r="EH135" s="345"/>
      <c r="EI135" s="345"/>
      <c r="EJ135" s="345"/>
      <c r="EK135" s="345"/>
      <c r="EL135" s="345"/>
      <c r="EM135" s="345"/>
      <c r="EN135" s="345"/>
      <c r="EO135" s="345"/>
      <c r="EP135" s="345"/>
      <c r="EQ135" s="345"/>
      <c r="ER135" s="345"/>
      <c r="ES135" s="345"/>
      <c r="ET135" s="345"/>
      <c r="EU135" s="345"/>
      <c r="EV135" s="345"/>
      <c r="EW135" s="345"/>
      <c r="EX135" s="345"/>
      <c r="EY135" s="345"/>
      <c r="EZ135" s="345"/>
      <c r="FA135" s="345"/>
      <c r="FB135" s="345"/>
      <c r="FC135" s="345"/>
      <c r="FD135" s="345"/>
      <c r="FE135" s="345"/>
      <c r="FF135" s="345"/>
      <c r="FG135" s="345"/>
      <c r="FH135" s="345"/>
      <c r="FI135" s="345"/>
      <c r="FJ135" s="345"/>
      <c r="FK135" s="345"/>
      <c r="FL135" s="345"/>
      <c r="FM135" s="345"/>
      <c r="FN135" s="345"/>
      <c r="FO135" s="345"/>
      <c r="FP135" s="345"/>
      <c r="FQ135" s="345"/>
      <c r="FR135" s="345"/>
      <c r="FS135" s="345"/>
      <c r="FT135" s="345"/>
      <c r="FU135" s="345"/>
      <c r="FV135" s="345"/>
      <c r="FW135" s="345"/>
      <c r="FX135" s="345"/>
      <c r="FY135" s="345"/>
      <c r="FZ135" s="345"/>
      <c r="GA135" s="345"/>
      <c r="GB135" s="345"/>
      <c r="GC135" s="345"/>
      <c r="GD135" s="345"/>
      <c r="GE135" s="345"/>
      <c r="GF135" s="345"/>
      <c r="GG135" s="345"/>
      <c r="GH135" s="345"/>
      <c r="GI135" s="345"/>
      <c r="GJ135" s="345"/>
      <c r="GK135" s="345"/>
      <c r="GL135" s="345"/>
      <c r="GM135" s="345"/>
      <c r="GN135" s="345"/>
      <c r="GO135" s="345"/>
      <c r="GP135" s="345"/>
      <c r="GQ135" s="345"/>
      <c r="GR135" s="345"/>
      <c r="GS135" s="345"/>
      <c r="GT135" s="345"/>
      <c r="GU135" s="345"/>
    </row>
    <row r="136" spans="1:203" ht="12.75" customHeight="1">
      <c r="A136" s="465" t="str">
        <f t="shared" si="95"/>
        <v/>
      </c>
      <c r="B136" s="1108">
        <v>126</v>
      </c>
      <c r="C136" s="1109"/>
      <c r="D136" s="398"/>
      <c r="E136" s="1116"/>
      <c r="F136" s="465" t="str">
        <f t="shared" si="97"/>
        <v/>
      </c>
      <c r="G136" s="1108">
        <v>126</v>
      </c>
      <c r="H136" s="1109"/>
      <c r="I136" s="398"/>
      <c r="J136" s="1116"/>
      <c r="K136" s="465"/>
      <c r="L136" s="465"/>
      <c r="M136" s="465" t="str">
        <f t="shared" si="93"/>
        <v/>
      </c>
      <c r="N136" s="1108">
        <v>126</v>
      </c>
      <c r="O136" s="1109"/>
      <c r="P136" s="398"/>
      <c r="Q136" s="1116"/>
      <c r="R136" s="465" t="str">
        <f t="shared" si="94"/>
        <v/>
      </c>
      <c r="S136" s="1108">
        <v>126</v>
      </c>
      <c r="T136" s="1109"/>
      <c r="U136" s="1110"/>
      <c r="V136" s="1116"/>
      <c r="W136" s="371"/>
      <c r="X136" s="494" t="str">
        <f t="shared" si="70"/>
        <v/>
      </c>
      <c r="Y136" s="495" t="str">
        <f>IF('Feuilles=description générale'!$E$13="","",IF(X136="","",IF(X136&gt;('Feuilles=description générale'!$E$11+'Feuilles=description générale'!$E$10),"",100*(X136-'Feuilles=description générale'!$E$10)/('Feuilles=description générale'!$E$11))))</f>
        <v/>
      </c>
      <c r="Z136" s="495" t="str">
        <f>IF('Feuilles=description générale'!$E$13="","",IF(X136="","",IF(X136&lt;=('Feuilles=description générale'!$E$11+'Feuilles=description générale'!$E$10),"",100*(X136-'Feuilles=description générale'!$E$11-'Feuilles=description générale'!$E$10)/('Feuilles=description générale'!$E$12))))</f>
        <v/>
      </c>
      <c r="AA136" s="1112" t="str">
        <f>IF('Feuilles=description générale'!$E$13="","",IF(X136="","",100*(X136-'Feuilles=description générale'!$E$10)/('Feuilles=description générale'!$E$13-'Feuilles=description générale'!$E$10)))</f>
        <v/>
      </c>
      <c r="AB136" s="497" t="str">
        <f t="shared" si="71"/>
        <v/>
      </c>
      <c r="AC136" s="500" t="str">
        <f t="shared" si="96"/>
        <v/>
      </c>
      <c r="AD136" s="494" t="str">
        <f t="shared" si="72"/>
        <v/>
      </c>
      <c r="AE136" s="499" t="str">
        <f t="shared" si="73"/>
        <v/>
      </c>
      <c r="AF136" s="371"/>
      <c r="AG136" s="494" t="str">
        <f t="shared" si="74"/>
        <v/>
      </c>
      <c r="AH136" s="495" t="str">
        <f>IF('Feuilles=description générale'!$E$13="","",IF(AG136="","",IF(AG136&gt;('Feuilles=description générale'!$E$11+'Feuilles=description générale'!$E$10),"",100*(AG136-'Feuilles=description générale'!$E$10)/('Feuilles=description générale'!$E$11))))</f>
        <v/>
      </c>
      <c r="AI136" s="495" t="str">
        <f>IF('Feuilles=description générale'!$E$13="","",IF(AG136="","",IF(AG136&lt;=('Feuilles=description générale'!$E$11+'Feuilles=description générale'!$E$10),"",100*(AG136-'Feuilles=description générale'!$E$11-'Feuilles=description générale'!$E$10)/('Feuilles=description générale'!$E$12))))</f>
        <v/>
      </c>
      <c r="AJ136" s="496" t="str">
        <f>IF('Feuilles=description générale'!$E$13="","",IF(AG136="","",100*(AG136-'Feuilles=description générale'!$E$10)/('Feuilles=description générale'!$E$13-'Feuilles=description générale'!$E$10)))</f>
        <v/>
      </c>
      <c r="AK136" s="1113" t="str">
        <f t="shared" si="75"/>
        <v/>
      </c>
      <c r="AL136" s="498" t="str">
        <f t="shared" si="76"/>
        <v/>
      </c>
      <c r="AM136" s="494" t="str">
        <f t="shared" si="77"/>
        <v/>
      </c>
      <c r="AN136" s="499" t="str">
        <f t="shared" si="78"/>
        <v/>
      </c>
      <c r="AO136" s="371"/>
      <c r="AP136" s="494" t="str">
        <f t="shared" si="79"/>
        <v/>
      </c>
      <c r="AQ136" s="495" t="str">
        <f>IF('Feuilles=description générale'!$E$13="","",IF(AP136="","",IF(AP136&gt;('Feuilles=description générale'!$E$25+'Feuilles=description générale'!$E$24),"",100*(AP136-'Feuilles=description générale'!$E$24)/('Feuilles=description générale'!$E$25))))</f>
        <v/>
      </c>
      <c r="AR136" s="495" t="str">
        <f>IF('Feuilles=description générale'!$E$27="","",IF(AP136="","",IF(AP136&lt;=('Feuilles=description générale'!$E$25+'Feuilles=description générale'!$E$24),"",100*(AP136-'Feuilles=description générale'!$E$25-'Feuilles=description générale'!$E$24)/('Feuilles=description générale'!$E$26))))</f>
        <v/>
      </c>
      <c r="AS136" s="496" t="str">
        <f>IF('Feuilles=description générale'!$E$27="","",IF(AP136="","",100*(AP136-'Feuilles=description générale'!$E$24)/('Feuilles=description générale'!$E$27-'Feuilles=description générale'!$E$24)))</f>
        <v/>
      </c>
      <c r="AT136" s="497" t="str">
        <f t="shared" si="80"/>
        <v/>
      </c>
      <c r="AU136" s="500" t="str">
        <f t="shared" si="81"/>
        <v/>
      </c>
      <c r="AV136" s="494" t="str">
        <f t="shared" si="82"/>
        <v/>
      </c>
      <c r="AW136" s="499" t="str">
        <f t="shared" si="83"/>
        <v/>
      </c>
      <c r="AX136" s="371"/>
      <c r="AY136" s="494" t="str">
        <f t="shared" si="84"/>
        <v/>
      </c>
      <c r="AZ136" s="495" t="str">
        <f>IF('Feuilles=description générale'!$E$13="","",IF(AY136="","",IF(AY136&gt;('Feuilles=description générale'!$E$25+'Feuilles=description générale'!$E$24),"",100*(AY136-'Feuilles=description générale'!$E$24)/('Feuilles=description générale'!$E$25))))</f>
        <v/>
      </c>
      <c r="BA136" s="495" t="str">
        <f>IF('Feuilles=description générale'!$E$27="","",IF(AY136="","",IF(AY136&lt;=('Feuilles=description générale'!$E$25+'Feuilles=description générale'!$E$24),"",100*(AY136-'Feuilles=description générale'!$E$25-'Feuilles=description générale'!$E$24)/('Feuilles=description générale'!$E$26))))</f>
        <v/>
      </c>
      <c r="BB136" s="496" t="str">
        <f>IF('Feuilles=description générale'!$E$27="","",IF(AY136="","",100*(AY136-'Feuilles=description générale'!$E$24)/('Feuilles=description générale'!$E$27-'Feuilles=description générale'!$E$24)))</f>
        <v/>
      </c>
      <c r="BC136" s="497" t="str">
        <f t="shared" si="85"/>
        <v/>
      </c>
      <c r="BD136" s="500" t="str">
        <f t="shared" si="86"/>
        <v/>
      </c>
      <c r="BE136" s="494" t="str">
        <f t="shared" si="87"/>
        <v/>
      </c>
      <c r="BF136" s="499" t="str">
        <f t="shared" si="88"/>
        <v/>
      </c>
      <c r="BG136" s="476"/>
      <c r="BH136" s="561"/>
      <c r="BI136" s="561"/>
      <c r="BJ136" s="561"/>
      <c r="BK136" s="561"/>
      <c r="BL136" s="561"/>
      <c r="BM136" s="561"/>
      <c r="BN136" s="561"/>
      <c r="BO136" s="561"/>
      <c r="BP136" s="561"/>
      <c r="BQ136" s="561"/>
      <c r="BR136" s="561"/>
      <c r="BS136" s="561"/>
      <c r="BT136" s="561"/>
      <c r="BU136" s="568"/>
      <c r="BV136" s="1114" t="str">
        <f t="shared" si="89"/>
        <v/>
      </c>
      <c r="BW136" s="1114" t="str">
        <f t="shared" si="89"/>
        <v/>
      </c>
      <c r="BX136" s="1114" t="str">
        <f t="shared" si="90"/>
        <v/>
      </c>
      <c r="BY136" s="1115" t="str">
        <f t="shared" si="90"/>
        <v/>
      </c>
      <c r="BZ136" s="477"/>
      <c r="CA136" s="1114" t="str">
        <f t="shared" si="91"/>
        <v/>
      </c>
      <c r="CB136" s="1114" t="str">
        <f t="shared" si="91"/>
        <v/>
      </c>
      <c r="CC136" s="1114" t="str">
        <f t="shared" si="92"/>
        <v/>
      </c>
      <c r="CD136" s="1115" t="str">
        <f t="shared" si="92"/>
        <v/>
      </c>
      <c r="CE136" s="568"/>
      <c r="CF136" s="1455"/>
      <c r="CG136" s="1463" t="s">
        <v>1330</v>
      </c>
      <c r="CH136" s="1463" t="s">
        <v>1331</v>
      </c>
      <c r="CI136" s="1463" t="s">
        <v>1332</v>
      </c>
      <c r="CJ136" s="1463" t="s">
        <v>1283</v>
      </c>
      <c r="CK136" s="1463" t="s">
        <v>1333</v>
      </c>
      <c r="CL136" s="1463" t="s">
        <v>1330</v>
      </c>
      <c r="CM136" s="1463" t="s">
        <v>1331</v>
      </c>
      <c r="CN136" s="1463" t="s">
        <v>1332</v>
      </c>
      <c r="CO136" s="1463" t="s">
        <v>1283</v>
      </c>
      <c r="CP136" s="1463" t="s">
        <v>1333</v>
      </c>
      <c r="CQ136" s="1463" t="s">
        <v>1330</v>
      </c>
      <c r="CR136" s="1463" t="s">
        <v>1331</v>
      </c>
      <c r="CS136" s="1463" t="s">
        <v>1332</v>
      </c>
      <c r="CT136" s="1463" t="s">
        <v>1283</v>
      </c>
      <c r="CU136" s="1463" t="s">
        <v>1333</v>
      </c>
      <c r="CV136" s="476"/>
      <c r="CW136" s="345"/>
      <c r="CX136" s="345"/>
      <c r="CY136" s="345"/>
      <c r="CZ136" s="345"/>
      <c r="DA136" s="345"/>
      <c r="DB136" s="345"/>
      <c r="DC136" s="345"/>
      <c r="DD136" s="345"/>
      <c r="DE136" s="345"/>
      <c r="DF136" s="345"/>
      <c r="DG136" s="345"/>
      <c r="DH136" s="345"/>
      <c r="DI136" s="345"/>
      <c r="DJ136" s="345"/>
      <c r="DK136" s="345"/>
      <c r="DL136" s="345"/>
      <c r="DM136" s="345"/>
      <c r="DN136" s="345"/>
      <c r="DO136" s="345"/>
      <c r="DP136" s="345"/>
      <c r="DQ136" s="345"/>
      <c r="DR136" s="345"/>
      <c r="DS136" s="345"/>
      <c r="DT136" s="345"/>
      <c r="DU136" s="345"/>
      <c r="DV136" s="345"/>
      <c r="DW136" s="345"/>
      <c r="DX136" s="345"/>
      <c r="DY136" s="345"/>
      <c r="DZ136" s="345"/>
      <c r="EA136" s="345"/>
      <c r="EB136" s="345"/>
      <c r="EC136" s="345"/>
      <c r="ED136" s="345"/>
      <c r="EE136" s="345"/>
      <c r="EF136" s="345"/>
      <c r="EG136" s="345"/>
      <c r="EH136" s="345"/>
      <c r="EI136" s="345"/>
      <c r="EJ136" s="345"/>
      <c r="EK136" s="345"/>
      <c r="EL136" s="345"/>
      <c r="EM136" s="345"/>
      <c r="EN136" s="345"/>
      <c r="EO136" s="345"/>
      <c r="EP136" s="345"/>
      <c r="EQ136" s="345"/>
      <c r="ER136" s="345"/>
      <c r="ES136" s="345"/>
      <c r="ET136" s="345"/>
      <c r="EU136" s="345"/>
      <c r="EV136" s="345"/>
      <c r="EW136" s="345"/>
      <c r="EX136" s="345"/>
      <c r="EY136" s="345"/>
      <c r="EZ136" s="345"/>
      <c r="FA136" s="345"/>
      <c r="FB136" s="345"/>
      <c r="FC136" s="345"/>
      <c r="FD136" s="345"/>
      <c r="FE136" s="345"/>
      <c r="FF136" s="345"/>
      <c r="FG136" s="345"/>
      <c r="FH136" s="345"/>
      <c r="FI136" s="345"/>
      <c r="FJ136" s="345"/>
      <c r="FK136" s="345"/>
      <c r="FL136" s="345"/>
      <c r="FM136" s="345"/>
      <c r="FN136" s="345"/>
      <c r="FO136" s="345"/>
      <c r="FP136" s="345"/>
      <c r="FQ136" s="345"/>
      <c r="FR136" s="345"/>
      <c r="FS136" s="345"/>
      <c r="FT136" s="345"/>
      <c r="FU136" s="345"/>
      <c r="FV136" s="345"/>
      <c r="FW136" s="345"/>
      <c r="FX136" s="345"/>
      <c r="FY136" s="345"/>
      <c r="FZ136" s="345"/>
      <c r="GA136" s="345"/>
      <c r="GB136" s="345"/>
      <c r="GC136" s="345"/>
      <c r="GD136" s="345"/>
      <c r="GE136" s="345"/>
      <c r="GF136" s="345"/>
      <c r="GG136" s="345"/>
      <c r="GH136" s="345"/>
      <c r="GI136" s="345"/>
      <c r="GJ136" s="345"/>
      <c r="GK136" s="345"/>
      <c r="GL136" s="345"/>
      <c r="GM136" s="345"/>
      <c r="GN136" s="345"/>
      <c r="GO136" s="345"/>
      <c r="GP136" s="345"/>
      <c r="GQ136" s="345"/>
      <c r="GR136" s="345"/>
      <c r="GS136" s="345"/>
      <c r="GT136" s="345"/>
      <c r="GU136" s="345"/>
    </row>
    <row r="137" spans="1:203" ht="12.75" customHeight="1" thickBot="1">
      <c r="A137" s="465" t="str">
        <f t="shared" si="95"/>
        <v/>
      </c>
      <c r="B137" s="1108">
        <v>127</v>
      </c>
      <c r="C137" s="1109"/>
      <c r="D137" s="398"/>
      <c r="E137" s="1116"/>
      <c r="F137" s="465" t="str">
        <f t="shared" si="97"/>
        <v/>
      </c>
      <c r="G137" s="1108">
        <v>127</v>
      </c>
      <c r="H137" s="1109"/>
      <c r="I137" s="398"/>
      <c r="J137" s="1116"/>
      <c r="K137" s="465"/>
      <c r="L137" s="465"/>
      <c r="M137" s="465" t="str">
        <f t="shared" si="93"/>
        <v/>
      </c>
      <c r="N137" s="1108">
        <v>127</v>
      </c>
      <c r="O137" s="1109"/>
      <c r="P137" s="398"/>
      <c r="Q137" s="1116"/>
      <c r="R137" s="465" t="str">
        <f t="shared" si="94"/>
        <v/>
      </c>
      <c r="S137" s="1108">
        <v>127</v>
      </c>
      <c r="T137" s="1109"/>
      <c r="U137" s="1110"/>
      <c r="V137" s="1116"/>
      <c r="W137" s="371"/>
      <c r="X137" s="494" t="str">
        <f t="shared" si="70"/>
        <v/>
      </c>
      <c r="Y137" s="495" t="str">
        <f>IF('Feuilles=description générale'!$E$13="","",IF(X137="","",IF(X137&gt;('Feuilles=description générale'!$E$11+'Feuilles=description générale'!$E$10),"",100*(X137-'Feuilles=description générale'!$E$10)/('Feuilles=description générale'!$E$11))))</f>
        <v/>
      </c>
      <c r="Z137" s="495" t="str">
        <f>IF('Feuilles=description générale'!$E$13="","",IF(X137="","",IF(X137&lt;=('Feuilles=description générale'!$E$11+'Feuilles=description générale'!$E$10),"",100*(X137-'Feuilles=description générale'!$E$11-'Feuilles=description générale'!$E$10)/('Feuilles=description générale'!$E$12))))</f>
        <v/>
      </c>
      <c r="AA137" s="1112" t="str">
        <f>IF('Feuilles=description générale'!$E$13="","",IF(X137="","",100*(X137-'Feuilles=description générale'!$E$10)/('Feuilles=description générale'!$E$13-'Feuilles=description générale'!$E$10)))</f>
        <v/>
      </c>
      <c r="AB137" s="497" t="str">
        <f t="shared" si="71"/>
        <v/>
      </c>
      <c r="AC137" s="500" t="str">
        <f t="shared" si="96"/>
        <v/>
      </c>
      <c r="AD137" s="494" t="str">
        <f t="shared" si="72"/>
        <v/>
      </c>
      <c r="AE137" s="499" t="str">
        <f t="shared" si="73"/>
        <v/>
      </c>
      <c r="AF137" s="371"/>
      <c r="AG137" s="494" t="str">
        <f t="shared" si="74"/>
        <v/>
      </c>
      <c r="AH137" s="495" t="str">
        <f>IF('Feuilles=description générale'!$E$13="","",IF(AG137="","",IF(AG137&gt;('Feuilles=description générale'!$E$11+'Feuilles=description générale'!$E$10),"",100*(AG137-'Feuilles=description générale'!$E$10)/('Feuilles=description générale'!$E$11))))</f>
        <v/>
      </c>
      <c r="AI137" s="495" t="str">
        <f>IF('Feuilles=description générale'!$E$13="","",IF(AG137="","",IF(AG137&lt;=('Feuilles=description générale'!$E$11+'Feuilles=description générale'!$E$10),"",100*(AG137-'Feuilles=description générale'!$E$11-'Feuilles=description générale'!$E$10)/('Feuilles=description générale'!$E$12))))</f>
        <v/>
      </c>
      <c r="AJ137" s="496" t="str">
        <f>IF('Feuilles=description générale'!$E$13="","",IF(AG137="","",100*(AG137-'Feuilles=description générale'!$E$10)/('Feuilles=description générale'!$E$13-'Feuilles=description générale'!$E$10)))</f>
        <v/>
      </c>
      <c r="AK137" s="1113" t="str">
        <f t="shared" si="75"/>
        <v/>
      </c>
      <c r="AL137" s="498" t="str">
        <f t="shared" si="76"/>
        <v/>
      </c>
      <c r="AM137" s="494" t="str">
        <f t="shared" si="77"/>
        <v/>
      </c>
      <c r="AN137" s="499" t="str">
        <f t="shared" si="78"/>
        <v/>
      </c>
      <c r="AO137" s="371"/>
      <c r="AP137" s="494" t="str">
        <f t="shared" si="79"/>
        <v/>
      </c>
      <c r="AQ137" s="495" t="str">
        <f>IF('Feuilles=description générale'!$E$13="","",IF(AP137="","",IF(AP137&gt;('Feuilles=description générale'!$E$25+'Feuilles=description générale'!$E$24),"",100*(AP137-'Feuilles=description générale'!$E$24)/('Feuilles=description générale'!$E$25))))</f>
        <v/>
      </c>
      <c r="AR137" s="495" t="str">
        <f>IF('Feuilles=description générale'!$E$27="","",IF(AP137="","",IF(AP137&lt;=('Feuilles=description générale'!$E$25+'Feuilles=description générale'!$E$24),"",100*(AP137-'Feuilles=description générale'!$E$25-'Feuilles=description générale'!$E$24)/('Feuilles=description générale'!$E$26))))</f>
        <v/>
      </c>
      <c r="AS137" s="496" t="str">
        <f>IF('Feuilles=description générale'!$E$27="","",IF(AP137="","",100*(AP137-'Feuilles=description générale'!$E$24)/('Feuilles=description générale'!$E$27-'Feuilles=description générale'!$E$24)))</f>
        <v/>
      </c>
      <c r="AT137" s="497" t="str">
        <f t="shared" si="80"/>
        <v/>
      </c>
      <c r="AU137" s="500" t="str">
        <f t="shared" si="81"/>
        <v/>
      </c>
      <c r="AV137" s="494" t="str">
        <f t="shared" si="82"/>
        <v/>
      </c>
      <c r="AW137" s="499" t="str">
        <f t="shared" si="83"/>
        <v/>
      </c>
      <c r="AX137" s="371"/>
      <c r="AY137" s="494" t="str">
        <f t="shared" si="84"/>
        <v/>
      </c>
      <c r="AZ137" s="495" t="str">
        <f>IF('Feuilles=description générale'!$E$13="","",IF(AY137="","",IF(AY137&gt;('Feuilles=description générale'!$E$25+'Feuilles=description générale'!$E$24),"",100*(AY137-'Feuilles=description générale'!$E$24)/('Feuilles=description générale'!$E$25))))</f>
        <v/>
      </c>
      <c r="BA137" s="495" t="str">
        <f>IF('Feuilles=description générale'!$E$27="","",IF(AY137="","",IF(AY137&lt;=('Feuilles=description générale'!$E$25+'Feuilles=description générale'!$E$24),"",100*(AY137-'Feuilles=description générale'!$E$25-'Feuilles=description générale'!$E$24)/('Feuilles=description générale'!$E$26))))</f>
        <v/>
      </c>
      <c r="BB137" s="496" t="str">
        <f>IF('Feuilles=description générale'!$E$27="","",IF(AY137="","",100*(AY137-'Feuilles=description générale'!$E$24)/('Feuilles=description générale'!$E$27-'Feuilles=description générale'!$E$24)))</f>
        <v/>
      </c>
      <c r="BC137" s="497" t="str">
        <f t="shared" si="85"/>
        <v/>
      </c>
      <c r="BD137" s="500" t="str">
        <f t="shared" si="86"/>
        <v/>
      </c>
      <c r="BE137" s="494" t="str">
        <f t="shared" si="87"/>
        <v/>
      </c>
      <c r="BF137" s="499" t="str">
        <f t="shared" si="88"/>
        <v/>
      </c>
      <c r="BG137" s="476"/>
      <c r="BH137" s="561"/>
      <c r="BI137" s="561"/>
      <c r="BJ137" s="561"/>
      <c r="BK137" s="561"/>
      <c r="BL137" s="561"/>
      <c r="BM137" s="561"/>
      <c r="BN137" s="561"/>
      <c r="BO137" s="561"/>
      <c r="BP137" s="561"/>
      <c r="BQ137" s="561"/>
      <c r="BR137" s="561"/>
      <c r="BS137" s="561"/>
      <c r="BT137" s="561"/>
      <c r="BU137" s="568"/>
      <c r="BV137" s="1114" t="str">
        <f t="shared" si="89"/>
        <v/>
      </c>
      <c r="BW137" s="1114" t="str">
        <f t="shared" si="89"/>
        <v/>
      </c>
      <c r="BX137" s="1114" t="str">
        <f t="shared" si="90"/>
        <v/>
      </c>
      <c r="BY137" s="1115" t="str">
        <f t="shared" si="90"/>
        <v/>
      </c>
      <c r="BZ137" s="477"/>
      <c r="CA137" s="1114" t="str">
        <f t="shared" si="91"/>
        <v/>
      </c>
      <c r="CB137" s="1114" t="str">
        <f t="shared" si="91"/>
        <v/>
      </c>
      <c r="CC137" s="1114" t="str">
        <f t="shared" si="92"/>
        <v/>
      </c>
      <c r="CD137" s="1115" t="str">
        <f t="shared" si="92"/>
        <v/>
      </c>
      <c r="CE137" s="568"/>
      <c r="CF137" s="1456"/>
      <c r="CG137" s="1464"/>
      <c r="CH137" s="1464"/>
      <c r="CI137" s="1464"/>
      <c r="CJ137" s="1464"/>
      <c r="CK137" s="1464"/>
      <c r="CL137" s="1464"/>
      <c r="CM137" s="1464"/>
      <c r="CN137" s="1464"/>
      <c r="CO137" s="1464"/>
      <c r="CP137" s="1464"/>
      <c r="CQ137" s="1464"/>
      <c r="CR137" s="1464"/>
      <c r="CS137" s="1464"/>
      <c r="CT137" s="1464"/>
      <c r="CU137" s="1464"/>
      <c r="CV137" s="476"/>
      <c r="CW137" s="345"/>
      <c r="CX137" s="345"/>
      <c r="CY137" s="345"/>
      <c r="CZ137" s="345"/>
      <c r="DA137" s="345"/>
      <c r="DB137" s="345"/>
      <c r="DC137" s="345"/>
      <c r="DD137" s="345"/>
      <c r="DE137" s="345"/>
      <c r="DF137" s="345"/>
      <c r="DG137" s="345"/>
      <c r="DH137" s="345"/>
      <c r="DI137" s="345"/>
      <c r="DJ137" s="345"/>
      <c r="DK137" s="345"/>
      <c r="DL137" s="345"/>
      <c r="DM137" s="345"/>
      <c r="DN137" s="345"/>
      <c r="DO137" s="345"/>
      <c r="DP137" s="345"/>
      <c r="DQ137" s="345"/>
      <c r="DR137" s="345"/>
      <c r="DS137" s="345"/>
      <c r="DT137" s="345"/>
      <c r="DU137" s="345"/>
      <c r="DV137" s="345"/>
      <c r="DW137" s="345"/>
      <c r="DX137" s="345"/>
      <c r="DY137" s="345"/>
      <c r="DZ137" s="345"/>
      <c r="EA137" s="345"/>
      <c r="EB137" s="345"/>
      <c r="EC137" s="345"/>
      <c r="ED137" s="345"/>
      <c r="EE137" s="345"/>
      <c r="EF137" s="345"/>
      <c r="EG137" s="345"/>
      <c r="EH137" s="345"/>
      <c r="EI137" s="345"/>
      <c r="EJ137" s="345"/>
      <c r="EK137" s="345"/>
      <c r="EL137" s="345"/>
      <c r="EM137" s="345"/>
      <c r="EN137" s="345"/>
      <c r="EO137" s="345"/>
      <c r="EP137" s="345"/>
      <c r="EQ137" s="345"/>
      <c r="ER137" s="345"/>
      <c r="ES137" s="345"/>
      <c r="ET137" s="345"/>
      <c r="EU137" s="345"/>
      <c r="EV137" s="345"/>
      <c r="EW137" s="345"/>
      <c r="EX137" s="345"/>
      <c r="EY137" s="345"/>
      <c r="EZ137" s="345"/>
      <c r="FA137" s="345"/>
      <c r="FB137" s="345"/>
      <c r="FC137" s="345"/>
      <c r="FD137" s="345"/>
      <c r="FE137" s="345"/>
      <c r="FF137" s="345"/>
      <c r="FG137" s="345"/>
      <c r="FH137" s="345"/>
      <c r="FI137" s="345"/>
      <c r="FJ137" s="345"/>
      <c r="FK137" s="345"/>
      <c r="FL137" s="345"/>
      <c r="FM137" s="345"/>
      <c r="FN137" s="345"/>
      <c r="FO137" s="345"/>
      <c r="FP137" s="345"/>
      <c r="FQ137" s="345"/>
      <c r="FR137" s="345"/>
      <c r="FS137" s="345"/>
      <c r="FT137" s="345"/>
      <c r="FU137" s="345"/>
      <c r="FV137" s="345"/>
      <c r="FW137" s="345"/>
      <c r="FX137" s="345"/>
      <c r="FY137" s="345"/>
      <c r="FZ137" s="345"/>
      <c r="GA137" s="345"/>
      <c r="GB137" s="345"/>
      <c r="GC137" s="345"/>
      <c r="GD137" s="345"/>
      <c r="GE137" s="345"/>
      <c r="GF137" s="345"/>
      <c r="GG137" s="345"/>
      <c r="GH137" s="345"/>
      <c r="GI137" s="345"/>
      <c r="GJ137" s="345"/>
      <c r="GK137" s="345"/>
      <c r="GL137" s="345"/>
      <c r="GM137" s="345"/>
      <c r="GN137" s="345"/>
      <c r="GO137" s="345"/>
      <c r="GP137" s="345"/>
      <c r="GQ137" s="345"/>
      <c r="GR137" s="345"/>
      <c r="GS137" s="345"/>
      <c r="GT137" s="345"/>
      <c r="GU137" s="345"/>
    </row>
    <row r="138" spans="1:203" ht="12.75" customHeight="1">
      <c r="A138" s="465" t="str">
        <f t="shared" si="95"/>
        <v/>
      </c>
      <c r="B138" s="1108">
        <v>128</v>
      </c>
      <c r="C138" s="1109"/>
      <c r="D138" s="398"/>
      <c r="E138" s="1116"/>
      <c r="F138" s="465" t="str">
        <f t="shared" si="97"/>
        <v/>
      </c>
      <c r="G138" s="1108">
        <v>128</v>
      </c>
      <c r="H138" s="1109"/>
      <c r="I138" s="398"/>
      <c r="J138" s="1116"/>
      <c r="K138" s="465"/>
      <c r="L138" s="465"/>
      <c r="M138" s="465" t="str">
        <f t="shared" si="93"/>
        <v/>
      </c>
      <c r="N138" s="1108">
        <v>128</v>
      </c>
      <c r="O138" s="1109"/>
      <c r="P138" s="398"/>
      <c r="Q138" s="1116"/>
      <c r="R138" s="465" t="str">
        <f t="shared" si="94"/>
        <v/>
      </c>
      <c r="S138" s="1108">
        <v>128</v>
      </c>
      <c r="T138" s="1109"/>
      <c r="U138" s="1110"/>
      <c r="V138" s="1116"/>
      <c r="W138" s="371"/>
      <c r="X138" s="494" t="str">
        <f t="shared" si="70"/>
        <v/>
      </c>
      <c r="Y138" s="495" t="str">
        <f>IF('Feuilles=description générale'!$E$13="","",IF(X138="","",IF(X138&gt;('Feuilles=description générale'!$E$11+'Feuilles=description générale'!$E$10),"",100*(X138-'Feuilles=description générale'!$E$10)/('Feuilles=description générale'!$E$11))))</f>
        <v/>
      </c>
      <c r="Z138" s="495" t="str">
        <f>IF('Feuilles=description générale'!$E$13="","",IF(X138="","",IF(X138&lt;=('Feuilles=description générale'!$E$11+'Feuilles=description générale'!$E$10),"",100*(X138-'Feuilles=description générale'!$E$11-'Feuilles=description générale'!$E$10)/('Feuilles=description générale'!$E$12))))</f>
        <v/>
      </c>
      <c r="AA138" s="1112" t="str">
        <f>IF('Feuilles=description générale'!$E$13="","",IF(X138="","",100*(X138-'Feuilles=description générale'!$E$10)/('Feuilles=description générale'!$E$13-'Feuilles=description générale'!$E$10)))</f>
        <v/>
      </c>
      <c r="AB138" s="497" t="str">
        <f t="shared" si="71"/>
        <v/>
      </c>
      <c r="AC138" s="500" t="str">
        <f t="shared" si="96"/>
        <v/>
      </c>
      <c r="AD138" s="494" t="str">
        <f t="shared" si="72"/>
        <v/>
      </c>
      <c r="AE138" s="499" t="str">
        <f t="shared" si="73"/>
        <v/>
      </c>
      <c r="AF138" s="371"/>
      <c r="AG138" s="494" t="str">
        <f t="shared" si="74"/>
        <v/>
      </c>
      <c r="AH138" s="495" t="str">
        <f>IF('Feuilles=description générale'!$E$13="","",IF(AG138="","",IF(AG138&gt;('Feuilles=description générale'!$E$11+'Feuilles=description générale'!$E$10),"",100*(AG138-'Feuilles=description générale'!$E$10)/('Feuilles=description générale'!$E$11))))</f>
        <v/>
      </c>
      <c r="AI138" s="495" t="str">
        <f>IF('Feuilles=description générale'!$E$13="","",IF(AG138="","",IF(AG138&lt;=('Feuilles=description générale'!$E$11+'Feuilles=description générale'!$E$10),"",100*(AG138-'Feuilles=description générale'!$E$11-'Feuilles=description générale'!$E$10)/('Feuilles=description générale'!$E$12))))</f>
        <v/>
      </c>
      <c r="AJ138" s="496" t="str">
        <f>IF('Feuilles=description générale'!$E$13="","",IF(AG138="","",100*(AG138-'Feuilles=description générale'!$E$10)/('Feuilles=description générale'!$E$13-'Feuilles=description générale'!$E$10)))</f>
        <v/>
      </c>
      <c r="AK138" s="1113" t="str">
        <f t="shared" si="75"/>
        <v/>
      </c>
      <c r="AL138" s="498" t="str">
        <f t="shared" si="76"/>
        <v/>
      </c>
      <c r="AM138" s="494" t="str">
        <f t="shared" si="77"/>
        <v/>
      </c>
      <c r="AN138" s="499" t="str">
        <f t="shared" si="78"/>
        <v/>
      </c>
      <c r="AO138" s="371"/>
      <c r="AP138" s="494" t="str">
        <f t="shared" si="79"/>
        <v/>
      </c>
      <c r="AQ138" s="495" t="str">
        <f>IF('Feuilles=description générale'!$E$13="","",IF(AP138="","",IF(AP138&gt;('Feuilles=description générale'!$E$25+'Feuilles=description générale'!$E$24),"",100*(AP138-'Feuilles=description générale'!$E$24)/('Feuilles=description générale'!$E$25))))</f>
        <v/>
      </c>
      <c r="AR138" s="495" t="str">
        <f>IF('Feuilles=description générale'!$E$27="","",IF(AP138="","",IF(AP138&lt;=('Feuilles=description générale'!$E$25+'Feuilles=description générale'!$E$24),"",100*(AP138-'Feuilles=description générale'!$E$25-'Feuilles=description générale'!$E$24)/('Feuilles=description générale'!$E$26))))</f>
        <v/>
      </c>
      <c r="AS138" s="496" t="str">
        <f>IF('Feuilles=description générale'!$E$27="","",IF(AP138="","",100*(AP138-'Feuilles=description générale'!$E$24)/('Feuilles=description générale'!$E$27-'Feuilles=description générale'!$E$24)))</f>
        <v/>
      </c>
      <c r="AT138" s="497" t="str">
        <f t="shared" si="80"/>
        <v/>
      </c>
      <c r="AU138" s="500" t="str">
        <f t="shared" si="81"/>
        <v/>
      </c>
      <c r="AV138" s="494" t="str">
        <f t="shared" si="82"/>
        <v/>
      </c>
      <c r="AW138" s="499" t="str">
        <f t="shared" si="83"/>
        <v/>
      </c>
      <c r="AX138" s="371"/>
      <c r="AY138" s="494" t="str">
        <f t="shared" si="84"/>
        <v/>
      </c>
      <c r="AZ138" s="495" t="str">
        <f>IF('Feuilles=description générale'!$E$13="","",IF(AY138="","",IF(AY138&gt;('Feuilles=description générale'!$E$25+'Feuilles=description générale'!$E$24),"",100*(AY138-'Feuilles=description générale'!$E$24)/('Feuilles=description générale'!$E$25))))</f>
        <v/>
      </c>
      <c r="BA138" s="495" t="str">
        <f>IF('Feuilles=description générale'!$E$27="","",IF(AY138="","",IF(AY138&lt;=('Feuilles=description générale'!$E$25+'Feuilles=description générale'!$E$24),"",100*(AY138-'Feuilles=description générale'!$E$25-'Feuilles=description générale'!$E$24)/('Feuilles=description générale'!$E$26))))</f>
        <v/>
      </c>
      <c r="BB138" s="496" t="str">
        <f>IF('Feuilles=description générale'!$E$27="","",IF(AY138="","",100*(AY138-'Feuilles=description générale'!$E$24)/('Feuilles=description générale'!$E$27-'Feuilles=description générale'!$E$24)))</f>
        <v/>
      </c>
      <c r="BC138" s="497" t="str">
        <f t="shared" si="85"/>
        <v/>
      </c>
      <c r="BD138" s="500" t="str">
        <f t="shared" si="86"/>
        <v/>
      </c>
      <c r="BE138" s="494" t="str">
        <f t="shared" si="87"/>
        <v/>
      </c>
      <c r="BF138" s="499" t="str">
        <f t="shared" si="88"/>
        <v/>
      </c>
      <c r="BG138" s="476"/>
      <c r="BH138" s="567"/>
      <c r="BI138" s="562"/>
      <c r="BJ138" s="562"/>
      <c r="BK138" s="562"/>
      <c r="BL138" s="562"/>
      <c r="BM138" s="562"/>
      <c r="BN138" s="562"/>
      <c r="BO138" s="562"/>
      <c r="BP138" s="562"/>
      <c r="BQ138" s="562"/>
      <c r="BR138" s="562"/>
      <c r="BS138" s="562"/>
      <c r="BT138" s="562"/>
      <c r="BU138" s="568"/>
      <c r="BV138" s="1114" t="str">
        <f t="shared" si="89"/>
        <v/>
      </c>
      <c r="BW138" s="1114" t="str">
        <f t="shared" si="89"/>
        <v/>
      </c>
      <c r="BX138" s="1114" t="str">
        <f t="shared" si="90"/>
        <v/>
      </c>
      <c r="BY138" s="1115" t="str">
        <f t="shared" si="90"/>
        <v/>
      </c>
      <c r="BZ138" s="477"/>
      <c r="CA138" s="1114" t="str">
        <f t="shared" si="91"/>
        <v/>
      </c>
      <c r="CB138" s="1114" t="str">
        <f t="shared" si="91"/>
        <v/>
      </c>
      <c r="CC138" s="1114" t="str">
        <f t="shared" si="92"/>
        <v/>
      </c>
      <c r="CD138" s="1115" t="str">
        <f t="shared" si="92"/>
        <v/>
      </c>
      <c r="CE138" s="568"/>
      <c r="CF138" s="1130">
        <v>0</v>
      </c>
      <c r="CG138" s="1435">
        <f>SUMIF($AA$11:$AA$170,"&lt;2",$AE$11:$AE$170)+SUMIF($AS$11:$AS$170,"&lt;2",$AW$11:$AW$170)</f>
        <v>10.600000000000001</v>
      </c>
      <c r="CH138" s="1436">
        <f>SUMIF($AA$11:$AA$170,"&lt;2",$BW$11:$BW$170)+SUMIF($AS$11:$AS$170,"&lt;2",$CB$11:$CB$170)</f>
        <v>62.140000000000036</v>
      </c>
      <c r="CI138" s="1437">
        <f>SUMPRODUCT(($AA$11:$AA$170&lt;2)*($AE$11:$AE$170&lt;&gt;""))+SUMPRODUCT(($AS$11:$AS$170&lt;2)*($AW$11:$AW$170&lt;&gt;""))</f>
        <v>4</v>
      </c>
      <c r="CJ138" s="1436">
        <f>IF(CI138=0,0,IF(CI138="","",CG138/CI138))</f>
        <v>2.6500000000000004</v>
      </c>
      <c r="CK138" s="1444">
        <f>IF(CI138&lt;2,0,SQRT((CH138/CI138-CJ138*CJ138)/(CI138-1)))</f>
        <v>1.6844880527923023</v>
      </c>
      <c r="CL138" s="1445">
        <f>SUMIF($AJ$11:$AJ$170,"&lt;2",$AN$11:$AN$170)+SUMIF($BB$11:$BB$170,"&lt;2",$BF$11:$BF$170)</f>
        <v>6</v>
      </c>
      <c r="CM138" s="1436">
        <f>SUMIF($AJ$11:$AJ$170,"&lt;2",$BY$11:$BY$170)+SUMIF($BB$11:$BB$170,"&lt;2",$CD$11:$CD$170)</f>
        <v>21.5</v>
      </c>
      <c r="CN138" s="1446">
        <f>SUMPRODUCT(($AJ$11:$AJ$170&lt;2)*($AN$11:$AN$170&lt;&gt;""))+SUMPRODUCT(($BB$11:$BB$170&lt;2)*($BF$11:$BF$170&lt;&gt;""))</f>
        <v>3</v>
      </c>
      <c r="CO138" s="1436">
        <f>IF(CN138=0,0,IF(CN138="","",CL138/CN138))</f>
        <v>2</v>
      </c>
      <c r="CP138" s="1442">
        <f>IF(CN138&lt;2,0,SQRT((CM138/CN138-CO138*CO138)/(CN138-1)))</f>
        <v>1.2583057392117918</v>
      </c>
      <c r="CQ138" s="1439">
        <f>CG138+CL138</f>
        <v>16.600000000000001</v>
      </c>
      <c r="CR138" s="1422">
        <f>CH138+CM138</f>
        <v>83.640000000000043</v>
      </c>
      <c r="CS138" s="1422">
        <f>CI138+CN138</f>
        <v>7</v>
      </c>
      <c r="CT138" s="1422">
        <f>IF(CS138=0,0,IF(CS138="","",CQ138/CS138))</f>
        <v>2.3714285714285714</v>
      </c>
      <c r="CU138" s="1443">
        <f>IF(CS138&lt;2,0,SQRT(ABS((CR138/CS138-CT138*CT138)/(CS138-1))))</f>
        <v>1.0267179066637275</v>
      </c>
      <c r="CV138" s="476"/>
      <c r="CW138" s="345"/>
      <c r="CX138" s="345"/>
      <c r="CY138" s="345"/>
      <c r="CZ138" s="345"/>
      <c r="DA138" s="345"/>
      <c r="DB138" s="345"/>
      <c r="DC138" s="345"/>
      <c r="DD138" s="345"/>
      <c r="DE138" s="345"/>
      <c r="DF138" s="345"/>
      <c r="DG138" s="345"/>
      <c r="DH138" s="345"/>
      <c r="DI138" s="345"/>
      <c r="DJ138" s="345"/>
      <c r="DK138" s="345"/>
      <c r="DL138" s="345"/>
      <c r="DM138" s="345"/>
      <c r="DN138" s="345"/>
      <c r="DO138" s="345"/>
      <c r="DP138" s="345"/>
      <c r="DQ138" s="345"/>
      <c r="DR138" s="345"/>
      <c r="DS138" s="345"/>
      <c r="DT138" s="345"/>
      <c r="DU138" s="345"/>
      <c r="DV138" s="345"/>
      <c r="DW138" s="345"/>
      <c r="DX138" s="345"/>
      <c r="DY138" s="345"/>
      <c r="DZ138" s="345"/>
      <c r="EA138" s="345"/>
      <c r="EB138" s="345"/>
      <c r="EC138" s="345"/>
      <c r="ED138" s="345"/>
      <c r="EE138" s="345"/>
      <c r="EF138" s="345"/>
      <c r="EG138" s="345"/>
      <c r="EH138" s="345"/>
      <c r="EI138" s="345"/>
      <c r="EJ138" s="345"/>
      <c r="EK138" s="345"/>
      <c r="EL138" s="345"/>
      <c r="EM138" s="345"/>
      <c r="EN138" s="345"/>
      <c r="EO138" s="345"/>
      <c r="EP138" s="345"/>
      <c r="EQ138" s="345"/>
      <c r="ER138" s="345"/>
      <c r="ES138" s="345"/>
      <c r="ET138" s="345"/>
      <c r="EU138" s="345"/>
      <c r="EV138" s="345"/>
      <c r="EW138" s="345"/>
      <c r="EX138" s="345"/>
      <c r="EY138" s="345"/>
      <c r="EZ138" s="345"/>
      <c r="FA138" s="345"/>
      <c r="FB138" s="345"/>
      <c r="FC138" s="345"/>
      <c r="FD138" s="345"/>
      <c r="FE138" s="345"/>
      <c r="FF138" s="345"/>
      <c r="FG138" s="345"/>
      <c r="FH138" s="345"/>
      <c r="FI138" s="345"/>
      <c r="FJ138" s="345"/>
      <c r="FK138" s="345"/>
      <c r="FL138" s="345"/>
      <c r="FM138" s="345"/>
      <c r="FN138" s="345"/>
      <c r="FO138" s="345"/>
      <c r="FP138" s="345"/>
      <c r="FQ138" s="345"/>
      <c r="FR138" s="345"/>
      <c r="FS138" s="345"/>
      <c r="FT138" s="345"/>
      <c r="FU138" s="345"/>
      <c r="FV138" s="345"/>
      <c r="FW138" s="345"/>
      <c r="FX138" s="345"/>
      <c r="FY138" s="345"/>
      <c r="FZ138" s="345"/>
      <c r="GA138" s="345"/>
      <c r="GB138" s="345"/>
      <c r="GC138" s="345"/>
      <c r="GD138" s="345"/>
      <c r="GE138" s="345"/>
      <c r="GF138" s="345"/>
      <c r="GG138" s="345"/>
      <c r="GH138" s="345"/>
      <c r="GI138" s="345"/>
      <c r="GJ138" s="345"/>
      <c r="GK138" s="345"/>
      <c r="GL138" s="345"/>
      <c r="GM138" s="345"/>
      <c r="GN138" s="345"/>
      <c r="GO138" s="345"/>
      <c r="GP138" s="345"/>
      <c r="GQ138" s="345"/>
      <c r="GR138" s="345"/>
      <c r="GS138" s="345"/>
      <c r="GT138" s="345"/>
      <c r="GU138" s="345"/>
    </row>
    <row r="139" spans="1:203" ht="12.75" customHeight="1">
      <c r="A139" s="465" t="str">
        <f t="shared" si="95"/>
        <v/>
      </c>
      <c r="B139" s="1108">
        <v>129</v>
      </c>
      <c r="C139" s="1109"/>
      <c r="D139" s="398"/>
      <c r="E139" s="1116"/>
      <c r="F139" s="465" t="str">
        <f t="shared" si="97"/>
        <v/>
      </c>
      <c r="G139" s="1108">
        <v>129</v>
      </c>
      <c r="H139" s="1109"/>
      <c r="I139" s="398"/>
      <c r="J139" s="1116"/>
      <c r="K139" s="465"/>
      <c r="L139" s="465"/>
      <c r="M139" s="465" t="str">
        <f t="shared" si="93"/>
        <v/>
      </c>
      <c r="N139" s="1108">
        <v>129</v>
      </c>
      <c r="O139" s="1109"/>
      <c r="P139" s="398"/>
      <c r="Q139" s="1116"/>
      <c r="R139" s="465" t="str">
        <f t="shared" si="94"/>
        <v/>
      </c>
      <c r="S139" s="1108">
        <v>129</v>
      </c>
      <c r="T139" s="1109"/>
      <c r="U139" s="1110"/>
      <c r="V139" s="1116"/>
      <c r="W139" s="371"/>
      <c r="X139" s="494" t="str">
        <f t="shared" si="70"/>
        <v/>
      </c>
      <c r="Y139" s="495" t="str">
        <f>IF('Feuilles=description générale'!$E$13="","",IF(X139="","",IF(X139&gt;('Feuilles=description générale'!$E$11+'Feuilles=description générale'!$E$10),"",100*(X139-'Feuilles=description générale'!$E$10)/('Feuilles=description générale'!$E$11))))</f>
        <v/>
      </c>
      <c r="Z139" s="495" t="str">
        <f>IF('Feuilles=description générale'!$E$13="","",IF(X139="","",IF(X139&lt;=('Feuilles=description générale'!$E$11+'Feuilles=description générale'!$E$10),"",100*(X139-'Feuilles=description générale'!$E$11-'Feuilles=description générale'!$E$10)/('Feuilles=description générale'!$E$12))))</f>
        <v/>
      </c>
      <c r="AA139" s="1112" t="str">
        <f>IF('Feuilles=description générale'!$E$13="","",IF(X139="","",100*(X139-'Feuilles=description générale'!$E$10)/('Feuilles=description générale'!$E$13-'Feuilles=description générale'!$E$10)))</f>
        <v/>
      </c>
      <c r="AB139" s="497" t="str">
        <f t="shared" si="71"/>
        <v/>
      </c>
      <c r="AC139" s="500" t="str">
        <f t="shared" si="96"/>
        <v/>
      </c>
      <c r="AD139" s="494" t="str">
        <f t="shared" si="72"/>
        <v/>
      </c>
      <c r="AE139" s="499" t="str">
        <f t="shared" si="73"/>
        <v/>
      </c>
      <c r="AF139" s="371"/>
      <c r="AG139" s="494" t="str">
        <f t="shared" si="74"/>
        <v/>
      </c>
      <c r="AH139" s="495" t="str">
        <f>IF('Feuilles=description générale'!$E$13="","",IF(AG139="","",IF(AG139&gt;('Feuilles=description générale'!$E$11+'Feuilles=description générale'!$E$10),"",100*(AG139-'Feuilles=description générale'!$E$10)/('Feuilles=description générale'!$E$11))))</f>
        <v/>
      </c>
      <c r="AI139" s="495" t="str">
        <f>IF('Feuilles=description générale'!$E$13="","",IF(AG139="","",IF(AG139&lt;=('Feuilles=description générale'!$E$11+'Feuilles=description générale'!$E$10),"",100*(AG139-'Feuilles=description générale'!$E$11-'Feuilles=description générale'!$E$10)/('Feuilles=description générale'!$E$12))))</f>
        <v/>
      </c>
      <c r="AJ139" s="496" t="str">
        <f>IF('Feuilles=description générale'!$E$13="","",IF(AG139="","",100*(AG139-'Feuilles=description générale'!$E$10)/('Feuilles=description générale'!$E$13-'Feuilles=description générale'!$E$10)))</f>
        <v/>
      </c>
      <c r="AK139" s="1113" t="str">
        <f t="shared" si="75"/>
        <v/>
      </c>
      <c r="AL139" s="498" t="str">
        <f t="shared" si="76"/>
        <v/>
      </c>
      <c r="AM139" s="494" t="str">
        <f t="shared" si="77"/>
        <v/>
      </c>
      <c r="AN139" s="499" t="str">
        <f t="shared" si="78"/>
        <v/>
      </c>
      <c r="AO139" s="371"/>
      <c r="AP139" s="494" t="str">
        <f t="shared" si="79"/>
        <v/>
      </c>
      <c r="AQ139" s="495" t="str">
        <f>IF('Feuilles=description générale'!$E$13="","",IF(AP139="","",IF(AP139&gt;('Feuilles=description générale'!$E$25+'Feuilles=description générale'!$E$24),"",100*(AP139-'Feuilles=description générale'!$E$24)/('Feuilles=description générale'!$E$25))))</f>
        <v/>
      </c>
      <c r="AR139" s="495" t="str">
        <f>IF('Feuilles=description générale'!$E$27="","",IF(AP139="","",IF(AP139&lt;=('Feuilles=description générale'!$E$25+'Feuilles=description générale'!$E$24),"",100*(AP139-'Feuilles=description générale'!$E$25-'Feuilles=description générale'!$E$24)/('Feuilles=description générale'!$E$26))))</f>
        <v/>
      </c>
      <c r="AS139" s="496" t="str">
        <f>IF('Feuilles=description générale'!$E$27="","",IF(AP139="","",100*(AP139-'Feuilles=description générale'!$E$24)/('Feuilles=description générale'!$E$27-'Feuilles=description générale'!$E$24)))</f>
        <v/>
      </c>
      <c r="AT139" s="497" t="str">
        <f t="shared" si="80"/>
        <v/>
      </c>
      <c r="AU139" s="500" t="str">
        <f t="shared" si="81"/>
        <v/>
      </c>
      <c r="AV139" s="494" t="str">
        <f t="shared" si="82"/>
        <v/>
      </c>
      <c r="AW139" s="499" t="str">
        <f t="shared" si="83"/>
        <v/>
      </c>
      <c r="AX139" s="371"/>
      <c r="AY139" s="494" t="str">
        <f t="shared" si="84"/>
        <v/>
      </c>
      <c r="AZ139" s="495" t="str">
        <f>IF('Feuilles=description générale'!$E$13="","",IF(AY139="","",IF(AY139&gt;('Feuilles=description générale'!$E$25+'Feuilles=description générale'!$E$24),"",100*(AY139-'Feuilles=description générale'!$E$24)/('Feuilles=description générale'!$E$25))))</f>
        <v/>
      </c>
      <c r="BA139" s="495" t="str">
        <f>IF('Feuilles=description générale'!$E$27="","",IF(AY139="","",IF(AY139&lt;=('Feuilles=description générale'!$E$25+'Feuilles=description générale'!$E$24),"",100*(AY139-'Feuilles=description générale'!$E$25-'Feuilles=description générale'!$E$24)/('Feuilles=description générale'!$E$26))))</f>
        <v/>
      </c>
      <c r="BB139" s="496" t="str">
        <f>IF('Feuilles=description générale'!$E$27="","",IF(AY139="","",100*(AY139-'Feuilles=description générale'!$E$24)/('Feuilles=description générale'!$E$27-'Feuilles=description générale'!$E$24)))</f>
        <v/>
      </c>
      <c r="BC139" s="497" t="str">
        <f t="shared" si="85"/>
        <v/>
      </c>
      <c r="BD139" s="500" t="str">
        <f t="shared" si="86"/>
        <v/>
      </c>
      <c r="BE139" s="494" t="str">
        <f t="shared" si="87"/>
        <v/>
      </c>
      <c r="BF139" s="499" t="str">
        <f t="shared" si="88"/>
        <v/>
      </c>
      <c r="BG139" s="476"/>
      <c r="BH139" s="563"/>
      <c r="BI139" s="562"/>
      <c r="BJ139" s="562"/>
      <c r="BK139" s="562"/>
      <c r="BL139" s="562"/>
      <c r="BM139" s="562"/>
      <c r="BN139" s="562"/>
      <c r="BO139" s="562"/>
      <c r="BP139" s="562"/>
      <c r="BQ139" s="562"/>
      <c r="BR139" s="562"/>
      <c r="BS139" s="562"/>
      <c r="BT139" s="562"/>
      <c r="BU139" s="568"/>
      <c r="BV139" s="1114" t="str">
        <f t="shared" si="89"/>
        <v/>
      </c>
      <c r="BW139" s="1114" t="str">
        <f t="shared" si="89"/>
        <v/>
      </c>
      <c r="BX139" s="1114" t="str">
        <f t="shared" si="90"/>
        <v/>
      </c>
      <c r="BY139" s="1115" t="str">
        <f t="shared" si="90"/>
        <v/>
      </c>
      <c r="BZ139" s="477"/>
      <c r="CA139" s="1114" t="str">
        <f t="shared" si="91"/>
        <v/>
      </c>
      <c r="CB139" s="1114" t="str">
        <f t="shared" si="91"/>
        <v/>
      </c>
      <c r="CC139" s="1114" t="str">
        <f t="shared" si="92"/>
        <v/>
      </c>
      <c r="CD139" s="1115" t="str">
        <f t="shared" si="92"/>
        <v/>
      </c>
      <c r="CE139" s="568"/>
      <c r="CF139" s="1431">
        <v>2</v>
      </c>
      <c r="CG139" s="1427"/>
      <c r="CH139" s="1422"/>
      <c r="CI139" s="1428"/>
      <c r="CJ139" s="1422"/>
      <c r="CK139" s="1438"/>
      <c r="CL139" s="1439"/>
      <c r="CM139" s="1422"/>
      <c r="CN139" s="1437"/>
      <c r="CO139" s="1422"/>
      <c r="CP139" s="1441"/>
      <c r="CQ139" s="1439"/>
      <c r="CR139" s="1422"/>
      <c r="CS139" s="1422"/>
      <c r="CT139" s="1422"/>
      <c r="CU139" s="1444"/>
      <c r="CV139" s="476"/>
      <c r="CW139" s="345"/>
      <c r="CX139" s="345"/>
      <c r="CY139" s="345"/>
      <c r="CZ139" s="345"/>
      <c r="DA139" s="345"/>
      <c r="DB139" s="345"/>
      <c r="DC139" s="345"/>
      <c r="DD139" s="345"/>
      <c r="DE139" s="345"/>
      <c r="DF139" s="345"/>
      <c r="DG139" s="345"/>
      <c r="DH139" s="345"/>
      <c r="DI139" s="345"/>
      <c r="DJ139" s="345"/>
      <c r="DK139" s="345"/>
      <c r="DL139" s="345"/>
      <c r="DM139" s="345"/>
      <c r="DN139" s="345"/>
      <c r="DO139" s="345"/>
      <c r="DP139" s="345"/>
      <c r="DQ139" s="345"/>
      <c r="DR139" s="345"/>
      <c r="DS139" s="345"/>
      <c r="DT139" s="345"/>
      <c r="DU139" s="345"/>
      <c r="DV139" s="345"/>
      <c r="DW139" s="345"/>
      <c r="DX139" s="345"/>
      <c r="DY139" s="345"/>
      <c r="DZ139" s="345"/>
      <c r="EA139" s="345"/>
      <c r="EB139" s="345"/>
      <c r="EC139" s="345"/>
      <c r="ED139" s="345"/>
      <c r="EE139" s="345"/>
      <c r="EF139" s="345"/>
      <c r="EG139" s="345"/>
      <c r="EH139" s="345"/>
      <c r="EI139" s="345"/>
      <c r="EJ139" s="345"/>
      <c r="EK139" s="345"/>
      <c r="EL139" s="345"/>
      <c r="EM139" s="345"/>
      <c r="EN139" s="345"/>
      <c r="EO139" s="345"/>
      <c r="EP139" s="345"/>
      <c r="EQ139" s="345"/>
      <c r="ER139" s="345"/>
      <c r="ES139" s="345"/>
      <c r="ET139" s="345"/>
      <c r="EU139" s="345"/>
      <c r="EV139" s="345"/>
      <c r="EW139" s="345"/>
      <c r="EX139" s="345"/>
      <c r="EY139" s="345"/>
      <c r="EZ139" s="345"/>
      <c r="FA139" s="345"/>
      <c r="FB139" s="345"/>
      <c r="FC139" s="345"/>
      <c r="FD139" s="345"/>
      <c r="FE139" s="345"/>
      <c r="FF139" s="345"/>
      <c r="FG139" s="345"/>
      <c r="FH139" s="345"/>
      <c r="FI139" s="345"/>
      <c r="FJ139" s="345"/>
      <c r="FK139" s="345"/>
      <c r="FL139" s="345"/>
      <c r="FM139" s="345"/>
      <c r="FN139" s="345"/>
      <c r="FO139" s="345"/>
      <c r="FP139" s="345"/>
      <c r="FQ139" s="345"/>
      <c r="FR139" s="345"/>
      <c r="FS139" s="345"/>
      <c r="FT139" s="345"/>
      <c r="FU139" s="345"/>
      <c r="FV139" s="345"/>
      <c r="FW139" s="345"/>
      <c r="FX139" s="345"/>
      <c r="FY139" s="345"/>
      <c r="FZ139" s="345"/>
      <c r="GA139" s="345"/>
      <c r="GB139" s="345"/>
      <c r="GC139" s="345"/>
      <c r="GD139" s="345"/>
      <c r="GE139" s="345"/>
      <c r="GF139" s="345"/>
      <c r="GG139" s="345"/>
      <c r="GH139" s="345"/>
      <c r="GI139" s="345"/>
      <c r="GJ139" s="345"/>
      <c r="GK139" s="345"/>
      <c r="GL139" s="345"/>
      <c r="GM139" s="345"/>
      <c r="GN139" s="345"/>
      <c r="GO139" s="345"/>
      <c r="GP139" s="345"/>
      <c r="GQ139" s="345"/>
      <c r="GR139" s="345"/>
      <c r="GS139" s="345"/>
      <c r="GT139" s="345"/>
      <c r="GU139" s="345"/>
    </row>
    <row r="140" spans="1:203" ht="12.75" customHeight="1">
      <c r="A140" s="465" t="str">
        <f t="shared" si="95"/>
        <v/>
      </c>
      <c r="B140" s="1108">
        <v>130</v>
      </c>
      <c r="C140" s="1109"/>
      <c r="D140" s="398"/>
      <c r="E140" s="1116"/>
      <c r="F140" s="465" t="str">
        <f t="shared" si="97"/>
        <v/>
      </c>
      <c r="G140" s="1108">
        <v>130</v>
      </c>
      <c r="H140" s="1109"/>
      <c r="I140" s="398"/>
      <c r="J140" s="1116"/>
      <c r="K140" s="465"/>
      <c r="L140" s="465"/>
      <c r="M140" s="465" t="str">
        <f t="shared" si="93"/>
        <v/>
      </c>
      <c r="N140" s="1108">
        <v>130</v>
      </c>
      <c r="O140" s="1109"/>
      <c r="P140" s="398"/>
      <c r="Q140" s="1116"/>
      <c r="R140" s="465" t="str">
        <f t="shared" si="94"/>
        <v/>
      </c>
      <c r="S140" s="1108">
        <v>130</v>
      </c>
      <c r="T140" s="1109"/>
      <c r="U140" s="1110"/>
      <c r="V140" s="1116"/>
      <c r="W140" s="371"/>
      <c r="X140" s="494" t="str">
        <f t="shared" ref="X140:X170" si="98">IF(D140="","",D140)</f>
        <v/>
      </c>
      <c r="Y140" s="495" t="str">
        <f>IF('Feuilles=description générale'!$E$13="","",IF(X140="","",IF(X140&gt;('Feuilles=description générale'!$E$11+'Feuilles=description générale'!$E$10),"",100*(X140-'Feuilles=description générale'!$E$10)/('Feuilles=description générale'!$E$11))))</f>
        <v/>
      </c>
      <c r="Z140" s="495" t="str">
        <f>IF('Feuilles=description générale'!$E$13="","",IF(X140="","",IF(X140&lt;=('Feuilles=description générale'!$E$11+'Feuilles=description générale'!$E$10),"",100*(X140-'Feuilles=description générale'!$E$11-'Feuilles=description générale'!$E$10)/('Feuilles=description générale'!$E$12))))</f>
        <v/>
      </c>
      <c r="AA140" s="1112" t="str">
        <f>IF('Feuilles=description générale'!$E$13="","",IF(X140="","",100*(X140-'Feuilles=description générale'!$E$10)/('Feuilles=description générale'!$E$13-'Feuilles=description générale'!$E$10)))</f>
        <v/>
      </c>
      <c r="AB140" s="497" t="str">
        <f t="shared" ref="AB140:AB170" si="99">IF(C140="","",IF(C140=0,IF(C139=-1,1,IF(C139=1,AB139+1,IF(AB139&gt;1,AB139+1,1))),IF(C140=-1,AB139+1,1)))</f>
        <v/>
      </c>
      <c r="AC140" s="500" t="str">
        <f t="shared" si="96"/>
        <v/>
      </c>
      <c r="AD140" s="494" t="str">
        <f t="shared" ref="AD140:AD170" si="100">IF(X141&lt;&gt;"",IF(AC140&lt;&gt;"",X141-X140,""),"")</f>
        <v/>
      </c>
      <c r="AE140" s="499" t="str">
        <f t="shared" ref="AE140:AE170" si="101">IF(X141&lt;&gt;"",IF(AC140="",X141-X140,""),"")</f>
        <v/>
      </c>
      <c r="AF140" s="371"/>
      <c r="AG140" s="494" t="str">
        <f t="shared" ref="AG140:AG170" si="102">IF(I140="","",I140)</f>
        <v/>
      </c>
      <c r="AH140" s="495" t="str">
        <f>IF('Feuilles=description générale'!$E$13="","",IF(AG140="","",IF(AG140&gt;('Feuilles=description générale'!$E$11+'Feuilles=description générale'!$E$10),"",100*(AG140-'Feuilles=description générale'!$E$10)/('Feuilles=description générale'!$E$11))))</f>
        <v/>
      </c>
      <c r="AI140" s="495" t="str">
        <f>IF('Feuilles=description générale'!$E$13="","",IF(AG140="","",IF(AG140&lt;=('Feuilles=description générale'!$E$11+'Feuilles=description générale'!$E$10),"",100*(AG140-'Feuilles=description générale'!$E$11-'Feuilles=description générale'!$E$10)/('Feuilles=description générale'!$E$12))))</f>
        <v/>
      </c>
      <c r="AJ140" s="496" t="str">
        <f>IF('Feuilles=description générale'!$E$13="","",IF(AG140="","",100*(AG140-'Feuilles=description générale'!$E$10)/('Feuilles=description générale'!$E$13-'Feuilles=description générale'!$E$10)))</f>
        <v/>
      </c>
      <c r="AK140" s="1113" t="str">
        <f t="shared" ref="AK140:AK170" si="103">IF(H140="","",IF(H140=0,IF(H139=-1,1,IF(H139=1,AK139+1,IF(AK139&gt;1,AK139+1,1))),IF(H140=-1,AK139+1,1)))</f>
        <v/>
      </c>
      <c r="AL140" s="498" t="str">
        <f t="shared" ref="AL140:AL170" si="104">IF(AK141="",AK140,IF(H140&lt;0,IF(AK140&gt;AK141,AK140,""),IF(H140=0,IF(AK140=1,1,""),IF(AK141=1,1,""))))</f>
        <v/>
      </c>
      <c r="AM140" s="494" t="str">
        <f t="shared" ref="AM140:AM170" si="105">IF(AG141&lt;&gt;"",IF(AL140&lt;&gt;"",AG141-AG140,""),"")</f>
        <v/>
      </c>
      <c r="AN140" s="499" t="str">
        <f t="shared" ref="AN140:AN170" si="106">IF(AG141&lt;&gt;"",IF(AL140="",AG141-AG140,""),"")</f>
        <v/>
      </c>
      <c r="AO140" s="371"/>
      <c r="AP140" s="494" t="str">
        <f t="shared" ref="AP140:AP170" si="107">IF(P140="","",P140)</f>
        <v/>
      </c>
      <c r="AQ140" s="495" t="str">
        <f>IF('Feuilles=description générale'!$E$13="","",IF(AP140="","",IF(AP140&gt;('Feuilles=description générale'!$E$25+'Feuilles=description générale'!$E$24),"",100*(AP140-'Feuilles=description générale'!$E$24)/('Feuilles=description générale'!$E$25))))</f>
        <v/>
      </c>
      <c r="AR140" s="495" t="str">
        <f>IF('Feuilles=description générale'!$E$27="","",IF(AP140="","",IF(AP140&lt;=('Feuilles=description générale'!$E$25+'Feuilles=description générale'!$E$24),"",100*(AP140-'Feuilles=description générale'!$E$25-'Feuilles=description générale'!$E$24)/('Feuilles=description générale'!$E$26))))</f>
        <v/>
      </c>
      <c r="AS140" s="496" t="str">
        <f>IF('Feuilles=description générale'!$E$27="","",IF(AP140="","",100*(AP140-'Feuilles=description générale'!$E$24)/('Feuilles=description générale'!$E$27-'Feuilles=description générale'!$E$24)))</f>
        <v/>
      </c>
      <c r="AT140" s="497" t="str">
        <f t="shared" ref="AT140:AT170" si="108">IF(O140="","",IF(O140=0,IF(O139=-1,1,IF(O139=1,AT139+1,IF(AT139&gt;1,AT139+1,1))),IF(O140=-1,AT139+1,1)))</f>
        <v/>
      </c>
      <c r="AU140" s="500" t="str">
        <f t="shared" ref="AU140:AU170" si="109">IF(AT141="",AT140,IF(O140&lt;0,IF(AT140&gt;AT141,AT140,""),IF(O140=0,IF(AT140=1,1,""),IF(AT141=1,1,""))))</f>
        <v/>
      </c>
      <c r="AV140" s="494" t="str">
        <f t="shared" ref="AV140:AV170" si="110">IF(AP141&lt;&gt;"",IF(AU140&lt;&gt;"",AP141-AP140,""),"")</f>
        <v/>
      </c>
      <c r="AW140" s="499" t="str">
        <f t="shared" ref="AW140:AW170" si="111">IF(AP141&lt;&gt;"",IF(AU140="",AP141-AP140,""),"")</f>
        <v/>
      </c>
      <c r="AX140" s="371"/>
      <c r="AY140" s="494" t="str">
        <f t="shared" ref="AY140:AY170" si="112">IF(U140="","",U140)</f>
        <v/>
      </c>
      <c r="AZ140" s="495" t="str">
        <f>IF('Feuilles=description générale'!$E$13="","",IF(AY140="","",IF(AY140&gt;('Feuilles=description générale'!$E$25+'Feuilles=description générale'!$E$24),"",100*(AY140-'Feuilles=description générale'!$E$24)/('Feuilles=description générale'!$E$25))))</f>
        <v/>
      </c>
      <c r="BA140" s="495" t="str">
        <f>IF('Feuilles=description générale'!$E$27="","",IF(AY140="","",IF(AY140&lt;=('Feuilles=description générale'!$E$25+'Feuilles=description générale'!$E$24),"",100*(AY140-'Feuilles=description générale'!$E$25-'Feuilles=description générale'!$E$24)/('Feuilles=description générale'!$E$26))))</f>
        <v/>
      </c>
      <c r="BB140" s="496" t="str">
        <f>IF('Feuilles=description générale'!$E$27="","",IF(AY140="","",100*(AY140-'Feuilles=description générale'!$E$24)/('Feuilles=description générale'!$E$27-'Feuilles=description générale'!$E$24)))</f>
        <v/>
      </c>
      <c r="BC140" s="497" t="str">
        <f t="shared" ref="BC140:BC170" si="113">IF(T140="","",IF(T140=0,IF(T139=-1,1,IF(T139=1,BC139+1,IF(BC139&gt;1,BC139+1,1))),IF(T140=-1,BC139+1,1)))</f>
        <v/>
      </c>
      <c r="BD140" s="500" t="str">
        <f t="shared" ref="BD140:BD170" si="114">IF(BC141="",BC140,IF(T140&lt;0,IF(BC140&gt;BC141,BC140,""),IF(T140=0,IF(BC140=1,1,""),IF(BC141=1,1,""))))</f>
        <v/>
      </c>
      <c r="BE140" s="494" t="str">
        <f t="shared" ref="BE140:BE170" si="115">IF(AY141&lt;&gt;"",IF(BD140&lt;&gt;"",AY141-AY140,""),"")</f>
        <v/>
      </c>
      <c r="BF140" s="499" t="str">
        <f t="shared" ref="BF140:BF170" si="116">IF(AY141&lt;&gt;"",IF(BD140="",AY141-AY140,""),"")</f>
        <v/>
      </c>
      <c r="BG140" s="476"/>
      <c r="BH140" s="563"/>
      <c r="BI140" s="562"/>
      <c r="BJ140" s="562"/>
      <c r="BK140" s="562"/>
      <c r="BL140" s="562"/>
      <c r="BM140" s="562"/>
      <c r="BN140" s="562"/>
      <c r="BO140" s="562"/>
      <c r="BP140" s="562"/>
      <c r="BQ140" s="562"/>
      <c r="BR140" s="562"/>
      <c r="BS140" s="562"/>
      <c r="BT140" s="562"/>
      <c r="BU140" s="568"/>
      <c r="BV140" s="1114" t="str">
        <f t="shared" ref="BV140:BW170" si="117">IF(AD140="","",AD140*AD140)</f>
        <v/>
      </c>
      <c r="BW140" s="1114" t="str">
        <f t="shared" si="117"/>
        <v/>
      </c>
      <c r="BX140" s="1114" t="str">
        <f t="shared" ref="BX140:BY170" si="118">IF(AM140="","",AM140*AM140)</f>
        <v/>
      </c>
      <c r="BY140" s="1115" t="str">
        <f t="shared" si="118"/>
        <v/>
      </c>
      <c r="BZ140" s="477"/>
      <c r="CA140" s="1114" t="str">
        <f t="shared" ref="CA140:CB170" si="119">IF(AV140="","",AV140*AV140)</f>
        <v/>
      </c>
      <c r="CB140" s="1114" t="str">
        <f t="shared" si="119"/>
        <v/>
      </c>
      <c r="CC140" s="1114" t="str">
        <f t="shared" ref="CC140:CD170" si="120">IF(BE140="","",BE140*BE140)</f>
        <v/>
      </c>
      <c r="CD140" s="1115" t="str">
        <f t="shared" si="120"/>
        <v/>
      </c>
      <c r="CE140" s="568"/>
      <c r="CF140" s="1432"/>
      <c r="CG140" s="1427">
        <f>SUMIF($AA$11:$AA$170,"&lt;5",$AE$11:$AE$170)+SUMIF($AS$11:$AS$170,"&lt;5",$AW$11:$AW$170)-SUMIF($AA$11:$AA$170,"&lt;2",$AE$11:$AE$170)-SUMIF($AS$11:$AS$170,"&lt;2",$AW$11:$AW$170)</f>
        <v>9.5</v>
      </c>
      <c r="CH140" s="1422">
        <f>SUMIF($AA$11:$AA$170,"&lt;5",$BW$11:$BW$170)+SUMIF($AS$11:$AS$170,"&lt;5",$CB$11:$CB$170)-SUMIF($AA$11:$AA$170,"&lt;2",$BW$11:$BW$170)-SUMIF($AS$11:$AS$170,"&lt;2",$CB$11:$CB$170)</f>
        <v>52.729999999999954</v>
      </c>
      <c r="CI140" s="1428">
        <f>SUMPRODUCT(($AA$11:$AA$170&lt;5)*($AE$11:$AE$170&lt;&gt;""))+SUMPRODUCT(($AS$11:$AS$170&lt;5)*($AW$11:$AW$170&lt;&gt;""))-SUMPRODUCT(($AA$11:$AA$170&lt;2)*($AE$11:$AE$170&lt;&gt;""))-SUMPRODUCT(($AS$11:$AS$170&lt;2)*($AW$11:$AW$170&lt;&gt;""))</f>
        <v>2</v>
      </c>
      <c r="CJ140" s="1422">
        <f>IF(CI140=0,0,IF(CI140="","",CG140/CI140))</f>
        <v>4.75</v>
      </c>
      <c r="CK140" s="1438">
        <f>IF(CI140&lt;2,0,SQRT((CH140/CI140-CJ140*CJ140)/(CI140-1)))</f>
        <v>1.9499999999999942</v>
      </c>
      <c r="CL140" s="1439">
        <f>SUMIF($AJ$11:$AJ$170,"&lt;5",$AN$11:$AN$170)+SUMIF($BB$11:$BB$170,"&lt;5",$BF$11:$BF$170)-SUMIF($AJ$11:$AJ$170,"&lt;2",$AN$11:$AN$170)-SUMIF($BB$11:$BB$170,"&lt;2",$BF$11:$BF$170)</f>
        <v>13.299999999999997</v>
      </c>
      <c r="CM140" s="1422">
        <f>SUMIF($AJ$11:$AJ$170,"&lt;5",$BY$11:$BY$170)+SUMIF($BB$11:$BB$170,"&lt;5",$CD$11:$CD$170)-SUMIF($AJ$11:$AJ$170,"&lt;2",$BY$11:$BY$170)-SUMIF($BB$11:$BB$170,"&lt;2",$CD$11:$CD$170)</f>
        <v>83.789999999999992</v>
      </c>
      <c r="CN140" s="1440">
        <f>SUMPRODUCT(($AJ$11:$AJ$170&lt;5)*($AN$11:$AN$170&lt;&gt;""))+SUMPRODUCT(($BB$11:$BB$170&lt;5)*($BF$11:$BF$170&lt;&gt;""))-SUMPRODUCT(($AJ$11:$AJ$170&lt;2)*($AN$11:$AN$170&lt;&gt;""))-SUMPRODUCT(($BB$11:$BB$170&lt;2)*($BF$11:$BF$170&lt;&gt;""))</f>
        <v>3</v>
      </c>
      <c r="CO140" s="1422">
        <f>IF(CN140=0,0,IF(CN140="","",CL140/CN140))</f>
        <v>4.4333333333333327</v>
      </c>
      <c r="CP140" s="1441">
        <f>IF(CN140&lt;2,0,SQRT((CM140/CN140-CO140*CO140)/(CN140-1)))</f>
        <v>2.0341528403189812</v>
      </c>
      <c r="CQ140" s="1439">
        <f>CG140+CL140</f>
        <v>22.799999999999997</v>
      </c>
      <c r="CR140" s="1422">
        <f>CH140+CM140</f>
        <v>136.51999999999995</v>
      </c>
      <c r="CS140" s="1422">
        <f>CI140+CN140</f>
        <v>5</v>
      </c>
      <c r="CT140" s="1422">
        <f>IF(CS140=0,0,IF(CS140="","",CQ140/CS140))</f>
        <v>4.5599999999999996</v>
      </c>
      <c r="CU140" s="1438">
        <f>IF(CS140&lt;2,0,SQRT(ABS((CR140/CS140-CT140*CT140)/(CS140-1))))</f>
        <v>1.2757742747053644</v>
      </c>
      <c r="CV140" s="476"/>
      <c r="CW140" s="345"/>
      <c r="CX140" s="345"/>
      <c r="CY140" s="345"/>
      <c r="CZ140" s="345"/>
      <c r="DA140" s="345"/>
      <c r="DB140" s="345"/>
      <c r="DC140" s="345"/>
      <c r="DD140" s="345"/>
      <c r="DE140" s="345"/>
      <c r="DF140" s="345"/>
      <c r="DG140" s="345"/>
      <c r="DH140" s="345"/>
      <c r="DI140" s="345"/>
      <c r="DJ140" s="345"/>
      <c r="DK140" s="345"/>
      <c r="DL140" s="345"/>
      <c r="DM140" s="345"/>
      <c r="DN140" s="345"/>
      <c r="DO140" s="345"/>
      <c r="DP140" s="345"/>
      <c r="DQ140" s="345"/>
      <c r="DR140" s="345"/>
      <c r="DS140" s="345"/>
      <c r="DT140" s="345"/>
      <c r="DU140" s="345"/>
      <c r="DV140" s="345"/>
      <c r="DW140" s="345"/>
      <c r="DX140" s="345"/>
      <c r="DY140" s="345"/>
      <c r="DZ140" s="345"/>
      <c r="EA140" s="345"/>
      <c r="EB140" s="345"/>
      <c r="EC140" s="345"/>
      <c r="ED140" s="345"/>
      <c r="EE140" s="345"/>
      <c r="EF140" s="345"/>
      <c r="EG140" s="345"/>
      <c r="EH140" s="345"/>
      <c r="EI140" s="345"/>
      <c r="EJ140" s="345"/>
      <c r="EK140" s="345"/>
      <c r="EL140" s="345"/>
      <c r="EM140" s="345"/>
      <c r="EN140" s="345"/>
      <c r="EO140" s="345"/>
      <c r="EP140" s="345"/>
      <c r="EQ140" s="345"/>
      <c r="ER140" s="345"/>
      <c r="ES140" s="345"/>
      <c r="ET140" s="345"/>
      <c r="EU140" s="345"/>
      <c r="EV140" s="345"/>
      <c r="EW140" s="345"/>
      <c r="EX140" s="345"/>
      <c r="EY140" s="345"/>
      <c r="EZ140" s="345"/>
      <c r="FA140" s="345"/>
      <c r="FB140" s="345"/>
      <c r="FC140" s="345"/>
      <c r="FD140" s="345"/>
      <c r="FE140" s="345"/>
      <c r="FF140" s="345"/>
      <c r="FG140" s="345"/>
      <c r="FH140" s="345"/>
      <c r="FI140" s="345"/>
      <c r="FJ140" s="345"/>
      <c r="FK140" s="345"/>
      <c r="FL140" s="345"/>
      <c r="FM140" s="345"/>
      <c r="FN140" s="345"/>
      <c r="FO140" s="345"/>
      <c r="FP140" s="345"/>
      <c r="FQ140" s="345"/>
      <c r="FR140" s="345"/>
      <c r="FS140" s="345"/>
      <c r="FT140" s="345"/>
      <c r="FU140" s="345"/>
      <c r="FV140" s="345"/>
      <c r="FW140" s="345"/>
      <c r="FX140" s="345"/>
      <c r="FY140" s="345"/>
      <c r="FZ140" s="345"/>
      <c r="GA140" s="345"/>
      <c r="GB140" s="345"/>
      <c r="GC140" s="345"/>
      <c r="GD140" s="345"/>
      <c r="GE140" s="345"/>
      <c r="GF140" s="345"/>
      <c r="GG140" s="345"/>
      <c r="GH140" s="345"/>
      <c r="GI140" s="345"/>
      <c r="GJ140" s="345"/>
      <c r="GK140" s="345"/>
      <c r="GL140" s="345"/>
      <c r="GM140" s="345"/>
      <c r="GN140" s="345"/>
      <c r="GO140" s="345"/>
      <c r="GP140" s="345"/>
      <c r="GQ140" s="345"/>
      <c r="GR140" s="345"/>
      <c r="GS140" s="345"/>
      <c r="GT140" s="345"/>
      <c r="GU140" s="345"/>
    </row>
    <row r="141" spans="1:203" ht="12.75" customHeight="1">
      <c r="A141" s="465" t="str">
        <f t="shared" si="95"/>
        <v/>
      </c>
      <c r="B141" s="1108">
        <v>131</v>
      </c>
      <c r="C141" s="1109"/>
      <c r="D141" s="398"/>
      <c r="E141" s="1116"/>
      <c r="F141" s="465" t="str">
        <f t="shared" si="97"/>
        <v/>
      </c>
      <c r="G141" s="1108">
        <v>131</v>
      </c>
      <c r="H141" s="1109"/>
      <c r="I141" s="398"/>
      <c r="J141" s="1116"/>
      <c r="K141" s="465"/>
      <c r="L141" s="465"/>
      <c r="M141" s="465" t="str">
        <f t="shared" ref="M141:M170" si="121">IF(P141="","",IF(Q141="F",2,IF(O141="T",3,M140)))</f>
        <v/>
      </c>
      <c r="N141" s="1108">
        <v>131</v>
      </c>
      <c r="O141" s="1109"/>
      <c r="P141" s="398"/>
      <c r="Q141" s="1116"/>
      <c r="R141" s="465" t="str">
        <f t="shared" ref="R141:R170" si="122">IF(U141="","",IF(V141="F",2,IF(T141="T",3,R140)))</f>
        <v/>
      </c>
      <c r="S141" s="1108">
        <v>131</v>
      </c>
      <c r="T141" s="1109"/>
      <c r="U141" s="1110"/>
      <c r="V141" s="1116"/>
      <c r="W141" s="371"/>
      <c r="X141" s="494" t="str">
        <f t="shared" si="98"/>
        <v/>
      </c>
      <c r="Y141" s="495" t="str">
        <f>IF('Feuilles=description générale'!$E$13="","",IF(X141="","",IF(X141&gt;('Feuilles=description générale'!$E$11+'Feuilles=description générale'!$E$10),"",100*(X141-'Feuilles=description générale'!$E$10)/('Feuilles=description générale'!$E$11))))</f>
        <v/>
      </c>
      <c r="Z141" s="495" t="str">
        <f>IF('Feuilles=description générale'!$E$13="","",IF(X141="","",IF(X141&lt;=('Feuilles=description générale'!$E$11+'Feuilles=description générale'!$E$10),"",100*(X141-'Feuilles=description générale'!$E$11-'Feuilles=description générale'!$E$10)/('Feuilles=description générale'!$E$12))))</f>
        <v/>
      </c>
      <c r="AA141" s="1112" t="str">
        <f>IF('Feuilles=description générale'!$E$13="","",IF(X141="","",100*(X141-'Feuilles=description générale'!$E$10)/('Feuilles=description générale'!$E$13-'Feuilles=description générale'!$E$10)))</f>
        <v/>
      </c>
      <c r="AB141" s="497" t="str">
        <f t="shared" si="99"/>
        <v/>
      </c>
      <c r="AC141" s="500" t="str">
        <f t="shared" si="96"/>
        <v/>
      </c>
      <c r="AD141" s="494" t="str">
        <f t="shared" si="100"/>
        <v/>
      </c>
      <c r="AE141" s="499" t="str">
        <f t="shared" si="101"/>
        <v/>
      </c>
      <c r="AF141" s="371"/>
      <c r="AG141" s="494" t="str">
        <f t="shared" si="102"/>
        <v/>
      </c>
      <c r="AH141" s="495" t="str">
        <f>IF('Feuilles=description générale'!$E$13="","",IF(AG141="","",IF(AG141&gt;('Feuilles=description générale'!$E$11+'Feuilles=description générale'!$E$10),"",100*(AG141-'Feuilles=description générale'!$E$10)/('Feuilles=description générale'!$E$11))))</f>
        <v/>
      </c>
      <c r="AI141" s="495" t="str">
        <f>IF('Feuilles=description générale'!$E$13="","",IF(AG141="","",IF(AG141&lt;=('Feuilles=description générale'!$E$11+'Feuilles=description générale'!$E$10),"",100*(AG141-'Feuilles=description générale'!$E$11-'Feuilles=description générale'!$E$10)/('Feuilles=description générale'!$E$12))))</f>
        <v/>
      </c>
      <c r="AJ141" s="496" t="str">
        <f>IF('Feuilles=description générale'!$E$13="","",IF(AG141="","",100*(AG141-'Feuilles=description générale'!$E$10)/('Feuilles=description générale'!$E$13-'Feuilles=description générale'!$E$10)))</f>
        <v/>
      </c>
      <c r="AK141" s="1113" t="str">
        <f t="shared" si="103"/>
        <v/>
      </c>
      <c r="AL141" s="498" t="str">
        <f t="shared" si="104"/>
        <v/>
      </c>
      <c r="AM141" s="494" t="str">
        <f t="shared" si="105"/>
        <v/>
      </c>
      <c r="AN141" s="499" t="str">
        <f t="shared" si="106"/>
        <v/>
      </c>
      <c r="AO141" s="371"/>
      <c r="AP141" s="494" t="str">
        <f t="shared" si="107"/>
        <v/>
      </c>
      <c r="AQ141" s="495" t="str">
        <f>IF('Feuilles=description générale'!$E$13="","",IF(AP141="","",IF(AP141&gt;('Feuilles=description générale'!$E$25+'Feuilles=description générale'!$E$24),"",100*(AP141-'Feuilles=description générale'!$E$24)/('Feuilles=description générale'!$E$25))))</f>
        <v/>
      </c>
      <c r="AR141" s="495" t="str">
        <f>IF('Feuilles=description générale'!$E$27="","",IF(AP141="","",IF(AP141&lt;=('Feuilles=description générale'!$E$25+'Feuilles=description générale'!$E$24),"",100*(AP141-'Feuilles=description générale'!$E$25-'Feuilles=description générale'!$E$24)/('Feuilles=description générale'!$E$26))))</f>
        <v/>
      </c>
      <c r="AS141" s="496" t="str">
        <f>IF('Feuilles=description générale'!$E$27="","",IF(AP141="","",100*(AP141-'Feuilles=description générale'!$E$24)/('Feuilles=description générale'!$E$27-'Feuilles=description générale'!$E$24)))</f>
        <v/>
      </c>
      <c r="AT141" s="497" t="str">
        <f t="shared" si="108"/>
        <v/>
      </c>
      <c r="AU141" s="500" t="str">
        <f t="shared" si="109"/>
        <v/>
      </c>
      <c r="AV141" s="494" t="str">
        <f t="shared" si="110"/>
        <v/>
      </c>
      <c r="AW141" s="499" t="str">
        <f t="shared" si="111"/>
        <v/>
      </c>
      <c r="AX141" s="371"/>
      <c r="AY141" s="494" t="str">
        <f t="shared" si="112"/>
        <v/>
      </c>
      <c r="AZ141" s="495" t="str">
        <f>IF('Feuilles=description générale'!$E$13="","",IF(AY141="","",IF(AY141&gt;('Feuilles=description générale'!$E$25+'Feuilles=description générale'!$E$24),"",100*(AY141-'Feuilles=description générale'!$E$24)/('Feuilles=description générale'!$E$25))))</f>
        <v/>
      </c>
      <c r="BA141" s="495" t="str">
        <f>IF('Feuilles=description générale'!$E$27="","",IF(AY141="","",IF(AY141&lt;=('Feuilles=description générale'!$E$25+'Feuilles=description générale'!$E$24),"",100*(AY141-'Feuilles=description générale'!$E$25-'Feuilles=description générale'!$E$24)/('Feuilles=description générale'!$E$26))))</f>
        <v/>
      </c>
      <c r="BB141" s="496" t="str">
        <f>IF('Feuilles=description générale'!$E$27="","",IF(AY141="","",100*(AY141-'Feuilles=description générale'!$E$24)/('Feuilles=description générale'!$E$27-'Feuilles=description générale'!$E$24)))</f>
        <v/>
      </c>
      <c r="BC141" s="497" t="str">
        <f t="shared" si="113"/>
        <v/>
      </c>
      <c r="BD141" s="500" t="str">
        <f t="shared" si="114"/>
        <v/>
      </c>
      <c r="BE141" s="494" t="str">
        <f t="shared" si="115"/>
        <v/>
      </c>
      <c r="BF141" s="499" t="str">
        <f t="shared" si="116"/>
        <v/>
      </c>
      <c r="BG141" s="476"/>
      <c r="BH141" s="563"/>
      <c r="BI141" s="562"/>
      <c r="BJ141" s="562"/>
      <c r="BK141" s="562"/>
      <c r="BL141" s="562"/>
      <c r="BM141" s="562"/>
      <c r="BN141" s="562"/>
      <c r="BO141" s="562"/>
      <c r="BP141" s="562"/>
      <c r="BQ141" s="562"/>
      <c r="BR141" s="562"/>
      <c r="BS141" s="562"/>
      <c r="BT141" s="562"/>
      <c r="BU141" s="568"/>
      <c r="BV141" s="1114" t="str">
        <f t="shared" si="117"/>
        <v/>
      </c>
      <c r="BW141" s="1114" t="str">
        <f t="shared" si="117"/>
        <v/>
      </c>
      <c r="BX141" s="1114" t="str">
        <f t="shared" si="118"/>
        <v/>
      </c>
      <c r="BY141" s="1115" t="str">
        <f t="shared" si="118"/>
        <v/>
      </c>
      <c r="BZ141" s="477"/>
      <c r="CA141" s="1114" t="str">
        <f t="shared" si="119"/>
        <v/>
      </c>
      <c r="CB141" s="1114" t="str">
        <f t="shared" si="119"/>
        <v/>
      </c>
      <c r="CC141" s="1114" t="str">
        <f t="shared" si="120"/>
        <v/>
      </c>
      <c r="CD141" s="1115" t="str">
        <f t="shared" si="120"/>
        <v/>
      </c>
      <c r="CE141" s="568"/>
      <c r="CF141" s="1431">
        <v>5</v>
      </c>
      <c r="CG141" s="1427"/>
      <c r="CH141" s="1422"/>
      <c r="CI141" s="1428"/>
      <c r="CJ141" s="1422"/>
      <c r="CK141" s="1438"/>
      <c r="CL141" s="1439"/>
      <c r="CM141" s="1422"/>
      <c r="CN141" s="1437"/>
      <c r="CO141" s="1422"/>
      <c r="CP141" s="1441"/>
      <c r="CQ141" s="1439"/>
      <c r="CR141" s="1422"/>
      <c r="CS141" s="1422"/>
      <c r="CT141" s="1422"/>
      <c r="CU141" s="1438"/>
      <c r="CV141" s="476"/>
      <c r="CW141" s="345"/>
      <c r="CX141" s="345"/>
      <c r="CY141" s="345"/>
      <c r="CZ141" s="345"/>
      <c r="DA141" s="345"/>
      <c r="DB141" s="345"/>
      <c r="DC141" s="345"/>
      <c r="DD141" s="345"/>
      <c r="DE141" s="345"/>
      <c r="DF141" s="345"/>
      <c r="DG141" s="345"/>
      <c r="DH141" s="345"/>
      <c r="DI141" s="345"/>
      <c r="DJ141" s="345"/>
      <c r="DK141" s="345"/>
      <c r="DL141" s="345"/>
      <c r="DM141" s="345"/>
      <c r="DN141" s="345"/>
      <c r="DO141" s="345"/>
      <c r="DP141" s="345"/>
      <c r="DQ141" s="345"/>
      <c r="DR141" s="345"/>
      <c r="DS141" s="345"/>
      <c r="DT141" s="345"/>
      <c r="DU141" s="345"/>
      <c r="DV141" s="345"/>
      <c r="DW141" s="345"/>
      <c r="DX141" s="345"/>
      <c r="DY141" s="345"/>
      <c r="DZ141" s="345"/>
      <c r="EA141" s="345"/>
      <c r="EB141" s="345"/>
      <c r="EC141" s="345"/>
      <c r="ED141" s="345"/>
      <c r="EE141" s="345"/>
      <c r="EF141" s="345"/>
      <c r="EG141" s="345"/>
      <c r="EH141" s="345"/>
      <c r="EI141" s="345"/>
      <c r="EJ141" s="345"/>
      <c r="EK141" s="345"/>
      <c r="EL141" s="345"/>
      <c r="EM141" s="345"/>
      <c r="EN141" s="345"/>
      <c r="EO141" s="345"/>
      <c r="EP141" s="345"/>
      <c r="EQ141" s="345"/>
      <c r="ER141" s="345"/>
      <c r="ES141" s="345"/>
      <c r="ET141" s="345"/>
      <c r="EU141" s="345"/>
      <c r="EV141" s="345"/>
      <c r="EW141" s="345"/>
      <c r="EX141" s="345"/>
      <c r="EY141" s="345"/>
      <c r="EZ141" s="345"/>
      <c r="FA141" s="345"/>
      <c r="FB141" s="345"/>
      <c r="FC141" s="345"/>
      <c r="FD141" s="345"/>
      <c r="FE141" s="345"/>
      <c r="FF141" s="345"/>
      <c r="FG141" s="345"/>
      <c r="FH141" s="345"/>
      <c r="FI141" s="345"/>
      <c r="FJ141" s="345"/>
      <c r="FK141" s="345"/>
      <c r="FL141" s="345"/>
      <c r="FM141" s="345"/>
      <c r="FN141" s="345"/>
      <c r="FO141" s="345"/>
      <c r="FP141" s="345"/>
      <c r="FQ141" s="345"/>
      <c r="FR141" s="345"/>
      <c r="FS141" s="345"/>
      <c r="FT141" s="345"/>
      <c r="FU141" s="345"/>
      <c r="FV141" s="345"/>
      <c r="FW141" s="345"/>
      <c r="FX141" s="345"/>
      <c r="FY141" s="345"/>
      <c r="FZ141" s="345"/>
      <c r="GA141" s="345"/>
      <c r="GB141" s="345"/>
      <c r="GC141" s="345"/>
      <c r="GD141" s="345"/>
      <c r="GE141" s="345"/>
      <c r="GF141" s="345"/>
      <c r="GG141" s="345"/>
      <c r="GH141" s="345"/>
      <c r="GI141" s="345"/>
      <c r="GJ141" s="345"/>
      <c r="GK141" s="345"/>
      <c r="GL141" s="345"/>
      <c r="GM141" s="345"/>
      <c r="GN141" s="345"/>
      <c r="GO141" s="345"/>
      <c r="GP141" s="345"/>
      <c r="GQ141" s="345"/>
      <c r="GR141" s="345"/>
      <c r="GS141" s="345"/>
      <c r="GT141" s="345"/>
      <c r="GU141" s="345"/>
    </row>
    <row r="142" spans="1:203" ht="12.75" customHeight="1">
      <c r="A142" s="465" t="str">
        <f t="shared" ref="A142:A170" si="123">IF(D142="","",IF(E142="F",2,IF(C142="T",3,A141)))</f>
        <v/>
      </c>
      <c r="B142" s="1108">
        <v>132</v>
      </c>
      <c r="C142" s="1109"/>
      <c r="D142" s="398"/>
      <c r="E142" s="1116"/>
      <c r="F142" s="465" t="str">
        <f t="shared" si="97"/>
        <v/>
      </c>
      <c r="G142" s="1108">
        <v>132</v>
      </c>
      <c r="H142" s="1109"/>
      <c r="I142" s="398"/>
      <c r="J142" s="1116"/>
      <c r="K142" s="465"/>
      <c r="L142" s="465"/>
      <c r="M142" s="465" t="str">
        <f t="shared" si="121"/>
        <v/>
      </c>
      <c r="N142" s="1108">
        <v>132</v>
      </c>
      <c r="O142" s="1109"/>
      <c r="P142" s="398"/>
      <c r="Q142" s="1116"/>
      <c r="R142" s="465" t="str">
        <f t="shared" si="122"/>
        <v/>
      </c>
      <c r="S142" s="1108">
        <v>132</v>
      </c>
      <c r="T142" s="1109"/>
      <c r="U142" s="1110"/>
      <c r="V142" s="1116"/>
      <c r="W142" s="371"/>
      <c r="X142" s="494" t="str">
        <f t="shared" si="98"/>
        <v/>
      </c>
      <c r="Y142" s="495" t="str">
        <f>IF('Feuilles=description générale'!$E$13="","",IF(X142="","",IF(X142&gt;('Feuilles=description générale'!$E$11+'Feuilles=description générale'!$E$10),"",100*(X142-'Feuilles=description générale'!$E$10)/('Feuilles=description générale'!$E$11))))</f>
        <v/>
      </c>
      <c r="Z142" s="495" t="str">
        <f>IF('Feuilles=description générale'!$E$13="","",IF(X142="","",IF(X142&lt;=('Feuilles=description générale'!$E$11+'Feuilles=description générale'!$E$10),"",100*(X142-'Feuilles=description générale'!$E$11-'Feuilles=description générale'!$E$10)/('Feuilles=description générale'!$E$12))))</f>
        <v/>
      </c>
      <c r="AA142" s="1112" t="str">
        <f>IF('Feuilles=description générale'!$E$13="","",IF(X142="","",100*(X142-'Feuilles=description générale'!$E$10)/('Feuilles=description générale'!$E$13-'Feuilles=description générale'!$E$10)))</f>
        <v/>
      </c>
      <c r="AB142" s="497" t="str">
        <f t="shared" si="99"/>
        <v/>
      </c>
      <c r="AC142" s="500" t="str">
        <f t="shared" ref="AC142:AC170" si="124">IF(AB143="",AB142,IF(C142&lt;0,IF(AB142&gt;AB143,AB142,""),IF(C142=0,IF(AB142=1,1,""),IF(AB143=1,1,""))))</f>
        <v/>
      </c>
      <c r="AD142" s="494" t="str">
        <f t="shared" si="100"/>
        <v/>
      </c>
      <c r="AE142" s="499" t="str">
        <f t="shared" si="101"/>
        <v/>
      </c>
      <c r="AF142" s="371"/>
      <c r="AG142" s="494" t="str">
        <f t="shared" si="102"/>
        <v/>
      </c>
      <c r="AH142" s="495" t="str">
        <f>IF('Feuilles=description générale'!$E$13="","",IF(AG142="","",IF(AG142&gt;('Feuilles=description générale'!$E$11+'Feuilles=description générale'!$E$10),"",100*(AG142-'Feuilles=description générale'!$E$10)/('Feuilles=description générale'!$E$11))))</f>
        <v/>
      </c>
      <c r="AI142" s="495" t="str">
        <f>IF('Feuilles=description générale'!$E$13="","",IF(AG142="","",IF(AG142&lt;=('Feuilles=description générale'!$E$11+'Feuilles=description générale'!$E$10),"",100*(AG142-'Feuilles=description générale'!$E$11-'Feuilles=description générale'!$E$10)/('Feuilles=description générale'!$E$12))))</f>
        <v/>
      </c>
      <c r="AJ142" s="496" t="str">
        <f>IF('Feuilles=description générale'!$E$13="","",IF(AG142="","",100*(AG142-'Feuilles=description générale'!$E$10)/('Feuilles=description générale'!$E$13-'Feuilles=description générale'!$E$10)))</f>
        <v/>
      </c>
      <c r="AK142" s="1113" t="str">
        <f t="shared" si="103"/>
        <v/>
      </c>
      <c r="AL142" s="498" t="str">
        <f t="shared" si="104"/>
        <v/>
      </c>
      <c r="AM142" s="494" t="str">
        <f t="shared" si="105"/>
        <v/>
      </c>
      <c r="AN142" s="499" t="str">
        <f t="shared" si="106"/>
        <v/>
      </c>
      <c r="AO142" s="371"/>
      <c r="AP142" s="494" t="str">
        <f t="shared" si="107"/>
        <v/>
      </c>
      <c r="AQ142" s="495" t="str">
        <f>IF('Feuilles=description générale'!$E$13="","",IF(AP142="","",IF(AP142&gt;('Feuilles=description générale'!$E$25+'Feuilles=description générale'!$E$24),"",100*(AP142-'Feuilles=description générale'!$E$24)/('Feuilles=description générale'!$E$25))))</f>
        <v/>
      </c>
      <c r="AR142" s="495" t="str">
        <f>IF('Feuilles=description générale'!$E$27="","",IF(AP142="","",IF(AP142&lt;=('Feuilles=description générale'!$E$25+'Feuilles=description générale'!$E$24),"",100*(AP142-'Feuilles=description générale'!$E$25-'Feuilles=description générale'!$E$24)/('Feuilles=description générale'!$E$26))))</f>
        <v/>
      </c>
      <c r="AS142" s="496" t="str">
        <f>IF('Feuilles=description générale'!$E$27="","",IF(AP142="","",100*(AP142-'Feuilles=description générale'!$E$24)/('Feuilles=description générale'!$E$27-'Feuilles=description générale'!$E$24)))</f>
        <v/>
      </c>
      <c r="AT142" s="497" t="str">
        <f t="shared" si="108"/>
        <v/>
      </c>
      <c r="AU142" s="500" t="str">
        <f t="shared" si="109"/>
        <v/>
      </c>
      <c r="AV142" s="494" t="str">
        <f t="shared" si="110"/>
        <v/>
      </c>
      <c r="AW142" s="499" t="str">
        <f t="shared" si="111"/>
        <v/>
      </c>
      <c r="AX142" s="371"/>
      <c r="AY142" s="494" t="str">
        <f t="shared" si="112"/>
        <v/>
      </c>
      <c r="AZ142" s="495" t="str">
        <f>IF('Feuilles=description générale'!$E$13="","",IF(AY142="","",IF(AY142&gt;('Feuilles=description générale'!$E$25+'Feuilles=description générale'!$E$24),"",100*(AY142-'Feuilles=description générale'!$E$24)/('Feuilles=description générale'!$E$25))))</f>
        <v/>
      </c>
      <c r="BA142" s="495" t="str">
        <f>IF('Feuilles=description générale'!$E$27="","",IF(AY142="","",IF(AY142&lt;=('Feuilles=description générale'!$E$25+'Feuilles=description générale'!$E$24),"",100*(AY142-'Feuilles=description générale'!$E$25-'Feuilles=description générale'!$E$24)/('Feuilles=description générale'!$E$26))))</f>
        <v/>
      </c>
      <c r="BB142" s="496" t="str">
        <f>IF('Feuilles=description générale'!$E$27="","",IF(AY142="","",100*(AY142-'Feuilles=description générale'!$E$24)/('Feuilles=description générale'!$E$27-'Feuilles=description générale'!$E$24)))</f>
        <v/>
      </c>
      <c r="BC142" s="497" t="str">
        <f t="shared" si="113"/>
        <v/>
      </c>
      <c r="BD142" s="500" t="str">
        <f t="shared" si="114"/>
        <v/>
      </c>
      <c r="BE142" s="494" t="str">
        <f t="shared" si="115"/>
        <v/>
      </c>
      <c r="BF142" s="499" t="str">
        <f t="shared" si="116"/>
        <v/>
      </c>
      <c r="BG142" s="476"/>
      <c r="BH142" s="563"/>
      <c r="BI142" s="562"/>
      <c r="BJ142" s="562"/>
      <c r="BK142" s="562"/>
      <c r="BL142" s="562"/>
      <c r="BM142" s="562"/>
      <c r="BN142" s="562"/>
      <c r="BO142" s="562"/>
      <c r="BP142" s="562"/>
      <c r="BQ142" s="562"/>
      <c r="BR142" s="562"/>
      <c r="BS142" s="562"/>
      <c r="BT142" s="562"/>
      <c r="BU142" s="568"/>
      <c r="BV142" s="1114" t="str">
        <f t="shared" si="117"/>
        <v/>
      </c>
      <c r="BW142" s="1114" t="str">
        <f t="shared" si="117"/>
        <v/>
      </c>
      <c r="BX142" s="1114" t="str">
        <f t="shared" si="118"/>
        <v/>
      </c>
      <c r="BY142" s="1115" t="str">
        <f t="shared" si="118"/>
        <v/>
      </c>
      <c r="BZ142" s="477"/>
      <c r="CA142" s="1114" t="str">
        <f t="shared" si="119"/>
        <v/>
      </c>
      <c r="CB142" s="1114" t="str">
        <f t="shared" si="119"/>
        <v/>
      </c>
      <c r="CC142" s="1114" t="str">
        <f t="shared" si="120"/>
        <v/>
      </c>
      <c r="CD142" s="1115" t="str">
        <f t="shared" si="120"/>
        <v/>
      </c>
      <c r="CE142" s="568"/>
      <c r="CF142" s="1432"/>
      <c r="CG142" s="1427">
        <f>SUMIF($AA$11:$AA$170,"&lt;9",$AE$11:$AE$170)+SUMIF($AS$11:$AS$170,"&lt;9",$AW$11:$AW$170)-SUMIF($AA$11:$AA$170,"&lt;5",$AE$11:$AE$170)-SUMIF($AS$11:$AS$170,"&lt;5",$AW$11:$AW$170)</f>
        <v>2.7999999999999972</v>
      </c>
      <c r="CH142" s="1422">
        <f>SUMIF($AA$11:$AA$170,"&lt;9",$BW$11:$BW$170)+SUMIF($AS$11:$AS$170,"&lt;9",$CB$11:$CB$170)-SUMIF($AA$11:$AA$170,"&lt;5",$BW$11:$BW$170)-SUMIF($AS$11:$AS$170,"&lt;5",$CB$11:$CB$170)</f>
        <v>7.8399999999999874</v>
      </c>
      <c r="CI142" s="1428">
        <f>SUMPRODUCT(($AA$11:$AA$170&lt;9)*($AE$11:$AE$170&lt;&gt;""))+SUMPRODUCT(($AS$11:$AS$170&lt;9)*($AW$11:$AW$170&lt;&gt;""))-SUMPRODUCT(($AA$11:$AA$170&lt;5)*($AE$11:$AE$170&lt;&gt;""))-SUMPRODUCT(($AS$11:$AS$170&lt;5)*($AW$11:$AW$170&lt;&gt;""))</f>
        <v>1</v>
      </c>
      <c r="CJ142" s="1422">
        <f>IF(CI142=0,0,IF(CI142="","",CG142/CI142))</f>
        <v>2.7999999999999972</v>
      </c>
      <c r="CK142" s="1438">
        <f>IF(CI142&lt;2,0,SQRT((CH142/CI142-CJ142*CJ142)/(CI142-1)))</f>
        <v>0</v>
      </c>
      <c r="CL142" s="1439">
        <f>SUMIF($AJ$11:$AJ$170,"&lt;9",$AN$11:$AN$170)+SUMIF($BB$11:$BB$170,"&lt;9",$BF$11:$BF$170)-SUMIF($AJ$11:$AJ$170,"&lt;5",$AN$11:$AN$170)-SUMIF($BB$11:$BB$170,"&lt;5",$BF$11:$BF$170)</f>
        <v>3.2999999999999972</v>
      </c>
      <c r="CM142" s="1422">
        <f>SUMIF($AJ$11:$AJ$170,"&lt;9",$BY$11:$BY$170)+SUMIF($BB$11:$BB$170,"&lt;9",$CD$11:$CD$170)-SUMIF($AJ$11:$AJ$170,"&lt;5",$BY$11:$BY$170)-SUMIF($BB$11:$BB$170,"&lt;5",$CD$11:$CD$170)</f>
        <v>10.889999999999992</v>
      </c>
      <c r="CN142" s="1440">
        <f>SUMPRODUCT(($AJ$11:$AJ$170&lt;9)*($AN$11:$AN$170&lt;&gt;""))+SUMPRODUCT(($BB$11:$BB$170&lt;9)*($BF$11:$BF$170&lt;&gt;""))-SUMPRODUCT(($AJ$11:$AJ$170&lt;5)*($AN$11:$AN$170&lt;&gt;""))-SUMPRODUCT(($BB$11:$BB$170&lt;5)*($BF$11:$BF$170&lt;&gt;""))</f>
        <v>1</v>
      </c>
      <c r="CO142" s="1422">
        <f>IF(CN142=0,0,IF(CN142="","",CL142/CN142))</f>
        <v>3.2999999999999972</v>
      </c>
      <c r="CP142" s="1441">
        <f>IF(CN142&lt;2,0,SQRT((CM142/CN142-CO142*CO142)/(CN142-1)))</f>
        <v>0</v>
      </c>
      <c r="CQ142" s="1439">
        <f>CG142+CL142</f>
        <v>6.0999999999999943</v>
      </c>
      <c r="CR142" s="1422">
        <f>CH142+CM142</f>
        <v>18.729999999999979</v>
      </c>
      <c r="CS142" s="1422">
        <f>CI142+CN142</f>
        <v>2</v>
      </c>
      <c r="CT142" s="1422">
        <f>IF(CS142=0,0,IF(CS142="","",CQ142/CS142))</f>
        <v>3.0499999999999972</v>
      </c>
      <c r="CU142" s="1438">
        <f>IF(CS142&lt;2,0,SQRT(ABS((CR142/CS142-CT142*CT142)/(CS142-1))))</f>
        <v>0.25000000000001421</v>
      </c>
      <c r="CV142" s="476"/>
      <c r="CW142" s="345"/>
      <c r="CX142" s="345"/>
      <c r="CY142" s="345"/>
      <c r="CZ142" s="345"/>
      <c r="DA142" s="345"/>
      <c r="DB142" s="345"/>
      <c r="DC142" s="345"/>
      <c r="DD142" s="345"/>
      <c r="DE142" s="345"/>
      <c r="DF142" s="345"/>
      <c r="DG142" s="345"/>
      <c r="DH142" s="345"/>
      <c r="DI142" s="345"/>
      <c r="DJ142" s="345"/>
      <c r="DK142" s="345"/>
      <c r="DL142" s="345"/>
      <c r="DM142" s="345"/>
      <c r="DN142" s="345"/>
      <c r="DO142" s="345"/>
      <c r="DP142" s="345"/>
      <c r="DQ142" s="345"/>
      <c r="DR142" s="345"/>
      <c r="DS142" s="345"/>
      <c r="DT142" s="345"/>
      <c r="DU142" s="345"/>
      <c r="DV142" s="345"/>
      <c r="DW142" s="345"/>
      <c r="DX142" s="345"/>
      <c r="DY142" s="345"/>
      <c r="DZ142" s="345"/>
      <c r="EA142" s="345"/>
      <c r="EB142" s="345"/>
      <c r="EC142" s="345"/>
      <c r="ED142" s="345"/>
      <c r="EE142" s="345"/>
      <c r="EF142" s="345"/>
      <c r="EG142" s="345"/>
      <c r="EH142" s="345"/>
      <c r="EI142" s="345"/>
      <c r="EJ142" s="345"/>
      <c r="EK142" s="345"/>
      <c r="EL142" s="345"/>
      <c r="EM142" s="345"/>
      <c r="EN142" s="345"/>
      <c r="EO142" s="345"/>
      <c r="EP142" s="345"/>
      <c r="EQ142" s="345"/>
      <c r="ER142" s="345"/>
      <c r="ES142" s="345"/>
      <c r="ET142" s="345"/>
      <c r="EU142" s="345"/>
      <c r="EV142" s="345"/>
      <c r="EW142" s="345"/>
      <c r="EX142" s="345"/>
      <c r="EY142" s="345"/>
      <c r="EZ142" s="345"/>
      <c r="FA142" s="345"/>
      <c r="FB142" s="345"/>
      <c r="FC142" s="345"/>
      <c r="FD142" s="345"/>
      <c r="FE142" s="345"/>
      <c r="FF142" s="345"/>
      <c r="FG142" s="345"/>
      <c r="FH142" s="345"/>
      <c r="FI142" s="345"/>
      <c r="FJ142" s="345"/>
      <c r="FK142" s="345"/>
      <c r="FL142" s="345"/>
      <c r="FM142" s="345"/>
      <c r="FN142" s="345"/>
      <c r="FO142" s="345"/>
      <c r="FP142" s="345"/>
      <c r="FQ142" s="345"/>
      <c r="FR142" s="345"/>
      <c r="FS142" s="345"/>
      <c r="FT142" s="345"/>
      <c r="FU142" s="345"/>
      <c r="FV142" s="345"/>
      <c r="FW142" s="345"/>
      <c r="FX142" s="345"/>
      <c r="FY142" s="345"/>
      <c r="FZ142" s="345"/>
      <c r="GA142" s="345"/>
      <c r="GB142" s="345"/>
      <c r="GC142" s="345"/>
      <c r="GD142" s="345"/>
      <c r="GE142" s="345"/>
      <c r="GF142" s="345"/>
      <c r="GG142" s="345"/>
      <c r="GH142" s="345"/>
      <c r="GI142" s="345"/>
      <c r="GJ142" s="345"/>
      <c r="GK142" s="345"/>
      <c r="GL142" s="345"/>
      <c r="GM142" s="345"/>
      <c r="GN142" s="345"/>
      <c r="GO142" s="345"/>
      <c r="GP142" s="345"/>
      <c r="GQ142" s="345"/>
      <c r="GR142" s="345"/>
      <c r="GS142" s="345"/>
      <c r="GT142" s="345"/>
      <c r="GU142" s="345"/>
    </row>
    <row r="143" spans="1:203" ht="12.75" customHeight="1">
      <c r="A143" s="465" t="str">
        <f t="shared" si="123"/>
        <v/>
      </c>
      <c r="B143" s="1108">
        <v>133</v>
      </c>
      <c r="C143" s="1109"/>
      <c r="D143" s="398"/>
      <c r="E143" s="1116"/>
      <c r="F143" s="465" t="str">
        <f t="shared" ref="F143:F170" si="125">IF(I143="","",IF(J143="F",2,IF(H143="T",3,F142)))</f>
        <v/>
      </c>
      <c r="G143" s="1108">
        <v>133</v>
      </c>
      <c r="H143" s="1131"/>
      <c r="I143" s="1132"/>
      <c r="J143" s="1116"/>
      <c r="K143" s="465"/>
      <c r="L143" s="465"/>
      <c r="M143" s="465" t="str">
        <f t="shared" si="121"/>
        <v/>
      </c>
      <c r="N143" s="1108">
        <v>133</v>
      </c>
      <c r="O143" s="1131"/>
      <c r="P143" s="398"/>
      <c r="Q143" s="1116"/>
      <c r="R143" s="465" t="str">
        <f t="shared" si="122"/>
        <v/>
      </c>
      <c r="S143" s="1108">
        <v>133</v>
      </c>
      <c r="T143" s="1131"/>
      <c r="U143" s="1133"/>
      <c r="V143" s="1116"/>
      <c r="W143" s="371"/>
      <c r="X143" s="494" t="str">
        <f t="shared" si="98"/>
        <v/>
      </c>
      <c r="Y143" s="495" t="str">
        <f>IF('Feuilles=description générale'!$E$13="","",IF(X143="","",IF(X143&gt;('Feuilles=description générale'!$E$11+'Feuilles=description générale'!$E$10),"",100*(X143-'Feuilles=description générale'!$E$10)/('Feuilles=description générale'!$E$11))))</f>
        <v/>
      </c>
      <c r="Z143" s="495" t="str">
        <f>IF('Feuilles=description générale'!$E$13="","",IF(X143="","",IF(X143&lt;=('Feuilles=description générale'!$E$11+'Feuilles=description générale'!$E$10),"",100*(X143-'Feuilles=description générale'!$E$11-'Feuilles=description générale'!$E$10)/('Feuilles=description générale'!$E$12))))</f>
        <v/>
      </c>
      <c r="AA143" s="1112" t="str">
        <f>IF('Feuilles=description générale'!$E$13="","",IF(X143="","",100*(X143-'Feuilles=description générale'!$E$10)/('Feuilles=description générale'!$E$13-'Feuilles=description générale'!$E$10)))</f>
        <v/>
      </c>
      <c r="AB143" s="497" t="str">
        <f t="shared" si="99"/>
        <v/>
      </c>
      <c r="AC143" s="500" t="str">
        <f t="shared" si="124"/>
        <v/>
      </c>
      <c r="AD143" s="494" t="str">
        <f t="shared" si="100"/>
        <v/>
      </c>
      <c r="AE143" s="499" t="str">
        <f t="shared" si="101"/>
        <v/>
      </c>
      <c r="AF143" s="371"/>
      <c r="AG143" s="494" t="str">
        <f t="shared" si="102"/>
        <v/>
      </c>
      <c r="AH143" s="495" t="str">
        <f>IF('Feuilles=description générale'!$E$13="","",IF(AG143="","",IF(AG143&gt;('Feuilles=description générale'!$E$11+'Feuilles=description générale'!$E$10),"",100*(AG143-'Feuilles=description générale'!$E$10)/('Feuilles=description générale'!$E$11))))</f>
        <v/>
      </c>
      <c r="AI143" s="495" t="str">
        <f>IF('Feuilles=description générale'!$E$13="","",IF(AG143="","",IF(AG143&lt;=('Feuilles=description générale'!$E$11+'Feuilles=description générale'!$E$10),"",100*(AG143-'Feuilles=description générale'!$E$11-'Feuilles=description générale'!$E$10)/('Feuilles=description générale'!$E$12))))</f>
        <v/>
      </c>
      <c r="AJ143" s="496" t="str">
        <f>IF('Feuilles=description générale'!$E$13="","",IF(AG143="","",100*(AG143-'Feuilles=description générale'!$E$10)/('Feuilles=description générale'!$E$13-'Feuilles=description générale'!$E$10)))</f>
        <v/>
      </c>
      <c r="AK143" s="1113" t="str">
        <f t="shared" si="103"/>
        <v/>
      </c>
      <c r="AL143" s="498" t="str">
        <f t="shared" si="104"/>
        <v/>
      </c>
      <c r="AM143" s="494" t="str">
        <f t="shared" si="105"/>
        <v/>
      </c>
      <c r="AN143" s="499" t="str">
        <f t="shared" si="106"/>
        <v/>
      </c>
      <c r="AO143" s="371"/>
      <c r="AP143" s="494" t="str">
        <f t="shared" si="107"/>
        <v/>
      </c>
      <c r="AQ143" s="495" t="str">
        <f>IF('Feuilles=description générale'!$E$13="","",IF(AP143="","",IF(AP143&gt;('Feuilles=description générale'!$E$25+'Feuilles=description générale'!$E$24),"",100*(AP143-'Feuilles=description générale'!$E$24)/('Feuilles=description générale'!$E$25))))</f>
        <v/>
      </c>
      <c r="AR143" s="495" t="str">
        <f>IF('Feuilles=description générale'!$E$27="","",IF(AP143="","",IF(AP143&lt;=('Feuilles=description générale'!$E$25+'Feuilles=description générale'!$E$24),"",100*(AP143-'Feuilles=description générale'!$E$25-'Feuilles=description générale'!$E$24)/('Feuilles=description générale'!$E$26))))</f>
        <v/>
      </c>
      <c r="AS143" s="496" t="str">
        <f>IF('Feuilles=description générale'!$E$27="","",IF(AP143="","",100*(AP143-'Feuilles=description générale'!$E$24)/('Feuilles=description générale'!$E$27-'Feuilles=description générale'!$E$24)))</f>
        <v/>
      </c>
      <c r="AT143" s="497" t="str">
        <f t="shared" si="108"/>
        <v/>
      </c>
      <c r="AU143" s="500" t="str">
        <f t="shared" si="109"/>
        <v/>
      </c>
      <c r="AV143" s="494" t="str">
        <f t="shared" si="110"/>
        <v/>
      </c>
      <c r="AW143" s="499" t="str">
        <f t="shared" si="111"/>
        <v/>
      </c>
      <c r="AX143" s="371"/>
      <c r="AY143" s="494" t="str">
        <f t="shared" si="112"/>
        <v/>
      </c>
      <c r="AZ143" s="495" t="str">
        <f>IF('Feuilles=description générale'!$E$13="","",IF(AY143="","",IF(AY143&gt;('Feuilles=description générale'!$E$25+'Feuilles=description générale'!$E$24),"",100*(AY143-'Feuilles=description générale'!$E$24)/('Feuilles=description générale'!$E$25))))</f>
        <v/>
      </c>
      <c r="BA143" s="495" t="str">
        <f>IF('Feuilles=description générale'!$E$27="","",IF(AY143="","",IF(AY143&lt;=('Feuilles=description générale'!$E$25+'Feuilles=description générale'!$E$24),"",100*(AY143-'Feuilles=description générale'!$E$25-'Feuilles=description générale'!$E$24)/('Feuilles=description générale'!$E$26))))</f>
        <v/>
      </c>
      <c r="BB143" s="496" t="str">
        <f>IF('Feuilles=description générale'!$E$27="","",IF(AY143="","",100*(AY143-'Feuilles=description générale'!$E$24)/('Feuilles=description générale'!$E$27-'Feuilles=description générale'!$E$24)))</f>
        <v/>
      </c>
      <c r="BC143" s="497" t="str">
        <f t="shared" si="113"/>
        <v/>
      </c>
      <c r="BD143" s="500" t="str">
        <f t="shared" si="114"/>
        <v/>
      </c>
      <c r="BE143" s="494" t="str">
        <f t="shared" si="115"/>
        <v/>
      </c>
      <c r="BF143" s="499" t="str">
        <f t="shared" si="116"/>
        <v/>
      </c>
      <c r="BG143" s="476"/>
      <c r="BH143" s="563"/>
      <c r="BI143" s="562"/>
      <c r="BJ143" s="562"/>
      <c r="BK143" s="562"/>
      <c r="BL143" s="562"/>
      <c r="BM143" s="562"/>
      <c r="BN143" s="562"/>
      <c r="BO143" s="562"/>
      <c r="BP143" s="562"/>
      <c r="BQ143" s="562"/>
      <c r="BR143" s="562"/>
      <c r="BS143" s="562"/>
      <c r="BT143" s="562"/>
      <c r="BU143" s="568"/>
      <c r="BV143" s="1114" t="str">
        <f t="shared" si="117"/>
        <v/>
      </c>
      <c r="BW143" s="1114" t="str">
        <f t="shared" si="117"/>
        <v/>
      </c>
      <c r="BX143" s="1114" t="str">
        <f t="shared" si="118"/>
        <v/>
      </c>
      <c r="BY143" s="1115" t="str">
        <f t="shared" si="118"/>
        <v/>
      </c>
      <c r="BZ143" s="477"/>
      <c r="CA143" s="1114" t="str">
        <f t="shared" si="119"/>
        <v/>
      </c>
      <c r="CB143" s="1114" t="str">
        <f t="shared" si="119"/>
        <v/>
      </c>
      <c r="CC143" s="1114" t="str">
        <f t="shared" si="120"/>
        <v/>
      </c>
      <c r="CD143" s="1115" t="str">
        <f t="shared" si="120"/>
        <v/>
      </c>
      <c r="CE143" s="568"/>
      <c r="CF143" s="1431">
        <v>9</v>
      </c>
      <c r="CG143" s="1427"/>
      <c r="CH143" s="1422"/>
      <c r="CI143" s="1428"/>
      <c r="CJ143" s="1422"/>
      <c r="CK143" s="1438"/>
      <c r="CL143" s="1439"/>
      <c r="CM143" s="1422"/>
      <c r="CN143" s="1437"/>
      <c r="CO143" s="1422"/>
      <c r="CP143" s="1441"/>
      <c r="CQ143" s="1439"/>
      <c r="CR143" s="1422"/>
      <c r="CS143" s="1422"/>
      <c r="CT143" s="1422"/>
      <c r="CU143" s="1438"/>
      <c r="CV143" s="476"/>
      <c r="CW143" s="345"/>
      <c r="CX143" s="345"/>
      <c r="CY143" s="345"/>
      <c r="CZ143" s="345"/>
      <c r="DA143" s="345"/>
      <c r="DB143" s="345"/>
      <c r="DC143" s="345"/>
      <c r="DD143" s="345"/>
      <c r="DE143" s="345"/>
      <c r="DF143" s="345"/>
      <c r="DG143" s="345"/>
      <c r="DH143" s="345"/>
      <c r="DI143" s="345"/>
      <c r="DJ143" s="345"/>
      <c r="DK143" s="345"/>
      <c r="DL143" s="345"/>
      <c r="DM143" s="345"/>
      <c r="DN143" s="345"/>
      <c r="DO143" s="345"/>
      <c r="DP143" s="345"/>
      <c r="DQ143" s="345"/>
      <c r="DR143" s="345"/>
      <c r="DS143" s="345"/>
      <c r="DT143" s="345"/>
      <c r="DU143" s="345"/>
      <c r="DV143" s="345"/>
      <c r="DW143" s="345"/>
      <c r="DX143" s="345"/>
      <c r="DY143" s="345"/>
      <c r="DZ143" s="345"/>
      <c r="EA143" s="345"/>
      <c r="EB143" s="345"/>
      <c r="EC143" s="345"/>
      <c r="ED143" s="345"/>
      <c r="EE143" s="345"/>
      <c r="EF143" s="345"/>
      <c r="EG143" s="345"/>
      <c r="EH143" s="345"/>
      <c r="EI143" s="345"/>
      <c r="EJ143" s="345"/>
      <c r="EK143" s="345"/>
      <c r="EL143" s="345"/>
      <c r="EM143" s="345"/>
      <c r="EN143" s="345"/>
      <c r="EO143" s="345"/>
      <c r="EP143" s="345"/>
      <c r="EQ143" s="345"/>
      <c r="ER143" s="345"/>
      <c r="ES143" s="345"/>
      <c r="ET143" s="345"/>
      <c r="EU143" s="345"/>
      <c r="EV143" s="345"/>
      <c r="EW143" s="345"/>
      <c r="EX143" s="345"/>
      <c r="EY143" s="345"/>
      <c r="EZ143" s="345"/>
      <c r="FA143" s="345"/>
      <c r="FB143" s="345"/>
      <c r="FC143" s="345"/>
      <c r="FD143" s="345"/>
      <c r="FE143" s="345"/>
      <c r="FF143" s="345"/>
      <c r="FG143" s="345"/>
      <c r="FH143" s="345"/>
      <c r="FI143" s="345"/>
      <c r="FJ143" s="345"/>
      <c r="FK143" s="345"/>
      <c r="FL143" s="345"/>
      <c r="FM143" s="345"/>
      <c r="FN143" s="345"/>
      <c r="FO143" s="345"/>
      <c r="FP143" s="345"/>
      <c r="FQ143" s="345"/>
      <c r="FR143" s="345"/>
      <c r="FS143" s="345"/>
      <c r="FT143" s="345"/>
      <c r="FU143" s="345"/>
      <c r="FV143" s="345"/>
      <c r="FW143" s="345"/>
      <c r="FX143" s="345"/>
      <c r="FY143" s="345"/>
      <c r="FZ143" s="345"/>
      <c r="GA143" s="345"/>
      <c r="GB143" s="345"/>
      <c r="GC143" s="345"/>
      <c r="GD143" s="345"/>
      <c r="GE143" s="345"/>
      <c r="GF143" s="345"/>
      <c r="GG143" s="345"/>
      <c r="GH143" s="345"/>
      <c r="GI143" s="345"/>
      <c r="GJ143" s="345"/>
      <c r="GK143" s="345"/>
      <c r="GL143" s="345"/>
      <c r="GM143" s="345"/>
      <c r="GN143" s="345"/>
      <c r="GO143" s="345"/>
      <c r="GP143" s="345"/>
      <c r="GQ143" s="345"/>
      <c r="GR143" s="345"/>
      <c r="GS143" s="345"/>
      <c r="GT143" s="345"/>
      <c r="GU143" s="345"/>
    </row>
    <row r="144" spans="1:203" ht="12.75" customHeight="1">
      <c r="A144" s="465" t="str">
        <f t="shared" si="123"/>
        <v/>
      </c>
      <c r="B144" s="1108">
        <v>134</v>
      </c>
      <c r="C144" s="1109"/>
      <c r="D144" s="398"/>
      <c r="E144" s="1116"/>
      <c r="F144" s="465" t="str">
        <f t="shared" si="125"/>
        <v/>
      </c>
      <c r="G144" s="1108">
        <v>134</v>
      </c>
      <c r="H144" s="1131"/>
      <c r="I144" s="1132"/>
      <c r="J144" s="1116"/>
      <c r="K144" s="465"/>
      <c r="L144" s="465"/>
      <c r="M144" s="465" t="str">
        <f t="shared" si="121"/>
        <v/>
      </c>
      <c r="N144" s="1108">
        <v>134</v>
      </c>
      <c r="O144" s="1131"/>
      <c r="P144" s="398"/>
      <c r="Q144" s="1116"/>
      <c r="R144" s="465" t="str">
        <f t="shared" si="122"/>
        <v/>
      </c>
      <c r="S144" s="1108">
        <v>134</v>
      </c>
      <c r="T144" s="1131"/>
      <c r="U144" s="1133"/>
      <c r="V144" s="1116"/>
      <c r="W144" s="371"/>
      <c r="X144" s="494" t="str">
        <f t="shared" si="98"/>
        <v/>
      </c>
      <c r="Y144" s="495" t="str">
        <f>IF('Feuilles=description générale'!$E$13="","",IF(X144="","",IF(X144&gt;('Feuilles=description générale'!$E$11+'Feuilles=description générale'!$E$10),"",100*(X144-'Feuilles=description générale'!$E$10)/('Feuilles=description générale'!$E$11))))</f>
        <v/>
      </c>
      <c r="Z144" s="495" t="str">
        <f>IF('Feuilles=description générale'!$E$13="","",IF(X144="","",IF(X144&lt;=('Feuilles=description générale'!$E$11+'Feuilles=description générale'!$E$10),"",100*(X144-'Feuilles=description générale'!$E$11-'Feuilles=description générale'!$E$10)/('Feuilles=description générale'!$E$12))))</f>
        <v/>
      </c>
      <c r="AA144" s="1112" t="str">
        <f>IF('Feuilles=description générale'!$E$13="","",IF(X144="","",100*(X144-'Feuilles=description générale'!$E$10)/('Feuilles=description générale'!$E$13-'Feuilles=description générale'!$E$10)))</f>
        <v/>
      </c>
      <c r="AB144" s="497" t="str">
        <f t="shared" si="99"/>
        <v/>
      </c>
      <c r="AC144" s="500" t="str">
        <f t="shared" si="124"/>
        <v/>
      </c>
      <c r="AD144" s="494" t="str">
        <f t="shared" si="100"/>
        <v/>
      </c>
      <c r="AE144" s="499" t="str">
        <f t="shared" si="101"/>
        <v/>
      </c>
      <c r="AF144" s="371"/>
      <c r="AG144" s="494" t="str">
        <f t="shared" si="102"/>
        <v/>
      </c>
      <c r="AH144" s="495" t="str">
        <f>IF('Feuilles=description générale'!$E$13="","",IF(AG144="","",IF(AG144&gt;('Feuilles=description générale'!$E$11+'Feuilles=description générale'!$E$10),"",100*(AG144-'Feuilles=description générale'!$E$10)/('Feuilles=description générale'!$E$11))))</f>
        <v/>
      </c>
      <c r="AI144" s="495" t="str">
        <f>IF('Feuilles=description générale'!$E$13="","",IF(AG144="","",IF(AG144&lt;=('Feuilles=description générale'!$E$11+'Feuilles=description générale'!$E$10),"",100*(AG144-'Feuilles=description générale'!$E$11-'Feuilles=description générale'!$E$10)/('Feuilles=description générale'!$E$12))))</f>
        <v/>
      </c>
      <c r="AJ144" s="496" t="str">
        <f>IF('Feuilles=description générale'!$E$13="","",IF(AG144="","",100*(AG144-'Feuilles=description générale'!$E$10)/('Feuilles=description générale'!$E$13-'Feuilles=description générale'!$E$10)))</f>
        <v/>
      </c>
      <c r="AK144" s="1113" t="str">
        <f t="shared" si="103"/>
        <v/>
      </c>
      <c r="AL144" s="498" t="str">
        <f t="shared" si="104"/>
        <v/>
      </c>
      <c r="AM144" s="494" t="str">
        <f t="shared" si="105"/>
        <v/>
      </c>
      <c r="AN144" s="499" t="str">
        <f t="shared" si="106"/>
        <v/>
      </c>
      <c r="AO144" s="371"/>
      <c r="AP144" s="494" t="str">
        <f t="shared" si="107"/>
        <v/>
      </c>
      <c r="AQ144" s="495" t="str">
        <f>IF('Feuilles=description générale'!$E$13="","",IF(AP144="","",IF(AP144&gt;('Feuilles=description générale'!$E$25+'Feuilles=description générale'!$E$24),"",100*(AP144-'Feuilles=description générale'!$E$24)/('Feuilles=description générale'!$E$25))))</f>
        <v/>
      </c>
      <c r="AR144" s="495" t="str">
        <f>IF('Feuilles=description générale'!$E$27="","",IF(AP144="","",IF(AP144&lt;=('Feuilles=description générale'!$E$25+'Feuilles=description générale'!$E$24),"",100*(AP144-'Feuilles=description générale'!$E$25-'Feuilles=description générale'!$E$24)/('Feuilles=description générale'!$E$26))))</f>
        <v/>
      </c>
      <c r="AS144" s="496" t="str">
        <f>IF('Feuilles=description générale'!$E$27="","",IF(AP144="","",100*(AP144-'Feuilles=description générale'!$E$24)/('Feuilles=description générale'!$E$27-'Feuilles=description générale'!$E$24)))</f>
        <v/>
      </c>
      <c r="AT144" s="497" t="str">
        <f t="shared" si="108"/>
        <v/>
      </c>
      <c r="AU144" s="500" t="str">
        <f t="shared" si="109"/>
        <v/>
      </c>
      <c r="AV144" s="494" t="str">
        <f t="shared" si="110"/>
        <v/>
      </c>
      <c r="AW144" s="499" t="str">
        <f t="shared" si="111"/>
        <v/>
      </c>
      <c r="AX144" s="371"/>
      <c r="AY144" s="494" t="str">
        <f t="shared" si="112"/>
        <v/>
      </c>
      <c r="AZ144" s="495" t="str">
        <f>IF('Feuilles=description générale'!$E$13="","",IF(AY144="","",IF(AY144&gt;('Feuilles=description générale'!$E$25+'Feuilles=description générale'!$E$24),"",100*(AY144-'Feuilles=description générale'!$E$24)/('Feuilles=description générale'!$E$25))))</f>
        <v/>
      </c>
      <c r="BA144" s="495" t="str">
        <f>IF('Feuilles=description générale'!$E$27="","",IF(AY144="","",IF(AY144&lt;=('Feuilles=description générale'!$E$25+'Feuilles=description générale'!$E$24),"",100*(AY144-'Feuilles=description générale'!$E$25-'Feuilles=description générale'!$E$24)/('Feuilles=description générale'!$E$26))))</f>
        <v/>
      </c>
      <c r="BB144" s="496" t="str">
        <f>IF('Feuilles=description générale'!$E$27="","",IF(AY144="","",100*(AY144-'Feuilles=description générale'!$E$24)/('Feuilles=description générale'!$E$27-'Feuilles=description générale'!$E$24)))</f>
        <v/>
      </c>
      <c r="BC144" s="497" t="str">
        <f t="shared" si="113"/>
        <v/>
      </c>
      <c r="BD144" s="500" t="str">
        <f t="shared" si="114"/>
        <v/>
      </c>
      <c r="BE144" s="494" t="str">
        <f t="shared" si="115"/>
        <v/>
      </c>
      <c r="BF144" s="499" t="str">
        <f t="shared" si="116"/>
        <v/>
      </c>
      <c r="BG144" s="476"/>
      <c r="BH144" s="563"/>
      <c r="BI144" s="562"/>
      <c r="BJ144" s="562"/>
      <c r="BK144" s="562"/>
      <c r="BL144" s="562"/>
      <c r="BM144" s="562"/>
      <c r="BN144" s="562"/>
      <c r="BO144" s="562"/>
      <c r="BP144" s="562"/>
      <c r="BQ144" s="562"/>
      <c r="BR144" s="562"/>
      <c r="BS144" s="562"/>
      <c r="BT144" s="562"/>
      <c r="BU144" s="568"/>
      <c r="BV144" s="1114" t="str">
        <f t="shared" si="117"/>
        <v/>
      </c>
      <c r="BW144" s="1114" t="str">
        <f t="shared" si="117"/>
        <v/>
      </c>
      <c r="BX144" s="1114" t="str">
        <f t="shared" si="118"/>
        <v/>
      </c>
      <c r="BY144" s="1115" t="str">
        <f t="shared" si="118"/>
        <v/>
      </c>
      <c r="BZ144" s="477"/>
      <c r="CA144" s="1114" t="str">
        <f t="shared" si="119"/>
        <v/>
      </c>
      <c r="CB144" s="1114" t="str">
        <f t="shared" si="119"/>
        <v/>
      </c>
      <c r="CC144" s="1114" t="str">
        <f t="shared" si="120"/>
        <v/>
      </c>
      <c r="CD144" s="1115" t="str">
        <f t="shared" si="120"/>
        <v/>
      </c>
      <c r="CE144" s="568"/>
      <c r="CF144" s="1432"/>
      <c r="CG144" s="1427">
        <f>SUMIF($AA$11:$AA$170,"&lt;14",$AE$11:$AE$170)+SUMIF($AS$11:$AS$170,"&lt;14",$AW$11:$AW$170)-SUMIF($AA$11:$AA$170,"&lt;9",$AE$11:$AE$170)-SUMIF($AS$11:$AS$170,"&lt;9",$AW$11:$AW$170)</f>
        <v>1.7999999999999972</v>
      </c>
      <c r="CH144" s="1422">
        <f>SUMIF($AA$11:$AA$170,"&lt;14",$BW$11:$BW$170)+SUMIF($AS$11:$AS$170,"&lt;14",$CB$11:$CB$170)-SUMIF($AA$11:$AA$170,"&lt;9",$BW$11:$BW$170)-SUMIF($AS$11:$AS$170,"&lt;9",$CB$11:$CB$170)</f>
        <v>3.2399999999999984</v>
      </c>
      <c r="CI144" s="1428">
        <f>SUMPRODUCT(($AA$11:$AA$170&lt;14)*($AE$11:$AE$170&lt;&gt;""))+SUMPRODUCT(($AS$11:$AS$170&lt;14)*($AW$11:$AW$170&lt;&gt;""))-SUMPRODUCT(($AA$11:$AA$170&lt;9)*($AE$11:$AE$170&lt;&gt;""))-SUMPRODUCT(($AS$11:$AS$170&lt;9)*($AW$11:$AW$170&lt;&gt;""))</f>
        <v>1</v>
      </c>
      <c r="CJ144" s="1422">
        <f>IF(CI144=0,0,IF(CI144="","",CG144/CI144))</f>
        <v>1.7999999999999972</v>
      </c>
      <c r="CK144" s="1438">
        <f>IF(CI144&lt;2,0,SQRT((CH144/CI144-CJ144*CJ144)/(CI144-1)))</f>
        <v>0</v>
      </c>
      <c r="CL144" s="1439">
        <f>SUMIF($AJ$11:$AJ$170,"&lt;14",$AN$11:$AN$170)+SUMIF($BB$11:$BB$170,"&lt;14",$BF$11:$BF$170)-SUMIF($AJ$11:$AJ$170,"&lt;9",$AN$11:$AN$170)-SUMIF($BB$11:$BB$170,"&lt;9",$BF$11:$BF$170)</f>
        <v>8.7999999999999972</v>
      </c>
      <c r="CM144" s="1422">
        <f>SUMIF($AJ$11:$AJ$170,"&lt;14",$BY$11:$BY$170)+SUMIF($BB$11:$BB$170,"&lt;14",$CD$11:$CD$170)-SUMIF($AJ$11:$AJ$170,"&lt;9",$BY$11:$BY$170)-SUMIF($BB$11:$BB$170,"&lt;9",$CD$11:$CD$170)</f>
        <v>33.6</v>
      </c>
      <c r="CN144" s="1440">
        <f>SUMPRODUCT(($AJ$11:$AJ$170&lt;14)*($AN$11:$AN$170&lt;&gt;""))+SUMPRODUCT(($BB$11:$BB$170&lt;14)*($BF$11:$BF$170&lt;&gt;""))-SUMPRODUCT(($AJ$11:$AJ$170&lt;9)*($AN$11:$AN$170&lt;&gt;""))-SUMPRODUCT(($BB$11:$BB$170&lt;9)*($BF$11:$BF$170&lt;&gt;""))</f>
        <v>3</v>
      </c>
      <c r="CO144" s="1422">
        <f>IF(CN144=0,0,IF(CN144="","",CL144/CN144))</f>
        <v>2.9333333333333322</v>
      </c>
      <c r="CP144" s="1441">
        <f>IF(CN144&lt;2,0,SQRT((CM144/CN144-CO144*CO144)/(CN144-1)))</f>
        <v>1.1392004993756726</v>
      </c>
      <c r="CQ144" s="1439">
        <f>CG144+CL144</f>
        <v>10.599999999999994</v>
      </c>
      <c r="CR144" s="1422">
        <f>CH144+CM144</f>
        <v>36.840000000000003</v>
      </c>
      <c r="CS144" s="1422">
        <f>CI144+CN144</f>
        <v>4</v>
      </c>
      <c r="CT144" s="1422">
        <f>IF(CS144=0,0,IF(CS144="","",CQ144/CS144))</f>
        <v>2.6499999999999986</v>
      </c>
      <c r="CU144" s="1438">
        <f>IF(CS144&lt;2,0,SQRT(ABS((CR144/CS144-CT144*CT144)/(CS144-1))))</f>
        <v>0.85391256382996805</v>
      </c>
      <c r="CV144" s="476"/>
      <c r="CW144" s="345"/>
      <c r="CX144" s="345"/>
      <c r="CY144" s="345"/>
      <c r="CZ144" s="345"/>
      <c r="DA144" s="345"/>
      <c r="DB144" s="345"/>
      <c r="DC144" s="345"/>
      <c r="DD144" s="345"/>
      <c r="DE144" s="345"/>
      <c r="DF144" s="345"/>
      <c r="DG144" s="345"/>
      <c r="DH144" s="345"/>
      <c r="DI144" s="345"/>
      <c r="DJ144" s="345"/>
      <c r="DK144" s="345"/>
      <c r="DL144" s="345"/>
      <c r="DM144" s="345"/>
      <c r="DN144" s="345"/>
      <c r="DO144" s="345"/>
      <c r="DP144" s="345"/>
      <c r="DQ144" s="345"/>
      <c r="DR144" s="345"/>
      <c r="DS144" s="345"/>
      <c r="DT144" s="345"/>
      <c r="DU144" s="345"/>
      <c r="DV144" s="345"/>
      <c r="DW144" s="345"/>
      <c r="DX144" s="345"/>
      <c r="DY144" s="345"/>
      <c r="DZ144" s="345"/>
      <c r="EA144" s="345"/>
      <c r="EB144" s="345"/>
      <c r="EC144" s="345"/>
      <c r="ED144" s="345"/>
      <c r="EE144" s="345"/>
      <c r="EF144" s="345"/>
      <c r="EG144" s="345"/>
      <c r="EH144" s="345"/>
      <c r="EI144" s="345"/>
      <c r="EJ144" s="345"/>
      <c r="EK144" s="345"/>
      <c r="EL144" s="345"/>
      <c r="EM144" s="345"/>
      <c r="EN144" s="345"/>
      <c r="EO144" s="345"/>
      <c r="EP144" s="345"/>
      <c r="EQ144" s="345"/>
      <c r="ER144" s="345"/>
      <c r="ES144" s="345"/>
      <c r="ET144" s="345"/>
      <c r="EU144" s="345"/>
      <c r="EV144" s="345"/>
      <c r="EW144" s="345"/>
      <c r="EX144" s="345"/>
      <c r="EY144" s="345"/>
      <c r="EZ144" s="345"/>
      <c r="FA144" s="345"/>
      <c r="FB144" s="345"/>
      <c r="FC144" s="345"/>
      <c r="FD144" s="345"/>
      <c r="FE144" s="345"/>
      <c r="FF144" s="345"/>
      <c r="FG144" s="345"/>
      <c r="FH144" s="345"/>
      <c r="FI144" s="345"/>
      <c r="FJ144" s="345"/>
      <c r="FK144" s="345"/>
      <c r="FL144" s="345"/>
      <c r="FM144" s="345"/>
      <c r="FN144" s="345"/>
      <c r="FO144" s="345"/>
      <c r="FP144" s="345"/>
      <c r="FQ144" s="345"/>
      <c r="FR144" s="345"/>
      <c r="FS144" s="345"/>
      <c r="FT144" s="345"/>
      <c r="FU144" s="345"/>
      <c r="FV144" s="345"/>
      <c r="FW144" s="345"/>
      <c r="FX144" s="345"/>
      <c r="FY144" s="345"/>
      <c r="FZ144" s="345"/>
      <c r="GA144" s="345"/>
      <c r="GB144" s="345"/>
      <c r="GC144" s="345"/>
      <c r="GD144" s="345"/>
      <c r="GE144" s="345"/>
      <c r="GF144" s="345"/>
      <c r="GG144" s="345"/>
      <c r="GH144" s="345"/>
      <c r="GI144" s="345"/>
      <c r="GJ144" s="345"/>
      <c r="GK144" s="345"/>
      <c r="GL144" s="345"/>
      <c r="GM144" s="345"/>
      <c r="GN144" s="345"/>
      <c r="GO144" s="345"/>
      <c r="GP144" s="345"/>
      <c r="GQ144" s="345"/>
      <c r="GR144" s="345"/>
      <c r="GS144" s="345"/>
      <c r="GT144" s="345"/>
      <c r="GU144" s="345"/>
    </row>
    <row r="145" spans="1:203" ht="12.75" customHeight="1">
      <c r="A145" s="465" t="str">
        <f t="shared" si="123"/>
        <v/>
      </c>
      <c r="B145" s="1108">
        <v>135</v>
      </c>
      <c r="C145" s="1131"/>
      <c r="D145" s="398"/>
      <c r="E145" s="1116"/>
      <c r="F145" s="465" t="str">
        <f t="shared" si="125"/>
        <v/>
      </c>
      <c r="G145" s="1108">
        <v>135</v>
      </c>
      <c r="H145" s="1131"/>
      <c r="I145" s="1132"/>
      <c r="J145" s="1116"/>
      <c r="K145" s="465"/>
      <c r="L145" s="465"/>
      <c r="M145" s="465" t="str">
        <f t="shared" si="121"/>
        <v/>
      </c>
      <c r="N145" s="1108">
        <v>135</v>
      </c>
      <c r="O145" s="1131"/>
      <c r="P145" s="398"/>
      <c r="Q145" s="1116"/>
      <c r="R145" s="465" t="str">
        <f t="shared" si="122"/>
        <v/>
      </c>
      <c r="S145" s="1108">
        <v>135</v>
      </c>
      <c r="T145" s="1131"/>
      <c r="U145" s="1133"/>
      <c r="V145" s="1116"/>
      <c r="W145" s="371"/>
      <c r="X145" s="494" t="str">
        <f t="shared" si="98"/>
        <v/>
      </c>
      <c r="Y145" s="495" t="str">
        <f>IF('Feuilles=description générale'!$E$13="","",IF(X145="","",IF(X145&gt;('Feuilles=description générale'!$E$11+'Feuilles=description générale'!$E$10),"",100*(X145-'Feuilles=description générale'!$E$10)/('Feuilles=description générale'!$E$11))))</f>
        <v/>
      </c>
      <c r="Z145" s="495" t="str">
        <f>IF('Feuilles=description générale'!$E$13="","",IF(X145="","",IF(X145&lt;=('Feuilles=description générale'!$E$11+'Feuilles=description générale'!$E$10),"",100*(X145-'Feuilles=description générale'!$E$11-'Feuilles=description générale'!$E$10)/('Feuilles=description générale'!$E$12))))</f>
        <v/>
      </c>
      <c r="AA145" s="1112" t="str">
        <f>IF('Feuilles=description générale'!$E$13="","",IF(X145="","",100*(X145-'Feuilles=description générale'!$E$10)/('Feuilles=description générale'!$E$13-'Feuilles=description générale'!$E$10)))</f>
        <v/>
      </c>
      <c r="AB145" s="497" t="str">
        <f t="shared" si="99"/>
        <v/>
      </c>
      <c r="AC145" s="500" t="str">
        <f t="shared" si="124"/>
        <v/>
      </c>
      <c r="AD145" s="494" t="str">
        <f t="shared" si="100"/>
        <v/>
      </c>
      <c r="AE145" s="499" t="str">
        <f t="shared" si="101"/>
        <v/>
      </c>
      <c r="AF145" s="371"/>
      <c r="AG145" s="494" t="str">
        <f t="shared" si="102"/>
        <v/>
      </c>
      <c r="AH145" s="495" t="str">
        <f>IF('Feuilles=description générale'!$E$13="","",IF(AG145="","",IF(AG145&gt;('Feuilles=description générale'!$E$11+'Feuilles=description générale'!$E$10),"",100*(AG145-'Feuilles=description générale'!$E$10)/('Feuilles=description générale'!$E$11))))</f>
        <v/>
      </c>
      <c r="AI145" s="495" t="str">
        <f>IF('Feuilles=description générale'!$E$13="","",IF(AG145="","",IF(AG145&lt;=('Feuilles=description générale'!$E$11+'Feuilles=description générale'!$E$10),"",100*(AG145-'Feuilles=description générale'!$E$11-'Feuilles=description générale'!$E$10)/('Feuilles=description générale'!$E$12))))</f>
        <v/>
      </c>
      <c r="AJ145" s="496" t="str">
        <f>IF('Feuilles=description générale'!$E$13="","",IF(AG145="","",100*(AG145-'Feuilles=description générale'!$E$10)/('Feuilles=description générale'!$E$13-'Feuilles=description générale'!$E$10)))</f>
        <v/>
      </c>
      <c r="AK145" s="1113" t="str">
        <f t="shared" si="103"/>
        <v/>
      </c>
      <c r="AL145" s="498" t="str">
        <f t="shared" si="104"/>
        <v/>
      </c>
      <c r="AM145" s="494" t="str">
        <f t="shared" si="105"/>
        <v/>
      </c>
      <c r="AN145" s="499" t="str">
        <f t="shared" si="106"/>
        <v/>
      </c>
      <c r="AO145" s="371"/>
      <c r="AP145" s="494" t="str">
        <f t="shared" si="107"/>
        <v/>
      </c>
      <c r="AQ145" s="495" t="str">
        <f>IF('Feuilles=description générale'!$E$13="","",IF(AP145="","",IF(AP145&gt;('Feuilles=description générale'!$E$25+'Feuilles=description générale'!$E$24),"",100*(AP145-'Feuilles=description générale'!$E$24)/('Feuilles=description générale'!$E$25))))</f>
        <v/>
      </c>
      <c r="AR145" s="495" t="str">
        <f>IF('Feuilles=description générale'!$E$27="","",IF(AP145="","",IF(AP145&lt;=('Feuilles=description générale'!$E$25+'Feuilles=description générale'!$E$24),"",100*(AP145-'Feuilles=description générale'!$E$25-'Feuilles=description générale'!$E$24)/('Feuilles=description générale'!$E$26))))</f>
        <v/>
      </c>
      <c r="AS145" s="496" t="str">
        <f>IF('Feuilles=description générale'!$E$27="","",IF(AP145="","",100*(AP145-'Feuilles=description générale'!$E$24)/('Feuilles=description générale'!$E$27-'Feuilles=description générale'!$E$24)))</f>
        <v/>
      </c>
      <c r="AT145" s="497" t="str">
        <f t="shared" si="108"/>
        <v/>
      </c>
      <c r="AU145" s="500" t="str">
        <f t="shared" si="109"/>
        <v/>
      </c>
      <c r="AV145" s="494" t="str">
        <f t="shared" si="110"/>
        <v/>
      </c>
      <c r="AW145" s="499" t="str">
        <f t="shared" si="111"/>
        <v/>
      </c>
      <c r="AX145" s="371"/>
      <c r="AY145" s="494" t="str">
        <f t="shared" si="112"/>
        <v/>
      </c>
      <c r="AZ145" s="495" t="str">
        <f>IF('Feuilles=description générale'!$E$13="","",IF(AY145="","",IF(AY145&gt;('Feuilles=description générale'!$E$25+'Feuilles=description générale'!$E$24),"",100*(AY145-'Feuilles=description générale'!$E$24)/('Feuilles=description générale'!$E$25))))</f>
        <v/>
      </c>
      <c r="BA145" s="495" t="str">
        <f>IF('Feuilles=description générale'!$E$27="","",IF(AY145="","",IF(AY145&lt;=('Feuilles=description générale'!$E$25+'Feuilles=description générale'!$E$24),"",100*(AY145-'Feuilles=description générale'!$E$25-'Feuilles=description générale'!$E$24)/('Feuilles=description générale'!$E$26))))</f>
        <v/>
      </c>
      <c r="BB145" s="496" t="str">
        <f>IF('Feuilles=description générale'!$E$27="","",IF(AY145="","",100*(AY145-'Feuilles=description générale'!$E$24)/('Feuilles=description générale'!$E$27-'Feuilles=description générale'!$E$24)))</f>
        <v/>
      </c>
      <c r="BC145" s="497" t="str">
        <f t="shared" si="113"/>
        <v/>
      </c>
      <c r="BD145" s="500" t="str">
        <f t="shared" si="114"/>
        <v/>
      </c>
      <c r="BE145" s="494" t="str">
        <f t="shared" si="115"/>
        <v/>
      </c>
      <c r="BF145" s="499" t="str">
        <f t="shared" si="116"/>
        <v/>
      </c>
      <c r="BG145" s="476"/>
      <c r="BH145" s="563"/>
      <c r="BI145" s="562"/>
      <c r="BJ145" s="562"/>
      <c r="BK145" s="562"/>
      <c r="BL145" s="562"/>
      <c r="BM145" s="562"/>
      <c r="BN145" s="562"/>
      <c r="BO145" s="562"/>
      <c r="BP145" s="562"/>
      <c r="BQ145" s="562"/>
      <c r="BR145" s="562"/>
      <c r="BS145" s="562"/>
      <c r="BT145" s="562"/>
      <c r="BU145" s="568"/>
      <c r="BV145" s="1114" t="str">
        <f t="shared" si="117"/>
        <v/>
      </c>
      <c r="BW145" s="1114" t="str">
        <f t="shared" si="117"/>
        <v/>
      </c>
      <c r="BX145" s="1114" t="str">
        <f t="shared" si="118"/>
        <v/>
      </c>
      <c r="BY145" s="1115" t="str">
        <f t="shared" si="118"/>
        <v/>
      </c>
      <c r="BZ145" s="477"/>
      <c r="CA145" s="1114" t="str">
        <f t="shared" si="119"/>
        <v/>
      </c>
      <c r="CB145" s="1114" t="str">
        <f t="shared" si="119"/>
        <v/>
      </c>
      <c r="CC145" s="1114" t="str">
        <f t="shared" si="120"/>
        <v/>
      </c>
      <c r="CD145" s="1115" t="str">
        <f t="shared" si="120"/>
        <v/>
      </c>
      <c r="CE145" s="568"/>
      <c r="CF145" s="1431">
        <v>14</v>
      </c>
      <c r="CG145" s="1427"/>
      <c r="CH145" s="1422"/>
      <c r="CI145" s="1428"/>
      <c r="CJ145" s="1422"/>
      <c r="CK145" s="1438"/>
      <c r="CL145" s="1439"/>
      <c r="CM145" s="1422"/>
      <c r="CN145" s="1437"/>
      <c r="CO145" s="1422"/>
      <c r="CP145" s="1441"/>
      <c r="CQ145" s="1439"/>
      <c r="CR145" s="1422"/>
      <c r="CS145" s="1422"/>
      <c r="CT145" s="1422"/>
      <c r="CU145" s="1438"/>
      <c r="CV145" s="476"/>
      <c r="CW145" s="345"/>
      <c r="CX145" s="345"/>
      <c r="CY145" s="345"/>
      <c r="CZ145" s="345"/>
      <c r="DA145" s="345"/>
      <c r="DB145" s="345"/>
      <c r="DC145" s="345"/>
      <c r="DD145" s="345"/>
      <c r="DE145" s="345"/>
      <c r="DF145" s="345"/>
      <c r="DG145" s="345"/>
      <c r="DH145" s="345"/>
      <c r="DI145" s="345"/>
      <c r="DJ145" s="345"/>
      <c r="DK145" s="345"/>
      <c r="DL145" s="345"/>
      <c r="DM145" s="345"/>
      <c r="DN145" s="345"/>
      <c r="DO145" s="345"/>
      <c r="DP145" s="345"/>
      <c r="DQ145" s="345"/>
      <c r="DR145" s="345"/>
      <c r="DS145" s="345"/>
      <c r="DT145" s="345"/>
      <c r="DU145" s="345"/>
      <c r="DV145" s="345"/>
      <c r="DW145" s="345"/>
      <c r="DX145" s="345"/>
      <c r="DY145" s="345"/>
      <c r="DZ145" s="345"/>
      <c r="EA145" s="345"/>
      <c r="EB145" s="345"/>
      <c r="EC145" s="345"/>
      <c r="ED145" s="345"/>
      <c r="EE145" s="345"/>
      <c r="EF145" s="345"/>
      <c r="EG145" s="345"/>
      <c r="EH145" s="345"/>
      <c r="EI145" s="345"/>
      <c r="EJ145" s="345"/>
      <c r="EK145" s="345"/>
      <c r="EL145" s="345"/>
      <c r="EM145" s="345"/>
      <c r="EN145" s="345"/>
      <c r="EO145" s="345"/>
      <c r="EP145" s="345"/>
      <c r="EQ145" s="345"/>
      <c r="ER145" s="345"/>
      <c r="ES145" s="345"/>
      <c r="ET145" s="345"/>
      <c r="EU145" s="345"/>
      <c r="EV145" s="345"/>
      <c r="EW145" s="345"/>
      <c r="EX145" s="345"/>
      <c r="EY145" s="345"/>
      <c r="EZ145" s="345"/>
      <c r="FA145" s="345"/>
      <c r="FB145" s="345"/>
      <c r="FC145" s="345"/>
      <c r="FD145" s="345"/>
      <c r="FE145" s="345"/>
      <c r="FF145" s="345"/>
      <c r="FG145" s="345"/>
      <c r="FH145" s="345"/>
      <c r="FI145" s="345"/>
      <c r="FJ145" s="345"/>
      <c r="FK145" s="345"/>
      <c r="FL145" s="345"/>
      <c r="FM145" s="345"/>
      <c r="FN145" s="345"/>
      <c r="FO145" s="345"/>
      <c r="FP145" s="345"/>
      <c r="FQ145" s="345"/>
      <c r="FR145" s="345"/>
      <c r="FS145" s="345"/>
      <c r="FT145" s="345"/>
      <c r="FU145" s="345"/>
      <c r="FV145" s="345"/>
      <c r="FW145" s="345"/>
      <c r="FX145" s="345"/>
      <c r="FY145" s="345"/>
      <c r="FZ145" s="345"/>
      <c r="GA145" s="345"/>
      <c r="GB145" s="345"/>
      <c r="GC145" s="345"/>
      <c r="GD145" s="345"/>
      <c r="GE145" s="345"/>
      <c r="GF145" s="345"/>
      <c r="GG145" s="345"/>
      <c r="GH145" s="345"/>
      <c r="GI145" s="345"/>
      <c r="GJ145" s="345"/>
      <c r="GK145" s="345"/>
      <c r="GL145" s="345"/>
      <c r="GM145" s="345"/>
      <c r="GN145" s="345"/>
      <c r="GO145" s="345"/>
      <c r="GP145" s="345"/>
      <c r="GQ145" s="345"/>
      <c r="GR145" s="345"/>
      <c r="GS145" s="345"/>
      <c r="GT145" s="345"/>
      <c r="GU145" s="345"/>
    </row>
    <row r="146" spans="1:203" ht="12.75" customHeight="1">
      <c r="A146" s="465" t="str">
        <f t="shared" si="123"/>
        <v/>
      </c>
      <c r="B146" s="1108">
        <v>136</v>
      </c>
      <c r="C146" s="1131"/>
      <c r="D146" s="398"/>
      <c r="E146" s="1116"/>
      <c r="F146" s="465" t="str">
        <f t="shared" si="125"/>
        <v/>
      </c>
      <c r="G146" s="1108">
        <v>136</v>
      </c>
      <c r="H146" s="1131"/>
      <c r="I146" s="1132"/>
      <c r="J146" s="1116"/>
      <c r="K146" s="465"/>
      <c r="L146" s="465"/>
      <c r="M146" s="465" t="str">
        <f t="shared" si="121"/>
        <v/>
      </c>
      <c r="N146" s="1108">
        <v>136</v>
      </c>
      <c r="O146" s="1131"/>
      <c r="P146" s="398"/>
      <c r="Q146" s="1116"/>
      <c r="R146" s="465" t="str">
        <f t="shared" si="122"/>
        <v/>
      </c>
      <c r="S146" s="1108">
        <v>136</v>
      </c>
      <c r="T146" s="1131"/>
      <c r="U146" s="1133"/>
      <c r="V146" s="1116"/>
      <c r="W146" s="371"/>
      <c r="X146" s="494" t="str">
        <f t="shared" si="98"/>
        <v/>
      </c>
      <c r="Y146" s="495" t="str">
        <f>IF('Feuilles=description générale'!$E$13="","",IF(X146="","",IF(X146&gt;('Feuilles=description générale'!$E$11+'Feuilles=description générale'!$E$10),"",100*(X146-'Feuilles=description générale'!$E$10)/('Feuilles=description générale'!$E$11))))</f>
        <v/>
      </c>
      <c r="Z146" s="495" t="str">
        <f>IF('Feuilles=description générale'!$E$13="","",IF(X146="","",IF(X146&lt;=('Feuilles=description générale'!$E$11+'Feuilles=description générale'!$E$10),"",100*(X146-'Feuilles=description générale'!$E$11-'Feuilles=description générale'!$E$10)/('Feuilles=description générale'!$E$12))))</f>
        <v/>
      </c>
      <c r="AA146" s="1112" t="str">
        <f>IF('Feuilles=description générale'!$E$13="","",IF(X146="","",100*(X146-'Feuilles=description générale'!$E$10)/('Feuilles=description générale'!$E$13-'Feuilles=description générale'!$E$10)))</f>
        <v/>
      </c>
      <c r="AB146" s="497" t="str">
        <f t="shared" si="99"/>
        <v/>
      </c>
      <c r="AC146" s="500" t="str">
        <f t="shared" si="124"/>
        <v/>
      </c>
      <c r="AD146" s="494" t="str">
        <f t="shared" si="100"/>
        <v/>
      </c>
      <c r="AE146" s="499" t="str">
        <f t="shared" si="101"/>
        <v/>
      </c>
      <c r="AF146" s="371"/>
      <c r="AG146" s="494" t="str">
        <f t="shared" si="102"/>
        <v/>
      </c>
      <c r="AH146" s="495" t="str">
        <f>IF('Feuilles=description générale'!$E$13="","",IF(AG146="","",IF(AG146&gt;('Feuilles=description générale'!$E$11+'Feuilles=description générale'!$E$10),"",100*(AG146-'Feuilles=description générale'!$E$10)/('Feuilles=description générale'!$E$11))))</f>
        <v/>
      </c>
      <c r="AI146" s="495" t="str">
        <f>IF('Feuilles=description générale'!$E$13="","",IF(AG146="","",IF(AG146&lt;=('Feuilles=description générale'!$E$11+'Feuilles=description générale'!$E$10),"",100*(AG146-'Feuilles=description générale'!$E$11-'Feuilles=description générale'!$E$10)/('Feuilles=description générale'!$E$12))))</f>
        <v/>
      </c>
      <c r="AJ146" s="496" t="str">
        <f>IF('Feuilles=description générale'!$E$13="","",IF(AG146="","",100*(AG146-'Feuilles=description générale'!$E$10)/('Feuilles=description générale'!$E$13-'Feuilles=description générale'!$E$10)))</f>
        <v/>
      </c>
      <c r="AK146" s="1113" t="str">
        <f t="shared" si="103"/>
        <v/>
      </c>
      <c r="AL146" s="498" t="str">
        <f t="shared" si="104"/>
        <v/>
      </c>
      <c r="AM146" s="494" t="str">
        <f t="shared" si="105"/>
        <v/>
      </c>
      <c r="AN146" s="499" t="str">
        <f t="shared" si="106"/>
        <v/>
      </c>
      <c r="AO146" s="371"/>
      <c r="AP146" s="494" t="str">
        <f t="shared" si="107"/>
        <v/>
      </c>
      <c r="AQ146" s="495" t="str">
        <f>IF('Feuilles=description générale'!$E$13="","",IF(AP146="","",IF(AP146&gt;('Feuilles=description générale'!$E$25+'Feuilles=description générale'!$E$24),"",100*(AP146-'Feuilles=description générale'!$E$24)/('Feuilles=description générale'!$E$25))))</f>
        <v/>
      </c>
      <c r="AR146" s="495" t="str">
        <f>IF('Feuilles=description générale'!$E$27="","",IF(AP146="","",IF(AP146&lt;=('Feuilles=description générale'!$E$25+'Feuilles=description générale'!$E$24),"",100*(AP146-'Feuilles=description générale'!$E$25-'Feuilles=description générale'!$E$24)/('Feuilles=description générale'!$E$26))))</f>
        <v/>
      </c>
      <c r="AS146" s="496" t="str">
        <f>IF('Feuilles=description générale'!$E$27="","",IF(AP146="","",100*(AP146-'Feuilles=description générale'!$E$24)/('Feuilles=description générale'!$E$27-'Feuilles=description générale'!$E$24)))</f>
        <v/>
      </c>
      <c r="AT146" s="497" t="str">
        <f t="shared" si="108"/>
        <v/>
      </c>
      <c r="AU146" s="500" t="str">
        <f t="shared" si="109"/>
        <v/>
      </c>
      <c r="AV146" s="494" t="str">
        <f t="shared" si="110"/>
        <v/>
      </c>
      <c r="AW146" s="499" t="str">
        <f t="shared" si="111"/>
        <v/>
      </c>
      <c r="AX146" s="371"/>
      <c r="AY146" s="494" t="str">
        <f t="shared" si="112"/>
        <v/>
      </c>
      <c r="AZ146" s="495" t="str">
        <f>IF('Feuilles=description générale'!$E$13="","",IF(AY146="","",IF(AY146&gt;('Feuilles=description générale'!$E$25+'Feuilles=description générale'!$E$24),"",100*(AY146-'Feuilles=description générale'!$E$24)/('Feuilles=description générale'!$E$25))))</f>
        <v/>
      </c>
      <c r="BA146" s="495" t="str">
        <f>IF('Feuilles=description générale'!$E$27="","",IF(AY146="","",IF(AY146&lt;=('Feuilles=description générale'!$E$25+'Feuilles=description générale'!$E$24),"",100*(AY146-'Feuilles=description générale'!$E$25-'Feuilles=description générale'!$E$24)/('Feuilles=description générale'!$E$26))))</f>
        <v/>
      </c>
      <c r="BB146" s="496" t="str">
        <f>IF('Feuilles=description générale'!$E$27="","",IF(AY146="","",100*(AY146-'Feuilles=description générale'!$E$24)/('Feuilles=description générale'!$E$27-'Feuilles=description générale'!$E$24)))</f>
        <v/>
      </c>
      <c r="BC146" s="497" t="str">
        <f t="shared" si="113"/>
        <v/>
      </c>
      <c r="BD146" s="500" t="str">
        <f t="shared" si="114"/>
        <v/>
      </c>
      <c r="BE146" s="494" t="str">
        <f t="shared" si="115"/>
        <v/>
      </c>
      <c r="BF146" s="499" t="str">
        <f t="shared" si="116"/>
        <v/>
      </c>
      <c r="BG146" s="476"/>
      <c r="BH146" s="563"/>
      <c r="BI146" s="562"/>
      <c r="BJ146" s="562"/>
      <c r="BK146" s="562"/>
      <c r="BL146" s="562"/>
      <c r="BM146" s="562"/>
      <c r="BN146" s="562"/>
      <c r="BO146" s="562"/>
      <c r="BP146" s="562"/>
      <c r="BQ146" s="562"/>
      <c r="BR146" s="562"/>
      <c r="BS146" s="562"/>
      <c r="BT146" s="562"/>
      <c r="BU146" s="568"/>
      <c r="BV146" s="1114" t="str">
        <f t="shared" si="117"/>
        <v/>
      </c>
      <c r="BW146" s="1114" t="str">
        <f t="shared" si="117"/>
        <v/>
      </c>
      <c r="BX146" s="1114" t="str">
        <f t="shared" si="118"/>
        <v/>
      </c>
      <c r="BY146" s="1115" t="str">
        <f t="shared" si="118"/>
        <v/>
      </c>
      <c r="BZ146" s="477"/>
      <c r="CA146" s="1114" t="str">
        <f t="shared" si="119"/>
        <v/>
      </c>
      <c r="CB146" s="1114" t="str">
        <f t="shared" si="119"/>
        <v/>
      </c>
      <c r="CC146" s="1114" t="str">
        <f t="shared" si="120"/>
        <v/>
      </c>
      <c r="CD146" s="1115" t="str">
        <f t="shared" si="120"/>
        <v/>
      </c>
      <c r="CE146" s="568"/>
      <c r="CF146" s="1432"/>
      <c r="CG146" s="1427">
        <f>SUMIF($AA$11:$AA$170,"&lt;20",$AE$11:$AE$170)+SUMIF($AS$11:$AS$170,"&lt;20",$AW$11:$AW$170)-SUMIF($AA$11:$AA$170,"&lt;14",$AE$11:$AE$170)-SUMIF($AS$11:$AS$170,"&lt;14",$AW$11:$AW$170)</f>
        <v>4.7000000000000028</v>
      </c>
      <c r="CH146" s="1422">
        <f>SUMIF($AA$11:$AA$170,"&lt;20",$BW$11:$BW$170)+SUMIF($AS$11:$AS$170,"&lt;20",$CB$11:$CB$170)-SUMIF($AA$11:$AA$170,"&lt;14",$BW$11:$BW$170)-SUMIF($AS$11:$AS$170,"&lt;14",$CB$11:$CB$170)</f>
        <v>7.4700000000000166</v>
      </c>
      <c r="CI146" s="1428">
        <f>SUMPRODUCT(($AA$11:$AA$170&lt;20)*($AE$11:$AE$170&lt;&gt;""))+SUMPRODUCT(($AS$11:$AS$170&lt;20)*($AW$11:$AW$170&lt;&gt;""))-SUMPRODUCT(($AA$11:$AA$170&lt;14)*($AE$11:$AE$170&lt;&gt;""))-SUMPRODUCT(($AS$11:$AS$170&lt;14)*($AW$11:$AW$170&lt;&gt;""))</f>
        <v>3</v>
      </c>
      <c r="CJ146" s="1422">
        <f>IF(CI146=0,0,IF(CI146="","",CG146/CI146))</f>
        <v>1.5666666666666675</v>
      </c>
      <c r="CK146" s="1438">
        <f>IF(CI146&lt;2,0,SQRT((CH146/CI146-CJ146*CJ146)/(CI146-1)))</f>
        <v>0.13333333333333877</v>
      </c>
      <c r="CL146" s="1439">
        <f>SUMIF($AJ$11:$AJ$170,"&lt;20",$AN$11:$AN$170)+SUMIF($BB$11:$BB$170,"&lt;20",$BF$11:$BF$170)-SUMIF($AJ$11:$AJ$170,"&lt;14",$AN$11:$AN$170)-SUMIF($BB$11:$BB$170,"&lt;14",$BF$11:$BF$170)</f>
        <v>3.7999999999999972</v>
      </c>
      <c r="CM146" s="1422">
        <f>SUMIF($AJ$11:$AJ$170,"&lt;20",$BY$11:$BY$170)+SUMIF($BB$11:$BB$170,"&lt;20",$CD$11:$CD$170)-SUMIF($AJ$11:$AJ$170,"&lt;14",$BY$11:$BY$170)-SUMIF($BB$11:$BB$170,"&lt;14",$CD$11:$CD$170)</f>
        <v>7.2399999999999949</v>
      </c>
      <c r="CN146" s="1440">
        <f>SUMPRODUCT(($AJ$11:$AJ$170&lt;20)*($AN$11:$AN$170&lt;&gt;""))+SUMPRODUCT(($BB$11:$BB$170&lt;20)*($BF$11:$BF$170&lt;&gt;""))-SUMPRODUCT(($AJ$11:$AJ$170&lt;14)*($AN$11:$AN$170&lt;&gt;""))-SUMPRODUCT(($BB$11:$BB$170&lt;14)*($BF$11:$BF$170&lt;&gt;""))</f>
        <v>2</v>
      </c>
      <c r="CO146" s="1422">
        <f>IF(CN146=0,0,IF(CN146="","",CL146/CN146))</f>
        <v>1.8999999999999986</v>
      </c>
      <c r="CP146" s="1441">
        <f>IF(CN146&lt;2,0,SQRT((CM146/CN146-CO146*CO146)/(CN146-1)))</f>
        <v>0.10000000000001448</v>
      </c>
      <c r="CQ146" s="1439">
        <f>CG146+CL146</f>
        <v>8.5</v>
      </c>
      <c r="CR146" s="1422">
        <f>CH146+CM146</f>
        <v>14.710000000000012</v>
      </c>
      <c r="CS146" s="1422">
        <f>CI146+CN146</f>
        <v>5</v>
      </c>
      <c r="CT146" s="1422">
        <f>IF(CS146=0,0,IF(CS146="","",CQ146/CS146))</f>
        <v>1.7</v>
      </c>
      <c r="CU146" s="1438">
        <f>IF(CS146&lt;2,0,SQRT(ABS((CR146/CS146-CT146*CT146)/(CS146-1))))</f>
        <v>0.11401754250991677</v>
      </c>
      <c r="CV146" s="476"/>
      <c r="CW146" s="345"/>
      <c r="CX146" s="345"/>
      <c r="CY146" s="345"/>
      <c r="CZ146" s="345"/>
      <c r="DA146" s="345"/>
      <c r="DB146" s="345"/>
      <c r="DC146" s="345"/>
      <c r="DD146" s="345"/>
      <c r="DE146" s="345"/>
      <c r="DF146" s="345"/>
      <c r="DG146" s="345"/>
      <c r="DH146" s="345"/>
      <c r="DI146" s="345"/>
      <c r="DJ146" s="345"/>
      <c r="DK146" s="345"/>
      <c r="DL146" s="345"/>
      <c r="DM146" s="345"/>
      <c r="DN146" s="345"/>
      <c r="DO146" s="345"/>
      <c r="DP146" s="345"/>
      <c r="DQ146" s="345"/>
      <c r="DR146" s="345"/>
      <c r="DS146" s="345"/>
      <c r="DT146" s="345"/>
      <c r="DU146" s="345"/>
      <c r="DV146" s="345"/>
      <c r="DW146" s="345"/>
      <c r="DX146" s="345"/>
      <c r="DY146" s="345"/>
      <c r="DZ146" s="345"/>
      <c r="EA146" s="345"/>
      <c r="EB146" s="345"/>
      <c r="EC146" s="345"/>
      <c r="ED146" s="345"/>
      <c r="EE146" s="345"/>
      <c r="EF146" s="345"/>
      <c r="EG146" s="345"/>
      <c r="EH146" s="345"/>
      <c r="EI146" s="345"/>
      <c r="EJ146" s="345"/>
      <c r="EK146" s="345"/>
      <c r="EL146" s="345"/>
      <c r="EM146" s="345"/>
      <c r="EN146" s="345"/>
      <c r="EO146" s="345"/>
      <c r="EP146" s="345"/>
      <c r="EQ146" s="345"/>
      <c r="ER146" s="345"/>
      <c r="ES146" s="345"/>
      <c r="ET146" s="345"/>
      <c r="EU146" s="345"/>
      <c r="EV146" s="345"/>
      <c r="EW146" s="345"/>
      <c r="EX146" s="345"/>
      <c r="EY146" s="345"/>
      <c r="EZ146" s="345"/>
      <c r="FA146" s="345"/>
      <c r="FB146" s="345"/>
      <c r="FC146" s="345"/>
      <c r="FD146" s="345"/>
      <c r="FE146" s="345"/>
      <c r="FF146" s="345"/>
      <c r="FG146" s="345"/>
      <c r="FH146" s="345"/>
      <c r="FI146" s="345"/>
      <c r="FJ146" s="345"/>
      <c r="FK146" s="345"/>
      <c r="FL146" s="345"/>
      <c r="FM146" s="345"/>
      <c r="FN146" s="345"/>
      <c r="FO146" s="345"/>
      <c r="FP146" s="345"/>
      <c r="FQ146" s="345"/>
      <c r="FR146" s="345"/>
      <c r="FS146" s="345"/>
      <c r="FT146" s="345"/>
      <c r="FU146" s="345"/>
      <c r="FV146" s="345"/>
      <c r="FW146" s="345"/>
      <c r="FX146" s="345"/>
      <c r="FY146" s="345"/>
      <c r="FZ146" s="345"/>
      <c r="GA146" s="345"/>
      <c r="GB146" s="345"/>
      <c r="GC146" s="345"/>
      <c r="GD146" s="345"/>
      <c r="GE146" s="345"/>
      <c r="GF146" s="345"/>
      <c r="GG146" s="345"/>
      <c r="GH146" s="345"/>
      <c r="GI146" s="345"/>
      <c r="GJ146" s="345"/>
      <c r="GK146" s="345"/>
      <c r="GL146" s="345"/>
      <c r="GM146" s="345"/>
      <c r="GN146" s="345"/>
      <c r="GO146" s="345"/>
      <c r="GP146" s="345"/>
      <c r="GQ146" s="345"/>
      <c r="GR146" s="345"/>
      <c r="GS146" s="345"/>
      <c r="GT146" s="345"/>
      <c r="GU146" s="345"/>
    </row>
    <row r="147" spans="1:203" ht="12.75" customHeight="1">
      <c r="A147" s="465" t="str">
        <f t="shared" si="123"/>
        <v/>
      </c>
      <c r="B147" s="1108">
        <v>137</v>
      </c>
      <c r="C147" s="1131"/>
      <c r="D147" s="398"/>
      <c r="E147" s="1116"/>
      <c r="F147" s="465" t="str">
        <f t="shared" si="125"/>
        <v/>
      </c>
      <c r="G147" s="1108">
        <v>137</v>
      </c>
      <c r="H147" s="1131"/>
      <c r="I147" s="1133"/>
      <c r="J147" s="1116"/>
      <c r="K147" s="465"/>
      <c r="L147" s="465"/>
      <c r="M147" s="465" t="str">
        <f t="shared" si="121"/>
        <v/>
      </c>
      <c r="N147" s="1108">
        <v>137</v>
      </c>
      <c r="O147" s="1131"/>
      <c r="P147" s="398"/>
      <c r="Q147" s="1116"/>
      <c r="R147" s="465" t="str">
        <f t="shared" si="122"/>
        <v/>
      </c>
      <c r="S147" s="1108">
        <v>137</v>
      </c>
      <c r="T147" s="1131"/>
      <c r="U147" s="1133"/>
      <c r="V147" s="1116"/>
      <c r="W147" s="371"/>
      <c r="X147" s="494" t="str">
        <f t="shared" si="98"/>
        <v/>
      </c>
      <c r="Y147" s="495" t="str">
        <f>IF('Feuilles=description générale'!$E$13="","",IF(X147="","",IF(X147&gt;('Feuilles=description générale'!$E$11+'Feuilles=description générale'!$E$10),"",100*(X147-'Feuilles=description générale'!$E$10)/('Feuilles=description générale'!$E$11))))</f>
        <v/>
      </c>
      <c r="Z147" s="495" t="str">
        <f>IF('Feuilles=description générale'!$E$13="","",IF(X147="","",IF(X147&lt;=('Feuilles=description générale'!$E$11+'Feuilles=description générale'!$E$10),"",100*(X147-'Feuilles=description générale'!$E$11-'Feuilles=description générale'!$E$10)/('Feuilles=description générale'!$E$12))))</f>
        <v/>
      </c>
      <c r="AA147" s="1112" t="str">
        <f>IF('Feuilles=description générale'!$E$13="","",IF(X147="","",100*(X147-'Feuilles=description générale'!$E$10)/('Feuilles=description générale'!$E$13-'Feuilles=description générale'!$E$10)))</f>
        <v/>
      </c>
      <c r="AB147" s="497" t="str">
        <f t="shared" si="99"/>
        <v/>
      </c>
      <c r="AC147" s="500" t="str">
        <f t="shared" si="124"/>
        <v/>
      </c>
      <c r="AD147" s="494" t="str">
        <f t="shared" si="100"/>
        <v/>
      </c>
      <c r="AE147" s="499" t="str">
        <f t="shared" si="101"/>
        <v/>
      </c>
      <c r="AF147" s="371"/>
      <c r="AG147" s="494" t="str">
        <f t="shared" si="102"/>
        <v/>
      </c>
      <c r="AH147" s="495" t="str">
        <f>IF('Feuilles=description générale'!$E$13="","",IF(AG147="","",IF(AG147&gt;('Feuilles=description générale'!$E$11+'Feuilles=description générale'!$E$10),"",100*(AG147-'Feuilles=description générale'!$E$10)/('Feuilles=description générale'!$E$11))))</f>
        <v/>
      </c>
      <c r="AI147" s="495" t="str">
        <f>IF('Feuilles=description générale'!$E$13="","",IF(AG147="","",IF(AG147&lt;=('Feuilles=description générale'!$E$11+'Feuilles=description générale'!$E$10),"",100*(AG147-'Feuilles=description générale'!$E$11-'Feuilles=description générale'!$E$10)/('Feuilles=description générale'!$E$12))))</f>
        <v/>
      </c>
      <c r="AJ147" s="496" t="str">
        <f>IF('Feuilles=description générale'!$E$13="","",IF(AG147="","",100*(AG147-'Feuilles=description générale'!$E$10)/('Feuilles=description générale'!$E$13-'Feuilles=description générale'!$E$10)))</f>
        <v/>
      </c>
      <c r="AK147" s="1113" t="str">
        <f t="shared" si="103"/>
        <v/>
      </c>
      <c r="AL147" s="498" t="str">
        <f t="shared" si="104"/>
        <v/>
      </c>
      <c r="AM147" s="494" t="str">
        <f t="shared" si="105"/>
        <v/>
      </c>
      <c r="AN147" s="499" t="str">
        <f t="shared" si="106"/>
        <v/>
      </c>
      <c r="AO147" s="371"/>
      <c r="AP147" s="494" t="str">
        <f t="shared" si="107"/>
        <v/>
      </c>
      <c r="AQ147" s="495" t="str">
        <f>IF('Feuilles=description générale'!$E$13="","",IF(AP147="","",IF(AP147&gt;('Feuilles=description générale'!$E$25+'Feuilles=description générale'!$E$24),"",100*(AP147-'Feuilles=description générale'!$E$24)/('Feuilles=description générale'!$E$25))))</f>
        <v/>
      </c>
      <c r="AR147" s="495" t="str">
        <f>IF('Feuilles=description générale'!$E$27="","",IF(AP147="","",IF(AP147&lt;=('Feuilles=description générale'!$E$25+'Feuilles=description générale'!$E$24),"",100*(AP147-'Feuilles=description générale'!$E$25-'Feuilles=description générale'!$E$24)/('Feuilles=description générale'!$E$26))))</f>
        <v/>
      </c>
      <c r="AS147" s="496" t="str">
        <f>IF('Feuilles=description générale'!$E$27="","",IF(AP147="","",100*(AP147-'Feuilles=description générale'!$E$24)/('Feuilles=description générale'!$E$27-'Feuilles=description générale'!$E$24)))</f>
        <v/>
      </c>
      <c r="AT147" s="497" t="str">
        <f t="shared" si="108"/>
        <v/>
      </c>
      <c r="AU147" s="500" t="str">
        <f t="shared" si="109"/>
        <v/>
      </c>
      <c r="AV147" s="494" t="str">
        <f t="shared" si="110"/>
        <v/>
      </c>
      <c r="AW147" s="499" t="str">
        <f t="shared" si="111"/>
        <v/>
      </c>
      <c r="AX147" s="371"/>
      <c r="AY147" s="494" t="str">
        <f t="shared" si="112"/>
        <v/>
      </c>
      <c r="AZ147" s="495" t="str">
        <f>IF('Feuilles=description générale'!$E$13="","",IF(AY147="","",IF(AY147&gt;('Feuilles=description générale'!$E$25+'Feuilles=description générale'!$E$24),"",100*(AY147-'Feuilles=description générale'!$E$24)/('Feuilles=description générale'!$E$25))))</f>
        <v/>
      </c>
      <c r="BA147" s="495" t="str">
        <f>IF('Feuilles=description générale'!$E$27="","",IF(AY147="","",IF(AY147&lt;=('Feuilles=description générale'!$E$25+'Feuilles=description générale'!$E$24),"",100*(AY147-'Feuilles=description générale'!$E$25-'Feuilles=description générale'!$E$24)/('Feuilles=description générale'!$E$26))))</f>
        <v/>
      </c>
      <c r="BB147" s="496" t="str">
        <f>IF('Feuilles=description générale'!$E$27="","",IF(AY147="","",100*(AY147-'Feuilles=description générale'!$E$24)/('Feuilles=description générale'!$E$27-'Feuilles=description générale'!$E$24)))</f>
        <v/>
      </c>
      <c r="BC147" s="497" t="str">
        <f t="shared" si="113"/>
        <v/>
      </c>
      <c r="BD147" s="500" t="str">
        <f t="shared" si="114"/>
        <v/>
      </c>
      <c r="BE147" s="494" t="str">
        <f t="shared" si="115"/>
        <v/>
      </c>
      <c r="BF147" s="499" t="str">
        <f t="shared" si="116"/>
        <v/>
      </c>
      <c r="BG147" s="476"/>
      <c r="BH147" s="563"/>
      <c r="BI147" s="562"/>
      <c r="BJ147" s="562"/>
      <c r="BK147" s="562"/>
      <c r="BL147" s="562"/>
      <c r="BM147" s="562"/>
      <c r="BN147" s="562"/>
      <c r="BO147" s="562"/>
      <c r="BP147" s="562"/>
      <c r="BQ147" s="562"/>
      <c r="BR147" s="562"/>
      <c r="BS147" s="562"/>
      <c r="BT147" s="562"/>
      <c r="BU147" s="568"/>
      <c r="BV147" s="1114" t="str">
        <f t="shared" si="117"/>
        <v/>
      </c>
      <c r="BW147" s="1114" t="str">
        <f t="shared" si="117"/>
        <v/>
      </c>
      <c r="BX147" s="1114" t="str">
        <f t="shared" si="118"/>
        <v/>
      </c>
      <c r="BY147" s="1115" t="str">
        <f t="shared" si="118"/>
        <v/>
      </c>
      <c r="BZ147" s="477"/>
      <c r="CA147" s="1114" t="str">
        <f t="shared" si="119"/>
        <v/>
      </c>
      <c r="CB147" s="1114" t="str">
        <f t="shared" si="119"/>
        <v/>
      </c>
      <c r="CC147" s="1114" t="str">
        <f t="shared" si="120"/>
        <v/>
      </c>
      <c r="CD147" s="1115" t="str">
        <f t="shared" si="120"/>
        <v/>
      </c>
      <c r="CE147" s="568"/>
      <c r="CF147" s="1431">
        <v>20</v>
      </c>
      <c r="CG147" s="1427"/>
      <c r="CH147" s="1422"/>
      <c r="CI147" s="1428"/>
      <c r="CJ147" s="1422"/>
      <c r="CK147" s="1438"/>
      <c r="CL147" s="1439"/>
      <c r="CM147" s="1422"/>
      <c r="CN147" s="1437"/>
      <c r="CO147" s="1422"/>
      <c r="CP147" s="1441"/>
      <c r="CQ147" s="1439"/>
      <c r="CR147" s="1422"/>
      <c r="CS147" s="1422"/>
      <c r="CT147" s="1422"/>
      <c r="CU147" s="1438"/>
      <c r="CV147" s="476"/>
      <c r="CW147" s="345"/>
      <c r="CX147" s="345"/>
      <c r="CY147" s="345"/>
      <c r="CZ147" s="345"/>
      <c r="DA147" s="345"/>
      <c r="DB147" s="345"/>
      <c r="DC147" s="345"/>
      <c r="DD147" s="345"/>
      <c r="DE147" s="345"/>
      <c r="DF147" s="345"/>
      <c r="DG147" s="345"/>
      <c r="DH147" s="345"/>
      <c r="DI147" s="345"/>
      <c r="DJ147" s="345"/>
      <c r="DK147" s="345"/>
      <c r="DL147" s="345"/>
      <c r="DM147" s="345"/>
      <c r="DN147" s="345"/>
      <c r="DO147" s="345"/>
      <c r="DP147" s="345"/>
      <c r="DQ147" s="345"/>
      <c r="DR147" s="345"/>
      <c r="DS147" s="345"/>
      <c r="DT147" s="345"/>
      <c r="DU147" s="345"/>
      <c r="DV147" s="345"/>
      <c r="DW147" s="345"/>
      <c r="DX147" s="345"/>
      <c r="DY147" s="345"/>
      <c r="DZ147" s="345"/>
      <c r="EA147" s="345"/>
      <c r="EB147" s="345"/>
      <c r="EC147" s="345"/>
      <c r="ED147" s="345"/>
      <c r="EE147" s="345"/>
      <c r="EF147" s="345"/>
      <c r="EG147" s="345"/>
      <c r="EH147" s="345"/>
      <c r="EI147" s="345"/>
      <c r="EJ147" s="345"/>
      <c r="EK147" s="345"/>
      <c r="EL147" s="345"/>
      <c r="EM147" s="345"/>
      <c r="EN147" s="345"/>
      <c r="EO147" s="345"/>
      <c r="EP147" s="345"/>
      <c r="EQ147" s="345"/>
      <c r="ER147" s="345"/>
      <c r="ES147" s="345"/>
      <c r="ET147" s="345"/>
      <c r="EU147" s="345"/>
      <c r="EV147" s="345"/>
      <c r="EW147" s="345"/>
      <c r="EX147" s="345"/>
      <c r="EY147" s="345"/>
      <c r="EZ147" s="345"/>
      <c r="FA147" s="345"/>
      <c r="FB147" s="345"/>
      <c r="FC147" s="345"/>
      <c r="FD147" s="345"/>
      <c r="FE147" s="345"/>
      <c r="FF147" s="345"/>
      <c r="FG147" s="345"/>
      <c r="FH147" s="345"/>
      <c r="FI147" s="345"/>
      <c r="FJ147" s="345"/>
      <c r="FK147" s="345"/>
      <c r="FL147" s="345"/>
      <c r="FM147" s="345"/>
      <c r="FN147" s="345"/>
      <c r="FO147" s="345"/>
      <c r="FP147" s="345"/>
      <c r="FQ147" s="345"/>
      <c r="FR147" s="345"/>
      <c r="FS147" s="345"/>
      <c r="FT147" s="345"/>
      <c r="FU147" s="345"/>
      <c r="FV147" s="345"/>
      <c r="FW147" s="345"/>
      <c r="FX147" s="345"/>
      <c r="FY147" s="345"/>
      <c r="FZ147" s="345"/>
      <c r="GA147" s="345"/>
      <c r="GB147" s="345"/>
      <c r="GC147" s="345"/>
      <c r="GD147" s="345"/>
      <c r="GE147" s="345"/>
      <c r="GF147" s="345"/>
      <c r="GG147" s="345"/>
      <c r="GH147" s="345"/>
      <c r="GI147" s="345"/>
      <c r="GJ147" s="345"/>
      <c r="GK147" s="345"/>
      <c r="GL147" s="345"/>
      <c r="GM147" s="345"/>
      <c r="GN147" s="345"/>
      <c r="GO147" s="345"/>
      <c r="GP147" s="345"/>
      <c r="GQ147" s="345"/>
      <c r="GR147" s="345"/>
      <c r="GS147" s="345"/>
      <c r="GT147" s="345"/>
      <c r="GU147" s="345"/>
    </row>
    <row r="148" spans="1:203" ht="12.75" customHeight="1">
      <c r="A148" s="465" t="str">
        <f t="shared" si="123"/>
        <v/>
      </c>
      <c r="B148" s="1108">
        <v>138</v>
      </c>
      <c r="C148" s="1131"/>
      <c r="D148" s="398"/>
      <c r="E148" s="1116"/>
      <c r="F148" s="465" t="str">
        <f t="shared" si="125"/>
        <v/>
      </c>
      <c r="G148" s="1108">
        <v>138</v>
      </c>
      <c r="H148" s="1131"/>
      <c r="I148" s="1110"/>
      <c r="J148" s="1116"/>
      <c r="K148" s="465"/>
      <c r="L148" s="465"/>
      <c r="M148" s="465" t="str">
        <f t="shared" si="121"/>
        <v/>
      </c>
      <c r="N148" s="1108">
        <v>138</v>
      </c>
      <c r="O148" s="1131"/>
      <c r="P148" s="398"/>
      <c r="Q148" s="1116"/>
      <c r="R148" s="465" t="str">
        <f t="shared" si="122"/>
        <v/>
      </c>
      <c r="S148" s="1108">
        <v>138</v>
      </c>
      <c r="T148" s="1131"/>
      <c r="U148" s="1133"/>
      <c r="V148" s="1116"/>
      <c r="W148" s="371"/>
      <c r="X148" s="494" t="str">
        <f t="shared" si="98"/>
        <v/>
      </c>
      <c r="Y148" s="495" t="str">
        <f>IF('Feuilles=description générale'!$E$13="","",IF(X148="","",IF(X148&gt;('Feuilles=description générale'!$E$11+'Feuilles=description générale'!$E$10),"",100*(X148-'Feuilles=description générale'!$E$10)/('Feuilles=description générale'!$E$11))))</f>
        <v/>
      </c>
      <c r="Z148" s="495" t="str">
        <f>IF('Feuilles=description générale'!$E$13="","",IF(X148="","",IF(X148&lt;=('Feuilles=description générale'!$E$11+'Feuilles=description générale'!$E$10),"",100*(X148-'Feuilles=description générale'!$E$11-'Feuilles=description générale'!$E$10)/('Feuilles=description générale'!$E$12))))</f>
        <v/>
      </c>
      <c r="AA148" s="1112" t="str">
        <f>IF('Feuilles=description générale'!$E$13="","",IF(X148="","",100*(X148-'Feuilles=description générale'!$E$10)/('Feuilles=description générale'!$E$13-'Feuilles=description générale'!$E$10)))</f>
        <v/>
      </c>
      <c r="AB148" s="497" t="str">
        <f t="shared" si="99"/>
        <v/>
      </c>
      <c r="AC148" s="500" t="str">
        <f t="shared" si="124"/>
        <v/>
      </c>
      <c r="AD148" s="494" t="str">
        <f t="shared" si="100"/>
        <v/>
      </c>
      <c r="AE148" s="499" t="str">
        <f t="shared" si="101"/>
        <v/>
      </c>
      <c r="AF148" s="371"/>
      <c r="AG148" s="494" t="str">
        <f t="shared" si="102"/>
        <v/>
      </c>
      <c r="AH148" s="495" t="str">
        <f>IF('Feuilles=description générale'!$E$13="","",IF(AG148="","",IF(AG148&gt;('Feuilles=description générale'!$E$11+'Feuilles=description générale'!$E$10),"",100*(AG148-'Feuilles=description générale'!$E$10)/('Feuilles=description générale'!$E$11))))</f>
        <v/>
      </c>
      <c r="AI148" s="495" t="str">
        <f>IF('Feuilles=description générale'!$E$13="","",IF(AG148="","",IF(AG148&lt;=('Feuilles=description générale'!$E$11+'Feuilles=description générale'!$E$10),"",100*(AG148-'Feuilles=description générale'!$E$11-'Feuilles=description générale'!$E$10)/('Feuilles=description générale'!$E$12))))</f>
        <v/>
      </c>
      <c r="AJ148" s="496" t="str">
        <f>IF('Feuilles=description générale'!$E$13="","",IF(AG148="","",100*(AG148-'Feuilles=description générale'!$E$10)/('Feuilles=description générale'!$E$13-'Feuilles=description générale'!$E$10)))</f>
        <v/>
      </c>
      <c r="AK148" s="1113" t="str">
        <f t="shared" si="103"/>
        <v/>
      </c>
      <c r="AL148" s="498" t="str">
        <f t="shared" si="104"/>
        <v/>
      </c>
      <c r="AM148" s="494" t="str">
        <f t="shared" si="105"/>
        <v/>
      </c>
      <c r="AN148" s="499" t="str">
        <f t="shared" si="106"/>
        <v/>
      </c>
      <c r="AO148" s="371"/>
      <c r="AP148" s="494" t="str">
        <f t="shared" si="107"/>
        <v/>
      </c>
      <c r="AQ148" s="495" t="str">
        <f>IF('Feuilles=description générale'!$E$13="","",IF(AP148="","",IF(AP148&gt;('Feuilles=description générale'!$E$25+'Feuilles=description générale'!$E$24),"",100*(AP148-'Feuilles=description générale'!$E$24)/('Feuilles=description générale'!$E$25))))</f>
        <v/>
      </c>
      <c r="AR148" s="495" t="str">
        <f>IF('Feuilles=description générale'!$E$27="","",IF(AP148="","",IF(AP148&lt;=('Feuilles=description générale'!$E$25+'Feuilles=description générale'!$E$24),"",100*(AP148-'Feuilles=description générale'!$E$25-'Feuilles=description générale'!$E$24)/('Feuilles=description générale'!$E$26))))</f>
        <v/>
      </c>
      <c r="AS148" s="496" t="str">
        <f>IF('Feuilles=description générale'!$E$27="","",IF(AP148="","",100*(AP148-'Feuilles=description générale'!$E$24)/('Feuilles=description générale'!$E$27-'Feuilles=description générale'!$E$24)))</f>
        <v/>
      </c>
      <c r="AT148" s="497" t="str">
        <f t="shared" si="108"/>
        <v/>
      </c>
      <c r="AU148" s="500" t="str">
        <f t="shared" si="109"/>
        <v/>
      </c>
      <c r="AV148" s="494" t="str">
        <f t="shared" si="110"/>
        <v/>
      </c>
      <c r="AW148" s="499" t="str">
        <f t="shared" si="111"/>
        <v/>
      </c>
      <c r="AX148" s="371"/>
      <c r="AY148" s="494" t="str">
        <f t="shared" si="112"/>
        <v/>
      </c>
      <c r="AZ148" s="495" t="str">
        <f>IF('Feuilles=description générale'!$E$13="","",IF(AY148="","",IF(AY148&gt;('Feuilles=description générale'!$E$25+'Feuilles=description générale'!$E$24),"",100*(AY148-'Feuilles=description générale'!$E$24)/('Feuilles=description générale'!$E$25))))</f>
        <v/>
      </c>
      <c r="BA148" s="495" t="str">
        <f>IF('Feuilles=description générale'!$E$27="","",IF(AY148="","",IF(AY148&lt;=('Feuilles=description générale'!$E$25+'Feuilles=description générale'!$E$24),"",100*(AY148-'Feuilles=description générale'!$E$25-'Feuilles=description générale'!$E$24)/('Feuilles=description générale'!$E$26))))</f>
        <v/>
      </c>
      <c r="BB148" s="496" t="str">
        <f>IF('Feuilles=description générale'!$E$27="","",IF(AY148="","",100*(AY148-'Feuilles=description générale'!$E$24)/('Feuilles=description générale'!$E$27-'Feuilles=description générale'!$E$24)))</f>
        <v/>
      </c>
      <c r="BC148" s="497" t="str">
        <f t="shared" si="113"/>
        <v/>
      </c>
      <c r="BD148" s="500" t="str">
        <f t="shared" si="114"/>
        <v/>
      </c>
      <c r="BE148" s="494" t="str">
        <f t="shared" si="115"/>
        <v/>
      </c>
      <c r="BF148" s="499" t="str">
        <f t="shared" si="116"/>
        <v/>
      </c>
      <c r="BG148" s="476"/>
      <c r="BH148" s="563"/>
      <c r="BI148" s="562"/>
      <c r="BJ148" s="562"/>
      <c r="BK148" s="562"/>
      <c r="BL148" s="562"/>
      <c r="BM148" s="562"/>
      <c r="BN148" s="562"/>
      <c r="BO148" s="562"/>
      <c r="BP148" s="562"/>
      <c r="BQ148" s="562"/>
      <c r="BR148" s="562"/>
      <c r="BS148" s="562"/>
      <c r="BT148" s="562"/>
      <c r="BU148" s="568"/>
      <c r="BV148" s="1114" t="str">
        <f t="shared" si="117"/>
        <v/>
      </c>
      <c r="BW148" s="1114" t="str">
        <f t="shared" si="117"/>
        <v/>
      </c>
      <c r="BX148" s="1114" t="str">
        <f t="shared" si="118"/>
        <v/>
      </c>
      <c r="BY148" s="1115" t="str">
        <f t="shared" si="118"/>
        <v/>
      </c>
      <c r="BZ148" s="477"/>
      <c r="CA148" s="1114" t="str">
        <f t="shared" si="119"/>
        <v/>
      </c>
      <c r="CB148" s="1114" t="str">
        <f t="shared" si="119"/>
        <v/>
      </c>
      <c r="CC148" s="1114" t="str">
        <f t="shared" si="120"/>
        <v/>
      </c>
      <c r="CD148" s="1115" t="str">
        <f t="shared" si="120"/>
        <v/>
      </c>
      <c r="CE148" s="568"/>
      <c r="CF148" s="1432"/>
      <c r="CG148" s="1427">
        <f>SUMIF($AA$11:$AA$170,"&lt;28",$AE$11:$AE$170)+SUMIF($AS$11:$AS$170,"&lt;28",$AW$11:$AW$170)-SUMIF($AA$11:$AA$170,"&lt;20",$AE$11:$AE$170)-SUMIF($AS$11:$AS$170,"&lt;20",$AW$11:$AW$170)</f>
        <v>6.3999999999999915</v>
      </c>
      <c r="CH148" s="1422">
        <f>SUMIF($AA$11:$AA$170,"&lt;28",$BW$11:$BW$170)+SUMIF($AS$11:$AS$170,"&lt;28",$CB$11:$CB$170)-SUMIF($AA$11:$AA$170,"&lt;20",$BW$11:$BW$170)-SUMIF($AS$11:$AS$170,"&lt;20",$CB$11:$CB$170)</f>
        <v>10.259999999999962</v>
      </c>
      <c r="CI148" s="1428">
        <f>SUMPRODUCT(($AA$11:$AA$170&lt;28)*($AE$11:$AE$170&lt;&gt;""))+SUMPRODUCT(($AS$11:$AS$170&lt;28)*($AW$11:$AW$170&lt;&gt;""))-SUMPRODUCT(($AA$11:$AA$170&lt;20)*($AE$11:$AE$170&lt;&gt;""))-SUMPRODUCT(($AS$11:$AS$170&lt;20)*($AW$11:$AW$170&lt;&gt;""))</f>
        <v>4</v>
      </c>
      <c r="CJ148" s="1422">
        <f>IF(CI148=0,0,IF(CI148="","",CG148/CI148))</f>
        <v>1.5999999999999979</v>
      </c>
      <c r="CK148" s="1438">
        <f>IF(CI148&lt;2,0,SQRT((CH148/CI148-CJ148*CJ148)/(CI148-1)))</f>
        <v>4.0824829046374987E-2</v>
      </c>
      <c r="CL148" s="1439">
        <f>SUMIF($AJ$11:$AJ$170,"&lt;28",$AN$11:$AN$170)+SUMIF($BB$11:$BB$170,"&lt;28",$BF$11:$BF$170)-SUMIF($AJ$11:$AJ$170,"&lt;20",$AN$11:$AN$170)-SUMIF($BB$11:$BB$170,"&lt;20",$BF$11:$BF$170)</f>
        <v>6.6000000000000227</v>
      </c>
      <c r="CM148" s="1422">
        <f>SUMIF($AJ$11:$AJ$170,"&lt;28",$BY$11:$BY$170)+SUMIF($BB$11:$BB$170,"&lt;28",$CD$11:$CD$170)-SUMIF($AJ$11:$AJ$170,"&lt;20",$BY$11:$BY$170)-SUMIF($BB$11:$BB$170,"&lt;20",$CD$11:$CD$170)</f>
        <v>10.92000000000008</v>
      </c>
      <c r="CN148" s="1440">
        <f>SUMPRODUCT(($AJ$11:$AJ$170&lt;28)*($AN$11:$AN$170&lt;&gt;""))+SUMPRODUCT(($BB$11:$BB$170&lt;28)*($BF$11:$BF$170&lt;&gt;""))-SUMPRODUCT(($AJ$11:$AJ$170&lt;20)*($AN$11:$AN$170&lt;&gt;""))-SUMPRODUCT(($BB$11:$BB$170&lt;20)*($BF$11:$BF$170&lt;&gt;""))</f>
        <v>4</v>
      </c>
      <c r="CO148" s="1422">
        <f>IF(CN148=0,0,IF(CN148="","",CL148/CN148))</f>
        <v>1.6500000000000057</v>
      </c>
      <c r="CP148" s="1441">
        <f>IF(CN148&lt;2,0,SQRT((CM148/CN148-CO148*CO148)/(CN148-1)))</f>
        <v>5.0000000000003909E-2</v>
      </c>
      <c r="CQ148" s="1439">
        <f>CG148+CL148</f>
        <v>13.000000000000014</v>
      </c>
      <c r="CR148" s="1422">
        <f>CH148+CM148</f>
        <v>21.180000000000042</v>
      </c>
      <c r="CS148" s="1422">
        <f>CI148+CN148</f>
        <v>8</v>
      </c>
      <c r="CT148" s="1422">
        <f>IF(CS148=0,0,IF(CS148="","",CQ148/CS148))</f>
        <v>1.6250000000000018</v>
      </c>
      <c r="CU148" s="1438">
        <f>IF(CS148&lt;2,0,SQRT(ABS((CR148/CS148-CT148*CT148)/(CS148-1))))</f>
        <v>3.1339158526399347E-2</v>
      </c>
      <c r="CV148" s="476"/>
      <c r="CW148" s="345"/>
      <c r="CX148" s="345"/>
      <c r="CY148" s="345"/>
      <c r="CZ148" s="345"/>
      <c r="DA148" s="345"/>
      <c r="DB148" s="345"/>
      <c r="DC148" s="345"/>
      <c r="DD148" s="345"/>
      <c r="DE148" s="345"/>
      <c r="DF148" s="345"/>
      <c r="DG148" s="345"/>
      <c r="DH148" s="345"/>
      <c r="DI148" s="345"/>
      <c r="DJ148" s="345"/>
      <c r="DK148" s="345"/>
      <c r="DL148" s="345"/>
      <c r="DM148" s="345"/>
      <c r="DN148" s="345"/>
      <c r="DO148" s="345"/>
      <c r="DP148" s="345"/>
      <c r="DQ148" s="345"/>
      <c r="DR148" s="345"/>
      <c r="DS148" s="345"/>
      <c r="DT148" s="345"/>
      <c r="DU148" s="345"/>
      <c r="DV148" s="345"/>
      <c r="DW148" s="345"/>
      <c r="DX148" s="345"/>
      <c r="DY148" s="345"/>
      <c r="DZ148" s="345"/>
      <c r="EA148" s="345"/>
      <c r="EB148" s="345"/>
      <c r="EC148" s="345"/>
      <c r="ED148" s="345"/>
      <c r="EE148" s="345"/>
      <c r="EF148" s="345"/>
      <c r="EG148" s="345"/>
      <c r="EH148" s="345"/>
      <c r="EI148" s="345"/>
      <c r="EJ148" s="345"/>
      <c r="EK148" s="345"/>
      <c r="EL148" s="345"/>
      <c r="EM148" s="345"/>
      <c r="EN148" s="345"/>
      <c r="EO148" s="345"/>
      <c r="EP148" s="345"/>
      <c r="EQ148" s="345"/>
      <c r="ER148" s="345"/>
      <c r="ES148" s="345"/>
      <c r="ET148" s="345"/>
      <c r="EU148" s="345"/>
      <c r="EV148" s="345"/>
      <c r="EW148" s="345"/>
      <c r="EX148" s="345"/>
      <c r="EY148" s="345"/>
      <c r="EZ148" s="345"/>
      <c r="FA148" s="345"/>
      <c r="FB148" s="345"/>
      <c r="FC148" s="345"/>
      <c r="FD148" s="345"/>
      <c r="FE148" s="345"/>
      <c r="FF148" s="345"/>
      <c r="FG148" s="345"/>
      <c r="FH148" s="345"/>
      <c r="FI148" s="345"/>
      <c r="FJ148" s="345"/>
      <c r="FK148" s="345"/>
      <c r="FL148" s="345"/>
      <c r="FM148" s="345"/>
      <c r="FN148" s="345"/>
      <c r="FO148" s="345"/>
      <c r="FP148" s="345"/>
      <c r="FQ148" s="345"/>
      <c r="FR148" s="345"/>
      <c r="FS148" s="345"/>
      <c r="FT148" s="345"/>
      <c r="FU148" s="345"/>
      <c r="FV148" s="345"/>
      <c r="FW148" s="345"/>
      <c r="FX148" s="345"/>
      <c r="FY148" s="345"/>
      <c r="FZ148" s="345"/>
      <c r="GA148" s="345"/>
      <c r="GB148" s="345"/>
      <c r="GC148" s="345"/>
      <c r="GD148" s="345"/>
      <c r="GE148" s="345"/>
      <c r="GF148" s="345"/>
      <c r="GG148" s="345"/>
      <c r="GH148" s="345"/>
      <c r="GI148" s="345"/>
      <c r="GJ148" s="345"/>
      <c r="GK148" s="345"/>
      <c r="GL148" s="345"/>
      <c r="GM148" s="345"/>
      <c r="GN148" s="345"/>
      <c r="GO148" s="345"/>
      <c r="GP148" s="345"/>
      <c r="GQ148" s="345"/>
      <c r="GR148" s="345"/>
      <c r="GS148" s="345"/>
      <c r="GT148" s="345"/>
      <c r="GU148" s="345"/>
    </row>
    <row r="149" spans="1:203" ht="12.75" customHeight="1">
      <c r="A149" s="465" t="str">
        <f t="shared" si="123"/>
        <v/>
      </c>
      <c r="B149" s="1108">
        <v>139</v>
      </c>
      <c r="C149" s="1131"/>
      <c r="D149" s="398"/>
      <c r="E149" s="1116"/>
      <c r="F149" s="465" t="str">
        <f t="shared" si="125"/>
        <v/>
      </c>
      <c r="G149" s="1108">
        <v>139</v>
      </c>
      <c r="H149" s="1131"/>
      <c r="I149" s="1110"/>
      <c r="J149" s="1116"/>
      <c r="K149" s="465"/>
      <c r="L149" s="465"/>
      <c r="M149" s="465" t="str">
        <f t="shared" si="121"/>
        <v/>
      </c>
      <c r="N149" s="1108">
        <v>139</v>
      </c>
      <c r="O149" s="1131"/>
      <c r="P149" s="398"/>
      <c r="Q149" s="1116"/>
      <c r="R149" s="465" t="str">
        <f t="shared" si="122"/>
        <v/>
      </c>
      <c r="S149" s="1108">
        <v>139</v>
      </c>
      <c r="T149" s="1131"/>
      <c r="U149" s="1133"/>
      <c r="V149" s="1116"/>
      <c r="W149" s="371"/>
      <c r="X149" s="494" t="str">
        <f t="shared" si="98"/>
        <v/>
      </c>
      <c r="Y149" s="495" t="str">
        <f>IF('Feuilles=description générale'!$E$13="","",IF(X149="","",IF(X149&gt;('Feuilles=description générale'!$E$11+'Feuilles=description générale'!$E$10),"",100*(X149-'Feuilles=description générale'!$E$10)/('Feuilles=description générale'!$E$11))))</f>
        <v/>
      </c>
      <c r="Z149" s="495" t="str">
        <f>IF('Feuilles=description générale'!$E$13="","",IF(X149="","",IF(X149&lt;=('Feuilles=description générale'!$E$11+'Feuilles=description générale'!$E$10),"",100*(X149-'Feuilles=description générale'!$E$11-'Feuilles=description générale'!$E$10)/('Feuilles=description générale'!$E$12))))</f>
        <v/>
      </c>
      <c r="AA149" s="1112" t="str">
        <f>IF('Feuilles=description générale'!$E$13="","",IF(X149="","",100*(X149-'Feuilles=description générale'!$E$10)/('Feuilles=description générale'!$E$13-'Feuilles=description générale'!$E$10)))</f>
        <v/>
      </c>
      <c r="AB149" s="497" t="str">
        <f t="shared" si="99"/>
        <v/>
      </c>
      <c r="AC149" s="500" t="str">
        <f t="shared" si="124"/>
        <v/>
      </c>
      <c r="AD149" s="494" t="str">
        <f t="shared" si="100"/>
        <v/>
      </c>
      <c r="AE149" s="499" t="str">
        <f t="shared" si="101"/>
        <v/>
      </c>
      <c r="AF149" s="371"/>
      <c r="AG149" s="494" t="str">
        <f t="shared" si="102"/>
        <v/>
      </c>
      <c r="AH149" s="495" t="str">
        <f>IF('Feuilles=description générale'!$E$13="","",IF(AG149="","",IF(AG149&gt;('Feuilles=description générale'!$E$11+'Feuilles=description générale'!$E$10),"",100*(AG149-'Feuilles=description générale'!$E$10)/('Feuilles=description générale'!$E$11))))</f>
        <v/>
      </c>
      <c r="AI149" s="495" t="str">
        <f>IF('Feuilles=description générale'!$E$13="","",IF(AG149="","",IF(AG149&lt;=('Feuilles=description générale'!$E$11+'Feuilles=description générale'!$E$10),"",100*(AG149-'Feuilles=description générale'!$E$11-'Feuilles=description générale'!$E$10)/('Feuilles=description générale'!$E$12))))</f>
        <v/>
      </c>
      <c r="AJ149" s="496" t="str">
        <f>IF('Feuilles=description générale'!$E$13="","",IF(AG149="","",100*(AG149-'Feuilles=description générale'!$E$10)/('Feuilles=description générale'!$E$13-'Feuilles=description générale'!$E$10)))</f>
        <v/>
      </c>
      <c r="AK149" s="1113" t="str">
        <f t="shared" si="103"/>
        <v/>
      </c>
      <c r="AL149" s="498" t="str">
        <f t="shared" si="104"/>
        <v/>
      </c>
      <c r="AM149" s="494" t="str">
        <f t="shared" si="105"/>
        <v/>
      </c>
      <c r="AN149" s="499" t="str">
        <f t="shared" si="106"/>
        <v/>
      </c>
      <c r="AO149" s="371"/>
      <c r="AP149" s="494" t="str">
        <f t="shared" si="107"/>
        <v/>
      </c>
      <c r="AQ149" s="495" t="str">
        <f>IF('Feuilles=description générale'!$E$13="","",IF(AP149="","",IF(AP149&gt;('Feuilles=description générale'!$E$25+'Feuilles=description générale'!$E$24),"",100*(AP149-'Feuilles=description générale'!$E$24)/('Feuilles=description générale'!$E$25))))</f>
        <v/>
      </c>
      <c r="AR149" s="495" t="str">
        <f>IF('Feuilles=description générale'!$E$27="","",IF(AP149="","",IF(AP149&lt;=('Feuilles=description générale'!$E$25+'Feuilles=description générale'!$E$24),"",100*(AP149-'Feuilles=description générale'!$E$25-'Feuilles=description générale'!$E$24)/('Feuilles=description générale'!$E$26))))</f>
        <v/>
      </c>
      <c r="AS149" s="496" t="str">
        <f>IF('Feuilles=description générale'!$E$27="","",IF(AP149="","",100*(AP149-'Feuilles=description générale'!$E$24)/('Feuilles=description générale'!$E$27-'Feuilles=description générale'!$E$24)))</f>
        <v/>
      </c>
      <c r="AT149" s="497" t="str">
        <f t="shared" si="108"/>
        <v/>
      </c>
      <c r="AU149" s="500" t="str">
        <f t="shared" si="109"/>
        <v/>
      </c>
      <c r="AV149" s="494" t="str">
        <f t="shared" si="110"/>
        <v/>
      </c>
      <c r="AW149" s="499" t="str">
        <f t="shared" si="111"/>
        <v/>
      </c>
      <c r="AX149" s="371"/>
      <c r="AY149" s="494" t="str">
        <f t="shared" si="112"/>
        <v/>
      </c>
      <c r="AZ149" s="495" t="str">
        <f>IF('Feuilles=description générale'!$E$13="","",IF(AY149="","",IF(AY149&gt;('Feuilles=description générale'!$E$25+'Feuilles=description générale'!$E$24),"",100*(AY149-'Feuilles=description générale'!$E$24)/('Feuilles=description générale'!$E$25))))</f>
        <v/>
      </c>
      <c r="BA149" s="495" t="str">
        <f>IF('Feuilles=description générale'!$E$27="","",IF(AY149="","",IF(AY149&lt;=('Feuilles=description générale'!$E$25+'Feuilles=description générale'!$E$24),"",100*(AY149-'Feuilles=description générale'!$E$25-'Feuilles=description générale'!$E$24)/('Feuilles=description générale'!$E$26))))</f>
        <v/>
      </c>
      <c r="BB149" s="496" t="str">
        <f>IF('Feuilles=description générale'!$E$27="","",IF(AY149="","",100*(AY149-'Feuilles=description générale'!$E$24)/('Feuilles=description générale'!$E$27-'Feuilles=description générale'!$E$24)))</f>
        <v/>
      </c>
      <c r="BC149" s="497" t="str">
        <f t="shared" si="113"/>
        <v/>
      </c>
      <c r="BD149" s="500" t="str">
        <f t="shared" si="114"/>
        <v/>
      </c>
      <c r="BE149" s="494" t="str">
        <f t="shared" si="115"/>
        <v/>
      </c>
      <c r="BF149" s="499" t="str">
        <f t="shared" si="116"/>
        <v/>
      </c>
      <c r="BG149" s="476"/>
      <c r="BH149" s="563"/>
      <c r="BI149" s="562"/>
      <c r="BJ149" s="562"/>
      <c r="BK149" s="562"/>
      <c r="BL149" s="562"/>
      <c r="BM149" s="562"/>
      <c r="BN149" s="562"/>
      <c r="BO149" s="562"/>
      <c r="BP149" s="562"/>
      <c r="BQ149" s="562"/>
      <c r="BR149" s="562"/>
      <c r="BS149" s="562"/>
      <c r="BT149" s="562"/>
      <c r="BU149" s="568"/>
      <c r="BV149" s="1114" t="str">
        <f t="shared" si="117"/>
        <v/>
      </c>
      <c r="BW149" s="1114" t="str">
        <f t="shared" si="117"/>
        <v/>
      </c>
      <c r="BX149" s="1114" t="str">
        <f t="shared" si="118"/>
        <v/>
      </c>
      <c r="BY149" s="1115" t="str">
        <f t="shared" si="118"/>
        <v/>
      </c>
      <c r="BZ149" s="477"/>
      <c r="CA149" s="1114" t="str">
        <f t="shared" si="119"/>
        <v/>
      </c>
      <c r="CB149" s="1114" t="str">
        <f t="shared" si="119"/>
        <v/>
      </c>
      <c r="CC149" s="1114" t="str">
        <f t="shared" si="120"/>
        <v/>
      </c>
      <c r="CD149" s="1115" t="str">
        <f t="shared" si="120"/>
        <v/>
      </c>
      <c r="CE149" s="568"/>
      <c r="CF149" s="1433">
        <v>28</v>
      </c>
      <c r="CG149" s="1427"/>
      <c r="CH149" s="1422"/>
      <c r="CI149" s="1428"/>
      <c r="CJ149" s="1422"/>
      <c r="CK149" s="1438"/>
      <c r="CL149" s="1439"/>
      <c r="CM149" s="1422"/>
      <c r="CN149" s="1437"/>
      <c r="CO149" s="1422"/>
      <c r="CP149" s="1441"/>
      <c r="CQ149" s="1439"/>
      <c r="CR149" s="1422"/>
      <c r="CS149" s="1422"/>
      <c r="CT149" s="1422"/>
      <c r="CU149" s="1438"/>
      <c r="CV149" s="476"/>
      <c r="CW149" s="345"/>
      <c r="CX149" s="345"/>
      <c r="CY149" s="345"/>
      <c r="CZ149" s="345"/>
      <c r="DA149" s="345"/>
      <c r="DB149" s="345"/>
      <c r="DC149" s="345"/>
      <c r="DD149" s="345"/>
      <c r="DE149" s="345"/>
      <c r="DF149" s="345"/>
      <c r="DG149" s="345"/>
      <c r="DH149" s="345"/>
      <c r="DI149" s="345"/>
      <c r="DJ149" s="345"/>
      <c r="DK149" s="345"/>
      <c r="DL149" s="345"/>
      <c r="DM149" s="345"/>
      <c r="DN149" s="345"/>
      <c r="DO149" s="345"/>
      <c r="DP149" s="345"/>
      <c r="DQ149" s="345"/>
      <c r="DR149" s="345"/>
      <c r="DS149" s="345"/>
      <c r="DT149" s="345"/>
      <c r="DU149" s="345"/>
      <c r="DV149" s="345"/>
      <c r="DW149" s="345"/>
      <c r="DX149" s="345"/>
      <c r="DY149" s="345"/>
      <c r="DZ149" s="345"/>
      <c r="EA149" s="345"/>
      <c r="EB149" s="345"/>
      <c r="EC149" s="345"/>
      <c r="ED149" s="345"/>
      <c r="EE149" s="345"/>
      <c r="EF149" s="345"/>
      <c r="EG149" s="345"/>
      <c r="EH149" s="345"/>
      <c r="EI149" s="345"/>
      <c r="EJ149" s="345"/>
      <c r="EK149" s="345"/>
      <c r="EL149" s="345"/>
      <c r="EM149" s="345"/>
      <c r="EN149" s="345"/>
      <c r="EO149" s="345"/>
      <c r="EP149" s="345"/>
      <c r="EQ149" s="345"/>
      <c r="ER149" s="345"/>
      <c r="ES149" s="345"/>
      <c r="ET149" s="345"/>
      <c r="EU149" s="345"/>
      <c r="EV149" s="345"/>
      <c r="EW149" s="345"/>
      <c r="EX149" s="345"/>
      <c r="EY149" s="345"/>
      <c r="EZ149" s="345"/>
      <c r="FA149" s="345"/>
      <c r="FB149" s="345"/>
      <c r="FC149" s="345"/>
      <c r="FD149" s="345"/>
      <c r="FE149" s="345"/>
      <c r="FF149" s="345"/>
      <c r="FG149" s="345"/>
      <c r="FH149" s="345"/>
      <c r="FI149" s="345"/>
      <c r="FJ149" s="345"/>
      <c r="FK149" s="345"/>
      <c r="FL149" s="345"/>
      <c r="FM149" s="345"/>
      <c r="FN149" s="345"/>
      <c r="FO149" s="345"/>
      <c r="FP149" s="345"/>
      <c r="FQ149" s="345"/>
      <c r="FR149" s="345"/>
      <c r="FS149" s="345"/>
      <c r="FT149" s="345"/>
      <c r="FU149" s="345"/>
      <c r="FV149" s="345"/>
      <c r="FW149" s="345"/>
      <c r="FX149" s="345"/>
      <c r="FY149" s="345"/>
      <c r="FZ149" s="345"/>
      <c r="GA149" s="345"/>
      <c r="GB149" s="345"/>
      <c r="GC149" s="345"/>
      <c r="GD149" s="345"/>
      <c r="GE149" s="345"/>
      <c r="GF149" s="345"/>
      <c r="GG149" s="345"/>
      <c r="GH149" s="345"/>
      <c r="GI149" s="345"/>
      <c r="GJ149" s="345"/>
      <c r="GK149" s="345"/>
      <c r="GL149" s="345"/>
      <c r="GM149" s="345"/>
      <c r="GN149" s="345"/>
      <c r="GO149" s="345"/>
      <c r="GP149" s="345"/>
      <c r="GQ149" s="345"/>
      <c r="GR149" s="345"/>
      <c r="GS149" s="345"/>
      <c r="GT149" s="345"/>
      <c r="GU149" s="345"/>
    </row>
    <row r="150" spans="1:203" ht="12.75" customHeight="1">
      <c r="A150" s="465" t="str">
        <f t="shared" si="123"/>
        <v/>
      </c>
      <c r="B150" s="1108">
        <v>140</v>
      </c>
      <c r="C150" s="1131"/>
      <c r="D150" s="398"/>
      <c r="E150" s="1116"/>
      <c r="F150" s="465" t="str">
        <f t="shared" si="125"/>
        <v/>
      </c>
      <c r="G150" s="1108">
        <v>140</v>
      </c>
      <c r="H150" s="1131"/>
      <c r="I150" s="1110"/>
      <c r="J150" s="1116"/>
      <c r="K150" s="465"/>
      <c r="L150" s="465"/>
      <c r="M150" s="465" t="str">
        <f t="shared" si="121"/>
        <v/>
      </c>
      <c r="N150" s="1108">
        <v>140</v>
      </c>
      <c r="O150" s="1131"/>
      <c r="P150" s="398"/>
      <c r="Q150" s="1116"/>
      <c r="R150" s="465" t="str">
        <f t="shared" si="122"/>
        <v/>
      </c>
      <c r="S150" s="1108">
        <v>140</v>
      </c>
      <c r="T150" s="1131"/>
      <c r="U150" s="1133"/>
      <c r="V150" s="1116"/>
      <c r="W150" s="371"/>
      <c r="X150" s="494" t="str">
        <f t="shared" si="98"/>
        <v/>
      </c>
      <c r="Y150" s="495" t="str">
        <f>IF('Feuilles=description générale'!$E$13="","",IF(X150="","",IF(X150&gt;('Feuilles=description générale'!$E$11+'Feuilles=description générale'!$E$10),"",100*(X150-'Feuilles=description générale'!$E$10)/('Feuilles=description générale'!$E$11))))</f>
        <v/>
      </c>
      <c r="Z150" s="495" t="str">
        <f>IF('Feuilles=description générale'!$E$13="","",IF(X150="","",IF(X150&lt;=('Feuilles=description générale'!$E$11+'Feuilles=description générale'!$E$10),"",100*(X150-'Feuilles=description générale'!$E$11-'Feuilles=description générale'!$E$10)/('Feuilles=description générale'!$E$12))))</f>
        <v/>
      </c>
      <c r="AA150" s="1112" t="str">
        <f>IF('Feuilles=description générale'!$E$13="","",IF(X150="","",100*(X150-'Feuilles=description générale'!$E$10)/('Feuilles=description générale'!$E$13-'Feuilles=description générale'!$E$10)))</f>
        <v/>
      </c>
      <c r="AB150" s="497" t="str">
        <f t="shared" si="99"/>
        <v/>
      </c>
      <c r="AC150" s="500" t="str">
        <f t="shared" si="124"/>
        <v/>
      </c>
      <c r="AD150" s="494" t="str">
        <f t="shared" si="100"/>
        <v/>
      </c>
      <c r="AE150" s="499" t="str">
        <f t="shared" si="101"/>
        <v/>
      </c>
      <c r="AF150" s="371"/>
      <c r="AG150" s="494" t="str">
        <f t="shared" si="102"/>
        <v/>
      </c>
      <c r="AH150" s="495" t="str">
        <f>IF('Feuilles=description générale'!$E$13="","",IF(AG150="","",IF(AG150&gt;('Feuilles=description générale'!$E$11+'Feuilles=description générale'!$E$10),"",100*(AG150-'Feuilles=description générale'!$E$10)/('Feuilles=description générale'!$E$11))))</f>
        <v/>
      </c>
      <c r="AI150" s="495" t="str">
        <f>IF('Feuilles=description générale'!$E$13="","",IF(AG150="","",IF(AG150&lt;=('Feuilles=description générale'!$E$11+'Feuilles=description générale'!$E$10),"",100*(AG150-'Feuilles=description générale'!$E$11-'Feuilles=description générale'!$E$10)/('Feuilles=description générale'!$E$12))))</f>
        <v/>
      </c>
      <c r="AJ150" s="496" t="str">
        <f>IF('Feuilles=description générale'!$E$13="","",IF(AG150="","",100*(AG150-'Feuilles=description générale'!$E$10)/('Feuilles=description générale'!$E$13-'Feuilles=description générale'!$E$10)))</f>
        <v/>
      </c>
      <c r="AK150" s="1113" t="str">
        <f t="shared" si="103"/>
        <v/>
      </c>
      <c r="AL150" s="498" t="str">
        <f t="shared" si="104"/>
        <v/>
      </c>
      <c r="AM150" s="494" t="str">
        <f t="shared" si="105"/>
        <v/>
      </c>
      <c r="AN150" s="499" t="str">
        <f t="shared" si="106"/>
        <v/>
      </c>
      <c r="AO150" s="371"/>
      <c r="AP150" s="494" t="str">
        <f t="shared" si="107"/>
        <v/>
      </c>
      <c r="AQ150" s="495" t="str">
        <f>IF('Feuilles=description générale'!$E$13="","",IF(AP150="","",IF(AP150&gt;('Feuilles=description générale'!$E$25+'Feuilles=description générale'!$E$24),"",100*(AP150-'Feuilles=description générale'!$E$24)/('Feuilles=description générale'!$E$25))))</f>
        <v/>
      </c>
      <c r="AR150" s="495" t="str">
        <f>IF('Feuilles=description générale'!$E$27="","",IF(AP150="","",IF(AP150&lt;=('Feuilles=description générale'!$E$25+'Feuilles=description générale'!$E$24),"",100*(AP150-'Feuilles=description générale'!$E$25-'Feuilles=description générale'!$E$24)/('Feuilles=description générale'!$E$26))))</f>
        <v/>
      </c>
      <c r="AS150" s="496" t="str">
        <f>IF('Feuilles=description générale'!$E$27="","",IF(AP150="","",100*(AP150-'Feuilles=description générale'!$E$24)/('Feuilles=description générale'!$E$27-'Feuilles=description générale'!$E$24)))</f>
        <v/>
      </c>
      <c r="AT150" s="497" t="str">
        <f t="shared" si="108"/>
        <v/>
      </c>
      <c r="AU150" s="500" t="str">
        <f t="shared" si="109"/>
        <v/>
      </c>
      <c r="AV150" s="494" t="str">
        <f t="shared" si="110"/>
        <v/>
      </c>
      <c r="AW150" s="499" t="str">
        <f t="shared" si="111"/>
        <v/>
      </c>
      <c r="AX150" s="371"/>
      <c r="AY150" s="494" t="str">
        <f t="shared" si="112"/>
        <v/>
      </c>
      <c r="AZ150" s="495" t="str">
        <f>IF('Feuilles=description générale'!$E$13="","",IF(AY150="","",IF(AY150&gt;('Feuilles=description générale'!$E$25+'Feuilles=description générale'!$E$24),"",100*(AY150-'Feuilles=description générale'!$E$24)/('Feuilles=description générale'!$E$25))))</f>
        <v/>
      </c>
      <c r="BA150" s="495" t="str">
        <f>IF('Feuilles=description générale'!$E$27="","",IF(AY150="","",IF(AY150&lt;=('Feuilles=description générale'!$E$25+'Feuilles=description générale'!$E$24),"",100*(AY150-'Feuilles=description générale'!$E$25-'Feuilles=description générale'!$E$24)/('Feuilles=description générale'!$E$26))))</f>
        <v/>
      </c>
      <c r="BB150" s="496" t="str">
        <f>IF('Feuilles=description générale'!$E$27="","",IF(AY150="","",100*(AY150-'Feuilles=description générale'!$E$24)/('Feuilles=description générale'!$E$27-'Feuilles=description générale'!$E$24)))</f>
        <v/>
      </c>
      <c r="BC150" s="497" t="str">
        <f t="shared" si="113"/>
        <v/>
      </c>
      <c r="BD150" s="500" t="str">
        <f t="shared" si="114"/>
        <v/>
      </c>
      <c r="BE150" s="494" t="str">
        <f t="shared" si="115"/>
        <v/>
      </c>
      <c r="BF150" s="499" t="str">
        <f t="shared" si="116"/>
        <v/>
      </c>
      <c r="BG150" s="476"/>
      <c r="BH150" s="563"/>
      <c r="BI150" s="562"/>
      <c r="BJ150" s="562"/>
      <c r="BK150" s="562"/>
      <c r="BL150" s="562"/>
      <c r="BM150" s="562"/>
      <c r="BN150" s="562"/>
      <c r="BO150" s="562"/>
      <c r="BP150" s="562"/>
      <c r="BQ150" s="562"/>
      <c r="BR150" s="562"/>
      <c r="BS150" s="562"/>
      <c r="BT150" s="562"/>
      <c r="BU150" s="568"/>
      <c r="BV150" s="1114" t="str">
        <f t="shared" si="117"/>
        <v/>
      </c>
      <c r="BW150" s="1114" t="str">
        <f t="shared" si="117"/>
        <v/>
      </c>
      <c r="BX150" s="1114" t="str">
        <f t="shared" si="118"/>
        <v/>
      </c>
      <c r="BY150" s="1115" t="str">
        <f t="shared" si="118"/>
        <v/>
      </c>
      <c r="BZ150" s="477"/>
      <c r="CA150" s="1114" t="str">
        <f t="shared" si="119"/>
        <v/>
      </c>
      <c r="CB150" s="1114" t="str">
        <f t="shared" si="119"/>
        <v/>
      </c>
      <c r="CC150" s="1114" t="str">
        <f t="shared" si="120"/>
        <v/>
      </c>
      <c r="CD150" s="1115" t="str">
        <f t="shared" si="120"/>
        <v/>
      </c>
      <c r="CE150" s="568"/>
      <c r="CF150" s="1433"/>
      <c r="CG150" s="1427">
        <f>SUMIF($AA$11:$AA$170,"&lt;36",$AE$11:$AE$170)+SUMIF($AS$11:$AS$170,"&lt;36",$AW$11:$AW$170)-SUMIF($AA$11:$AA$170,"&lt;28",$AE$11:$AE$170)-SUMIF($AS$11:$AS$170,"&lt;28",$AW$11:$AW$170)</f>
        <v>7.0999999999999943</v>
      </c>
      <c r="CH150" s="1422">
        <f>SUMIF($AA$11:$AA$170,"&lt;36",$BW$11:$BW$170)+SUMIF($AS$11:$AS$170,"&lt;36",$CB$11:$CB$170)-SUMIF($AA$11:$AA$170,"&lt;28",$BW$11:$BW$170)-SUMIF($AS$11:$AS$170,"&lt;28",$CB$11:$CB$170)</f>
        <v>12.989999999999995</v>
      </c>
      <c r="CI150" s="1428">
        <f>SUMPRODUCT(($AA$11:$AA$170&lt;36)*($AE$11:$AE$170&lt;&gt;""))+SUMPRODUCT(($AS$11:$AS$170&lt;36)*($AW$11:$AW$170&lt;&gt;""))-SUMPRODUCT(($AA$11:$AA$170&lt;28)*($AE$11:$AE$170&lt;&gt;""))-SUMPRODUCT(($AS$11:$AS$170&lt;28)*($AW$11:$AW$170&lt;&gt;""))</f>
        <v>4</v>
      </c>
      <c r="CJ150" s="1422">
        <f>IF(CI150=0,0,IF(CI150="","",CG150/CI150))</f>
        <v>1.7749999999999986</v>
      </c>
      <c r="CK150" s="1438">
        <f>IF(CI150&lt;2,0,SQRT((CH150/CI150-CJ150*CJ150)/(CI150-1)))</f>
        <v>0.17969882210706875</v>
      </c>
      <c r="CL150" s="1439">
        <f>SUMIF($AJ$11:$AJ$170,"&lt;28",$AN$11:$AN$170)+SUMIF($BB$11:$BB$170,"&lt;28",$BF$11:$BF$170)-SUMIF($AJ$11:$AJ$170,"&lt;20",$AN$11:$AN$170)-SUMIF($BB$11:$BB$170,"&lt;20",$BF$11:$BF$170)</f>
        <v>6.6000000000000227</v>
      </c>
      <c r="CM150" s="1422">
        <f>SUMIF($AJ$11:$AJ$170,"&lt;28",$BY$11:$BY$170)+SUMIF($BB$11:$BB$170,"&lt;28",$CD$11:$CD$170)-SUMIF($AJ$11:$AJ$170,"&lt;20",$BY$11:$BY$170)-SUMIF($BB$11:$BB$170,"&lt;20",$CD$11:$CD$170)</f>
        <v>10.92000000000008</v>
      </c>
      <c r="CN150" s="1440">
        <f>SUMPRODUCT(($AJ$11:$AJ$170&lt;28)*($AN$11:$AN$170&lt;&gt;""))+SUMPRODUCT(($BB$11:$BB$170&lt;28)*($BF$11:$BF$170&lt;&gt;""))-SUMPRODUCT(($AJ$11:$AJ$170&lt;20)*($AN$11:$AN$170&lt;&gt;""))-SUMPRODUCT(($BB$11:$BB$170&lt;20)*($BF$11:$BF$170&lt;&gt;""))</f>
        <v>4</v>
      </c>
      <c r="CO150" s="1422">
        <f>IF(CN150=0,0,IF(CN150="","",CL150/CN150))</f>
        <v>1.6500000000000057</v>
      </c>
      <c r="CP150" s="1441">
        <f>IF(CN150&lt;2,0,SQRT((CM150/CN150-CO150*CO150)/(CN150-1)))</f>
        <v>5.0000000000003909E-2</v>
      </c>
      <c r="CQ150" s="1439">
        <f>CG150+CL150</f>
        <v>13.700000000000017</v>
      </c>
      <c r="CR150" s="1422">
        <f>CH150+CM150</f>
        <v>23.910000000000075</v>
      </c>
      <c r="CS150" s="1422">
        <f>CI150+CN150</f>
        <v>8</v>
      </c>
      <c r="CT150" s="1422">
        <f>IF(CS150=0,0,IF(CS150="","",CQ150/CS150))</f>
        <v>1.7125000000000021</v>
      </c>
      <c r="CU150" s="1438">
        <f>IF(CS150&lt;2,0,SQRT(ABS((CR150/CS150-CT150*CT150)/(CS150-1))))</f>
        <v>8.9517556139246335E-2</v>
      </c>
      <c r="CV150" s="476"/>
      <c r="CW150" s="345"/>
      <c r="CX150" s="345"/>
      <c r="CY150" s="345"/>
      <c r="CZ150" s="345"/>
      <c r="DA150" s="345"/>
      <c r="DB150" s="345"/>
      <c r="DC150" s="345"/>
      <c r="DD150" s="345"/>
      <c r="DE150" s="345"/>
      <c r="DF150" s="345"/>
      <c r="DG150" s="345"/>
      <c r="DH150" s="345"/>
      <c r="DI150" s="345"/>
      <c r="DJ150" s="345"/>
      <c r="DK150" s="345"/>
      <c r="DL150" s="345"/>
      <c r="DM150" s="345"/>
      <c r="DN150" s="345"/>
      <c r="DO150" s="345"/>
      <c r="DP150" s="345"/>
      <c r="DQ150" s="345"/>
      <c r="DR150" s="345"/>
      <c r="DS150" s="345"/>
      <c r="DT150" s="345"/>
      <c r="DU150" s="345"/>
      <c r="DV150" s="345"/>
      <c r="DW150" s="345"/>
      <c r="DX150" s="345"/>
      <c r="DY150" s="345"/>
      <c r="DZ150" s="345"/>
      <c r="EA150" s="345"/>
      <c r="EB150" s="345"/>
      <c r="EC150" s="345"/>
      <c r="ED150" s="345"/>
      <c r="EE150" s="345"/>
      <c r="EF150" s="345"/>
      <c r="EG150" s="345"/>
      <c r="EH150" s="345"/>
      <c r="EI150" s="345"/>
      <c r="EJ150" s="345"/>
      <c r="EK150" s="345"/>
      <c r="EL150" s="345"/>
      <c r="EM150" s="345"/>
      <c r="EN150" s="345"/>
      <c r="EO150" s="345"/>
      <c r="EP150" s="345"/>
      <c r="EQ150" s="345"/>
      <c r="ER150" s="345"/>
      <c r="ES150" s="345"/>
      <c r="ET150" s="345"/>
      <c r="EU150" s="345"/>
      <c r="EV150" s="345"/>
      <c r="EW150" s="345"/>
      <c r="EX150" s="345"/>
      <c r="EY150" s="345"/>
      <c r="EZ150" s="345"/>
      <c r="FA150" s="345"/>
      <c r="FB150" s="345"/>
      <c r="FC150" s="345"/>
      <c r="FD150" s="345"/>
      <c r="FE150" s="345"/>
      <c r="FF150" s="345"/>
      <c r="FG150" s="345"/>
      <c r="FH150" s="345"/>
      <c r="FI150" s="345"/>
      <c r="FJ150" s="345"/>
      <c r="FK150" s="345"/>
      <c r="FL150" s="345"/>
      <c r="FM150" s="345"/>
      <c r="FN150" s="345"/>
      <c r="FO150" s="345"/>
      <c r="FP150" s="345"/>
      <c r="FQ150" s="345"/>
      <c r="FR150" s="345"/>
      <c r="FS150" s="345"/>
      <c r="FT150" s="345"/>
      <c r="FU150" s="345"/>
      <c r="FV150" s="345"/>
      <c r="FW150" s="345"/>
      <c r="FX150" s="345"/>
      <c r="FY150" s="345"/>
      <c r="FZ150" s="345"/>
      <c r="GA150" s="345"/>
      <c r="GB150" s="345"/>
      <c r="GC150" s="345"/>
      <c r="GD150" s="345"/>
      <c r="GE150" s="345"/>
      <c r="GF150" s="345"/>
      <c r="GG150" s="345"/>
      <c r="GH150" s="345"/>
      <c r="GI150" s="345"/>
      <c r="GJ150" s="345"/>
      <c r="GK150" s="345"/>
      <c r="GL150" s="345"/>
      <c r="GM150" s="345"/>
      <c r="GN150" s="345"/>
      <c r="GO150" s="345"/>
      <c r="GP150" s="345"/>
      <c r="GQ150" s="345"/>
      <c r="GR150" s="345"/>
      <c r="GS150" s="345"/>
      <c r="GT150" s="345"/>
      <c r="GU150" s="345"/>
    </row>
    <row r="151" spans="1:203" ht="12.75" customHeight="1">
      <c r="A151" s="465" t="str">
        <f t="shared" si="123"/>
        <v/>
      </c>
      <c r="B151" s="1108">
        <v>141</v>
      </c>
      <c r="C151" s="1131"/>
      <c r="D151" s="398"/>
      <c r="E151" s="1116"/>
      <c r="F151" s="465" t="str">
        <f t="shared" si="125"/>
        <v/>
      </c>
      <c r="G151" s="1108">
        <v>141</v>
      </c>
      <c r="H151" s="1131"/>
      <c r="I151" s="1110"/>
      <c r="J151" s="1116"/>
      <c r="K151" s="465"/>
      <c r="L151" s="465"/>
      <c r="M151" s="465" t="str">
        <f t="shared" si="121"/>
        <v/>
      </c>
      <c r="N151" s="1108">
        <v>141</v>
      </c>
      <c r="O151" s="1131"/>
      <c r="P151" s="398"/>
      <c r="Q151" s="1116"/>
      <c r="R151" s="465" t="str">
        <f t="shared" si="122"/>
        <v/>
      </c>
      <c r="S151" s="1108">
        <v>141</v>
      </c>
      <c r="T151" s="1131"/>
      <c r="U151" s="1133"/>
      <c r="V151" s="1116"/>
      <c r="W151" s="371"/>
      <c r="X151" s="494" t="str">
        <f t="shared" si="98"/>
        <v/>
      </c>
      <c r="Y151" s="495" t="str">
        <f>IF('Feuilles=description générale'!$E$13="","",IF(X151="","",IF(X151&gt;('Feuilles=description générale'!$E$11+'Feuilles=description générale'!$E$10),"",100*(X151-'Feuilles=description générale'!$E$10)/('Feuilles=description générale'!$E$11))))</f>
        <v/>
      </c>
      <c r="Z151" s="495" t="str">
        <f>IF('Feuilles=description générale'!$E$13="","",IF(X151="","",IF(X151&lt;=('Feuilles=description générale'!$E$11+'Feuilles=description générale'!$E$10),"",100*(X151-'Feuilles=description générale'!$E$11-'Feuilles=description générale'!$E$10)/('Feuilles=description générale'!$E$12))))</f>
        <v/>
      </c>
      <c r="AA151" s="1112" t="str">
        <f>IF('Feuilles=description générale'!$E$13="","",IF(X151="","",100*(X151-'Feuilles=description générale'!$E$10)/('Feuilles=description générale'!$E$13-'Feuilles=description générale'!$E$10)))</f>
        <v/>
      </c>
      <c r="AB151" s="497" t="str">
        <f t="shared" si="99"/>
        <v/>
      </c>
      <c r="AC151" s="500" t="str">
        <f t="shared" si="124"/>
        <v/>
      </c>
      <c r="AD151" s="494" t="str">
        <f t="shared" si="100"/>
        <v/>
      </c>
      <c r="AE151" s="499" t="str">
        <f t="shared" si="101"/>
        <v/>
      </c>
      <c r="AF151" s="371"/>
      <c r="AG151" s="494" t="str">
        <f t="shared" si="102"/>
        <v/>
      </c>
      <c r="AH151" s="495" t="str">
        <f>IF('Feuilles=description générale'!$E$13="","",IF(AG151="","",IF(AG151&gt;('Feuilles=description générale'!$E$11+'Feuilles=description générale'!$E$10),"",100*(AG151-'Feuilles=description générale'!$E$10)/('Feuilles=description générale'!$E$11))))</f>
        <v/>
      </c>
      <c r="AI151" s="495" t="str">
        <f>IF('Feuilles=description générale'!$E$13="","",IF(AG151="","",IF(AG151&lt;=('Feuilles=description générale'!$E$11+'Feuilles=description générale'!$E$10),"",100*(AG151-'Feuilles=description générale'!$E$11-'Feuilles=description générale'!$E$10)/('Feuilles=description générale'!$E$12))))</f>
        <v/>
      </c>
      <c r="AJ151" s="496" t="str">
        <f>IF('Feuilles=description générale'!$E$13="","",IF(AG151="","",100*(AG151-'Feuilles=description générale'!$E$10)/('Feuilles=description générale'!$E$13-'Feuilles=description générale'!$E$10)))</f>
        <v/>
      </c>
      <c r="AK151" s="1113" t="str">
        <f t="shared" si="103"/>
        <v/>
      </c>
      <c r="AL151" s="498" t="str">
        <f t="shared" si="104"/>
        <v/>
      </c>
      <c r="AM151" s="494" t="str">
        <f t="shared" si="105"/>
        <v/>
      </c>
      <c r="AN151" s="499" t="str">
        <f t="shared" si="106"/>
        <v/>
      </c>
      <c r="AO151" s="371"/>
      <c r="AP151" s="494" t="str">
        <f t="shared" si="107"/>
        <v/>
      </c>
      <c r="AQ151" s="495" t="str">
        <f>IF('Feuilles=description générale'!$E$13="","",IF(AP151="","",IF(AP151&gt;('Feuilles=description générale'!$E$25+'Feuilles=description générale'!$E$24),"",100*(AP151-'Feuilles=description générale'!$E$24)/('Feuilles=description générale'!$E$25))))</f>
        <v/>
      </c>
      <c r="AR151" s="495" t="str">
        <f>IF('Feuilles=description générale'!$E$27="","",IF(AP151="","",IF(AP151&lt;=('Feuilles=description générale'!$E$25+'Feuilles=description générale'!$E$24),"",100*(AP151-'Feuilles=description générale'!$E$25-'Feuilles=description générale'!$E$24)/('Feuilles=description générale'!$E$26))))</f>
        <v/>
      </c>
      <c r="AS151" s="496" t="str">
        <f>IF('Feuilles=description générale'!$E$27="","",IF(AP151="","",100*(AP151-'Feuilles=description générale'!$E$24)/('Feuilles=description générale'!$E$27-'Feuilles=description générale'!$E$24)))</f>
        <v/>
      </c>
      <c r="AT151" s="497" t="str">
        <f t="shared" si="108"/>
        <v/>
      </c>
      <c r="AU151" s="500" t="str">
        <f t="shared" si="109"/>
        <v/>
      </c>
      <c r="AV151" s="494" t="str">
        <f t="shared" si="110"/>
        <v/>
      </c>
      <c r="AW151" s="499" t="str">
        <f t="shared" si="111"/>
        <v/>
      </c>
      <c r="AX151" s="371"/>
      <c r="AY151" s="494" t="str">
        <f t="shared" si="112"/>
        <v/>
      </c>
      <c r="AZ151" s="495" t="str">
        <f>IF('Feuilles=description générale'!$E$13="","",IF(AY151="","",IF(AY151&gt;('Feuilles=description générale'!$E$25+'Feuilles=description générale'!$E$24),"",100*(AY151-'Feuilles=description générale'!$E$24)/('Feuilles=description générale'!$E$25))))</f>
        <v/>
      </c>
      <c r="BA151" s="495" t="str">
        <f>IF('Feuilles=description générale'!$E$27="","",IF(AY151="","",IF(AY151&lt;=('Feuilles=description générale'!$E$25+'Feuilles=description générale'!$E$24),"",100*(AY151-'Feuilles=description générale'!$E$25-'Feuilles=description générale'!$E$24)/('Feuilles=description générale'!$E$26))))</f>
        <v/>
      </c>
      <c r="BB151" s="496" t="str">
        <f>IF('Feuilles=description générale'!$E$27="","",IF(AY151="","",100*(AY151-'Feuilles=description générale'!$E$24)/('Feuilles=description générale'!$E$27-'Feuilles=description générale'!$E$24)))</f>
        <v/>
      </c>
      <c r="BC151" s="497" t="str">
        <f t="shared" si="113"/>
        <v/>
      </c>
      <c r="BD151" s="500" t="str">
        <f t="shared" si="114"/>
        <v/>
      </c>
      <c r="BE151" s="494" t="str">
        <f t="shared" si="115"/>
        <v/>
      </c>
      <c r="BF151" s="499" t="str">
        <f t="shared" si="116"/>
        <v/>
      </c>
      <c r="BG151" s="476"/>
      <c r="BH151" s="563"/>
      <c r="BI151" s="562"/>
      <c r="BJ151" s="562"/>
      <c r="BK151" s="562"/>
      <c r="BL151" s="562"/>
      <c r="BM151" s="562"/>
      <c r="BN151" s="562"/>
      <c r="BO151" s="562"/>
      <c r="BP151" s="562"/>
      <c r="BQ151" s="562"/>
      <c r="BR151" s="562"/>
      <c r="BS151" s="562"/>
      <c r="BT151" s="562"/>
      <c r="BU151" s="568"/>
      <c r="BV151" s="1114" t="str">
        <f t="shared" si="117"/>
        <v/>
      </c>
      <c r="BW151" s="1114" t="str">
        <f t="shared" si="117"/>
        <v/>
      </c>
      <c r="BX151" s="1114" t="str">
        <f t="shared" si="118"/>
        <v/>
      </c>
      <c r="BY151" s="1115" t="str">
        <f t="shared" si="118"/>
        <v/>
      </c>
      <c r="BZ151" s="477"/>
      <c r="CA151" s="1114" t="str">
        <f t="shared" si="119"/>
        <v/>
      </c>
      <c r="CB151" s="1114" t="str">
        <f t="shared" si="119"/>
        <v/>
      </c>
      <c r="CC151" s="1114" t="str">
        <f t="shared" si="120"/>
        <v/>
      </c>
      <c r="CD151" s="1115" t="str">
        <f t="shared" si="120"/>
        <v/>
      </c>
      <c r="CE151" s="568"/>
      <c r="CF151" s="1431">
        <v>36</v>
      </c>
      <c r="CG151" s="1427"/>
      <c r="CH151" s="1422"/>
      <c r="CI151" s="1428"/>
      <c r="CJ151" s="1422"/>
      <c r="CK151" s="1438"/>
      <c r="CL151" s="1439"/>
      <c r="CM151" s="1422"/>
      <c r="CN151" s="1437"/>
      <c r="CO151" s="1422"/>
      <c r="CP151" s="1441"/>
      <c r="CQ151" s="1439"/>
      <c r="CR151" s="1422"/>
      <c r="CS151" s="1422"/>
      <c r="CT151" s="1422"/>
      <c r="CU151" s="1438"/>
      <c r="CV151" s="476"/>
      <c r="CW151" s="345"/>
      <c r="CX151" s="345"/>
      <c r="CY151" s="345"/>
      <c r="CZ151" s="345"/>
      <c r="DA151" s="345"/>
      <c r="DB151" s="345"/>
      <c r="DC151" s="345"/>
      <c r="DD151" s="345"/>
      <c r="DE151" s="345"/>
      <c r="DF151" s="345"/>
      <c r="DG151" s="345"/>
      <c r="DH151" s="345"/>
      <c r="DI151" s="345"/>
      <c r="DJ151" s="345"/>
      <c r="DK151" s="345"/>
      <c r="DL151" s="345"/>
      <c r="DM151" s="345"/>
      <c r="DN151" s="345"/>
      <c r="DO151" s="345"/>
      <c r="DP151" s="345"/>
      <c r="DQ151" s="345"/>
      <c r="DR151" s="345"/>
      <c r="DS151" s="345"/>
      <c r="DT151" s="345"/>
      <c r="DU151" s="345"/>
      <c r="DV151" s="345"/>
      <c r="DW151" s="345"/>
      <c r="DX151" s="345"/>
      <c r="DY151" s="345"/>
      <c r="DZ151" s="345"/>
      <c r="EA151" s="345"/>
      <c r="EB151" s="345"/>
      <c r="EC151" s="345"/>
      <c r="ED151" s="345"/>
      <c r="EE151" s="345"/>
      <c r="EF151" s="345"/>
      <c r="EG151" s="345"/>
      <c r="EH151" s="345"/>
      <c r="EI151" s="345"/>
      <c r="EJ151" s="345"/>
      <c r="EK151" s="345"/>
      <c r="EL151" s="345"/>
      <c r="EM151" s="345"/>
      <c r="EN151" s="345"/>
      <c r="EO151" s="345"/>
      <c r="EP151" s="345"/>
      <c r="EQ151" s="345"/>
      <c r="ER151" s="345"/>
      <c r="ES151" s="345"/>
      <c r="ET151" s="345"/>
      <c r="EU151" s="345"/>
      <c r="EV151" s="345"/>
      <c r="EW151" s="345"/>
      <c r="EX151" s="345"/>
      <c r="EY151" s="345"/>
      <c r="EZ151" s="345"/>
      <c r="FA151" s="345"/>
      <c r="FB151" s="345"/>
      <c r="FC151" s="345"/>
      <c r="FD151" s="345"/>
      <c r="FE151" s="345"/>
      <c r="FF151" s="345"/>
      <c r="FG151" s="345"/>
      <c r="FH151" s="345"/>
      <c r="FI151" s="345"/>
      <c r="FJ151" s="345"/>
      <c r="FK151" s="345"/>
      <c r="FL151" s="345"/>
      <c r="FM151" s="345"/>
      <c r="FN151" s="345"/>
      <c r="FO151" s="345"/>
      <c r="FP151" s="345"/>
      <c r="FQ151" s="345"/>
      <c r="FR151" s="345"/>
      <c r="FS151" s="345"/>
      <c r="FT151" s="345"/>
      <c r="FU151" s="345"/>
      <c r="FV151" s="345"/>
      <c r="FW151" s="345"/>
      <c r="FX151" s="345"/>
      <c r="FY151" s="345"/>
      <c r="FZ151" s="345"/>
      <c r="GA151" s="345"/>
      <c r="GB151" s="345"/>
      <c r="GC151" s="345"/>
      <c r="GD151" s="345"/>
      <c r="GE151" s="345"/>
      <c r="GF151" s="345"/>
      <c r="GG151" s="345"/>
      <c r="GH151" s="345"/>
      <c r="GI151" s="345"/>
      <c r="GJ151" s="345"/>
      <c r="GK151" s="345"/>
      <c r="GL151" s="345"/>
      <c r="GM151" s="345"/>
      <c r="GN151" s="345"/>
      <c r="GO151" s="345"/>
      <c r="GP151" s="345"/>
      <c r="GQ151" s="345"/>
      <c r="GR151" s="345"/>
      <c r="GS151" s="345"/>
      <c r="GT151" s="345"/>
      <c r="GU151" s="345"/>
    </row>
    <row r="152" spans="1:203" ht="12.75" customHeight="1">
      <c r="A152" s="465" t="str">
        <f t="shared" si="123"/>
        <v/>
      </c>
      <c r="B152" s="1108">
        <v>142</v>
      </c>
      <c r="C152" s="1131"/>
      <c r="D152" s="398"/>
      <c r="E152" s="1116"/>
      <c r="F152" s="465" t="str">
        <f t="shared" si="125"/>
        <v/>
      </c>
      <c r="G152" s="1108">
        <v>142</v>
      </c>
      <c r="H152" s="1131"/>
      <c r="I152" s="1110"/>
      <c r="J152" s="1116"/>
      <c r="K152" s="465"/>
      <c r="L152" s="465"/>
      <c r="M152" s="465" t="str">
        <f t="shared" si="121"/>
        <v/>
      </c>
      <c r="N152" s="1108">
        <v>142</v>
      </c>
      <c r="O152" s="1131"/>
      <c r="P152" s="398"/>
      <c r="Q152" s="1116"/>
      <c r="R152" s="465" t="str">
        <f t="shared" si="122"/>
        <v/>
      </c>
      <c r="S152" s="1108">
        <v>142</v>
      </c>
      <c r="T152" s="1131"/>
      <c r="U152" s="1133"/>
      <c r="V152" s="1116"/>
      <c r="W152" s="371"/>
      <c r="X152" s="494" t="str">
        <f t="shared" si="98"/>
        <v/>
      </c>
      <c r="Y152" s="495" t="str">
        <f>IF('Feuilles=description générale'!$E$13="","",IF(X152="","",IF(X152&gt;('Feuilles=description générale'!$E$11+'Feuilles=description générale'!$E$10),"",100*(X152-'Feuilles=description générale'!$E$10)/('Feuilles=description générale'!$E$11))))</f>
        <v/>
      </c>
      <c r="Z152" s="495" t="str">
        <f>IF('Feuilles=description générale'!$E$13="","",IF(X152="","",IF(X152&lt;=('Feuilles=description générale'!$E$11+'Feuilles=description générale'!$E$10),"",100*(X152-'Feuilles=description générale'!$E$11-'Feuilles=description générale'!$E$10)/('Feuilles=description générale'!$E$12))))</f>
        <v/>
      </c>
      <c r="AA152" s="1112" t="str">
        <f>IF('Feuilles=description générale'!$E$13="","",IF(X152="","",100*(X152-'Feuilles=description générale'!$E$10)/('Feuilles=description générale'!$E$13-'Feuilles=description générale'!$E$10)))</f>
        <v/>
      </c>
      <c r="AB152" s="497" t="str">
        <f t="shared" si="99"/>
        <v/>
      </c>
      <c r="AC152" s="500" t="str">
        <f t="shared" si="124"/>
        <v/>
      </c>
      <c r="AD152" s="494" t="str">
        <f t="shared" si="100"/>
        <v/>
      </c>
      <c r="AE152" s="499" t="str">
        <f t="shared" si="101"/>
        <v/>
      </c>
      <c r="AF152" s="371"/>
      <c r="AG152" s="494" t="str">
        <f t="shared" si="102"/>
        <v/>
      </c>
      <c r="AH152" s="495" t="str">
        <f>IF('Feuilles=description générale'!$E$13="","",IF(AG152="","",IF(AG152&gt;('Feuilles=description générale'!$E$11+'Feuilles=description générale'!$E$10),"",100*(AG152-'Feuilles=description générale'!$E$10)/('Feuilles=description générale'!$E$11))))</f>
        <v/>
      </c>
      <c r="AI152" s="495" t="str">
        <f>IF('Feuilles=description générale'!$E$13="","",IF(AG152="","",IF(AG152&lt;=('Feuilles=description générale'!$E$11+'Feuilles=description générale'!$E$10),"",100*(AG152-'Feuilles=description générale'!$E$11-'Feuilles=description générale'!$E$10)/('Feuilles=description générale'!$E$12))))</f>
        <v/>
      </c>
      <c r="AJ152" s="496" t="str">
        <f>IF('Feuilles=description générale'!$E$13="","",IF(AG152="","",100*(AG152-'Feuilles=description générale'!$E$10)/('Feuilles=description générale'!$E$13-'Feuilles=description générale'!$E$10)))</f>
        <v/>
      </c>
      <c r="AK152" s="1113" t="str">
        <f t="shared" si="103"/>
        <v/>
      </c>
      <c r="AL152" s="498" t="str">
        <f t="shared" si="104"/>
        <v/>
      </c>
      <c r="AM152" s="494" t="str">
        <f t="shared" si="105"/>
        <v/>
      </c>
      <c r="AN152" s="499" t="str">
        <f t="shared" si="106"/>
        <v/>
      </c>
      <c r="AO152" s="371"/>
      <c r="AP152" s="494" t="str">
        <f t="shared" si="107"/>
        <v/>
      </c>
      <c r="AQ152" s="495" t="str">
        <f>IF('Feuilles=description générale'!$E$13="","",IF(AP152="","",IF(AP152&gt;('Feuilles=description générale'!$E$25+'Feuilles=description générale'!$E$24),"",100*(AP152-'Feuilles=description générale'!$E$24)/('Feuilles=description générale'!$E$25))))</f>
        <v/>
      </c>
      <c r="AR152" s="495" t="str">
        <f>IF('Feuilles=description générale'!$E$27="","",IF(AP152="","",IF(AP152&lt;=('Feuilles=description générale'!$E$25+'Feuilles=description générale'!$E$24),"",100*(AP152-'Feuilles=description générale'!$E$25-'Feuilles=description générale'!$E$24)/('Feuilles=description générale'!$E$26))))</f>
        <v/>
      </c>
      <c r="AS152" s="496" t="str">
        <f>IF('Feuilles=description générale'!$E$27="","",IF(AP152="","",100*(AP152-'Feuilles=description générale'!$E$24)/('Feuilles=description générale'!$E$27-'Feuilles=description générale'!$E$24)))</f>
        <v/>
      </c>
      <c r="AT152" s="497" t="str">
        <f t="shared" si="108"/>
        <v/>
      </c>
      <c r="AU152" s="500" t="str">
        <f t="shared" si="109"/>
        <v/>
      </c>
      <c r="AV152" s="494" t="str">
        <f t="shared" si="110"/>
        <v/>
      </c>
      <c r="AW152" s="499" t="str">
        <f t="shared" si="111"/>
        <v/>
      </c>
      <c r="AX152" s="371"/>
      <c r="AY152" s="494" t="str">
        <f t="shared" si="112"/>
        <v/>
      </c>
      <c r="AZ152" s="495" t="str">
        <f>IF('Feuilles=description générale'!$E$13="","",IF(AY152="","",IF(AY152&gt;('Feuilles=description générale'!$E$25+'Feuilles=description générale'!$E$24),"",100*(AY152-'Feuilles=description générale'!$E$24)/('Feuilles=description générale'!$E$25))))</f>
        <v/>
      </c>
      <c r="BA152" s="495" t="str">
        <f>IF('Feuilles=description générale'!$E$27="","",IF(AY152="","",IF(AY152&lt;=('Feuilles=description générale'!$E$25+'Feuilles=description générale'!$E$24),"",100*(AY152-'Feuilles=description générale'!$E$25-'Feuilles=description générale'!$E$24)/('Feuilles=description générale'!$E$26))))</f>
        <v/>
      </c>
      <c r="BB152" s="496" t="str">
        <f>IF('Feuilles=description générale'!$E$27="","",IF(AY152="","",100*(AY152-'Feuilles=description générale'!$E$24)/('Feuilles=description générale'!$E$27-'Feuilles=description générale'!$E$24)))</f>
        <v/>
      </c>
      <c r="BC152" s="497" t="str">
        <f t="shared" si="113"/>
        <v/>
      </c>
      <c r="BD152" s="500" t="str">
        <f t="shared" si="114"/>
        <v/>
      </c>
      <c r="BE152" s="494" t="str">
        <f t="shared" si="115"/>
        <v/>
      </c>
      <c r="BF152" s="499" t="str">
        <f t="shared" si="116"/>
        <v/>
      </c>
      <c r="BG152" s="476"/>
      <c r="BH152" s="563"/>
      <c r="BI152" s="562"/>
      <c r="BJ152" s="562"/>
      <c r="BK152" s="562"/>
      <c r="BL152" s="562"/>
      <c r="BM152" s="562"/>
      <c r="BN152" s="562"/>
      <c r="BO152" s="562"/>
      <c r="BP152" s="562"/>
      <c r="BQ152" s="562"/>
      <c r="BR152" s="562"/>
      <c r="BS152" s="562"/>
      <c r="BT152" s="562"/>
      <c r="BU152" s="568"/>
      <c r="BV152" s="1114" t="str">
        <f t="shared" si="117"/>
        <v/>
      </c>
      <c r="BW152" s="1114" t="str">
        <f t="shared" si="117"/>
        <v/>
      </c>
      <c r="BX152" s="1114" t="str">
        <f t="shared" si="118"/>
        <v/>
      </c>
      <c r="BY152" s="1115" t="str">
        <f t="shared" si="118"/>
        <v/>
      </c>
      <c r="BZ152" s="477"/>
      <c r="CA152" s="1114" t="str">
        <f t="shared" si="119"/>
        <v/>
      </c>
      <c r="CB152" s="1114" t="str">
        <f t="shared" si="119"/>
        <v/>
      </c>
      <c r="CC152" s="1114" t="str">
        <f t="shared" si="120"/>
        <v/>
      </c>
      <c r="CD152" s="1115" t="str">
        <f t="shared" si="120"/>
        <v/>
      </c>
      <c r="CE152" s="568"/>
      <c r="CF152" s="1432"/>
      <c r="CG152" s="1427">
        <f>SUMIF($AA$11:$AA$170,"&lt;52",$AE$11:$AE$170)+SUMIF($AS$11:$AS$170,"&lt;52",$AW$11:$AW$170)-SUMIF($AA$11:$AA$170,"&lt;28",$AE$11:$AE$170)-SUMIF($AS$11:$AS$170,"&lt;28",$AW$11:$AW$170)</f>
        <v>-4.6999999999999886</v>
      </c>
      <c r="CH152" s="1422">
        <f>SUMIF($AA$11:$AA$170,"&lt;52",$BW$11:$BW$170)+SUMIF($AS$11:$AS$170,"&lt;52",$CB$11:$CB$170)-SUMIF($AA$11:$AA$170,"&lt;28",$BW$11:$BW$170)-SUMIF($AS$11:$AS$170,"&lt;28",$CB$11:$CB$170)</f>
        <v>1925.9700000000003</v>
      </c>
      <c r="CI152" s="1428">
        <f>SUMPRODUCT(($AA$11:$AA$170&lt;52)*($AE$11:$AE$170&lt;&gt;""))+SUMPRODUCT(($AS$11:$AS$170&lt;52)*($AW$11:$AW$170&lt;&gt;""))-SUMPRODUCT(($AA$11:$AA$170&lt;28)*($AE$11:$AE$170&lt;&gt;""))-SUMPRODUCT(($AS$11:$AS$170&lt;28)*($AW$11:$AW$170&lt;&gt;""))</f>
        <v>21</v>
      </c>
      <c r="CJ152" s="1422">
        <f>IF(CI152=0,0,IF(CI152="","",CG152/CI152))</f>
        <v>-0.22380952380952326</v>
      </c>
      <c r="CK152" s="1438">
        <f>IF(CI152&lt;2,0,SQRT((CH152/CI152-CJ152*CJ152)/(CI152-1)))</f>
        <v>2.1408265511235296</v>
      </c>
      <c r="CL152" s="1439">
        <f>SUMIF($AJ$11:$AJ$170,"&lt;52",$AN$11:$AN$170)+SUMIF($BB$11:$BB$170,"&lt;52",$BF$11:$BF$170)-SUMIF($AJ$11:$AJ$170,"&lt;28",$AN$11:$AN$170)-SUMIF($BB$11:$BB$170,"&lt;28",$BF$11:$BF$170)</f>
        <v>36.97999999999999</v>
      </c>
      <c r="CM152" s="1422">
        <f>SUMIF($AJ$11:$AJ$170,"&lt;52",$BY$11:$BY$170)+SUMIF($BB$11:$BB$170,"&lt;52",$CD$11:$CD$170)-SUMIF($AJ$11:$AJ$170,"&lt;28",$BY$11:$BY$170)-SUMIF($BB$11:$BB$170,"&lt;28",$CD$11:$CD$170)</f>
        <v>67.348399999999913</v>
      </c>
      <c r="CN152" s="1440">
        <f>SUMPRODUCT(($AJ$11:$AJ$170&lt;52)*($AN$11:$AN$170&lt;&gt;""))+SUMPRODUCT(($BB$11:$BB$170&lt;52)*($BF$11:$BF$170&lt;&gt;""))-SUMPRODUCT(($AJ$11:$AJ$170&lt;28)*($AN$11:$AN$170&lt;&gt;""))-SUMPRODUCT(($BB$11:$BB$170&lt;28)*($BF$11:$BF$170&lt;&gt;""))</f>
        <v>21</v>
      </c>
      <c r="CO152" s="1422">
        <f>IF(CN152=0,0,IF(CN152="","",CL152/CN152))</f>
        <v>1.7609523809523804</v>
      </c>
      <c r="CP152" s="1441">
        <f>IF(CN152&lt;2,0,SQRT((CM152/CN152-CO152*CO152)/(CN152-1)))</f>
        <v>7.2840022887422598E-2</v>
      </c>
      <c r="CQ152" s="1439">
        <f>CG152+CL152</f>
        <v>32.28</v>
      </c>
      <c r="CR152" s="1422">
        <f>CH152+CM152</f>
        <v>1993.3184000000001</v>
      </c>
      <c r="CS152" s="1422">
        <f>CI152+CN152</f>
        <v>42</v>
      </c>
      <c r="CT152" s="1422">
        <f>IF(CS152=0,0,IF(CS152="","",CQ152/CS152))</f>
        <v>0.76857142857142857</v>
      </c>
      <c r="CU152" s="1438">
        <f>IF(CS152&lt;2,0,SQRT(ABS((CR152/CS152-CT152*CT152)/(CS152-1))))</f>
        <v>1.0691831833733771</v>
      </c>
      <c r="CV152" s="476"/>
      <c r="CW152" s="345"/>
      <c r="CX152" s="345"/>
      <c r="CY152" s="345"/>
      <c r="CZ152" s="345"/>
      <c r="DA152" s="345"/>
      <c r="DB152" s="345"/>
      <c r="DC152" s="345"/>
      <c r="DD152" s="345"/>
      <c r="DE152" s="345"/>
      <c r="DF152" s="345"/>
      <c r="DG152" s="345"/>
      <c r="DH152" s="345"/>
      <c r="DI152" s="345"/>
      <c r="DJ152" s="345"/>
      <c r="DK152" s="345"/>
      <c r="DL152" s="345"/>
      <c r="DM152" s="345"/>
      <c r="DN152" s="345"/>
      <c r="DO152" s="345"/>
      <c r="DP152" s="345"/>
      <c r="DQ152" s="345"/>
      <c r="DR152" s="345"/>
      <c r="DS152" s="345"/>
      <c r="DT152" s="345"/>
      <c r="DU152" s="345"/>
      <c r="DV152" s="345"/>
      <c r="DW152" s="345"/>
      <c r="DX152" s="345"/>
      <c r="DY152" s="345"/>
      <c r="DZ152" s="345"/>
      <c r="EA152" s="345"/>
      <c r="EB152" s="345"/>
      <c r="EC152" s="345"/>
      <c r="ED152" s="345"/>
      <c r="EE152" s="345"/>
      <c r="EF152" s="345"/>
      <c r="EG152" s="345"/>
      <c r="EH152" s="345"/>
      <c r="EI152" s="345"/>
      <c r="EJ152" s="345"/>
      <c r="EK152" s="345"/>
      <c r="EL152" s="345"/>
      <c r="EM152" s="345"/>
      <c r="EN152" s="345"/>
      <c r="EO152" s="345"/>
      <c r="EP152" s="345"/>
      <c r="EQ152" s="345"/>
      <c r="ER152" s="345"/>
      <c r="ES152" s="345"/>
      <c r="ET152" s="345"/>
      <c r="EU152" s="345"/>
      <c r="EV152" s="345"/>
      <c r="EW152" s="345"/>
      <c r="EX152" s="345"/>
      <c r="EY152" s="345"/>
      <c r="EZ152" s="345"/>
      <c r="FA152" s="345"/>
      <c r="FB152" s="345"/>
      <c r="FC152" s="345"/>
      <c r="FD152" s="345"/>
      <c r="FE152" s="345"/>
      <c r="FF152" s="345"/>
      <c r="FG152" s="345"/>
      <c r="FH152" s="345"/>
      <c r="FI152" s="345"/>
      <c r="FJ152" s="345"/>
      <c r="FK152" s="345"/>
      <c r="FL152" s="345"/>
      <c r="FM152" s="345"/>
      <c r="FN152" s="345"/>
      <c r="FO152" s="345"/>
      <c r="FP152" s="345"/>
      <c r="FQ152" s="345"/>
      <c r="FR152" s="345"/>
      <c r="FS152" s="345"/>
      <c r="FT152" s="345"/>
      <c r="FU152" s="345"/>
      <c r="FV152" s="345"/>
      <c r="FW152" s="345"/>
      <c r="FX152" s="345"/>
      <c r="FY152" s="345"/>
      <c r="FZ152" s="345"/>
      <c r="GA152" s="345"/>
      <c r="GB152" s="345"/>
      <c r="GC152" s="345"/>
      <c r="GD152" s="345"/>
      <c r="GE152" s="345"/>
      <c r="GF152" s="345"/>
      <c r="GG152" s="345"/>
      <c r="GH152" s="345"/>
      <c r="GI152" s="345"/>
      <c r="GJ152" s="345"/>
      <c r="GK152" s="345"/>
      <c r="GL152" s="345"/>
      <c r="GM152" s="345"/>
      <c r="GN152" s="345"/>
      <c r="GO152" s="345"/>
      <c r="GP152" s="345"/>
      <c r="GQ152" s="345"/>
      <c r="GR152" s="345"/>
      <c r="GS152" s="345"/>
      <c r="GT152" s="345"/>
      <c r="GU152" s="345"/>
    </row>
    <row r="153" spans="1:203" ht="12.75" customHeight="1">
      <c r="A153" s="465" t="str">
        <f t="shared" si="123"/>
        <v/>
      </c>
      <c r="B153" s="1108">
        <v>143</v>
      </c>
      <c r="C153" s="1131"/>
      <c r="D153" s="398"/>
      <c r="E153" s="1116"/>
      <c r="F153" s="465" t="str">
        <f t="shared" si="125"/>
        <v/>
      </c>
      <c r="G153" s="1108">
        <v>143</v>
      </c>
      <c r="H153" s="1131"/>
      <c r="I153" s="1110"/>
      <c r="J153" s="1116"/>
      <c r="K153" s="465"/>
      <c r="L153" s="465"/>
      <c r="M153" s="465" t="str">
        <f t="shared" si="121"/>
        <v/>
      </c>
      <c r="N153" s="1108">
        <v>143</v>
      </c>
      <c r="O153" s="1131"/>
      <c r="P153" s="398"/>
      <c r="Q153" s="1116"/>
      <c r="R153" s="465" t="str">
        <f t="shared" si="122"/>
        <v/>
      </c>
      <c r="S153" s="1108">
        <v>143</v>
      </c>
      <c r="T153" s="1131"/>
      <c r="U153" s="1133"/>
      <c r="V153" s="1116"/>
      <c r="W153" s="371"/>
      <c r="X153" s="494" t="str">
        <f t="shared" si="98"/>
        <v/>
      </c>
      <c r="Y153" s="495" t="str">
        <f>IF('Feuilles=description générale'!$E$13="","",IF(X153="","",IF(X153&gt;('Feuilles=description générale'!$E$11+'Feuilles=description générale'!$E$10),"",100*(X153-'Feuilles=description générale'!$E$10)/('Feuilles=description générale'!$E$11))))</f>
        <v/>
      </c>
      <c r="Z153" s="495" t="str">
        <f>IF('Feuilles=description générale'!$E$13="","",IF(X153="","",IF(X153&lt;=('Feuilles=description générale'!$E$11+'Feuilles=description générale'!$E$10),"",100*(X153-'Feuilles=description générale'!$E$11-'Feuilles=description générale'!$E$10)/('Feuilles=description générale'!$E$12))))</f>
        <v/>
      </c>
      <c r="AA153" s="1112" t="str">
        <f>IF('Feuilles=description générale'!$E$13="","",IF(X153="","",100*(X153-'Feuilles=description générale'!$E$10)/('Feuilles=description générale'!$E$13-'Feuilles=description générale'!$E$10)))</f>
        <v/>
      </c>
      <c r="AB153" s="497" t="str">
        <f t="shared" si="99"/>
        <v/>
      </c>
      <c r="AC153" s="500" t="str">
        <f t="shared" si="124"/>
        <v/>
      </c>
      <c r="AD153" s="494" t="str">
        <f t="shared" si="100"/>
        <v/>
      </c>
      <c r="AE153" s="499" t="str">
        <f t="shared" si="101"/>
        <v/>
      </c>
      <c r="AF153" s="371"/>
      <c r="AG153" s="494" t="str">
        <f t="shared" si="102"/>
        <v/>
      </c>
      <c r="AH153" s="495" t="str">
        <f>IF('Feuilles=description générale'!$E$13="","",IF(AG153="","",IF(AG153&gt;('Feuilles=description générale'!$E$11+'Feuilles=description générale'!$E$10),"",100*(AG153-'Feuilles=description générale'!$E$10)/('Feuilles=description générale'!$E$11))))</f>
        <v/>
      </c>
      <c r="AI153" s="495" t="str">
        <f>IF('Feuilles=description générale'!$E$13="","",IF(AG153="","",IF(AG153&lt;=('Feuilles=description générale'!$E$11+'Feuilles=description générale'!$E$10),"",100*(AG153-'Feuilles=description générale'!$E$11-'Feuilles=description générale'!$E$10)/('Feuilles=description générale'!$E$12))))</f>
        <v/>
      </c>
      <c r="AJ153" s="496" t="str">
        <f>IF('Feuilles=description générale'!$E$13="","",IF(AG153="","",100*(AG153-'Feuilles=description générale'!$E$10)/('Feuilles=description générale'!$E$13-'Feuilles=description générale'!$E$10)))</f>
        <v/>
      </c>
      <c r="AK153" s="1113" t="str">
        <f t="shared" si="103"/>
        <v/>
      </c>
      <c r="AL153" s="498" t="str">
        <f t="shared" si="104"/>
        <v/>
      </c>
      <c r="AM153" s="494" t="str">
        <f t="shared" si="105"/>
        <v/>
      </c>
      <c r="AN153" s="499" t="str">
        <f t="shared" si="106"/>
        <v/>
      </c>
      <c r="AO153" s="371"/>
      <c r="AP153" s="494" t="str">
        <f t="shared" si="107"/>
        <v/>
      </c>
      <c r="AQ153" s="495" t="str">
        <f>IF('Feuilles=description générale'!$E$13="","",IF(AP153="","",IF(AP153&gt;('Feuilles=description générale'!$E$25+'Feuilles=description générale'!$E$24),"",100*(AP153-'Feuilles=description générale'!$E$24)/('Feuilles=description générale'!$E$25))))</f>
        <v/>
      </c>
      <c r="AR153" s="495" t="str">
        <f>IF('Feuilles=description générale'!$E$27="","",IF(AP153="","",IF(AP153&lt;=('Feuilles=description générale'!$E$25+'Feuilles=description générale'!$E$24),"",100*(AP153-'Feuilles=description générale'!$E$25-'Feuilles=description générale'!$E$24)/('Feuilles=description générale'!$E$26))))</f>
        <v/>
      </c>
      <c r="AS153" s="496" t="str">
        <f>IF('Feuilles=description générale'!$E$27="","",IF(AP153="","",100*(AP153-'Feuilles=description générale'!$E$24)/('Feuilles=description générale'!$E$27-'Feuilles=description générale'!$E$24)))</f>
        <v/>
      </c>
      <c r="AT153" s="497" t="str">
        <f t="shared" si="108"/>
        <v/>
      </c>
      <c r="AU153" s="500" t="str">
        <f t="shared" si="109"/>
        <v/>
      </c>
      <c r="AV153" s="494" t="str">
        <f t="shared" si="110"/>
        <v/>
      </c>
      <c r="AW153" s="499" t="str">
        <f t="shared" si="111"/>
        <v/>
      </c>
      <c r="AX153" s="371"/>
      <c r="AY153" s="494" t="str">
        <f t="shared" si="112"/>
        <v/>
      </c>
      <c r="AZ153" s="495" t="str">
        <f>IF('Feuilles=description générale'!$E$13="","",IF(AY153="","",IF(AY153&gt;('Feuilles=description générale'!$E$25+'Feuilles=description générale'!$E$24),"",100*(AY153-'Feuilles=description générale'!$E$24)/('Feuilles=description générale'!$E$25))))</f>
        <v/>
      </c>
      <c r="BA153" s="495" t="str">
        <f>IF('Feuilles=description générale'!$E$27="","",IF(AY153="","",IF(AY153&lt;=('Feuilles=description générale'!$E$25+'Feuilles=description générale'!$E$24),"",100*(AY153-'Feuilles=description générale'!$E$25-'Feuilles=description générale'!$E$24)/('Feuilles=description générale'!$E$26))))</f>
        <v/>
      </c>
      <c r="BB153" s="496" t="str">
        <f>IF('Feuilles=description générale'!$E$27="","",IF(AY153="","",100*(AY153-'Feuilles=description générale'!$E$24)/('Feuilles=description générale'!$E$27-'Feuilles=description générale'!$E$24)))</f>
        <v/>
      </c>
      <c r="BC153" s="497" t="str">
        <f t="shared" si="113"/>
        <v/>
      </c>
      <c r="BD153" s="500" t="str">
        <f t="shared" si="114"/>
        <v/>
      </c>
      <c r="BE153" s="494" t="str">
        <f t="shared" si="115"/>
        <v/>
      </c>
      <c r="BF153" s="499" t="str">
        <f t="shared" si="116"/>
        <v/>
      </c>
      <c r="BG153" s="476"/>
      <c r="BH153" s="563"/>
      <c r="BI153" s="562"/>
      <c r="BJ153" s="562"/>
      <c r="BK153" s="562"/>
      <c r="BL153" s="562"/>
      <c r="BM153" s="562"/>
      <c r="BN153" s="562"/>
      <c r="BO153" s="562"/>
      <c r="BP153" s="562"/>
      <c r="BQ153" s="562"/>
      <c r="BR153" s="562"/>
      <c r="BS153" s="562"/>
      <c r="BT153" s="562"/>
      <c r="BU153" s="568"/>
      <c r="BV153" s="1114" t="str">
        <f t="shared" si="117"/>
        <v/>
      </c>
      <c r="BW153" s="1114" t="str">
        <f t="shared" si="117"/>
        <v/>
      </c>
      <c r="BX153" s="1114" t="str">
        <f t="shared" si="118"/>
        <v/>
      </c>
      <c r="BY153" s="1115" t="str">
        <f t="shared" si="118"/>
        <v/>
      </c>
      <c r="BZ153" s="477"/>
      <c r="CA153" s="1114" t="str">
        <f t="shared" si="119"/>
        <v/>
      </c>
      <c r="CB153" s="1114" t="str">
        <f t="shared" si="119"/>
        <v/>
      </c>
      <c r="CC153" s="1114" t="str">
        <f t="shared" si="120"/>
        <v/>
      </c>
      <c r="CD153" s="1115" t="str">
        <f t="shared" si="120"/>
        <v/>
      </c>
      <c r="CE153" s="568"/>
      <c r="CF153" s="1431">
        <v>52</v>
      </c>
      <c r="CG153" s="1427"/>
      <c r="CH153" s="1422"/>
      <c r="CI153" s="1428"/>
      <c r="CJ153" s="1422"/>
      <c r="CK153" s="1438"/>
      <c r="CL153" s="1439"/>
      <c r="CM153" s="1422"/>
      <c r="CN153" s="1437"/>
      <c r="CO153" s="1422"/>
      <c r="CP153" s="1441"/>
      <c r="CQ153" s="1439"/>
      <c r="CR153" s="1422"/>
      <c r="CS153" s="1422"/>
      <c r="CT153" s="1422"/>
      <c r="CU153" s="1438"/>
      <c r="CV153" s="476"/>
      <c r="CW153" s="345"/>
      <c r="CX153" s="345"/>
      <c r="CY153" s="345"/>
      <c r="CZ153" s="345"/>
      <c r="DA153" s="345"/>
      <c r="DB153" s="345"/>
      <c r="DC153" s="345"/>
      <c r="DD153" s="345"/>
      <c r="DE153" s="345"/>
      <c r="DF153" s="345"/>
      <c r="DG153" s="345"/>
      <c r="DH153" s="345"/>
      <c r="DI153" s="345"/>
      <c r="DJ153" s="345"/>
      <c r="DK153" s="345"/>
      <c r="DL153" s="345"/>
      <c r="DM153" s="345"/>
      <c r="DN153" s="345"/>
      <c r="DO153" s="345"/>
      <c r="DP153" s="345"/>
      <c r="DQ153" s="345"/>
      <c r="DR153" s="345"/>
      <c r="DS153" s="345"/>
      <c r="DT153" s="345"/>
      <c r="DU153" s="345"/>
      <c r="DV153" s="345"/>
      <c r="DW153" s="345"/>
      <c r="DX153" s="345"/>
      <c r="DY153" s="345"/>
      <c r="DZ153" s="345"/>
      <c r="EA153" s="345"/>
      <c r="EB153" s="345"/>
      <c r="EC153" s="345"/>
      <c r="ED153" s="345"/>
      <c r="EE153" s="345"/>
      <c r="EF153" s="345"/>
      <c r="EG153" s="345"/>
      <c r="EH153" s="345"/>
      <c r="EI153" s="345"/>
      <c r="EJ153" s="345"/>
      <c r="EK153" s="345"/>
      <c r="EL153" s="345"/>
      <c r="EM153" s="345"/>
      <c r="EN153" s="345"/>
      <c r="EO153" s="345"/>
      <c r="EP153" s="345"/>
      <c r="EQ153" s="345"/>
      <c r="ER153" s="345"/>
      <c r="ES153" s="345"/>
      <c r="ET153" s="345"/>
      <c r="EU153" s="345"/>
      <c r="EV153" s="345"/>
      <c r="EW153" s="345"/>
      <c r="EX153" s="345"/>
      <c r="EY153" s="345"/>
      <c r="EZ153" s="345"/>
      <c r="FA153" s="345"/>
      <c r="FB153" s="345"/>
      <c r="FC153" s="345"/>
      <c r="FD153" s="345"/>
      <c r="FE153" s="345"/>
      <c r="FF153" s="345"/>
      <c r="FG153" s="345"/>
      <c r="FH153" s="345"/>
      <c r="FI153" s="345"/>
      <c r="FJ153" s="345"/>
      <c r="FK153" s="345"/>
      <c r="FL153" s="345"/>
      <c r="FM153" s="345"/>
      <c r="FN153" s="345"/>
      <c r="FO153" s="345"/>
      <c r="FP153" s="345"/>
      <c r="FQ153" s="345"/>
      <c r="FR153" s="345"/>
      <c r="FS153" s="345"/>
      <c r="FT153" s="345"/>
      <c r="FU153" s="345"/>
      <c r="FV153" s="345"/>
      <c r="FW153" s="345"/>
      <c r="FX153" s="345"/>
      <c r="FY153" s="345"/>
      <c r="FZ153" s="345"/>
      <c r="GA153" s="345"/>
      <c r="GB153" s="345"/>
      <c r="GC153" s="345"/>
      <c r="GD153" s="345"/>
      <c r="GE153" s="345"/>
      <c r="GF153" s="345"/>
      <c r="GG153" s="345"/>
      <c r="GH153" s="345"/>
      <c r="GI153" s="345"/>
      <c r="GJ153" s="345"/>
      <c r="GK153" s="345"/>
      <c r="GL153" s="345"/>
      <c r="GM153" s="345"/>
      <c r="GN153" s="345"/>
      <c r="GO153" s="345"/>
      <c r="GP153" s="345"/>
      <c r="GQ153" s="345"/>
      <c r="GR153" s="345"/>
      <c r="GS153" s="345"/>
      <c r="GT153" s="345"/>
      <c r="GU153" s="345"/>
    </row>
    <row r="154" spans="1:203" ht="12.75" customHeight="1">
      <c r="A154" s="465" t="str">
        <f t="shared" si="123"/>
        <v/>
      </c>
      <c r="B154" s="1108">
        <v>144</v>
      </c>
      <c r="C154" s="1131"/>
      <c r="D154" s="398"/>
      <c r="E154" s="1116"/>
      <c r="F154" s="465" t="str">
        <f t="shared" si="125"/>
        <v/>
      </c>
      <c r="G154" s="1108">
        <v>144</v>
      </c>
      <c r="H154" s="1131"/>
      <c r="I154" s="1110"/>
      <c r="J154" s="1116"/>
      <c r="K154" s="465"/>
      <c r="L154" s="465"/>
      <c r="M154" s="465" t="str">
        <f t="shared" si="121"/>
        <v/>
      </c>
      <c r="N154" s="1108">
        <v>144</v>
      </c>
      <c r="O154" s="1131"/>
      <c r="P154" s="398"/>
      <c r="Q154" s="1116"/>
      <c r="R154" s="465" t="str">
        <f t="shared" si="122"/>
        <v/>
      </c>
      <c r="S154" s="1108">
        <v>144</v>
      </c>
      <c r="T154" s="1131"/>
      <c r="U154" s="1133"/>
      <c r="V154" s="1116"/>
      <c r="W154" s="371"/>
      <c r="X154" s="494" t="str">
        <f t="shared" si="98"/>
        <v/>
      </c>
      <c r="Y154" s="495" t="str">
        <f>IF('Feuilles=description générale'!$E$13="","",IF(X154="","",IF(X154&gt;('Feuilles=description générale'!$E$11+'Feuilles=description générale'!$E$10),"",100*(X154-'Feuilles=description générale'!$E$10)/('Feuilles=description générale'!$E$11))))</f>
        <v/>
      </c>
      <c r="Z154" s="495" t="str">
        <f>IF('Feuilles=description générale'!$E$13="","",IF(X154="","",IF(X154&lt;=('Feuilles=description générale'!$E$11+'Feuilles=description générale'!$E$10),"",100*(X154-'Feuilles=description générale'!$E$11-'Feuilles=description générale'!$E$10)/('Feuilles=description générale'!$E$12))))</f>
        <v/>
      </c>
      <c r="AA154" s="1112" t="str">
        <f>IF('Feuilles=description générale'!$E$13="","",IF(X154="","",100*(X154-'Feuilles=description générale'!$E$10)/('Feuilles=description générale'!$E$13-'Feuilles=description générale'!$E$10)))</f>
        <v/>
      </c>
      <c r="AB154" s="497" t="str">
        <f t="shared" si="99"/>
        <v/>
      </c>
      <c r="AC154" s="500" t="str">
        <f t="shared" si="124"/>
        <v/>
      </c>
      <c r="AD154" s="494" t="str">
        <f t="shared" si="100"/>
        <v/>
      </c>
      <c r="AE154" s="499" t="str">
        <f t="shared" si="101"/>
        <v/>
      </c>
      <c r="AF154" s="371"/>
      <c r="AG154" s="494" t="str">
        <f t="shared" si="102"/>
        <v/>
      </c>
      <c r="AH154" s="495" t="str">
        <f>IF('Feuilles=description générale'!$E$13="","",IF(AG154="","",IF(AG154&gt;('Feuilles=description générale'!$E$11+'Feuilles=description générale'!$E$10),"",100*(AG154-'Feuilles=description générale'!$E$10)/('Feuilles=description générale'!$E$11))))</f>
        <v/>
      </c>
      <c r="AI154" s="495" t="str">
        <f>IF('Feuilles=description générale'!$E$13="","",IF(AG154="","",IF(AG154&lt;=('Feuilles=description générale'!$E$11+'Feuilles=description générale'!$E$10),"",100*(AG154-'Feuilles=description générale'!$E$11-'Feuilles=description générale'!$E$10)/('Feuilles=description générale'!$E$12))))</f>
        <v/>
      </c>
      <c r="AJ154" s="496" t="str">
        <f>IF('Feuilles=description générale'!$E$13="","",IF(AG154="","",100*(AG154-'Feuilles=description générale'!$E$10)/('Feuilles=description générale'!$E$13-'Feuilles=description générale'!$E$10)))</f>
        <v/>
      </c>
      <c r="AK154" s="1113" t="str">
        <f t="shared" si="103"/>
        <v/>
      </c>
      <c r="AL154" s="498" t="str">
        <f t="shared" si="104"/>
        <v/>
      </c>
      <c r="AM154" s="494" t="str">
        <f t="shared" si="105"/>
        <v/>
      </c>
      <c r="AN154" s="499" t="str">
        <f t="shared" si="106"/>
        <v/>
      </c>
      <c r="AO154" s="371"/>
      <c r="AP154" s="494" t="str">
        <f t="shared" si="107"/>
        <v/>
      </c>
      <c r="AQ154" s="495" t="str">
        <f>IF('Feuilles=description générale'!$E$13="","",IF(AP154="","",IF(AP154&gt;('Feuilles=description générale'!$E$25+'Feuilles=description générale'!$E$24),"",100*(AP154-'Feuilles=description générale'!$E$24)/('Feuilles=description générale'!$E$25))))</f>
        <v/>
      </c>
      <c r="AR154" s="495" t="str">
        <f>IF('Feuilles=description générale'!$E$27="","",IF(AP154="","",IF(AP154&lt;=('Feuilles=description générale'!$E$25+'Feuilles=description générale'!$E$24),"",100*(AP154-'Feuilles=description générale'!$E$25-'Feuilles=description générale'!$E$24)/('Feuilles=description générale'!$E$26))))</f>
        <v/>
      </c>
      <c r="AS154" s="496" t="str">
        <f>IF('Feuilles=description générale'!$E$27="","",IF(AP154="","",100*(AP154-'Feuilles=description générale'!$E$24)/('Feuilles=description générale'!$E$27-'Feuilles=description générale'!$E$24)))</f>
        <v/>
      </c>
      <c r="AT154" s="497" t="str">
        <f t="shared" si="108"/>
        <v/>
      </c>
      <c r="AU154" s="500" t="str">
        <f t="shared" si="109"/>
        <v/>
      </c>
      <c r="AV154" s="494" t="str">
        <f t="shared" si="110"/>
        <v/>
      </c>
      <c r="AW154" s="499" t="str">
        <f t="shared" si="111"/>
        <v/>
      </c>
      <c r="AX154" s="371"/>
      <c r="AY154" s="494" t="str">
        <f t="shared" si="112"/>
        <v/>
      </c>
      <c r="AZ154" s="495" t="str">
        <f>IF('Feuilles=description générale'!$E$13="","",IF(AY154="","",IF(AY154&gt;('Feuilles=description générale'!$E$25+'Feuilles=description générale'!$E$24),"",100*(AY154-'Feuilles=description générale'!$E$24)/('Feuilles=description générale'!$E$25))))</f>
        <v/>
      </c>
      <c r="BA154" s="495" t="str">
        <f>IF('Feuilles=description générale'!$E$27="","",IF(AY154="","",IF(AY154&lt;=('Feuilles=description générale'!$E$25+'Feuilles=description générale'!$E$24),"",100*(AY154-'Feuilles=description générale'!$E$25-'Feuilles=description générale'!$E$24)/('Feuilles=description générale'!$E$26))))</f>
        <v/>
      </c>
      <c r="BB154" s="496" t="str">
        <f>IF('Feuilles=description générale'!$E$27="","",IF(AY154="","",100*(AY154-'Feuilles=description générale'!$E$24)/('Feuilles=description générale'!$E$27-'Feuilles=description générale'!$E$24)))</f>
        <v/>
      </c>
      <c r="BC154" s="497" t="str">
        <f t="shared" si="113"/>
        <v/>
      </c>
      <c r="BD154" s="500" t="str">
        <f t="shared" si="114"/>
        <v/>
      </c>
      <c r="BE154" s="494" t="str">
        <f t="shared" si="115"/>
        <v/>
      </c>
      <c r="BF154" s="499" t="str">
        <f t="shared" si="116"/>
        <v/>
      </c>
      <c r="BG154" s="476"/>
      <c r="BH154" s="563"/>
      <c r="BI154" s="562"/>
      <c r="BJ154" s="562"/>
      <c r="BK154" s="562"/>
      <c r="BL154" s="562"/>
      <c r="BM154" s="562"/>
      <c r="BN154" s="562"/>
      <c r="BO154" s="562"/>
      <c r="BP154" s="562"/>
      <c r="BQ154" s="562"/>
      <c r="BR154" s="562"/>
      <c r="BS154" s="562"/>
      <c r="BT154" s="562"/>
      <c r="BU154" s="568"/>
      <c r="BV154" s="1114" t="str">
        <f t="shared" si="117"/>
        <v/>
      </c>
      <c r="BW154" s="1114" t="str">
        <f t="shared" si="117"/>
        <v/>
      </c>
      <c r="BX154" s="1114" t="str">
        <f t="shared" si="118"/>
        <v/>
      </c>
      <c r="BY154" s="1115" t="str">
        <f t="shared" si="118"/>
        <v/>
      </c>
      <c r="BZ154" s="477"/>
      <c r="CA154" s="1114" t="str">
        <f t="shared" si="119"/>
        <v/>
      </c>
      <c r="CB154" s="1114" t="str">
        <f t="shared" si="119"/>
        <v/>
      </c>
      <c r="CC154" s="1114" t="str">
        <f t="shared" si="120"/>
        <v/>
      </c>
      <c r="CD154" s="1115" t="str">
        <f t="shared" si="120"/>
        <v/>
      </c>
      <c r="CE154" s="568"/>
      <c r="CF154" s="1432"/>
      <c r="CG154" s="1427">
        <f>SUMIF($AA$11:$AA$170,"&lt;68",$AE$11:$AE$170)+SUMIF($AS$11:$AS$170,"&lt;68",$AW$11:$AW$170)-SUMIF($AA$11:$AA$170,"&lt;52",$AE$11:$AE$170)-SUMIF($AS$11:$AS$170,"&lt;52",$AW$11:$AW$170)</f>
        <v>98.700000000000045</v>
      </c>
      <c r="CH154" s="1422">
        <f>SUMIF($AA$11:$AA$170,"&lt;68",$BW$11:$BW$170)+SUMIF($AS$11:$AS$170,"&lt;68",$CB$11:$CB$170)-SUMIF($AA$11:$AA$170,"&lt;52",$BW$11:$BW$170)-SUMIF($AS$11:$AS$170,"&lt;52",$CB$11:$CB$170)</f>
        <v>3832.9099999999967</v>
      </c>
      <c r="CI154" s="1428">
        <f>SUMPRODUCT(($AA$11:$AA$170&lt;68)*($AE$11:$AE$170&lt;&gt;""))+SUMPRODUCT(($AS$11:$AS$170&lt;68)*($AW$11:$AW$170&lt;&gt;""))-SUMPRODUCT(($AA$11:$AA$170&lt;52)*($AE$11:$AE$170&lt;&gt;""))-SUMPRODUCT(($AS$11:$AS$170&lt;52)*($AW$11:$AW$170&lt;&gt;""))</f>
        <v>25</v>
      </c>
      <c r="CJ154" s="1422">
        <f>IF(CI154=0,0,IF(CI154="","",CG154/CI154))</f>
        <v>3.9480000000000017</v>
      </c>
      <c r="CK154" s="1438">
        <f>IF(CI154&lt;2,0,SQRT((CH154/CI154-CJ154*CJ154)/(CI154-1)))</f>
        <v>2.3955661822068968</v>
      </c>
      <c r="CL154" s="1439">
        <f>SUMIF($AJ$11:$AJ$170,"&lt;68",$AN$11:$AN$170)+SUMIF($BB$11:$BB$170,"&lt;68",$BF$11:$BF$170)-SUMIF($AJ$11:$AJ$170,"&lt;52",$AN$11:$AN$170)-SUMIF($BB$11:$BB$170,"&lt;52",$BF$11:$BF$170)</f>
        <v>45.150000000000034</v>
      </c>
      <c r="CM154" s="1422">
        <f>SUMIF($AJ$11:$AJ$170,"&lt;68",$BY$11:$BY$170)+SUMIF($BB$11:$BB$170,"&lt;68",$CD$11:$CD$170)-SUMIF($AJ$11:$AJ$170,"&lt;52",$BY$11:$BY$170)-SUMIF($BB$11:$BB$170,"&lt;52",$CD$11:$CD$170)</f>
        <v>91.612499999999898</v>
      </c>
      <c r="CN154" s="1440">
        <f>SUMPRODUCT(($AJ$11:$AJ$170&lt;68)*($AN$11:$AN$170&lt;&gt;""))+SUMPRODUCT(($BB$11:$BB$170&lt;68)*($BF$11:$BF$170&lt;&gt;""))-SUMPRODUCT(($AJ$11:$AJ$170&lt;52)*($AN$11:$AN$170&lt;&gt;""))-SUMPRODUCT(($BB$11:$BB$170&lt;52)*($BF$11:$BF$170&lt;&gt;""))</f>
        <v>25</v>
      </c>
      <c r="CO154" s="1422">
        <f>IF(CN154=0,0,IF(CN154="","",CL154/CN154))</f>
        <v>1.8060000000000014</v>
      </c>
      <c r="CP154" s="1441">
        <f>IF(CN154&lt;2,0,SQRT((CM154/CN154-CO154*CO154)/(CN154-1)))</f>
        <v>0.12956079653969257</v>
      </c>
      <c r="CQ154" s="1439">
        <f>CG154+CL154</f>
        <v>143.85000000000008</v>
      </c>
      <c r="CR154" s="1422">
        <f>CH154+CM154</f>
        <v>3924.5224999999964</v>
      </c>
      <c r="CS154" s="1422">
        <f>CI154+CN154</f>
        <v>50</v>
      </c>
      <c r="CT154" s="1422">
        <f>IF(CS154=0,0,IF(CS154="","",CQ154/CS154))</f>
        <v>2.8770000000000016</v>
      </c>
      <c r="CU154" s="1438">
        <f>IF(CS154&lt;2,0,SQRT(ABS((CR154/CS154-CT154*CT154)/(CS154-1))))</f>
        <v>1.1970484193913566</v>
      </c>
      <c r="CV154" s="476"/>
      <c r="CW154" s="345"/>
      <c r="CX154" s="345"/>
      <c r="CY154" s="345"/>
      <c r="CZ154" s="345"/>
      <c r="DA154" s="345"/>
      <c r="DB154" s="345"/>
      <c r="DC154" s="345"/>
      <c r="DD154" s="345"/>
      <c r="DE154" s="345"/>
      <c r="DF154" s="345"/>
      <c r="DG154" s="345"/>
      <c r="DH154" s="345"/>
      <c r="DI154" s="345"/>
      <c r="DJ154" s="345"/>
      <c r="DK154" s="345"/>
      <c r="DL154" s="345"/>
      <c r="DM154" s="345"/>
      <c r="DN154" s="345"/>
      <c r="DO154" s="345"/>
      <c r="DP154" s="345"/>
      <c r="DQ154" s="345"/>
      <c r="DR154" s="345"/>
      <c r="DS154" s="345"/>
      <c r="DT154" s="345"/>
      <c r="DU154" s="345"/>
      <c r="DV154" s="345"/>
      <c r="DW154" s="345"/>
      <c r="DX154" s="345"/>
      <c r="DY154" s="345"/>
      <c r="DZ154" s="345"/>
      <c r="EA154" s="345"/>
      <c r="EB154" s="345"/>
      <c r="EC154" s="345"/>
      <c r="ED154" s="345"/>
      <c r="EE154" s="345"/>
      <c r="EF154" s="345"/>
      <c r="EG154" s="345"/>
      <c r="EH154" s="345"/>
      <c r="EI154" s="345"/>
      <c r="EJ154" s="345"/>
      <c r="EK154" s="345"/>
      <c r="EL154" s="345"/>
      <c r="EM154" s="345"/>
      <c r="EN154" s="345"/>
      <c r="EO154" s="345"/>
      <c r="EP154" s="345"/>
      <c r="EQ154" s="345"/>
      <c r="ER154" s="345"/>
      <c r="ES154" s="345"/>
      <c r="ET154" s="345"/>
      <c r="EU154" s="345"/>
      <c r="EV154" s="345"/>
      <c r="EW154" s="345"/>
      <c r="EX154" s="345"/>
      <c r="EY154" s="345"/>
      <c r="EZ154" s="345"/>
      <c r="FA154" s="345"/>
      <c r="FB154" s="345"/>
      <c r="FC154" s="345"/>
      <c r="FD154" s="345"/>
      <c r="FE154" s="345"/>
      <c r="FF154" s="345"/>
      <c r="FG154" s="345"/>
      <c r="FH154" s="345"/>
      <c r="FI154" s="345"/>
      <c r="FJ154" s="345"/>
      <c r="FK154" s="345"/>
      <c r="FL154" s="345"/>
      <c r="FM154" s="345"/>
      <c r="FN154" s="345"/>
      <c r="FO154" s="345"/>
      <c r="FP154" s="345"/>
      <c r="FQ154" s="345"/>
      <c r="FR154" s="345"/>
      <c r="FS154" s="345"/>
      <c r="FT154" s="345"/>
      <c r="FU154" s="345"/>
      <c r="FV154" s="345"/>
      <c r="FW154" s="345"/>
      <c r="FX154" s="345"/>
      <c r="FY154" s="345"/>
      <c r="FZ154" s="345"/>
      <c r="GA154" s="345"/>
      <c r="GB154" s="345"/>
      <c r="GC154" s="345"/>
      <c r="GD154" s="345"/>
      <c r="GE154" s="345"/>
      <c r="GF154" s="345"/>
      <c r="GG154" s="345"/>
      <c r="GH154" s="345"/>
      <c r="GI154" s="345"/>
      <c r="GJ154" s="345"/>
      <c r="GK154" s="345"/>
      <c r="GL154" s="345"/>
      <c r="GM154" s="345"/>
      <c r="GN154" s="345"/>
      <c r="GO154" s="345"/>
      <c r="GP154" s="345"/>
      <c r="GQ154" s="345"/>
      <c r="GR154" s="345"/>
      <c r="GS154" s="345"/>
      <c r="GT154" s="345"/>
      <c r="GU154" s="345"/>
    </row>
    <row r="155" spans="1:203" ht="12.75" customHeight="1">
      <c r="A155" s="465" t="str">
        <f t="shared" si="123"/>
        <v/>
      </c>
      <c r="B155" s="1108">
        <v>145</v>
      </c>
      <c r="C155" s="1131"/>
      <c r="D155" s="398"/>
      <c r="E155" s="1116"/>
      <c r="F155" s="465" t="str">
        <f t="shared" si="125"/>
        <v/>
      </c>
      <c r="G155" s="1108">
        <v>145</v>
      </c>
      <c r="H155" s="1131"/>
      <c r="I155" s="1110"/>
      <c r="J155" s="1116"/>
      <c r="K155" s="465"/>
      <c r="L155" s="465"/>
      <c r="M155" s="465" t="str">
        <f t="shared" si="121"/>
        <v/>
      </c>
      <c r="N155" s="1108">
        <v>145</v>
      </c>
      <c r="O155" s="1131"/>
      <c r="P155" s="398"/>
      <c r="Q155" s="1116"/>
      <c r="R155" s="465" t="str">
        <f t="shared" si="122"/>
        <v/>
      </c>
      <c r="S155" s="1108">
        <v>145</v>
      </c>
      <c r="T155" s="1131"/>
      <c r="U155" s="1133"/>
      <c r="V155" s="1116"/>
      <c r="W155" s="371"/>
      <c r="X155" s="494" t="str">
        <f t="shared" si="98"/>
        <v/>
      </c>
      <c r="Y155" s="495" t="str">
        <f>IF('Feuilles=description générale'!$E$13="","",IF(X155="","",IF(X155&gt;('Feuilles=description générale'!$E$11+'Feuilles=description générale'!$E$10),"",100*(X155-'Feuilles=description générale'!$E$10)/('Feuilles=description générale'!$E$11))))</f>
        <v/>
      </c>
      <c r="Z155" s="495" t="str">
        <f>IF('Feuilles=description générale'!$E$13="","",IF(X155="","",IF(X155&lt;=('Feuilles=description générale'!$E$11+'Feuilles=description générale'!$E$10),"",100*(X155-'Feuilles=description générale'!$E$11-'Feuilles=description générale'!$E$10)/('Feuilles=description générale'!$E$12))))</f>
        <v/>
      </c>
      <c r="AA155" s="1112" t="str">
        <f>IF('Feuilles=description générale'!$E$13="","",IF(X155="","",100*(X155-'Feuilles=description générale'!$E$10)/('Feuilles=description générale'!$E$13-'Feuilles=description générale'!$E$10)))</f>
        <v/>
      </c>
      <c r="AB155" s="497" t="str">
        <f t="shared" si="99"/>
        <v/>
      </c>
      <c r="AC155" s="500" t="str">
        <f t="shared" si="124"/>
        <v/>
      </c>
      <c r="AD155" s="494" t="str">
        <f t="shared" si="100"/>
        <v/>
      </c>
      <c r="AE155" s="499" t="str">
        <f t="shared" si="101"/>
        <v/>
      </c>
      <c r="AF155" s="371"/>
      <c r="AG155" s="494" t="str">
        <f t="shared" si="102"/>
        <v/>
      </c>
      <c r="AH155" s="495" t="str">
        <f>IF('Feuilles=description générale'!$E$13="","",IF(AG155="","",IF(AG155&gt;('Feuilles=description générale'!$E$11+'Feuilles=description générale'!$E$10),"",100*(AG155-'Feuilles=description générale'!$E$10)/('Feuilles=description générale'!$E$11))))</f>
        <v/>
      </c>
      <c r="AI155" s="495" t="str">
        <f>IF('Feuilles=description générale'!$E$13="","",IF(AG155="","",IF(AG155&lt;=('Feuilles=description générale'!$E$11+'Feuilles=description générale'!$E$10),"",100*(AG155-'Feuilles=description générale'!$E$11-'Feuilles=description générale'!$E$10)/('Feuilles=description générale'!$E$12))))</f>
        <v/>
      </c>
      <c r="AJ155" s="496" t="str">
        <f>IF('Feuilles=description générale'!$E$13="","",IF(AG155="","",100*(AG155-'Feuilles=description générale'!$E$10)/('Feuilles=description générale'!$E$13-'Feuilles=description générale'!$E$10)))</f>
        <v/>
      </c>
      <c r="AK155" s="1113" t="str">
        <f t="shared" si="103"/>
        <v/>
      </c>
      <c r="AL155" s="498" t="str">
        <f t="shared" si="104"/>
        <v/>
      </c>
      <c r="AM155" s="494" t="str">
        <f t="shared" si="105"/>
        <v/>
      </c>
      <c r="AN155" s="499" t="str">
        <f t="shared" si="106"/>
        <v/>
      </c>
      <c r="AO155" s="371"/>
      <c r="AP155" s="494" t="str">
        <f t="shared" si="107"/>
        <v/>
      </c>
      <c r="AQ155" s="495" t="str">
        <f>IF('Feuilles=description générale'!$E$13="","",IF(AP155="","",IF(AP155&gt;('Feuilles=description générale'!$E$25+'Feuilles=description générale'!$E$24),"",100*(AP155-'Feuilles=description générale'!$E$24)/('Feuilles=description générale'!$E$25))))</f>
        <v/>
      </c>
      <c r="AR155" s="495" t="str">
        <f>IF('Feuilles=description générale'!$E$27="","",IF(AP155="","",IF(AP155&lt;=('Feuilles=description générale'!$E$25+'Feuilles=description générale'!$E$24),"",100*(AP155-'Feuilles=description générale'!$E$25-'Feuilles=description générale'!$E$24)/('Feuilles=description générale'!$E$26))))</f>
        <v/>
      </c>
      <c r="AS155" s="496" t="str">
        <f>IF('Feuilles=description générale'!$E$27="","",IF(AP155="","",100*(AP155-'Feuilles=description générale'!$E$24)/('Feuilles=description générale'!$E$27-'Feuilles=description générale'!$E$24)))</f>
        <v/>
      </c>
      <c r="AT155" s="497" t="str">
        <f t="shared" si="108"/>
        <v/>
      </c>
      <c r="AU155" s="500" t="str">
        <f t="shared" si="109"/>
        <v/>
      </c>
      <c r="AV155" s="494" t="str">
        <f t="shared" si="110"/>
        <v/>
      </c>
      <c r="AW155" s="499" t="str">
        <f t="shared" si="111"/>
        <v/>
      </c>
      <c r="AX155" s="371"/>
      <c r="AY155" s="494" t="str">
        <f t="shared" si="112"/>
        <v/>
      </c>
      <c r="AZ155" s="495" t="str">
        <f>IF('Feuilles=description générale'!$E$13="","",IF(AY155="","",IF(AY155&gt;('Feuilles=description générale'!$E$25+'Feuilles=description générale'!$E$24),"",100*(AY155-'Feuilles=description générale'!$E$24)/('Feuilles=description générale'!$E$25))))</f>
        <v/>
      </c>
      <c r="BA155" s="495" t="str">
        <f>IF('Feuilles=description générale'!$E$27="","",IF(AY155="","",IF(AY155&lt;=('Feuilles=description générale'!$E$25+'Feuilles=description générale'!$E$24),"",100*(AY155-'Feuilles=description générale'!$E$25-'Feuilles=description générale'!$E$24)/('Feuilles=description générale'!$E$26))))</f>
        <v/>
      </c>
      <c r="BB155" s="496" t="str">
        <f>IF('Feuilles=description générale'!$E$27="","",IF(AY155="","",100*(AY155-'Feuilles=description générale'!$E$24)/('Feuilles=description générale'!$E$27-'Feuilles=description générale'!$E$24)))</f>
        <v/>
      </c>
      <c r="BC155" s="497" t="str">
        <f t="shared" si="113"/>
        <v/>
      </c>
      <c r="BD155" s="500" t="str">
        <f t="shared" si="114"/>
        <v/>
      </c>
      <c r="BE155" s="494" t="str">
        <f t="shared" si="115"/>
        <v/>
      </c>
      <c r="BF155" s="499" t="str">
        <f t="shared" si="116"/>
        <v/>
      </c>
      <c r="BG155" s="476"/>
      <c r="BH155" s="563"/>
      <c r="BI155" s="562"/>
      <c r="BJ155" s="562"/>
      <c r="BK155" s="562"/>
      <c r="BL155" s="562"/>
      <c r="BM155" s="562"/>
      <c r="BN155" s="562"/>
      <c r="BO155" s="562"/>
      <c r="BP155" s="562"/>
      <c r="BQ155" s="562"/>
      <c r="BR155" s="562"/>
      <c r="BS155" s="562"/>
      <c r="BT155" s="562"/>
      <c r="BU155" s="568"/>
      <c r="BV155" s="1114" t="str">
        <f t="shared" si="117"/>
        <v/>
      </c>
      <c r="BW155" s="1114" t="str">
        <f t="shared" si="117"/>
        <v/>
      </c>
      <c r="BX155" s="1114" t="str">
        <f t="shared" si="118"/>
        <v/>
      </c>
      <c r="BY155" s="1115" t="str">
        <f t="shared" si="118"/>
        <v/>
      </c>
      <c r="BZ155" s="477"/>
      <c r="CA155" s="1114" t="str">
        <f t="shared" si="119"/>
        <v/>
      </c>
      <c r="CB155" s="1114" t="str">
        <f t="shared" si="119"/>
        <v/>
      </c>
      <c r="CC155" s="1114" t="str">
        <f t="shared" si="120"/>
        <v/>
      </c>
      <c r="CD155" s="1115" t="str">
        <f t="shared" si="120"/>
        <v/>
      </c>
      <c r="CE155" s="568"/>
      <c r="CF155" s="1433">
        <v>68</v>
      </c>
      <c r="CG155" s="1427"/>
      <c r="CH155" s="1422"/>
      <c r="CI155" s="1428"/>
      <c r="CJ155" s="1422"/>
      <c r="CK155" s="1438"/>
      <c r="CL155" s="1439"/>
      <c r="CM155" s="1422"/>
      <c r="CN155" s="1437"/>
      <c r="CO155" s="1422"/>
      <c r="CP155" s="1441"/>
      <c r="CQ155" s="1439"/>
      <c r="CR155" s="1422"/>
      <c r="CS155" s="1422"/>
      <c r="CT155" s="1422"/>
      <c r="CU155" s="1438"/>
      <c r="CV155" s="476"/>
      <c r="CW155" s="345"/>
      <c r="CX155" s="345"/>
      <c r="CY155" s="345"/>
      <c r="CZ155" s="345"/>
      <c r="DA155" s="345"/>
      <c r="DB155" s="345"/>
      <c r="DC155" s="345"/>
      <c r="DD155" s="345"/>
      <c r="DE155" s="345"/>
      <c r="DF155" s="345"/>
      <c r="DG155" s="345"/>
      <c r="DH155" s="345"/>
      <c r="DI155" s="345"/>
      <c r="DJ155" s="345"/>
      <c r="DK155" s="345"/>
      <c r="DL155" s="345"/>
      <c r="DM155" s="345"/>
      <c r="DN155" s="345"/>
      <c r="DO155" s="345"/>
      <c r="DP155" s="345"/>
      <c r="DQ155" s="345"/>
      <c r="DR155" s="345"/>
      <c r="DS155" s="345"/>
      <c r="DT155" s="345"/>
      <c r="DU155" s="345"/>
      <c r="DV155" s="345"/>
      <c r="DW155" s="345"/>
      <c r="DX155" s="345"/>
      <c r="DY155" s="345"/>
      <c r="DZ155" s="345"/>
      <c r="EA155" s="345"/>
      <c r="EB155" s="345"/>
      <c r="EC155" s="345"/>
      <c r="ED155" s="345"/>
      <c r="EE155" s="345"/>
      <c r="EF155" s="345"/>
      <c r="EG155" s="345"/>
      <c r="EH155" s="345"/>
      <c r="EI155" s="345"/>
      <c r="EJ155" s="345"/>
      <c r="EK155" s="345"/>
      <c r="EL155" s="345"/>
      <c r="EM155" s="345"/>
      <c r="EN155" s="345"/>
      <c r="EO155" s="345"/>
      <c r="EP155" s="345"/>
      <c r="EQ155" s="345"/>
      <c r="ER155" s="345"/>
      <c r="ES155" s="345"/>
      <c r="ET155" s="345"/>
      <c r="EU155" s="345"/>
      <c r="EV155" s="345"/>
      <c r="EW155" s="345"/>
      <c r="EX155" s="345"/>
      <c r="EY155" s="345"/>
      <c r="EZ155" s="345"/>
      <c r="FA155" s="345"/>
      <c r="FB155" s="345"/>
      <c r="FC155" s="345"/>
      <c r="FD155" s="345"/>
      <c r="FE155" s="345"/>
      <c r="FF155" s="345"/>
      <c r="FG155" s="345"/>
      <c r="FH155" s="345"/>
      <c r="FI155" s="345"/>
      <c r="FJ155" s="345"/>
      <c r="FK155" s="345"/>
      <c r="FL155" s="345"/>
      <c r="FM155" s="345"/>
      <c r="FN155" s="345"/>
      <c r="FO155" s="345"/>
      <c r="FP155" s="345"/>
      <c r="FQ155" s="345"/>
      <c r="FR155" s="345"/>
      <c r="FS155" s="345"/>
      <c r="FT155" s="345"/>
      <c r="FU155" s="345"/>
      <c r="FV155" s="345"/>
      <c r="FW155" s="345"/>
      <c r="FX155" s="345"/>
      <c r="FY155" s="345"/>
      <c r="FZ155" s="345"/>
      <c r="GA155" s="345"/>
      <c r="GB155" s="345"/>
      <c r="GC155" s="345"/>
      <c r="GD155" s="345"/>
      <c r="GE155" s="345"/>
      <c r="GF155" s="345"/>
      <c r="GG155" s="345"/>
      <c r="GH155" s="345"/>
      <c r="GI155" s="345"/>
      <c r="GJ155" s="345"/>
      <c r="GK155" s="345"/>
      <c r="GL155" s="345"/>
      <c r="GM155" s="345"/>
      <c r="GN155" s="345"/>
      <c r="GO155" s="345"/>
      <c r="GP155" s="345"/>
      <c r="GQ155" s="345"/>
      <c r="GR155" s="345"/>
      <c r="GS155" s="345"/>
      <c r="GT155" s="345"/>
      <c r="GU155" s="345"/>
    </row>
    <row r="156" spans="1:203" ht="12.75" customHeight="1">
      <c r="A156" s="465" t="str">
        <f t="shared" si="123"/>
        <v/>
      </c>
      <c r="B156" s="1108">
        <v>146</v>
      </c>
      <c r="C156" s="1131"/>
      <c r="D156" s="398"/>
      <c r="E156" s="1116"/>
      <c r="F156" s="465" t="str">
        <f t="shared" si="125"/>
        <v/>
      </c>
      <c r="G156" s="1108">
        <v>146</v>
      </c>
      <c r="H156" s="1131"/>
      <c r="I156" s="1110"/>
      <c r="J156" s="1116"/>
      <c r="K156" s="465"/>
      <c r="L156" s="465"/>
      <c r="M156" s="465" t="str">
        <f t="shared" si="121"/>
        <v/>
      </c>
      <c r="N156" s="1108">
        <v>146</v>
      </c>
      <c r="O156" s="1131"/>
      <c r="P156" s="398"/>
      <c r="Q156" s="1116"/>
      <c r="R156" s="465" t="str">
        <f t="shared" si="122"/>
        <v/>
      </c>
      <c r="S156" s="1108">
        <v>146</v>
      </c>
      <c r="T156" s="1131"/>
      <c r="U156" s="1133"/>
      <c r="V156" s="1116"/>
      <c r="W156" s="371"/>
      <c r="X156" s="494" t="str">
        <f t="shared" si="98"/>
        <v/>
      </c>
      <c r="Y156" s="495" t="str">
        <f>IF('Feuilles=description générale'!$E$13="","",IF(X156="","",IF(X156&gt;('Feuilles=description générale'!$E$11+'Feuilles=description générale'!$E$10),"",100*(X156-'Feuilles=description générale'!$E$10)/('Feuilles=description générale'!$E$11))))</f>
        <v/>
      </c>
      <c r="Z156" s="495" t="str">
        <f>IF('Feuilles=description générale'!$E$13="","",IF(X156="","",IF(X156&lt;=('Feuilles=description générale'!$E$11+'Feuilles=description générale'!$E$10),"",100*(X156-'Feuilles=description générale'!$E$11-'Feuilles=description générale'!$E$10)/('Feuilles=description générale'!$E$12))))</f>
        <v/>
      </c>
      <c r="AA156" s="1112" t="str">
        <f>IF('Feuilles=description générale'!$E$13="","",IF(X156="","",100*(X156-'Feuilles=description générale'!$E$10)/('Feuilles=description générale'!$E$13-'Feuilles=description générale'!$E$10)))</f>
        <v/>
      </c>
      <c r="AB156" s="497" t="str">
        <f t="shared" si="99"/>
        <v/>
      </c>
      <c r="AC156" s="500" t="str">
        <f t="shared" si="124"/>
        <v/>
      </c>
      <c r="AD156" s="494" t="str">
        <f t="shared" si="100"/>
        <v/>
      </c>
      <c r="AE156" s="499" t="str">
        <f t="shared" si="101"/>
        <v/>
      </c>
      <c r="AF156" s="371"/>
      <c r="AG156" s="494" t="str">
        <f t="shared" si="102"/>
        <v/>
      </c>
      <c r="AH156" s="495" t="str">
        <f>IF('Feuilles=description générale'!$E$13="","",IF(AG156="","",IF(AG156&gt;('Feuilles=description générale'!$E$11+'Feuilles=description générale'!$E$10),"",100*(AG156-'Feuilles=description générale'!$E$10)/('Feuilles=description générale'!$E$11))))</f>
        <v/>
      </c>
      <c r="AI156" s="495" t="str">
        <f>IF('Feuilles=description générale'!$E$13="","",IF(AG156="","",IF(AG156&lt;=('Feuilles=description générale'!$E$11+'Feuilles=description générale'!$E$10),"",100*(AG156-'Feuilles=description générale'!$E$11-'Feuilles=description générale'!$E$10)/('Feuilles=description générale'!$E$12))))</f>
        <v/>
      </c>
      <c r="AJ156" s="496" t="str">
        <f>IF('Feuilles=description générale'!$E$13="","",IF(AG156="","",100*(AG156-'Feuilles=description générale'!$E$10)/('Feuilles=description générale'!$E$13-'Feuilles=description générale'!$E$10)))</f>
        <v/>
      </c>
      <c r="AK156" s="1113" t="str">
        <f t="shared" si="103"/>
        <v/>
      </c>
      <c r="AL156" s="498" t="str">
        <f t="shared" si="104"/>
        <v/>
      </c>
      <c r="AM156" s="494" t="str">
        <f t="shared" si="105"/>
        <v/>
      </c>
      <c r="AN156" s="499" t="str">
        <f t="shared" si="106"/>
        <v/>
      </c>
      <c r="AO156" s="371"/>
      <c r="AP156" s="494" t="str">
        <f t="shared" si="107"/>
        <v/>
      </c>
      <c r="AQ156" s="495" t="str">
        <f>IF('Feuilles=description générale'!$E$13="","",IF(AP156="","",IF(AP156&gt;('Feuilles=description générale'!$E$25+'Feuilles=description générale'!$E$24),"",100*(AP156-'Feuilles=description générale'!$E$24)/('Feuilles=description générale'!$E$25))))</f>
        <v/>
      </c>
      <c r="AR156" s="495" t="str">
        <f>IF('Feuilles=description générale'!$E$27="","",IF(AP156="","",IF(AP156&lt;=('Feuilles=description générale'!$E$25+'Feuilles=description générale'!$E$24),"",100*(AP156-'Feuilles=description générale'!$E$25-'Feuilles=description générale'!$E$24)/('Feuilles=description générale'!$E$26))))</f>
        <v/>
      </c>
      <c r="AS156" s="496" t="str">
        <f>IF('Feuilles=description générale'!$E$27="","",IF(AP156="","",100*(AP156-'Feuilles=description générale'!$E$24)/('Feuilles=description générale'!$E$27-'Feuilles=description générale'!$E$24)))</f>
        <v/>
      </c>
      <c r="AT156" s="497" t="str">
        <f t="shared" si="108"/>
        <v/>
      </c>
      <c r="AU156" s="500" t="str">
        <f t="shared" si="109"/>
        <v/>
      </c>
      <c r="AV156" s="494" t="str">
        <f t="shared" si="110"/>
        <v/>
      </c>
      <c r="AW156" s="499" t="str">
        <f t="shared" si="111"/>
        <v/>
      </c>
      <c r="AX156" s="371"/>
      <c r="AY156" s="494" t="str">
        <f t="shared" si="112"/>
        <v/>
      </c>
      <c r="AZ156" s="495" t="str">
        <f>IF('Feuilles=description générale'!$E$13="","",IF(AY156="","",IF(AY156&gt;('Feuilles=description générale'!$E$25+'Feuilles=description générale'!$E$24),"",100*(AY156-'Feuilles=description générale'!$E$24)/('Feuilles=description générale'!$E$25))))</f>
        <v/>
      </c>
      <c r="BA156" s="495" t="str">
        <f>IF('Feuilles=description générale'!$E$27="","",IF(AY156="","",IF(AY156&lt;=('Feuilles=description générale'!$E$25+'Feuilles=description générale'!$E$24),"",100*(AY156-'Feuilles=description générale'!$E$25-'Feuilles=description générale'!$E$24)/('Feuilles=description générale'!$E$26))))</f>
        <v/>
      </c>
      <c r="BB156" s="496" t="str">
        <f>IF('Feuilles=description générale'!$E$27="","",IF(AY156="","",100*(AY156-'Feuilles=description générale'!$E$24)/('Feuilles=description générale'!$E$27-'Feuilles=description générale'!$E$24)))</f>
        <v/>
      </c>
      <c r="BC156" s="497" t="str">
        <f t="shared" si="113"/>
        <v/>
      </c>
      <c r="BD156" s="500" t="str">
        <f t="shared" si="114"/>
        <v/>
      </c>
      <c r="BE156" s="494" t="str">
        <f t="shared" si="115"/>
        <v/>
      </c>
      <c r="BF156" s="499" t="str">
        <f t="shared" si="116"/>
        <v/>
      </c>
      <c r="BG156" s="476"/>
      <c r="BH156" s="563"/>
      <c r="BI156" s="562"/>
      <c r="BJ156" s="562"/>
      <c r="BK156" s="562"/>
      <c r="BL156" s="562"/>
      <c r="BM156" s="562"/>
      <c r="BN156" s="562"/>
      <c r="BO156" s="562"/>
      <c r="BP156" s="562"/>
      <c r="BQ156" s="562"/>
      <c r="BR156" s="562"/>
      <c r="BS156" s="562"/>
      <c r="BT156" s="562"/>
      <c r="BU156" s="568"/>
      <c r="BV156" s="1114" t="str">
        <f t="shared" si="117"/>
        <v/>
      </c>
      <c r="BW156" s="1114" t="str">
        <f t="shared" si="117"/>
        <v/>
      </c>
      <c r="BX156" s="1114" t="str">
        <f t="shared" si="118"/>
        <v/>
      </c>
      <c r="BY156" s="1115" t="str">
        <f t="shared" si="118"/>
        <v/>
      </c>
      <c r="BZ156" s="477"/>
      <c r="CA156" s="1114" t="str">
        <f t="shared" si="119"/>
        <v/>
      </c>
      <c r="CB156" s="1114" t="str">
        <f t="shared" si="119"/>
        <v/>
      </c>
      <c r="CC156" s="1114" t="str">
        <f t="shared" si="120"/>
        <v/>
      </c>
      <c r="CD156" s="1115" t="str">
        <f t="shared" si="120"/>
        <v/>
      </c>
      <c r="CE156" s="568"/>
      <c r="CF156" s="1433"/>
      <c r="CG156" s="1427">
        <f>SUMIF($AA$11:$AA$170,"&lt;84",$AE$11:$AE$170)+SUMIF($AS$11:$AS$170,"&lt;84",$AW$11:$AW$170)-SUMIF($AA$11:$AA$170,"&lt;68",$AE$11:$AE$170)-SUMIF($AS$11:$AS$170,"&lt;68",$AW$11:$AW$170)</f>
        <v>48.689999999999934</v>
      </c>
      <c r="CH156" s="1422">
        <f>SUMIF($AA$11:$AA$170,"&lt;84",$BW$11:$BW$170)+SUMIF($AS$11:$AS$170,"&lt;84",$CB$11:$CB$170)-SUMIF($AA$11:$AA$170,"&lt;68",$BW$11:$BW$170)-SUMIF($AS$11:$AS$170,"&lt;68",$CB$11:$CB$170)</f>
        <v>99.290100000001615</v>
      </c>
      <c r="CI156" s="1428">
        <f>SUMPRODUCT(($AA$11:$AA$170&lt;84)*($AE$11:$AE$170&lt;&gt;""))+SUMPRODUCT(($AS$11:$AS$170&lt;84)*($AW$11:$AW$170&lt;&gt;""))-SUMPRODUCT(($AA$11:$AA$170&lt;68)*($AE$11:$AE$170&lt;&gt;""))-SUMPRODUCT(($AS$11:$AS$170&lt;68)*($AW$11:$AW$170&lt;&gt;""))</f>
        <v>29</v>
      </c>
      <c r="CJ156" s="1422">
        <f>IF(CI156=0,0,IF(CI156="","",CG156/CI156))</f>
        <v>1.6789655172413771</v>
      </c>
      <c r="CK156" s="1438">
        <f>IF(CI156&lt;2,0,SQRT((CH156/CI156-CJ156*CJ156)/(CI156-1)))</f>
        <v>0.14697805273949052</v>
      </c>
      <c r="CL156" s="1439">
        <f>SUMIF($AJ$11:$AJ$170,"&lt;84",$AN$11:$AN$170)+SUMIF($BB$11:$BB$170,"&lt;84",$BF$11:$BF$170)-SUMIF($AJ$11:$AJ$170,"&lt;68",$AN$11:$AN$170)-SUMIF($BB$11:$BB$170,"&lt;68",$BF$11:$BF$170)</f>
        <v>46.110000000000014</v>
      </c>
      <c r="CM156" s="1422">
        <f>SUMIF($AJ$11:$AJ$170,"&lt;84",$BY$11:$BY$170)+SUMIF($BB$11:$BB$170,"&lt;84",$CD$11:$CD$170)-SUMIF($AJ$11:$AJ$170,"&lt;68",$BY$11:$BY$170)-SUMIF($BB$11:$BB$170,"&lt;68",$CD$11:$CD$170)</f>
        <v>78.396099999999905</v>
      </c>
      <c r="CN156" s="1440">
        <f>SUMPRODUCT(($AJ$11:$AJ$170&lt;84)*($AN$11:$AN$170&lt;&gt;""))+SUMPRODUCT(($BB$11:$BB$170&lt;84)*($BF$11:$BF$170&lt;&gt;""))-SUMPRODUCT(($AJ$11:$AJ$170&lt;68)*($AN$11:$AN$170&lt;&gt;""))-SUMPRODUCT(($BB$11:$BB$170&lt;68)*($BF$11:$BF$170&lt;&gt;""))</f>
        <v>30</v>
      </c>
      <c r="CO156" s="1422">
        <f>IF(CN156=0,0,IF(CN156="","",CL156/CN156))</f>
        <v>1.5370000000000004</v>
      </c>
      <c r="CP156" s="1441">
        <f>IF(CN156&lt;2,0,SQRT((CM156/CN156-CO156*CO156)/(CN156-1)))</f>
        <v>9.3002471849487942E-2</v>
      </c>
      <c r="CQ156" s="1439">
        <f>CG156+CL156</f>
        <v>94.799999999999955</v>
      </c>
      <c r="CR156" s="1422">
        <f>CH156+CM156</f>
        <v>177.68620000000152</v>
      </c>
      <c r="CS156" s="1422">
        <f>CI156+CN156</f>
        <v>59</v>
      </c>
      <c r="CT156" s="1422">
        <f>IF(CS156=0,0,IF(CS156="","",CQ156/CS156))</f>
        <v>1.6067796610169485</v>
      </c>
      <c r="CU156" s="1438">
        <f>IF(CS156&lt;2,0,SQRT(ABS((CR156/CS156-CT156*CT156)/(CS156-1))))</f>
        <v>8.6092335096451506E-2</v>
      </c>
      <c r="CV156" s="476"/>
      <c r="CW156" s="345"/>
      <c r="CX156" s="345"/>
      <c r="CY156" s="345"/>
      <c r="CZ156" s="345"/>
      <c r="DA156" s="345"/>
      <c r="DB156" s="345"/>
      <c r="DC156" s="345"/>
      <c r="DD156" s="345"/>
      <c r="DE156" s="345"/>
      <c r="DF156" s="345"/>
      <c r="DG156" s="345"/>
      <c r="DH156" s="345"/>
      <c r="DI156" s="345"/>
      <c r="DJ156" s="345"/>
      <c r="DK156" s="345"/>
      <c r="DL156" s="345"/>
      <c r="DM156" s="345"/>
      <c r="DN156" s="345"/>
      <c r="DO156" s="345"/>
      <c r="DP156" s="345"/>
      <c r="DQ156" s="345"/>
      <c r="DR156" s="345"/>
      <c r="DS156" s="345"/>
      <c r="DT156" s="345"/>
      <c r="DU156" s="345"/>
      <c r="DV156" s="345"/>
      <c r="DW156" s="345"/>
      <c r="DX156" s="345"/>
      <c r="DY156" s="345"/>
      <c r="DZ156" s="345"/>
      <c r="EA156" s="345"/>
      <c r="EB156" s="345"/>
      <c r="EC156" s="345"/>
      <c r="ED156" s="345"/>
      <c r="EE156" s="345"/>
      <c r="EF156" s="345"/>
      <c r="EG156" s="345"/>
      <c r="EH156" s="345"/>
      <c r="EI156" s="345"/>
      <c r="EJ156" s="345"/>
      <c r="EK156" s="345"/>
      <c r="EL156" s="345"/>
      <c r="EM156" s="345"/>
      <c r="EN156" s="345"/>
      <c r="EO156" s="345"/>
      <c r="EP156" s="345"/>
      <c r="EQ156" s="345"/>
      <c r="ER156" s="345"/>
      <c r="ES156" s="345"/>
      <c r="ET156" s="345"/>
      <c r="EU156" s="345"/>
      <c r="EV156" s="345"/>
      <c r="EW156" s="345"/>
      <c r="EX156" s="345"/>
      <c r="EY156" s="345"/>
      <c r="EZ156" s="345"/>
      <c r="FA156" s="345"/>
      <c r="FB156" s="345"/>
      <c r="FC156" s="345"/>
      <c r="FD156" s="345"/>
      <c r="FE156" s="345"/>
      <c r="FF156" s="345"/>
      <c r="FG156" s="345"/>
      <c r="FH156" s="345"/>
      <c r="FI156" s="345"/>
      <c r="FJ156" s="345"/>
      <c r="FK156" s="345"/>
      <c r="FL156" s="345"/>
      <c r="FM156" s="345"/>
      <c r="FN156" s="345"/>
      <c r="FO156" s="345"/>
      <c r="FP156" s="345"/>
      <c r="FQ156" s="345"/>
      <c r="FR156" s="345"/>
      <c r="FS156" s="345"/>
      <c r="FT156" s="345"/>
      <c r="FU156" s="345"/>
      <c r="FV156" s="345"/>
      <c r="FW156" s="345"/>
      <c r="FX156" s="345"/>
      <c r="FY156" s="345"/>
      <c r="FZ156" s="345"/>
      <c r="GA156" s="345"/>
      <c r="GB156" s="345"/>
      <c r="GC156" s="345"/>
      <c r="GD156" s="345"/>
      <c r="GE156" s="345"/>
      <c r="GF156" s="345"/>
      <c r="GG156" s="345"/>
      <c r="GH156" s="345"/>
      <c r="GI156" s="345"/>
      <c r="GJ156" s="345"/>
      <c r="GK156" s="345"/>
      <c r="GL156" s="345"/>
      <c r="GM156" s="345"/>
      <c r="GN156" s="345"/>
      <c r="GO156" s="345"/>
      <c r="GP156" s="345"/>
      <c r="GQ156" s="345"/>
      <c r="GR156" s="345"/>
      <c r="GS156" s="345"/>
      <c r="GT156" s="345"/>
      <c r="GU156" s="345"/>
    </row>
    <row r="157" spans="1:203" ht="12.75" customHeight="1">
      <c r="A157" s="465" t="str">
        <f t="shared" si="123"/>
        <v/>
      </c>
      <c r="B157" s="1108">
        <v>147</v>
      </c>
      <c r="C157" s="1131"/>
      <c r="D157" s="398"/>
      <c r="E157" s="1116"/>
      <c r="F157" s="465" t="str">
        <f t="shared" si="125"/>
        <v/>
      </c>
      <c r="G157" s="1108">
        <v>147</v>
      </c>
      <c r="H157" s="1131"/>
      <c r="I157" s="1110"/>
      <c r="J157" s="1116"/>
      <c r="K157" s="465"/>
      <c r="L157" s="465"/>
      <c r="M157" s="465" t="str">
        <f t="shared" si="121"/>
        <v/>
      </c>
      <c r="N157" s="1108">
        <v>147</v>
      </c>
      <c r="O157" s="1131"/>
      <c r="P157" s="398"/>
      <c r="Q157" s="1116"/>
      <c r="R157" s="465" t="str">
        <f t="shared" si="122"/>
        <v/>
      </c>
      <c r="S157" s="1108">
        <v>147</v>
      </c>
      <c r="T157" s="1131"/>
      <c r="U157" s="1133"/>
      <c r="V157" s="1116"/>
      <c r="W157" s="371"/>
      <c r="X157" s="494" t="str">
        <f t="shared" si="98"/>
        <v/>
      </c>
      <c r="Y157" s="495" t="str">
        <f>IF('Feuilles=description générale'!$E$13="","",IF(X157="","",IF(X157&gt;('Feuilles=description générale'!$E$11+'Feuilles=description générale'!$E$10),"",100*(X157-'Feuilles=description générale'!$E$10)/('Feuilles=description générale'!$E$11))))</f>
        <v/>
      </c>
      <c r="Z157" s="495" t="str">
        <f>IF('Feuilles=description générale'!$E$13="","",IF(X157="","",IF(X157&lt;=('Feuilles=description générale'!$E$11+'Feuilles=description générale'!$E$10),"",100*(X157-'Feuilles=description générale'!$E$11-'Feuilles=description générale'!$E$10)/('Feuilles=description générale'!$E$12))))</f>
        <v/>
      </c>
      <c r="AA157" s="1112" t="str">
        <f>IF('Feuilles=description générale'!$E$13="","",IF(X157="","",100*(X157-'Feuilles=description générale'!$E$10)/('Feuilles=description générale'!$E$13-'Feuilles=description générale'!$E$10)))</f>
        <v/>
      </c>
      <c r="AB157" s="497" t="str">
        <f t="shared" si="99"/>
        <v/>
      </c>
      <c r="AC157" s="500" t="str">
        <f t="shared" si="124"/>
        <v/>
      </c>
      <c r="AD157" s="494" t="str">
        <f t="shared" si="100"/>
        <v/>
      </c>
      <c r="AE157" s="499" t="str">
        <f t="shared" si="101"/>
        <v/>
      </c>
      <c r="AF157" s="371"/>
      <c r="AG157" s="494" t="str">
        <f t="shared" si="102"/>
        <v/>
      </c>
      <c r="AH157" s="495" t="str">
        <f>IF('Feuilles=description générale'!$E$13="","",IF(AG157="","",IF(AG157&gt;('Feuilles=description générale'!$E$11+'Feuilles=description générale'!$E$10),"",100*(AG157-'Feuilles=description générale'!$E$10)/('Feuilles=description générale'!$E$11))))</f>
        <v/>
      </c>
      <c r="AI157" s="495" t="str">
        <f>IF('Feuilles=description générale'!$E$13="","",IF(AG157="","",IF(AG157&lt;=('Feuilles=description générale'!$E$11+'Feuilles=description générale'!$E$10),"",100*(AG157-'Feuilles=description générale'!$E$11-'Feuilles=description générale'!$E$10)/('Feuilles=description générale'!$E$12))))</f>
        <v/>
      </c>
      <c r="AJ157" s="496" t="str">
        <f>IF('Feuilles=description générale'!$E$13="","",IF(AG157="","",100*(AG157-'Feuilles=description générale'!$E$10)/('Feuilles=description générale'!$E$13-'Feuilles=description générale'!$E$10)))</f>
        <v/>
      </c>
      <c r="AK157" s="1113" t="str">
        <f t="shared" si="103"/>
        <v/>
      </c>
      <c r="AL157" s="498" t="str">
        <f t="shared" si="104"/>
        <v/>
      </c>
      <c r="AM157" s="494" t="str">
        <f t="shared" si="105"/>
        <v/>
      </c>
      <c r="AN157" s="499" t="str">
        <f t="shared" si="106"/>
        <v/>
      </c>
      <c r="AO157" s="371"/>
      <c r="AP157" s="494" t="str">
        <f t="shared" si="107"/>
        <v/>
      </c>
      <c r="AQ157" s="495" t="str">
        <f>IF('Feuilles=description générale'!$E$13="","",IF(AP157="","",IF(AP157&gt;('Feuilles=description générale'!$E$25+'Feuilles=description générale'!$E$24),"",100*(AP157-'Feuilles=description générale'!$E$24)/('Feuilles=description générale'!$E$25))))</f>
        <v/>
      </c>
      <c r="AR157" s="495" t="str">
        <f>IF('Feuilles=description générale'!$E$27="","",IF(AP157="","",IF(AP157&lt;=('Feuilles=description générale'!$E$25+'Feuilles=description générale'!$E$24),"",100*(AP157-'Feuilles=description générale'!$E$25-'Feuilles=description générale'!$E$24)/('Feuilles=description générale'!$E$26))))</f>
        <v/>
      </c>
      <c r="AS157" s="496" t="str">
        <f>IF('Feuilles=description générale'!$E$27="","",IF(AP157="","",100*(AP157-'Feuilles=description générale'!$E$24)/('Feuilles=description générale'!$E$27-'Feuilles=description générale'!$E$24)))</f>
        <v/>
      </c>
      <c r="AT157" s="497" t="str">
        <f t="shared" si="108"/>
        <v/>
      </c>
      <c r="AU157" s="500" t="str">
        <f t="shared" si="109"/>
        <v/>
      </c>
      <c r="AV157" s="494" t="str">
        <f t="shared" si="110"/>
        <v/>
      </c>
      <c r="AW157" s="499" t="str">
        <f t="shared" si="111"/>
        <v/>
      </c>
      <c r="AX157" s="371"/>
      <c r="AY157" s="494" t="str">
        <f t="shared" si="112"/>
        <v/>
      </c>
      <c r="AZ157" s="495" t="str">
        <f>IF('Feuilles=description générale'!$E$13="","",IF(AY157="","",IF(AY157&gt;('Feuilles=description générale'!$E$25+'Feuilles=description générale'!$E$24),"",100*(AY157-'Feuilles=description générale'!$E$24)/('Feuilles=description générale'!$E$25))))</f>
        <v/>
      </c>
      <c r="BA157" s="495" t="str">
        <f>IF('Feuilles=description générale'!$E$27="","",IF(AY157="","",IF(AY157&lt;=('Feuilles=description générale'!$E$25+'Feuilles=description générale'!$E$24),"",100*(AY157-'Feuilles=description générale'!$E$25-'Feuilles=description générale'!$E$24)/('Feuilles=description générale'!$E$26))))</f>
        <v/>
      </c>
      <c r="BB157" s="496" t="str">
        <f>IF('Feuilles=description générale'!$E$27="","",IF(AY157="","",100*(AY157-'Feuilles=description générale'!$E$24)/('Feuilles=description générale'!$E$27-'Feuilles=description générale'!$E$24)))</f>
        <v/>
      </c>
      <c r="BC157" s="497" t="str">
        <f t="shared" si="113"/>
        <v/>
      </c>
      <c r="BD157" s="500" t="str">
        <f t="shared" si="114"/>
        <v/>
      </c>
      <c r="BE157" s="494" t="str">
        <f t="shared" si="115"/>
        <v/>
      </c>
      <c r="BF157" s="499" t="str">
        <f t="shared" si="116"/>
        <v/>
      </c>
      <c r="BG157" s="476"/>
      <c r="BH157" s="563"/>
      <c r="BI157" s="562"/>
      <c r="BJ157" s="562"/>
      <c r="BK157" s="562"/>
      <c r="BL157" s="562"/>
      <c r="BM157" s="562"/>
      <c r="BN157" s="562"/>
      <c r="BO157" s="562"/>
      <c r="BP157" s="562"/>
      <c r="BQ157" s="562"/>
      <c r="BR157" s="562"/>
      <c r="BS157" s="562"/>
      <c r="BT157" s="562"/>
      <c r="BU157" s="568"/>
      <c r="BV157" s="1114" t="str">
        <f t="shared" si="117"/>
        <v/>
      </c>
      <c r="BW157" s="1114" t="str">
        <f t="shared" si="117"/>
        <v/>
      </c>
      <c r="BX157" s="1114" t="str">
        <f t="shared" si="118"/>
        <v/>
      </c>
      <c r="BY157" s="1115" t="str">
        <f t="shared" si="118"/>
        <v/>
      </c>
      <c r="BZ157" s="477"/>
      <c r="CA157" s="1114" t="str">
        <f t="shared" si="119"/>
        <v/>
      </c>
      <c r="CB157" s="1114" t="str">
        <f t="shared" si="119"/>
        <v/>
      </c>
      <c r="CC157" s="1114" t="str">
        <f t="shared" si="120"/>
        <v/>
      </c>
      <c r="CD157" s="1115" t="str">
        <f t="shared" si="120"/>
        <v/>
      </c>
      <c r="CE157" s="568"/>
      <c r="CF157" s="1433">
        <v>84</v>
      </c>
      <c r="CG157" s="1427"/>
      <c r="CH157" s="1422"/>
      <c r="CI157" s="1428"/>
      <c r="CJ157" s="1422"/>
      <c r="CK157" s="1438"/>
      <c r="CL157" s="1439"/>
      <c r="CM157" s="1422"/>
      <c r="CN157" s="1437"/>
      <c r="CO157" s="1422"/>
      <c r="CP157" s="1441"/>
      <c r="CQ157" s="1439"/>
      <c r="CR157" s="1422"/>
      <c r="CS157" s="1422"/>
      <c r="CT157" s="1422"/>
      <c r="CU157" s="1438"/>
      <c r="CV157" s="476"/>
      <c r="CW157" s="345"/>
      <c r="CX157" s="345"/>
      <c r="CY157" s="345"/>
      <c r="CZ157" s="345"/>
      <c r="DA157" s="345"/>
      <c r="DB157" s="345"/>
      <c r="DC157" s="345"/>
      <c r="DD157" s="345"/>
      <c r="DE157" s="345"/>
      <c r="DF157" s="345"/>
      <c r="DG157" s="345"/>
      <c r="DH157" s="345"/>
      <c r="DI157" s="345"/>
      <c r="DJ157" s="345"/>
      <c r="DK157" s="345"/>
      <c r="DL157" s="345"/>
      <c r="DM157" s="345"/>
      <c r="DN157" s="345"/>
      <c r="DO157" s="345"/>
      <c r="DP157" s="345"/>
      <c r="DQ157" s="345"/>
      <c r="DR157" s="345"/>
      <c r="DS157" s="345"/>
      <c r="DT157" s="345"/>
      <c r="DU157" s="345"/>
      <c r="DV157" s="345"/>
      <c r="DW157" s="345"/>
      <c r="DX157" s="345"/>
      <c r="DY157" s="345"/>
      <c r="DZ157" s="345"/>
      <c r="EA157" s="345"/>
      <c r="EB157" s="345"/>
      <c r="EC157" s="345"/>
      <c r="ED157" s="345"/>
      <c r="EE157" s="345"/>
      <c r="EF157" s="345"/>
      <c r="EG157" s="345"/>
      <c r="EH157" s="345"/>
      <c r="EI157" s="345"/>
      <c r="EJ157" s="345"/>
      <c r="EK157" s="345"/>
      <c r="EL157" s="345"/>
      <c r="EM157" s="345"/>
      <c r="EN157" s="345"/>
      <c r="EO157" s="345"/>
      <c r="EP157" s="345"/>
      <c r="EQ157" s="345"/>
      <c r="ER157" s="345"/>
      <c r="ES157" s="345"/>
      <c r="ET157" s="345"/>
      <c r="EU157" s="345"/>
      <c r="EV157" s="345"/>
      <c r="EW157" s="345"/>
      <c r="EX157" s="345"/>
      <c r="EY157" s="345"/>
      <c r="EZ157" s="345"/>
      <c r="FA157" s="345"/>
      <c r="FB157" s="345"/>
      <c r="FC157" s="345"/>
      <c r="FD157" s="345"/>
      <c r="FE157" s="345"/>
      <c r="FF157" s="345"/>
      <c r="FG157" s="345"/>
      <c r="FH157" s="345"/>
      <c r="FI157" s="345"/>
      <c r="FJ157" s="345"/>
      <c r="FK157" s="345"/>
      <c r="FL157" s="345"/>
      <c r="FM157" s="345"/>
      <c r="FN157" s="345"/>
      <c r="FO157" s="345"/>
      <c r="FP157" s="345"/>
      <c r="FQ157" s="345"/>
      <c r="FR157" s="345"/>
      <c r="FS157" s="345"/>
      <c r="FT157" s="345"/>
      <c r="FU157" s="345"/>
      <c r="FV157" s="345"/>
      <c r="FW157" s="345"/>
      <c r="FX157" s="345"/>
      <c r="FY157" s="345"/>
      <c r="FZ157" s="345"/>
      <c r="GA157" s="345"/>
      <c r="GB157" s="345"/>
      <c r="GC157" s="345"/>
      <c r="GD157" s="345"/>
      <c r="GE157" s="345"/>
      <c r="GF157" s="345"/>
      <c r="GG157" s="345"/>
      <c r="GH157" s="345"/>
      <c r="GI157" s="345"/>
      <c r="GJ157" s="345"/>
      <c r="GK157" s="345"/>
      <c r="GL157" s="345"/>
      <c r="GM157" s="345"/>
      <c r="GN157" s="345"/>
      <c r="GO157" s="345"/>
      <c r="GP157" s="345"/>
      <c r="GQ157" s="345"/>
      <c r="GR157" s="345"/>
      <c r="GS157" s="345"/>
      <c r="GT157" s="345"/>
      <c r="GU157" s="345"/>
    </row>
    <row r="158" spans="1:203" ht="12.75" customHeight="1">
      <c r="A158" s="465" t="str">
        <f t="shared" si="123"/>
        <v/>
      </c>
      <c r="B158" s="1108">
        <v>148</v>
      </c>
      <c r="C158" s="1131"/>
      <c r="D158" s="398"/>
      <c r="E158" s="1116"/>
      <c r="F158" s="465" t="str">
        <f t="shared" si="125"/>
        <v/>
      </c>
      <c r="G158" s="1108">
        <v>148</v>
      </c>
      <c r="H158" s="1131"/>
      <c r="I158" s="1110"/>
      <c r="J158" s="1116"/>
      <c r="K158" s="465"/>
      <c r="L158" s="465"/>
      <c r="M158" s="465" t="str">
        <f t="shared" si="121"/>
        <v/>
      </c>
      <c r="N158" s="1108">
        <v>148</v>
      </c>
      <c r="O158" s="1131"/>
      <c r="P158" s="398"/>
      <c r="Q158" s="1116"/>
      <c r="R158" s="465" t="str">
        <f t="shared" si="122"/>
        <v/>
      </c>
      <c r="S158" s="1108">
        <v>148</v>
      </c>
      <c r="T158" s="1131"/>
      <c r="U158" s="1133"/>
      <c r="V158" s="1116"/>
      <c r="W158" s="371"/>
      <c r="X158" s="494" t="str">
        <f t="shared" si="98"/>
        <v/>
      </c>
      <c r="Y158" s="495" t="str">
        <f>IF('Feuilles=description générale'!$E$13="","",IF(X158="","",IF(X158&gt;('Feuilles=description générale'!$E$11+'Feuilles=description générale'!$E$10),"",100*(X158-'Feuilles=description générale'!$E$10)/('Feuilles=description générale'!$E$11))))</f>
        <v/>
      </c>
      <c r="Z158" s="495" t="str">
        <f>IF('Feuilles=description générale'!$E$13="","",IF(X158="","",IF(X158&lt;=('Feuilles=description générale'!$E$11+'Feuilles=description générale'!$E$10),"",100*(X158-'Feuilles=description générale'!$E$11-'Feuilles=description générale'!$E$10)/('Feuilles=description générale'!$E$12))))</f>
        <v/>
      </c>
      <c r="AA158" s="1112" t="str">
        <f>IF('Feuilles=description générale'!$E$13="","",IF(X158="","",100*(X158-'Feuilles=description générale'!$E$10)/('Feuilles=description générale'!$E$13-'Feuilles=description générale'!$E$10)))</f>
        <v/>
      </c>
      <c r="AB158" s="497" t="str">
        <f t="shared" si="99"/>
        <v/>
      </c>
      <c r="AC158" s="500" t="str">
        <f t="shared" si="124"/>
        <v/>
      </c>
      <c r="AD158" s="494" t="str">
        <f t="shared" si="100"/>
        <v/>
      </c>
      <c r="AE158" s="499" t="str">
        <f t="shared" si="101"/>
        <v/>
      </c>
      <c r="AF158" s="371"/>
      <c r="AG158" s="494" t="str">
        <f t="shared" si="102"/>
        <v/>
      </c>
      <c r="AH158" s="495" t="str">
        <f>IF('Feuilles=description générale'!$E$13="","",IF(AG158="","",IF(AG158&gt;('Feuilles=description générale'!$E$11+'Feuilles=description générale'!$E$10),"",100*(AG158-'Feuilles=description générale'!$E$10)/('Feuilles=description générale'!$E$11))))</f>
        <v/>
      </c>
      <c r="AI158" s="495" t="str">
        <f>IF('Feuilles=description générale'!$E$13="","",IF(AG158="","",IF(AG158&lt;=('Feuilles=description générale'!$E$11+'Feuilles=description générale'!$E$10),"",100*(AG158-'Feuilles=description générale'!$E$11-'Feuilles=description générale'!$E$10)/('Feuilles=description générale'!$E$12))))</f>
        <v/>
      </c>
      <c r="AJ158" s="496" t="str">
        <f>IF('Feuilles=description générale'!$E$13="","",IF(AG158="","",100*(AG158-'Feuilles=description générale'!$E$10)/('Feuilles=description générale'!$E$13-'Feuilles=description générale'!$E$10)))</f>
        <v/>
      </c>
      <c r="AK158" s="1113" t="str">
        <f t="shared" si="103"/>
        <v/>
      </c>
      <c r="AL158" s="498" t="str">
        <f t="shared" si="104"/>
        <v/>
      </c>
      <c r="AM158" s="494" t="str">
        <f t="shared" si="105"/>
        <v/>
      </c>
      <c r="AN158" s="499" t="str">
        <f t="shared" si="106"/>
        <v/>
      </c>
      <c r="AO158" s="371"/>
      <c r="AP158" s="494" t="str">
        <f t="shared" si="107"/>
        <v/>
      </c>
      <c r="AQ158" s="495" t="str">
        <f>IF('Feuilles=description générale'!$E$13="","",IF(AP158="","",IF(AP158&gt;('Feuilles=description générale'!$E$25+'Feuilles=description générale'!$E$24),"",100*(AP158-'Feuilles=description générale'!$E$24)/('Feuilles=description générale'!$E$25))))</f>
        <v/>
      </c>
      <c r="AR158" s="495" t="str">
        <f>IF('Feuilles=description générale'!$E$27="","",IF(AP158="","",IF(AP158&lt;=('Feuilles=description générale'!$E$25+'Feuilles=description générale'!$E$24),"",100*(AP158-'Feuilles=description générale'!$E$25-'Feuilles=description générale'!$E$24)/('Feuilles=description générale'!$E$26))))</f>
        <v/>
      </c>
      <c r="AS158" s="496" t="str">
        <f>IF('Feuilles=description générale'!$E$27="","",IF(AP158="","",100*(AP158-'Feuilles=description générale'!$E$24)/('Feuilles=description générale'!$E$27-'Feuilles=description générale'!$E$24)))</f>
        <v/>
      </c>
      <c r="AT158" s="497" t="str">
        <f t="shared" si="108"/>
        <v/>
      </c>
      <c r="AU158" s="500" t="str">
        <f t="shared" si="109"/>
        <v/>
      </c>
      <c r="AV158" s="494" t="str">
        <f t="shared" si="110"/>
        <v/>
      </c>
      <c r="AW158" s="499" t="str">
        <f t="shared" si="111"/>
        <v/>
      </c>
      <c r="AX158" s="371"/>
      <c r="AY158" s="494" t="str">
        <f t="shared" si="112"/>
        <v/>
      </c>
      <c r="AZ158" s="495" t="str">
        <f>IF('Feuilles=description générale'!$E$13="","",IF(AY158="","",IF(AY158&gt;('Feuilles=description générale'!$E$25+'Feuilles=description générale'!$E$24),"",100*(AY158-'Feuilles=description générale'!$E$24)/('Feuilles=description générale'!$E$25))))</f>
        <v/>
      </c>
      <c r="BA158" s="495" t="str">
        <f>IF('Feuilles=description générale'!$E$27="","",IF(AY158="","",IF(AY158&lt;=('Feuilles=description générale'!$E$25+'Feuilles=description générale'!$E$24),"",100*(AY158-'Feuilles=description générale'!$E$25-'Feuilles=description générale'!$E$24)/('Feuilles=description générale'!$E$26))))</f>
        <v/>
      </c>
      <c r="BB158" s="496" t="str">
        <f>IF('Feuilles=description générale'!$E$27="","",IF(AY158="","",100*(AY158-'Feuilles=description générale'!$E$24)/('Feuilles=description générale'!$E$27-'Feuilles=description générale'!$E$24)))</f>
        <v/>
      </c>
      <c r="BC158" s="497" t="str">
        <f t="shared" si="113"/>
        <v/>
      </c>
      <c r="BD158" s="500" t="str">
        <f t="shared" si="114"/>
        <v/>
      </c>
      <c r="BE158" s="494" t="str">
        <f t="shared" si="115"/>
        <v/>
      </c>
      <c r="BF158" s="499" t="str">
        <f t="shared" si="116"/>
        <v/>
      </c>
      <c r="BG158" s="476"/>
      <c r="BH158" s="563"/>
      <c r="BI158" s="562"/>
      <c r="BJ158" s="562"/>
      <c r="BK158" s="562"/>
      <c r="BL158" s="562"/>
      <c r="BM158" s="562"/>
      <c r="BN158" s="562"/>
      <c r="BO158" s="562"/>
      <c r="BP158" s="562"/>
      <c r="BQ158" s="562"/>
      <c r="BR158" s="562"/>
      <c r="BS158" s="562"/>
      <c r="BT158" s="562"/>
      <c r="BU158" s="568"/>
      <c r="BV158" s="1114" t="str">
        <f t="shared" si="117"/>
        <v/>
      </c>
      <c r="BW158" s="1114" t="str">
        <f t="shared" si="117"/>
        <v/>
      </c>
      <c r="BX158" s="1114" t="str">
        <f t="shared" si="118"/>
        <v/>
      </c>
      <c r="BY158" s="1115" t="str">
        <f t="shared" si="118"/>
        <v/>
      </c>
      <c r="BZ158" s="477"/>
      <c r="CA158" s="1114" t="str">
        <f t="shared" si="119"/>
        <v/>
      </c>
      <c r="CB158" s="1114" t="str">
        <f t="shared" si="119"/>
        <v/>
      </c>
      <c r="CC158" s="1114" t="str">
        <f t="shared" si="120"/>
        <v/>
      </c>
      <c r="CD158" s="1115" t="str">
        <f t="shared" si="120"/>
        <v/>
      </c>
      <c r="CE158" s="568"/>
      <c r="CF158" s="1433"/>
      <c r="CG158" s="1427">
        <f>SUMIF($AA$11:$AA$170,"&lt;92",$AE$11:$AE$170)+SUMIF($AS$11:$AS$170,"&lt;92",$AW$11:$AW$170)-SUMIF($AA$11:$AA$170,"&lt;84",$AE$11:$AE$170)-SUMIF($AS$11:$AS$170,"&lt;84",$AW$11:$AW$170)</f>
        <v>23.5</v>
      </c>
      <c r="CH158" s="1422">
        <f>SUMIF($AA$11:$AA$170,"&lt;92",$BW$11:$BW$170)+SUMIF($AS$11:$AS$170,"&lt;92",$CB$11:$CB$170)-SUMIF($AA$11:$AA$170,"&lt;84",$BW$11:$BW$170)-SUMIF($AS$11:$AS$170,"&lt;84",$CB$11:$CB$170)</f>
        <v>50.789999999999395</v>
      </c>
      <c r="CI158" s="1428">
        <f>SUMPRODUCT(($AA$11:$AA$170&lt;92)*($AE$11:$AE$170&lt;&gt;""))+SUMPRODUCT(($AS$11:$AS$170&lt;92)*($AW$11:$AW$170&lt;&gt;""))-SUMPRODUCT(($AA$11:$AA$170&lt;84)*($AE$11:$AE$170&lt;&gt;""))-SUMPRODUCT(($AS$11:$AS$170&lt;84)*($AW$11:$AW$170&lt;&gt;""))</f>
        <v>12</v>
      </c>
      <c r="CJ158" s="1422">
        <f>IF(CI158=0,0,IF(CI158="","",CG158/CI158))</f>
        <v>1.9583333333333333</v>
      </c>
      <c r="CK158" s="1438">
        <f>IF(CI158&lt;2,0,SQRT((CH158/CI158-CJ158*CJ158)/(CI158-1)))</f>
        <v>0.19007906382620343</v>
      </c>
      <c r="CL158" s="1439">
        <f>SUMIF($AJ$11:$AJ$170,"&lt;92",$AN$11:$AN$170)+SUMIF($BB$11:$BB$170,"&lt;92",$BF$11:$BF$170)-SUMIF($AJ$11:$AJ$170,"&lt;84",$AN$11:$AN$170)-SUMIF($BB$11:$BB$170,"&lt;84",$BF$11:$BF$170)</f>
        <v>24.299999999999841</v>
      </c>
      <c r="CM158" s="1422">
        <f>SUMIF($AJ$11:$AJ$170,"&lt;92",$BY$11:$BY$170)+SUMIF($BB$11:$BB$170,"&lt;92",$CD$11:$CD$170)-SUMIF($AJ$11:$AJ$170,"&lt;84",$BY$11:$BY$170)-SUMIF($BB$11:$BB$170,"&lt;84",$CD$11:$CD$170)</f>
        <v>49.689999999999287</v>
      </c>
      <c r="CN158" s="1440">
        <f>SUMPRODUCT(($AJ$11:$AJ$170&lt;92)*($AN$11:$AN$170&lt;&gt;""))+SUMPRODUCT(($BB$11:$BB$170&lt;92)*($BF$11:$BF$170&lt;&gt;""))-SUMPRODUCT(($AJ$11:$AJ$170&lt;84)*($AN$11:$AN$170&lt;&gt;""))-SUMPRODUCT(($BB$11:$BB$170&lt;84)*($BF$11:$BF$170&lt;&gt;""))</f>
        <v>13</v>
      </c>
      <c r="CO158" s="1422">
        <f>IF(CN158=0,0,IF(CN158="","",CL158/CN158))</f>
        <v>1.869230769230757</v>
      </c>
      <c r="CP158" s="1441">
        <f>IF(CN158&lt;2,0,SQRT((CM158/CN158-CO158*CO158)/(CN158-1)))</f>
        <v>0.16539952228584523</v>
      </c>
      <c r="CQ158" s="1439">
        <f>CG158+CL158</f>
        <v>47.799999999999841</v>
      </c>
      <c r="CR158" s="1422">
        <f>CH158+CM158</f>
        <v>100.47999999999868</v>
      </c>
      <c r="CS158" s="1422">
        <f>CI158+CN158</f>
        <v>25</v>
      </c>
      <c r="CT158" s="1422">
        <f>IF(CS158=0,0,IF(CS158="","",CQ158/CS158))</f>
        <v>1.9119999999999937</v>
      </c>
      <c r="CU158" s="1438">
        <f>IF(CS158&lt;2,0,SQRT(ABS((CR158/CS158-CT158*CT158)/(CS158-1))))</f>
        <v>0.12306096050331643</v>
      </c>
      <c r="CV158" s="476"/>
      <c r="CW158" s="345"/>
      <c r="CX158" s="345"/>
      <c r="CY158" s="345"/>
      <c r="CZ158" s="345"/>
      <c r="DA158" s="345"/>
      <c r="DB158" s="345"/>
      <c r="DC158" s="345"/>
      <c r="DD158" s="345"/>
      <c r="DE158" s="345"/>
      <c r="DF158" s="345"/>
      <c r="DG158" s="345"/>
      <c r="DH158" s="345"/>
      <c r="DI158" s="345"/>
      <c r="DJ158" s="345"/>
      <c r="DK158" s="345"/>
      <c r="DL158" s="345"/>
      <c r="DM158" s="345"/>
      <c r="DN158" s="345"/>
      <c r="DO158" s="345"/>
      <c r="DP158" s="345"/>
      <c r="DQ158" s="345"/>
      <c r="DR158" s="345"/>
      <c r="DS158" s="345"/>
      <c r="DT158" s="345"/>
      <c r="DU158" s="345"/>
      <c r="DV158" s="345"/>
      <c r="DW158" s="345"/>
      <c r="DX158" s="345"/>
      <c r="DY158" s="345"/>
      <c r="DZ158" s="345"/>
      <c r="EA158" s="345"/>
      <c r="EB158" s="345"/>
      <c r="EC158" s="345"/>
      <c r="ED158" s="345"/>
      <c r="EE158" s="345"/>
      <c r="EF158" s="345"/>
      <c r="EG158" s="345"/>
      <c r="EH158" s="345"/>
      <c r="EI158" s="345"/>
      <c r="EJ158" s="345"/>
      <c r="EK158" s="345"/>
      <c r="EL158" s="345"/>
      <c r="EM158" s="345"/>
      <c r="EN158" s="345"/>
      <c r="EO158" s="345"/>
      <c r="EP158" s="345"/>
      <c r="EQ158" s="345"/>
      <c r="ER158" s="345"/>
      <c r="ES158" s="345"/>
      <c r="ET158" s="345"/>
      <c r="EU158" s="345"/>
      <c r="EV158" s="345"/>
      <c r="EW158" s="345"/>
      <c r="EX158" s="345"/>
      <c r="EY158" s="345"/>
      <c r="EZ158" s="345"/>
      <c r="FA158" s="345"/>
      <c r="FB158" s="345"/>
      <c r="FC158" s="345"/>
      <c r="FD158" s="345"/>
      <c r="FE158" s="345"/>
      <c r="FF158" s="345"/>
      <c r="FG158" s="345"/>
      <c r="FH158" s="345"/>
      <c r="FI158" s="345"/>
      <c r="FJ158" s="345"/>
      <c r="FK158" s="345"/>
      <c r="FL158" s="345"/>
      <c r="FM158" s="345"/>
      <c r="FN158" s="345"/>
      <c r="FO158" s="345"/>
      <c r="FP158" s="345"/>
      <c r="FQ158" s="345"/>
      <c r="FR158" s="345"/>
      <c r="FS158" s="345"/>
      <c r="FT158" s="345"/>
      <c r="FU158" s="345"/>
      <c r="FV158" s="345"/>
      <c r="FW158" s="345"/>
      <c r="FX158" s="345"/>
      <c r="FY158" s="345"/>
      <c r="FZ158" s="345"/>
      <c r="GA158" s="345"/>
      <c r="GB158" s="345"/>
      <c r="GC158" s="345"/>
      <c r="GD158" s="345"/>
      <c r="GE158" s="345"/>
      <c r="GF158" s="345"/>
      <c r="GG158" s="345"/>
      <c r="GH158" s="345"/>
      <c r="GI158" s="345"/>
      <c r="GJ158" s="345"/>
      <c r="GK158" s="345"/>
      <c r="GL158" s="345"/>
      <c r="GM158" s="345"/>
      <c r="GN158" s="345"/>
      <c r="GO158" s="345"/>
      <c r="GP158" s="345"/>
      <c r="GQ158" s="345"/>
      <c r="GR158" s="345"/>
      <c r="GS158" s="345"/>
      <c r="GT158" s="345"/>
      <c r="GU158" s="345"/>
    </row>
    <row r="159" spans="1:203" ht="12.75" customHeight="1">
      <c r="A159" s="465" t="str">
        <f>IF(D159="","",IF(#REF!="F",2,IF(C159="T",3,A158)))</f>
        <v/>
      </c>
      <c r="B159" s="1108">
        <v>149</v>
      </c>
      <c r="C159" s="1131"/>
      <c r="D159" s="398"/>
      <c r="E159" s="1134"/>
      <c r="F159" s="465" t="str">
        <f t="shared" si="125"/>
        <v/>
      </c>
      <c r="G159" s="1108">
        <v>149</v>
      </c>
      <c r="H159" s="1131"/>
      <c r="I159" s="1110"/>
      <c r="J159" s="1134"/>
      <c r="K159" s="465"/>
      <c r="L159" s="465"/>
      <c r="M159" s="465" t="str">
        <f t="shared" si="121"/>
        <v/>
      </c>
      <c r="N159" s="1108">
        <v>149</v>
      </c>
      <c r="O159" s="1131"/>
      <c r="P159" s="398"/>
      <c r="Q159" s="1134"/>
      <c r="R159" s="465" t="str">
        <f t="shared" si="122"/>
        <v/>
      </c>
      <c r="S159" s="1108">
        <v>149</v>
      </c>
      <c r="T159" s="1131"/>
      <c r="U159" s="1133"/>
      <c r="V159" s="1134"/>
      <c r="W159" s="371"/>
      <c r="X159" s="494" t="str">
        <f t="shared" si="98"/>
        <v/>
      </c>
      <c r="Y159" s="495" t="str">
        <f>IF('Feuilles=description générale'!$E$13="","",IF(X159="","",IF(X159&gt;('Feuilles=description générale'!$E$11+'Feuilles=description générale'!$E$10),"",100*(X159-'Feuilles=description générale'!$E$10)/('Feuilles=description générale'!$E$11))))</f>
        <v/>
      </c>
      <c r="Z159" s="495" t="str">
        <f>IF('Feuilles=description générale'!$E$13="","",IF(X159="","",IF(X159&lt;=('Feuilles=description générale'!$E$11+'Feuilles=description générale'!$E$10),"",100*(X159-'Feuilles=description générale'!$E$11-'Feuilles=description générale'!$E$10)/('Feuilles=description générale'!$E$12))))</f>
        <v/>
      </c>
      <c r="AA159" s="1112" t="str">
        <f>IF('Feuilles=description générale'!$E$13="","",IF(X159="","",100*(X159-'Feuilles=description générale'!$E$10)/('Feuilles=description générale'!$E$13-'Feuilles=description générale'!$E$10)))</f>
        <v/>
      </c>
      <c r="AB159" s="497" t="str">
        <f t="shared" si="99"/>
        <v/>
      </c>
      <c r="AC159" s="500" t="str">
        <f t="shared" si="124"/>
        <v/>
      </c>
      <c r="AD159" s="494" t="str">
        <f t="shared" si="100"/>
        <v/>
      </c>
      <c r="AE159" s="499" t="str">
        <f t="shared" si="101"/>
        <v/>
      </c>
      <c r="AF159" s="371"/>
      <c r="AG159" s="494" t="str">
        <f t="shared" si="102"/>
        <v/>
      </c>
      <c r="AH159" s="495" t="str">
        <f>IF('Feuilles=description générale'!$E$13="","",IF(AG159="","",IF(AG159&gt;('Feuilles=description générale'!$E$11+'Feuilles=description générale'!$E$10),"",100*(AG159-'Feuilles=description générale'!$E$10)/('Feuilles=description générale'!$E$11))))</f>
        <v/>
      </c>
      <c r="AI159" s="495" t="str">
        <f>IF('Feuilles=description générale'!$E$13="","",IF(AG159="","",IF(AG159&lt;=('Feuilles=description générale'!$E$11+'Feuilles=description générale'!$E$10),"",100*(AG159-'Feuilles=description générale'!$E$11-'Feuilles=description générale'!$E$10)/('Feuilles=description générale'!$E$12))))</f>
        <v/>
      </c>
      <c r="AJ159" s="496" t="str">
        <f>IF('Feuilles=description générale'!$E$13="","",IF(AG159="","",100*(AG159-'Feuilles=description générale'!$E$10)/('Feuilles=description générale'!$E$13-'Feuilles=description générale'!$E$10)))</f>
        <v/>
      </c>
      <c r="AK159" s="1113" t="str">
        <f t="shared" si="103"/>
        <v/>
      </c>
      <c r="AL159" s="498" t="str">
        <f t="shared" si="104"/>
        <v/>
      </c>
      <c r="AM159" s="494" t="str">
        <f t="shared" si="105"/>
        <v/>
      </c>
      <c r="AN159" s="499" t="str">
        <f t="shared" si="106"/>
        <v/>
      </c>
      <c r="AO159" s="371"/>
      <c r="AP159" s="494" t="str">
        <f t="shared" si="107"/>
        <v/>
      </c>
      <c r="AQ159" s="495" t="str">
        <f>IF('Feuilles=description générale'!$E$13="","",IF(AP159="","",IF(AP159&gt;('Feuilles=description générale'!$E$25+'Feuilles=description générale'!$E$24),"",100*(AP159-'Feuilles=description générale'!$E$24)/('Feuilles=description générale'!$E$25))))</f>
        <v/>
      </c>
      <c r="AR159" s="495" t="str">
        <f>IF('Feuilles=description générale'!$E$27="","",IF(AP159="","",IF(AP159&lt;=('Feuilles=description générale'!$E$25+'Feuilles=description générale'!$E$24),"",100*(AP159-'Feuilles=description générale'!$E$25-'Feuilles=description générale'!$E$24)/('Feuilles=description générale'!$E$26))))</f>
        <v/>
      </c>
      <c r="AS159" s="496" t="str">
        <f>IF('Feuilles=description générale'!$E$27="","",IF(AP159="","",100*(AP159-'Feuilles=description générale'!$E$24)/('Feuilles=description générale'!$E$27-'Feuilles=description générale'!$E$24)))</f>
        <v/>
      </c>
      <c r="AT159" s="497" t="str">
        <f t="shared" si="108"/>
        <v/>
      </c>
      <c r="AU159" s="500" t="str">
        <f t="shared" si="109"/>
        <v/>
      </c>
      <c r="AV159" s="494" t="str">
        <f t="shared" si="110"/>
        <v/>
      </c>
      <c r="AW159" s="499" t="str">
        <f t="shared" si="111"/>
        <v/>
      </c>
      <c r="AX159" s="371"/>
      <c r="AY159" s="494" t="str">
        <f t="shared" si="112"/>
        <v/>
      </c>
      <c r="AZ159" s="495" t="str">
        <f>IF('Feuilles=description générale'!$E$13="","",IF(AY159="","",IF(AY159&gt;('Feuilles=description générale'!$E$25+'Feuilles=description générale'!$E$24),"",100*(AY159-'Feuilles=description générale'!$E$24)/('Feuilles=description générale'!$E$25))))</f>
        <v/>
      </c>
      <c r="BA159" s="495" t="str">
        <f>IF('Feuilles=description générale'!$E$27="","",IF(AY159="","",IF(AY159&lt;=('Feuilles=description générale'!$E$25+'Feuilles=description générale'!$E$24),"",100*(AY159-'Feuilles=description générale'!$E$25-'Feuilles=description générale'!$E$24)/('Feuilles=description générale'!$E$26))))</f>
        <v/>
      </c>
      <c r="BB159" s="496" t="str">
        <f>IF('Feuilles=description générale'!$E$27="","",IF(AY159="","",100*(AY159-'Feuilles=description générale'!$E$24)/('Feuilles=description générale'!$E$27-'Feuilles=description générale'!$E$24)))</f>
        <v/>
      </c>
      <c r="BC159" s="497" t="str">
        <f t="shared" si="113"/>
        <v/>
      </c>
      <c r="BD159" s="500" t="str">
        <f t="shared" si="114"/>
        <v/>
      </c>
      <c r="BE159" s="494" t="str">
        <f t="shared" si="115"/>
        <v/>
      </c>
      <c r="BF159" s="499" t="str">
        <f t="shared" si="116"/>
        <v/>
      </c>
      <c r="BG159" s="476"/>
      <c r="BH159" s="563"/>
      <c r="BI159" s="562"/>
      <c r="BJ159" s="562"/>
      <c r="BK159" s="562"/>
      <c r="BL159" s="562"/>
      <c r="BM159" s="562"/>
      <c r="BN159" s="562"/>
      <c r="BO159" s="562"/>
      <c r="BP159" s="562"/>
      <c r="BQ159" s="562"/>
      <c r="BR159" s="562"/>
      <c r="BS159" s="562"/>
      <c r="BT159" s="562"/>
      <c r="BU159" s="568"/>
      <c r="BV159" s="1114" t="str">
        <f t="shared" si="117"/>
        <v/>
      </c>
      <c r="BW159" s="1114" t="str">
        <f t="shared" si="117"/>
        <v/>
      </c>
      <c r="BX159" s="1114" t="str">
        <f t="shared" si="118"/>
        <v/>
      </c>
      <c r="BY159" s="1115" t="str">
        <f t="shared" si="118"/>
        <v/>
      </c>
      <c r="BZ159" s="477"/>
      <c r="CA159" s="1114" t="str">
        <f t="shared" si="119"/>
        <v/>
      </c>
      <c r="CB159" s="1114" t="str">
        <f t="shared" si="119"/>
        <v/>
      </c>
      <c r="CC159" s="1114" t="str">
        <f t="shared" si="120"/>
        <v/>
      </c>
      <c r="CD159" s="1115" t="str">
        <f t="shared" si="120"/>
        <v/>
      </c>
      <c r="CE159" s="568"/>
      <c r="CF159" s="1433">
        <v>92</v>
      </c>
      <c r="CG159" s="1427"/>
      <c r="CH159" s="1422"/>
      <c r="CI159" s="1428"/>
      <c r="CJ159" s="1422"/>
      <c r="CK159" s="1438"/>
      <c r="CL159" s="1439"/>
      <c r="CM159" s="1422"/>
      <c r="CN159" s="1437"/>
      <c r="CO159" s="1422"/>
      <c r="CP159" s="1441"/>
      <c r="CQ159" s="1439"/>
      <c r="CR159" s="1422"/>
      <c r="CS159" s="1422"/>
      <c r="CT159" s="1422"/>
      <c r="CU159" s="1438"/>
      <c r="CV159" s="476"/>
      <c r="CW159" s="345"/>
      <c r="CX159" s="345"/>
      <c r="CY159" s="345"/>
      <c r="CZ159" s="345"/>
      <c r="DA159" s="345"/>
      <c r="DB159" s="345"/>
      <c r="DC159" s="345"/>
      <c r="DD159" s="345"/>
      <c r="DE159" s="345"/>
      <c r="DF159" s="345"/>
      <c r="DG159" s="345"/>
      <c r="DH159" s="345"/>
      <c r="DI159" s="345"/>
      <c r="DJ159" s="345"/>
      <c r="DK159" s="345"/>
      <c r="DL159" s="345"/>
      <c r="DM159" s="345"/>
      <c r="DN159" s="345"/>
      <c r="DO159" s="345"/>
      <c r="DP159" s="345"/>
      <c r="DQ159" s="345"/>
      <c r="DR159" s="345"/>
      <c r="DS159" s="345"/>
      <c r="DT159" s="345"/>
      <c r="DU159" s="345"/>
      <c r="DV159" s="345"/>
      <c r="DW159" s="345"/>
      <c r="DX159" s="345"/>
      <c r="DY159" s="345"/>
      <c r="DZ159" s="345"/>
      <c r="EA159" s="345"/>
      <c r="EB159" s="345"/>
      <c r="EC159" s="345"/>
      <c r="ED159" s="345"/>
      <c r="EE159" s="345"/>
      <c r="EF159" s="345"/>
      <c r="EG159" s="345"/>
      <c r="EH159" s="345"/>
      <c r="EI159" s="345"/>
      <c r="EJ159" s="345"/>
      <c r="EK159" s="345"/>
      <c r="EL159" s="345"/>
      <c r="EM159" s="345"/>
      <c r="EN159" s="345"/>
      <c r="EO159" s="345"/>
      <c r="EP159" s="345"/>
      <c r="EQ159" s="345"/>
      <c r="ER159" s="345"/>
      <c r="ES159" s="345"/>
      <c r="ET159" s="345"/>
      <c r="EU159" s="345"/>
      <c r="EV159" s="345"/>
      <c r="EW159" s="345"/>
      <c r="EX159" s="345"/>
      <c r="EY159" s="345"/>
      <c r="EZ159" s="345"/>
      <c r="FA159" s="345"/>
      <c r="FB159" s="345"/>
      <c r="FC159" s="345"/>
      <c r="FD159" s="345"/>
      <c r="FE159" s="345"/>
      <c r="FF159" s="345"/>
      <c r="FG159" s="345"/>
      <c r="FH159" s="345"/>
      <c r="FI159" s="345"/>
      <c r="FJ159" s="345"/>
      <c r="FK159" s="345"/>
      <c r="FL159" s="345"/>
      <c r="FM159" s="345"/>
      <c r="FN159" s="345"/>
      <c r="FO159" s="345"/>
      <c r="FP159" s="345"/>
      <c r="FQ159" s="345"/>
      <c r="FR159" s="345"/>
      <c r="FS159" s="345"/>
      <c r="FT159" s="345"/>
      <c r="FU159" s="345"/>
      <c r="FV159" s="345"/>
      <c r="FW159" s="345"/>
      <c r="FX159" s="345"/>
      <c r="FY159" s="345"/>
      <c r="FZ159" s="345"/>
      <c r="GA159" s="345"/>
      <c r="GB159" s="345"/>
      <c r="GC159" s="345"/>
      <c r="GD159" s="345"/>
      <c r="GE159" s="345"/>
      <c r="GF159" s="345"/>
      <c r="GG159" s="345"/>
      <c r="GH159" s="345"/>
      <c r="GI159" s="345"/>
      <c r="GJ159" s="345"/>
      <c r="GK159" s="345"/>
      <c r="GL159" s="345"/>
      <c r="GM159" s="345"/>
      <c r="GN159" s="345"/>
      <c r="GO159" s="345"/>
      <c r="GP159" s="345"/>
      <c r="GQ159" s="345"/>
      <c r="GR159" s="345"/>
      <c r="GS159" s="345"/>
      <c r="GT159" s="345"/>
      <c r="GU159" s="345"/>
    </row>
    <row r="160" spans="1:203" ht="12.75" customHeight="1">
      <c r="A160" s="465" t="str">
        <f>IF(D160="","",IF(#REF!="F",2,IF(C160="T",3,A159)))</f>
        <v/>
      </c>
      <c r="B160" s="1108">
        <v>150</v>
      </c>
      <c r="C160" s="1131"/>
      <c r="D160" s="398"/>
      <c r="E160" s="1134"/>
      <c r="F160" s="465" t="str">
        <f t="shared" si="125"/>
        <v/>
      </c>
      <c r="G160" s="1108">
        <v>150</v>
      </c>
      <c r="H160" s="1131"/>
      <c r="I160" s="1110"/>
      <c r="J160" s="1134"/>
      <c r="K160" s="465"/>
      <c r="L160" s="465"/>
      <c r="M160" s="465" t="str">
        <f t="shared" si="121"/>
        <v/>
      </c>
      <c r="N160" s="1108">
        <v>150</v>
      </c>
      <c r="O160" s="1131"/>
      <c r="P160" s="398"/>
      <c r="Q160" s="1134"/>
      <c r="R160" s="465" t="str">
        <f t="shared" si="122"/>
        <v/>
      </c>
      <c r="S160" s="1108">
        <v>150</v>
      </c>
      <c r="T160" s="1131"/>
      <c r="U160" s="1133"/>
      <c r="V160" s="1134"/>
      <c r="W160" s="371"/>
      <c r="X160" s="494" t="str">
        <f t="shared" si="98"/>
        <v/>
      </c>
      <c r="Y160" s="495" t="str">
        <f>IF('Feuilles=description générale'!$E$13="","",IF(X160="","",IF(X160&gt;('Feuilles=description générale'!$E$11+'Feuilles=description générale'!$E$10),"",100*(X160-'Feuilles=description générale'!$E$10)/('Feuilles=description générale'!$E$11))))</f>
        <v/>
      </c>
      <c r="Z160" s="495" t="str">
        <f>IF('Feuilles=description générale'!$E$13="","",IF(X160="","",IF(X160&lt;=('Feuilles=description générale'!$E$11+'Feuilles=description générale'!$E$10),"",100*(X160-'Feuilles=description générale'!$E$11-'Feuilles=description générale'!$E$10)/('Feuilles=description générale'!$E$12))))</f>
        <v/>
      </c>
      <c r="AA160" s="1112" t="str">
        <f>IF('Feuilles=description générale'!$E$13="","",IF(X160="","",100*(X160-'Feuilles=description générale'!$E$10)/('Feuilles=description générale'!$E$13-'Feuilles=description générale'!$E$10)))</f>
        <v/>
      </c>
      <c r="AB160" s="497" t="str">
        <f t="shared" si="99"/>
        <v/>
      </c>
      <c r="AC160" s="500" t="str">
        <f t="shared" si="124"/>
        <v/>
      </c>
      <c r="AD160" s="494" t="str">
        <f t="shared" si="100"/>
        <v/>
      </c>
      <c r="AE160" s="499" t="str">
        <f t="shared" si="101"/>
        <v/>
      </c>
      <c r="AF160" s="371"/>
      <c r="AG160" s="494" t="str">
        <f t="shared" si="102"/>
        <v/>
      </c>
      <c r="AH160" s="495" t="str">
        <f>IF('Feuilles=description générale'!$E$13="","",IF(AG160="","",IF(AG160&gt;('Feuilles=description générale'!$E$11+'Feuilles=description générale'!$E$10),"",100*(AG160-'Feuilles=description générale'!$E$10)/('Feuilles=description générale'!$E$11))))</f>
        <v/>
      </c>
      <c r="AI160" s="495" t="str">
        <f>IF('Feuilles=description générale'!$E$13="","",IF(AG160="","",IF(AG160&lt;=('Feuilles=description générale'!$E$11+'Feuilles=description générale'!$E$10),"",100*(AG160-'Feuilles=description générale'!$E$11-'Feuilles=description générale'!$E$10)/('Feuilles=description générale'!$E$12))))</f>
        <v/>
      </c>
      <c r="AJ160" s="496" t="str">
        <f>IF('Feuilles=description générale'!$E$13="","",IF(AG160="","",100*(AG160-'Feuilles=description générale'!$E$10)/('Feuilles=description générale'!$E$13-'Feuilles=description générale'!$E$10)))</f>
        <v/>
      </c>
      <c r="AK160" s="1113" t="str">
        <f t="shared" si="103"/>
        <v/>
      </c>
      <c r="AL160" s="498" t="str">
        <f t="shared" si="104"/>
        <v/>
      </c>
      <c r="AM160" s="494" t="str">
        <f t="shared" si="105"/>
        <v/>
      </c>
      <c r="AN160" s="499" t="str">
        <f t="shared" si="106"/>
        <v/>
      </c>
      <c r="AO160" s="371"/>
      <c r="AP160" s="494" t="str">
        <f t="shared" si="107"/>
        <v/>
      </c>
      <c r="AQ160" s="495" t="str">
        <f>IF('Feuilles=description générale'!$E$13="","",IF(AP160="","",IF(AP160&gt;('Feuilles=description générale'!$E$25+'Feuilles=description générale'!$E$24),"",100*(AP160-'Feuilles=description générale'!$E$24)/('Feuilles=description générale'!$E$25))))</f>
        <v/>
      </c>
      <c r="AR160" s="495" t="str">
        <f>IF('Feuilles=description générale'!$E$27="","",IF(AP160="","",IF(AP160&lt;=('Feuilles=description générale'!$E$25+'Feuilles=description générale'!$E$24),"",100*(AP160-'Feuilles=description générale'!$E$25-'Feuilles=description générale'!$E$24)/('Feuilles=description générale'!$E$26))))</f>
        <v/>
      </c>
      <c r="AS160" s="496" t="str">
        <f>IF('Feuilles=description générale'!$E$27="","",IF(AP160="","",100*(AP160-'Feuilles=description générale'!$E$24)/('Feuilles=description générale'!$E$27-'Feuilles=description générale'!$E$24)))</f>
        <v/>
      </c>
      <c r="AT160" s="497" t="str">
        <f t="shared" si="108"/>
        <v/>
      </c>
      <c r="AU160" s="500" t="str">
        <f t="shared" si="109"/>
        <v/>
      </c>
      <c r="AV160" s="494" t="str">
        <f t="shared" si="110"/>
        <v/>
      </c>
      <c r="AW160" s="499" t="str">
        <f t="shared" si="111"/>
        <v/>
      </c>
      <c r="AX160" s="371"/>
      <c r="AY160" s="494" t="str">
        <f t="shared" si="112"/>
        <v/>
      </c>
      <c r="AZ160" s="495" t="str">
        <f>IF('Feuilles=description générale'!$E$13="","",IF(AY160="","",IF(AY160&gt;('Feuilles=description générale'!$E$25+'Feuilles=description générale'!$E$24),"",100*(AY160-'Feuilles=description générale'!$E$24)/('Feuilles=description générale'!$E$25))))</f>
        <v/>
      </c>
      <c r="BA160" s="495" t="str">
        <f>IF('Feuilles=description générale'!$E$27="","",IF(AY160="","",IF(AY160&lt;=('Feuilles=description générale'!$E$25+'Feuilles=description générale'!$E$24),"",100*(AY160-'Feuilles=description générale'!$E$25-'Feuilles=description générale'!$E$24)/('Feuilles=description générale'!$E$26))))</f>
        <v/>
      </c>
      <c r="BB160" s="496" t="str">
        <f>IF('Feuilles=description générale'!$E$27="","",IF(AY160="","",100*(AY160-'Feuilles=description générale'!$E$24)/('Feuilles=description générale'!$E$27-'Feuilles=description générale'!$E$24)))</f>
        <v/>
      </c>
      <c r="BC160" s="497" t="str">
        <f t="shared" si="113"/>
        <v/>
      </c>
      <c r="BD160" s="500" t="str">
        <f t="shared" si="114"/>
        <v/>
      </c>
      <c r="BE160" s="494" t="str">
        <f t="shared" si="115"/>
        <v/>
      </c>
      <c r="BF160" s="499" t="str">
        <f t="shared" si="116"/>
        <v/>
      </c>
      <c r="BG160" s="476"/>
      <c r="BH160" s="563"/>
      <c r="BI160" s="562"/>
      <c r="BJ160" s="562"/>
      <c r="BK160" s="562"/>
      <c r="BL160" s="562"/>
      <c r="BM160" s="562"/>
      <c r="BN160" s="562"/>
      <c r="BO160" s="562"/>
      <c r="BP160" s="562"/>
      <c r="BQ160" s="562"/>
      <c r="BR160" s="562"/>
      <c r="BS160" s="562"/>
      <c r="BT160" s="562"/>
      <c r="BU160" s="568"/>
      <c r="BV160" s="1114" t="str">
        <f t="shared" si="117"/>
        <v/>
      </c>
      <c r="BW160" s="1114" t="str">
        <f t="shared" si="117"/>
        <v/>
      </c>
      <c r="BX160" s="1114" t="str">
        <f t="shared" si="118"/>
        <v/>
      </c>
      <c r="BY160" s="1115" t="str">
        <f t="shared" si="118"/>
        <v/>
      </c>
      <c r="BZ160" s="477"/>
      <c r="CA160" s="1114" t="str">
        <f t="shared" si="119"/>
        <v/>
      </c>
      <c r="CB160" s="1114" t="str">
        <f t="shared" si="119"/>
        <v/>
      </c>
      <c r="CC160" s="1114" t="str">
        <f t="shared" si="120"/>
        <v/>
      </c>
      <c r="CD160" s="1115" t="str">
        <f t="shared" si="120"/>
        <v/>
      </c>
      <c r="CE160" s="568"/>
      <c r="CF160" s="1433"/>
      <c r="CG160" s="1427">
        <f>SUMIF($AA$11:$AA$170,"&lt;=100",$AE$11:$AE$170)+SUMIF($AS$11:$AS$170,"&lt;=100",$AW$11:$AW$170)-SUMIF($AA$11:$AA$170,"&lt;92",$AE$11:$AE$170)-SUMIF($AS$11:$AS$170,"&lt;92",$AW$11:$AW$170)</f>
        <v>14.899999999999977</v>
      </c>
      <c r="CH160" s="1422">
        <f>SUMIF($AA$11:$AA$170,"&lt;=100",$BW$11:$BW$170)+SUMIF($AS$11:$AS$170,"&lt;=100",$CB$11:$CB$170)-SUMIF($AA$11:$AA$170,"&lt;92",$BW$11:$BW$170)-SUMIF($AS$11:$AS$170,"&lt;92",$CB$11:$CB$170)</f>
        <v>26.010000000000161</v>
      </c>
      <c r="CI160" s="1428">
        <f>SUMPRODUCT(($AA$11:$AA$170&lt;=100)*($AE$11:$AE$170&lt;&gt;""))+SUMPRODUCT(($AS$11:$AS$170&lt;=100)*($AW$11:$AW$170&lt;&gt;""))-SUMPRODUCT(($AA$11:$AA$170&lt;92)*($AE$11:$AE$170&lt;&gt;""))-SUMPRODUCT(($AS$11:$AS$170&lt;92)*($AW$11:$AW$170&lt;&gt;""))</f>
        <v>9</v>
      </c>
      <c r="CJ160" s="1422">
        <f>IF(CI160=0,0,IF(CI160="","",CG160/CI160))</f>
        <v>1.655555555555553</v>
      </c>
      <c r="CK160" s="1438">
        <f>IF(CI160&lt;2,0,SQRT((CH160/CI160-CJ160*CJ160)/(CI160-1)))</f>
        <v>0.13653561919383986</v>
      </c>
      <c r="CL160" s="1439">
        <f>SUMIF($AJ$11:$AJ$170,"&lt;=100",$AN$11:$AN$170)+SUMIF($BB$11:$BB$170,"&lt;=100",$BF$11:$BF$170)-SUMIF($AJ$11:$AJ$170,"&lt;92",$AN$11:$AN$170)-SUMIF($BB$11:$BB$170,"&lt;92",$BF$11:$BF$170)</f>
        <v>20.299999999999955</v>
      </c>
      <c r="CM160" s="1422">
        <f>SUMIF($AJ$11:$AJ$170,"&lt;=100",$BY$11:$BY$170)+SUMIF($BB$11:$BB$170,"&lt;=100",$CD$11:$CD$170)-SUMIF($AJ$11:$AJ$170,"&lt;92",$BY$11:$BY$170)-SUMIF($BB$11:$BB$170,"&lt;92",$CD$11:$CD$170)</f>
        <v>43.329999999999757</v>
      </c>
      <c r="CN160" s="1440">
        <f>SUMPRODUCT(($AJ$11:$AJ$170&lt;=100)*($AN$11:$AN$170&lt;&gt;""))+SUMPRODUCT(($BB$11:$BB$170&lt;=100)*($BF$11:$BF$170&lt;&gt;""))-SUMPRODUCT(($AJ$11:$AJ$170&lt;92)*($AN$11:$AN$170&lt;&gt;""))-SUMPRODUCT(($BB$11:$BB$170&lt;92)*($BF$11:$BF$170&lt;&gt;""))</f>
        <v>10</v>
      </c>
      <c r="CO160" s="1422">
        <f>IF(CN160=0,0,IF(CN160="","",CL160/CN160))</f>
        <v>2.0299999999999954</v>
      </c>
      <c r="CP160" s="1441">
        <f>IF(CN160&lt;2,0,SQRT((CM160/CN160-CO160*CO160)/(CN160-1)))</f>
        <v>0.1535143858622573</v>
      </c>
      <c r="CQ160" s="1439">
        <f>CG160+CL160</f>
        <v>35.199999999999932</v>
      </c>
      <c r="CR160" s="1422">
        <f>CH160+CM160</f>
        <v>69.339999999999918</v>
      </c>
      <c r="CS160" s="1422">
        <f>CI160+CN160</f>
        <v>19</v>
      </c>
      <c r="CT160" s="1422">
        <f>IF(CS160=0,0,IF(CS160="","",CQ160/CS160))</f>
        <v>1.8526315789473649</v>
      </c>
      <c r="CU160" s="1438">
        <f>IF(CS160&lt;2,0,SQRT(ABS((CR160/CS160-CT160*CT160)/(CS160-1))))</f>
        <v>0.10985594529441114</v>
      </c>
      <c r="CV160" s="476"/>
      <c r="CW160" s="345"/>
      <c r="CX160" s="345"/>
      <c r="CY160" s="345"/>
      <c r="CZ160" s="345"/>
      <c r="DA160" s="345"/>
      <c r="DB160" s="345"/>
      <c r="DC160" s="345"/>
      <c r="DD160" s="345"/>
      <c r="DE160" s="345"/>
      <c r="DF160" s="345"/>
      <c r="DG160" s="345"/>
      <c r="DH160" s="345"/>
      <c r="DI160" s="345"/>
      <c r="DJ160" s="345"/>
      <c r="DK160" s="345"/>
      <c r="DL160" s="345"/>
      <c r="DM160" s="345"/>
      <c r="DN160" s="345"/>
      <c r="DO160" s="345"/>
      <c r="DP160" s="345"/>
      <c r="DQ160" s="345"/>
      <c r="DR160" s="345"/>
      <c r="DS160" s="345"/>
      <c r="DT160" s="345"/>
      <c r="DU160" s="345"/>
      <c r="DV160" s="345"/>
      <c r="DW160" s="345"/>
      <c r="DX160" s="345"/>
      <c r="DY160" s="345"/>
      <c r="DZ160" s="345"/>
      <c r="EA160" s="345"/>
      <c r="EB160" s="345"/>
      <c r="EC160" s="345"/>
      <c r="ED160" s="345"/>
      <c r="EE160" s="345"/>
      <c r="EF160" s="345"/>
      <c r="EG160" s="345"/>
      <c r="EH160" s="345"/>
      <c r="EI160" s="345"/>
      <c r="EJ160" s="345"/>
      <c r="EK160" s="345"/>
      <c r="EL160" s="345"/>
      <c r="EM160" s="345"/>
      <c r="EN160" s="345"/>
      <c r="EO160" s="345"/>
      <c r="EP160" s="345"/>
      <c r="EQ160" s="345"/>
      <c r="ER160" s="345"/>
      <c r="ES160" s="345"/>
      <c r="ET160" s="345"/>
      <c r="EU160" s="345"/>
      <c r="EV160" s="345"/>
      <c r="EW160" s="345"/>
      <c r="EX160" s="345"/>
      <c r="EY160" s="345"/>
      <c r="EZ160" s="345"/>
      <c r="FA160" s="345"/>
      <c r="FB160" s="345"/>
      <c r="FC160" s="345"/>
      <c r="FD160" s="345"/>
      <c r="FE160" s="345"/>
      <c r="FF160" s="345"/>
      <c r="FG160" s="345"/>
      <c r="FH160" s="345"/>
      <c r="FI160" s="345"/>
      <c r="FJ160" s="345"/>
      <c r="FK160" s="345"/>
      <c r="FL160" s="345"/>
      <c r="FM160" s="345"/>
      <c r="FN160" s="345"/>
      <c r="FO160" s="345"/>
      <c r="FP160" s="345"/>
      <c r="FQ160" s="345"/>
      <c r="FR160" s="345"/>
      <c r="FS160" s="345"/>
      <c r="FT160" s="345"/>
      <c r="FU160" s="345"/>
      <c r="FV160" s="345"/>
      <c r="FW160" s="345"/>
      <c r="FX160" s="345"/>
      <c r="FY160" s="345"/>
      <c r="FZ160" s="345"/>
      <c r="GA160" s="345"/>
      <c r="GB160" s="345"/>
      <c r="GC160" s="345"/>
      <c r="GD160" s="345"/>
      <c r="GE160" s="345"/>
      <c r="GF160" s="345"/>
      <c r="GG160" s="345"/>
      <c r="GH160" s="345"/>
      <c r="GI160" s="345"/>
      <c r="GJ160" s="345"/>
      <c r="GK160" s="345"/>
      <c r="GL160" s="345"/>
      <c r="GM160" s="345"/>
      <c r="GN160" s="345"/>
      <c r="GO160" s="345"/>
      <c r="GP160" s="345"/>
      <c r="GQ160" s="345"/>
      <c r="GR160" s="345"/>
      <c r="GS160" s="345"/>
      <c r="GT160" s="345"/>
      <c r="GU160" s="345"/>
    </row>
    <row r="161" spans="1:203" ht="12.75" customHeight="1">
      <c r="A161" s="465" t="str">
        <f t="shared" si="123"/>
        <v/>
      </c>
      <c r="B161" s="1108">
        <v>151</v>
      </c>
      <c r="C161" s="1131"/>
      <c r="D161" s="398"/>
      <c r="E161" s="1134"/>
      <c r="F161" s="465" t="str">
        <f t="shared" si="125"/>
        <v/>
      </c>
      <c r="G161" s="1108">
        <v>151</v>
      </c>
      <c r="H161" s="1131"/>
      <c r="I161" s="1110"/>
      <c r="J161" s="1134"/>
      <c r="K161" s="465"/>
      <c r="L161" s="465"/>
      <c r="M161" s="465" t="str">
        <f t="shared" si="121"/>
        <v/>
      </c>
      <c r="N161" s="1108">
        <v>151</v>
      </c>
      <c r="O161" s="1131"/>
      <c r="P161" s="398"/>
      <c r="Q161" s="1134"/>
      <c r="R161" s="465" t="str">
        <f t="shared" si="122"/>
        <v/>
      </c>
      <c r="S161" s="1108">
        <v>151</v>
      </c>
      <c r="T161" s="1131"/>
      <c r="U161" s="1133"/>
      <c r="V161" s="1134"/>
      <c r="W161" s="371"/>
      <c r="X161" s="494" t="str">
        <f t="shared" si="98"/>
        <v/>
      </c>
      <c r="Y161" s="495" t="str">
        <f>IF('Feuilles=description générale'!$E$13="","",IF(X161="","",IF(X161&gt;('Feuilles=description générale'!$E$11+'Feuilles=description générale'!$E$10),"",100*(X161-'Feuilles=description générale'!$E$10)/('Feuilles=description générale'!$E$11))))</f>
        <v/>
      </c>
      <c r="Z161" s="495" t="str">
        <f>IF('Feuilles=description générale'!$E$13="","",IF(X161="","",IF(X161&lt;=('Feuilles=description générale'!$E$11+'Feuilles=description générale'!$E$10),"",100*(X161-'Feuilles=description générale'!$E$11-'Feuilles=description générale'!$E$10)/('Feuilles=description générale'!$E$12))))</f>
        <v/>
      </c>
      <c r="AA161" s="1112" t="str">
        <f>IF('Feuilles=description générale'!$E$13="","",IF(X161="","",100*(X161-'Feuilles=description générale'!$E$10)/('Feuilles=description générale'!$E$13-'Feuilles=description générale'!$E$10)))</f>
        <v/>
      </c>
      <c r="AB161" s="497" t="str">
        <f t="shared" si="99"/>
        <v/>
      </c>
      <c r="AC161" s="500" t="str">
        <f t="shared" si="124"/>
        <v/>
      </c>
      <c r="AD161" s="494" t="str">
        <f t="shared" si="100"/>
        <v/>
      </c>
      <c r="AE161" s="499" t="str">
        <f t="shared" si="101"/>
        <v/>
      </c>
      <c r="AF161" s="371"/>
      <c r="AG161" s="494" t="str">
        <f t="shared" si="102"/>
        <v/>
      </c>
      <c r="AH161" s="495" t="str">
        <f>IF('Feuilles=description générale'!$E$13="","",IF(AG161="","",IF(AG161&gt;('Feuilles=description générale'!$E$11+'Feuilles=description générale'!$E$10),"",100*(AG161-'Feuilles=description générale'!$E$10)/('Feuilles=description générale'!$E$11))))</f>
        <v/>
      </c>
      <c r="AI161" s="495" t="str">
        <f>IF('Feuilles=description générale'!$E$13="","",IF(AG161="","",IF(AG161&lt;=('Feuilles=description générale'!$E$11+'Feuilles=description générale'!$E$10),"",100*(AG161-'Feuilles=description générale'!$E$11-'Feuilles=description générale'!$E$10)/('Feuilles=description générale'!$E$12))))</f>
        <v/>
      </c>
      <c r="AJ161" s="496" t="str">
        <f>IF('Feuilles=description générale'!$E$13="","",IF(AG161="","",100*(AG161-'Feuilles=description générale'!$E$10)/('Feuilles=description générale'!$E$13-'Feuilles=description générale'!$E$10)))</f>
        <v/>
      </c>
      <c r="AK161" s="1113" t="str">
        <f t="shared" si="103"/>
        <v/>
      </c>
      <c r="AL161" s="498" t="str">
        <f t="shared" si="104"/>
        <v/>
      </c>
      <c r="AM161" s="494" t="str">
        <f t="shared" si="105"/>
        <v/>
      </c>
      <c r="AN161" s="499" t="str">
        <f t="shared" si="106"/>
        <v/>
      </c>
      <c r="AO161" s="371"/>
      <c r="AP161" s="494" t="str">
        <f t="shared" si="107"/>
        <v/>
      </c>
      <c r="AQ161" s="495" t="str">
        <f>IF('Feuilles=description générale'!$E$13="","",IF(AP161="","",IF(AP161&gt;('Feuilles=description générale'!$E$25+'Feuilles=description générale'!$E$24),"",100*(AP161-'Feuilles=description générale'!$E$24)/('Feuilles=description générale'!$E$25))))</f>
        <v/>
      </c>
      <c r="AR161" s="495" t="str">
        <f>IF('Feuilles=description générale'!$E$27="","",IF(AP161="","",IF(AP161&lt;=('Feuilles=description générale'!$E$25+'Feuilles=description générale'!$E$24),"",100*(AP161-'Feuilles=description générale'!$E$25-'Feuilles=description générale'!$E$24)/('Feuilles=description générale'!$E$26))))</f>
        <v/>
      </c>
      <c r="AS161" s="496" t="str">
        <f>IF('Feuilles=description générale'!$E$27="","",IF(AP161="","",100*(AP161-'Feuilles=description générale'!$E$24)/('Feuilles=description générale'!$E$27-'Feuilles=description générale'!$E$24)))</f>
        <v/>
      </c>
      <c r="AT161" s="497" t="str">
        <f t="shared" si="108"/>
        <v/>
      </c>
      <c r="AU161" s="500" t="str">
        <f t="shared" si="109"/>
        <v/>
      </c>
      <c r="AV161" s="494" t="str">
        <f t="shared" si="110"/>
        <v/>
      </c>
      <c r="AW161" s="499" t="str">
        <f t="shared" si="111"/>
        <v/>
      </c>
      <c r="AX161" s="371"/>
      <c r="AY161" s="494" t="str">
        <f t="shared" si="112"/>
        <v/>
      </c>
      <c r="AZ161" s="495" t="str">
        <f>IF('Feuilles=description générale'!$E$13="","",IF(AY161="","",IF(AY161&gt;('Feuilles=description générale'!$E$25+'Feuilles=description générale'!$E$24),"",100*(AY161-'Feuilles=description générale'!$E$24)/('Feuilles=description générale'!$E$25))))</f>
        <v/>
      </c>
      <c r="BA161" s="495" t="str">
        <f>IF('Feuilles=description générale'!$E$27="","",IF(AY161="","",IF(AY161&lt;=('Feuilles=description générale'!$E$25+'Feuilles=description générale'!$E$24),"",100*(AY161-'Feuilles=description générale'!$E$25-'Feuilles=description générale'!$E$24)/('Feuilles=description générale'!$E$26))))</f>
        <v/>
      </c>
      <c r="BB161" s="496" t="str">
        <f>IF('Feuilles=description générale'!$E$27="","",IF(AY161="","",100*(AY161-'Feuilles=description générale'!$E$24)/('Feuilles=description générale'!$E$27-'Feuilles=description générale'!$E$24)))</f>
        <v/>
      </c>
      <c r="BC161" s="497" t="str">
        <f t="shared" si="113"/>
        <v/>
      </c>
      <c r="BD161" s="500" t="str">
        <f t="shared" si="114"/>
        <v/>
      </c>
      <c r="BE161" s="494" t="str">
        <f t="shared" si="115"/>
        <v/>
      </c>
      <c r="BF161" s="499" t="str">
        <f t="shared" si="116"/>
        <v/>
      </c>
      <c r="BG161" s="476"/>
      <c r="BH161" s="563"/>
      <c r="BI161" s="562"/>
      <c r="BJ161" s="562"/>
      <c r="BK161" s="562"/>
      <c r="BL161" s="562"/>
      <c r="BM161" s="562"/>
      <c r="BN161" s="562"/>
      <c r="BO161" s="562"/>
      <c r="BP161" s="562"/>
      <c r="BQ161" s="562"/>
      <c r="BR161" s="562"/>
      <c r="BS161" s="562"/>
      <c r="BT161" s="562"/>
      <c r="BU161" s="568"/>
      <c r="BV161" s="1114" t="str">
        <f t="shared" si="117"/>
        <v/>
      </c>
      <c r="BW161" s="1114" t="str">
        <f t="shared" si="117"/>
        <v/>
      </c>
      <c r="BX161" s="1114" t="str">
        <f t="shared" si="118"/>
        <v/>
      </c>
      <c r="BY161" s="1115" t="str">
        <f t="shared" si="118"/>
        <v/>
      </c>
      <c r="BZ161" s="477"/>
      <c r="CA161" s="1114" t="str">
        <f t="shared" si="119"/>
        <v/>
      </c>
      <c r="CB161" s="1114" t="str">
        <f t="shared" si="119"/>
        <v/>
      </c>
      <c r="CC161" s="1114" t="str">
        <f t="shared" si="120"/>
        <v/>
      </c>
      <c r="CD161" s="1115" t="str">
        <f t="shared" si="120"/>
        <v/>
      </c>
      <c r="CE161" s="568"/>
      <c r="CF161" s="1433">
        <v>100</v>
      </c>
      <c r="CG161" s="1427"/>
      <c r="CH161" s="1422"/>
      <c r="CI161" s="1428"/>
      <c r="CJ161" s="1422"/>
      <c r="CK161" s="1438"/>
      <c r="CL161" s="1439"/>
      <c r="CM161" s="1422"/>
      <c r="CN161" s="1437"/>
      <c r="CO161" s="1422"/>
      <c r="CP161" s="1441"/>
      <c r="CQ161" s="1439"/>
      <c r="CR161" s="1422"/>
      <c r="CS161" s="1422"/>
      <c r="CT161" s="1422"/>
      <c r="CU161" s="1438"/>
      <c r="CV161" s="476"/>
      <c r="CW161" s="345"/>
      <c r="CX161" s="345"/>
      <c r="CY161" s="345"/>
      <c r="CZ161" s="345"/>
      <c r="DA161" s="345"/>
      <c r="DB161" s="345"/>
      <c r="DC161" s="345"/>
      <c r="DD161" s="345"/>
      <c r="DE161" s="345"/>
      <c r="DF161" s="345"/>
      <c r="DG161" s="345"/>
      <c r="DH161" s="345"/>
      <c r="DI161" s="345"/>
      <c r="DJ161" s="345"/>
      <c r="DK161" s="345"/>
      <c r="DL161" s="345"/>
      <c r="DM161" s="345"/>
      <c r="DN161" s="345"/>
      <c r="DO161" s="345"/>
      <c r="DP161" s="345"/>
      <c r="DQ161" s="345"/>
      <c r="DR161" s="345"/>
      <c r="DS161" s="345"/>
      <c r="DT161" s="345"/>
      <c r="DU161" s="345"/>
      <c r="DV161" s="345"/>
      <c r="DW161" s="345"/>
      <c r="DX161" s="345"/>
      <c r="DY161" s="345"/>
      <c r="DZ161" s="345"/>
      <c r="EA161" s="345"/>
      <c r="EB161" s="345"/>
      <c r="EC161" s="345"/>
      <c r="ED161" s="345"/>
      <c r="EE161" s="345"/>
      <c r="EF161" s="345"/>
      <c r="EG161" s="345"/>
      <c r="EH161" s="345"/>
      <c r="EI161" s="345"/>
      <c r="EJ161" s="345"/>
      <c r="EK161" s="345"/>
      <c r="EL161" s="345"/>
      <c r="EM161" s="345"/>
      <c r="EN161" s="345"/>
      <c r="EO161" s="345"/>
      <c r="EP161" s="345"/>
      <c r="EQ161" s="345"/>
      <c r="ER161" s="345"/>
      <c r="ES161" s="345"/>
      <c r="ET161" s="345"/>
      <c r="EU161" s="345"/>
      <c r="EV161" s="345"/>
      <c r="EW161" s="345"/>
      <c r="EX161" s="345"/>
      <c r="EY161" s="345"/>
      <c r="EZ161" s="345"/>
      <c r="FA161" s="345"/>
      <c r="FB161" s="345"/>
      <c r="FC161" s="345"/>
      <c r="FD161" s="345"/>
      <c r="FE161" s="345"/>
      <c r="FF161" s="345"/>
      <c r="FG161" s="345"/>
      <c r="FH161" s="345"/>
      <c r="FI161" s="345"/>
      <c r="FJ161" s="345"/>
      <c r="FK161" s="345"/>
      <c r="FL161" s="345"/>
      <c r="FM161" s="345"/>
      <c r="FN161" s="345"/>
      <c r="FO161" s="345"/>
      <c r="FP161" s="345"/>
      <c r="FQ161" s="345"/>
      <c r="FR161" s="345"/>
      <c r="FS161" s="345"/>
      <c r="FT161" s="345"/>
      <c r="FU161" s="345"/>
      <c r="FV161" s="345"/>
      <c r="FW161" s="345"/>
      <c r="FX161" s="345"/>
      <c r="FY161" s="345"/>
      <c r="FZ161" s="345"/>
      <c r="GA161" s="345"/>
      <c r="GB161" s="345"/>
      <c r="GC161" s="345"/>
      <c r="GD161" s="345"/>
      <c r="GE161" s="345"/>
      <c r="GF161" s="345"/>
      <c r="GG161" s="345"/>
      <c r="GH161" s="345"/>
      <c r="GI161" s="345"/>
      <c r="GJ161" s="345"/>
      <c r="GK161" s="345"/>
      <c r="GL161" s="345"/>
      <c r="GM161" s="345"/>
      <c r="GN161" s="345"/>
      <c r="GO161" s="345"/>
      <c r="GP161" s="345"/>
      <c r="GQ161" s="345"/>
      <c r="GR161" s="345"/>
      <c r="GS161" s="345"/>
      <c r="GT161" s="345"/>
      <c r="GU161" s="345"/>
    </row>
    <row r="162" spans="1:203" ht="12.75" customHeight="1" thickBot="1">
      <c r="A162" s="465" t="str">
        <f t="shared" si="123"/>
        <v/>
      </c>
      <c r="B162" s="1108">
        <v>152</v>
      </c>
      <c r="C162" s="1131"/>
      <c r="D162" s="398"/>
      <c r="E162" s="1134"/>
      <c r="F162" s="465" t="str">
        <f t="shared" si="125"/>
        <v/>
      </c>
      <c r="G162" s="1108">
        <v>152</v>
      </c>
      <c r="H162" s="1131"/>
      <c r="I162" s="1110"/>
      <c r="J162" s="1134"/>
      <c r="K162" s="465"/>
      <c r="L162" s="465"/>
      <c r="M162" s="465" t="str">
        <f t="shared" si="121"/>
        <v/>
      </c>
      <c r="N162" s="1108">
        <v>152</v>
      </c>
      <c r="O162" s="1131"/>
      <c r="P162" s="398"/>
      <c r="Q162" s="1134"/>
      <c r="R162" s="465" t="str">
        <f t="shared" si="122"/>
        <v/>
      </c>
      <c r="S162" s="1108">
        <v>152</v>
      </c>
      <c r="T162" s="1131"/>
      <c r="U162" s="1133"/>
      <c r="V162" s="1134"/>
      <c r="W162" s="371"/>
      <c r="X162" s="494" t="str">
        <f t="shared" si="98"/>
        <v/>
      </c>
      <c r="Y162" s="495" t="str">
        <f>IF('Feuilles=description générale'!$E$13="","",IF(X162="","",IF(X162&gt;('Feuilles=description générale'!$E$11+'Feuilles=description générale'!$E$10),"",100*(X162-'Feuilles=description générale'!$E$10)/('Feuilles=description générale'!$E$11))))</f>
        <v/>
      </c>
      <c r="Z162" s="495" t="str">
        <f>IF('Feuilles=description générale'!$E$13="","",IF(X162="","",IF(X162&lt;=('Feuilles=description générale'!$E$11+'Feuilles=description générale'!$E$10),"",100*(X162-'Feuilles=description générale'!$E$11-'Feuilles=description générale'!$E$10)/('Feuilles=description générale'!$E$12))))</f>
        <v/>
      </c>
      <c r="AA162" s="1112" t="str">
        <f>IF('Feuilles=description générale'!$E$13="","",IF(X162="","",100*(X162-'Feuilles=description générale'!$E$10)/('Feuilles=description générale'!$E$13-'Feuilles=description générale'!$E$10)))</f>
        <v/>
      </c>
      <c r="AB162" s="497" t="str">
        <f t="shared" si="99"/>
        <v/>
      </c>
      <c r="AC162" s="500" t="str">
        <f t="shared" si="124"/>
        <v/>
      </c>
      <c r="AD162" s="494" t="str">
        <f t="shared" si="100"/>
        <v/>
      </c>
      <c r="AE162" s="499" t="str">
        <f t="shared" si="101"/>
        <v/>
      </c>
      <c r="AF162" s="371"/>
      <c r="AG162" s="494" t="str">
        <f t="shared" si="102"/>
        <v/>
      </c>
      <c r="AH162" s="495" t="str">
        <f>IF('Feuilles=description générale'!$E$13="","",IF(AG162="","",IF(AG162&gt;('Feuilles=description générale'!$E$11+'Feuilles=description générale'!$E$10),"",100*(AG162-'Feuilles=description générale'!$E$10)/('Feuilles=description générale'!$E$11))))</f>
        <v/>
      </c>
      <c r="AI162" s="495" t="str">
        <f>IF('Feuilles=description générale'!$E$13="","",IF(AG162="","",IF(AG162&lt;=('Feuilles=description générale'!$E$11+'Feuilles=description générale'!$E$10),"",100*(AG162-'Feuilles=description générale'!$E$11-'Feuilles=description générale'!$E$10)/('Feuilles=description générale'!$E$12))))</f>
        <v/>
      </c>
      <c r="AJ162" s="496" t="str">
        <f>IF('Feuilles=description générale'!$E$13="","",IF(AG162="","",100*(AG162-'Feuilles=description générale'!$E$10)/('Feuilles=description générale'!$E$13-'Feuilles=description générale'!$E$10)))</f>
        <v/>
      </c>
      <c r="AK162" s="1113" t="str">
        <f t="shared" si="103"/>
        <v/>
      </c>
      <c r="AL162" s="498" t="str">
        <f t="shared" si="104"/>
        <v/>
      </c>
      <c r="AM162" s="494" t="str">
        <f t="shared" si="105"/>
        <v/>
      </c>
      <c r="AN162" s="499" t="str">
        <f t="shared" si="106"/>
        <v/>
      </c>
      <c r="AO162" s="371"/>
      <c r="AP162" s="494" t="str">
        <f t="shared" si="107"/>
        <v/>
      </c>
      <c r="AQ162" s="495" t="str">
        <f>IF('Feuilles=description générale'!$E$13="","",IF(AP162="","",IF(AP162&gt;('Feuilles=description générale'!$E$25+'Feuilles=description générale'!$E$24),"",100*(AP162-'Feuilles=description générale'!$E$24)/('Feuilles=description générale'!$E$25))))</f>
        <v/>
      </c>
      <c r="AR162" s="495" t="str">
        <f>IF('Feuilles=description générale'!$E$27="","",IF(AP162="","",IF(AP162&lt;=('Feuilles=description générale'!$E$25+'Feuilles=description générale'!$E$24),"",100*(AP162-'Feuilles=description générale'!$E$25-'Feuilles=description générale'!$E$24)/('Feuilles=description générale'!$E$26))))</f>
        <v/>
      </c>
      <c r="AS162" s="496" t="str">
        <f>IF('Feuilles=description générale'!$E$27="","",IF(AP162="","",100*(AP162-'Feuilles=description générale'!$E$24)/('Feuilles=description générale'!$E$27-'Feuilles=description générale'!$E$24)))</f>
        <v/>
      </c>
      <c r="AT162" s="497" t="str">
        <f t="shared" si="108"/>
        <v/>
      </c>
      <c r="AU162" s="500" t="str">
        <f t="shared" si="109"/>
        <v/>
      </c>
      <c r="AV162" s="494" t="str">
        <f t="shared" si="110"/>
        <v/>
      </c>
      <c r="AW162" s="499" t="str">
        <f t="shared" si="111"/>
        <v/>
      </c>
      <c r="AX162" s="371"/>
      <c r="AY162" s="494" t="str">
        <f t="shared" si="112"/>
        <v/>
      </c>
      <c r="AZ162" s="495" t="str">
        <f>IF('Feuilles=description générale'!$E$13="","",IF(AY162="","",IF(AY162&gt;('Feuilles=description générale'!$E$25+'Feuilles=description générale'!$E$24),"",100*(AY162-'Feuilles=description générale'!$E$24)/('Feuilles=description générale'!$E$25))))</f>
        <v/>
      </c>
      <c r="BA162" s="495" t="str">
        <f>IF('Feuilles=description générale'!$E$27="","",IF(AY162="","",IF(AY162&lt;=('Feuilles=description générale'!$E$25+'Feuilles=description générale'!$E$24),"",100*(AY162-'Feuilles=description générale'!$E$25-'Feuilles=description générale'!$E$24)/('Feuilles=description générale'!$E$26))))</f>
        <v/>
      </c>
      <c r="BB162" s="496" t="str">
        <f>IF('Feuilles=description générale'!$E$27="","",IF(AY162="","",100*(AY162-'Feuilles=description générale'!$E$24)/('Feuilles=description générale'!$E$27-'Feuilles=description générale'!$E$24)))</f>
        <v/>
      </c>
      <c r="BC162" s="497" t="str">
        <f t="shared" si="113"/>
        <v/>
      </c>
      <c r="BD162" s="500" t="str">
        <f t="shared" si="114"/>
        <v/>
      </c>
      <c r="BE162" s="494" t="str">
        <f t="shared" si="115"/>
        <v/>
      </c>
      <c r="BF162" s="499" t="str">
        <f t="shared" si="116"/>
        <v/>
      </c>
      <c r="BG162" s="476"/>
      <c r="BH162" s="563"/>
      <c r="BI162" s="564"/>
      <c r="BJ162" s="564"/>
      <c r="BK162" s="564"/>
      <c r="BL162" s="564"/>
      <c r="BM162" s="564"/>
      <c r="BN162" s="564"/>
      <c r="BO162" s="564"/>
      <c r="BP162" s="564"/>
      <c r="BQ162" s="564"/>
      <c r="BR162" s="564"/>
      <c r="BS162" s="564"/>
      <c r="BT162" s="564"/>
      <c r="BU162" s="568"/>
      <c r="BV162" s="1114" t="str">
        <f t="shared" si="117"/>
        <v/>
      </c>
      <c r="BW162" s="1114" t="str">
        <f t="shared" si="117"/>
        <v/>
      </c>
      <c r="BX162" s="1114" t="str">
        <f t="shared" si="118"/>
        <v/>
      </c>
      <c r="BY162" s="1115" t="str">
        <f t="shared" si="118"/>
        <v/>
      </c>
      <c r="BZ162" s="477"/>
      <c r="CA162" s="1114" t="str">
        <f t="shared" si="119"/>
        <v/>
      </c>
      <c r="CB162" s="1114" t="str">
        <f t="shared" si="119"/>
        <v/>
      </c>
      <c r="CC162" s="1114" t="str">
        <f t="shared" si="120"/>
        <v/>
      </c>
      <c r="CD162" s="1115" t="str">
        <f t="shared" si="120"/>
        <v/>
      </c>
      <c r="CE162" s="568"/>
      <c r="CF162" s="1434"/>
      <c r="CG162" s="1135"/>
      <c r="CH162" s="1136"/>
      <c r="CI162" s="1136"/>
      <c r="CJ162" s="1137">
        <f>(MIN(AE10:AE170,AW10:AW170)+CJ160)/2</f>
        <v>-20.672222222222224</v>
      </c>
      <c r="CK162" s="1138">
        <v>0</v>
      </c>
      <c r="CL162" s="1139"/>
      <c r="CM162" s="1136"/>
      <c r="CN162" s="1136"/>
      <c r="CO162" s="1137">
        <f>(MIN(AN10:AN170,BF10:BF170)+CO160)/2</f>
        <v>1.2649999999999977</v>
      </c>
      <c r="CP162" s="1140">
        <v>0</v>
      </c>
      <c r="CQ162" s="1139"/>
      <c r="CR162" s="1136"/>
      <c r="CS162" s="1136"/>
      <c r="CT162" s="1137">
        <f>(CJ162+CO162)/2</f>
        <v>-9.7036111111111136</v>
      </c>
      <c r="CU162" s="1138">
        <v>0</v>
      </c>
      <c r="CV162" s="476"/>
      <c r="CW162" s="345"/>
      <c r="CX162" s="345"/>
      <c r="CY162" s="345"/>
      <c r="CZ162" s="345"/>
      <c r="DA162" s="345"/>
      <c r="DB162" s="345"/>
      <c r="DC162" s="345"/>
      <c r="DD162" s="345"/>
      <c r="DE162" s="345"/>
      <c r="DF162" s="345"/>
      <c r="DG162" s="345"/>
      <c r="DH162" s="345"/>
      <c r="DI162" s="345"/>
      <c r="DJ162" s="345"/>
      <c r="DK162" s="345"/>
      <c r="DL162" s="345"/>
      <c r="DM162" s="345"/>
      <c r="DN162" s="345"/>
      <c r="DO162" s="345"/>
      <c r="DP162" s="345"/>
      <c r="DQ162" s="345"/>
      <c r="DR162" s="345"/>
      <c r="DS162" s="345"/>
      <c r="DT162" s="345"/>
      <c r="DU162" s="345"/>
      <c r="DV162" s="345"/>
      <c r="DW162" s="345"/>
      <c r="DX162" s="345"/>
      <c r="DY162" s="345"/>
      <c r="DZ162" s="345"/>
      <c r="EA162" s="345"/>
      <c r="EB162" s="345"/>
      <c r="EC162" s="345"/>
      <c r="ED162" s="345"/>
      <c r="EE162" s="345"/>
      <c r="EF162" s="345"/>
      <c r="EG162" s="345"/>
      <c r="EH162" s="345"/>
      <c r="EI162" s="345"/>
      <c r="EJ162" s="345"/>
      <c r="EK162" s="345"/>
      <c r="EL162" s="345"/>
      <c r="EM162" s="345"/>
      <c r="EN162" s="345"/>
      <c r="EO162" s="345"/>
      <c r="EP162" s="345"/>
      <c r="EQ162" s="345"/>
      <c r="ER162" s="345"/>
      <c r="ES162" s="345"/>
      <c r="ET162" s="345"/>
      <c r="EU162" s="345"/>
      <c r="EV162" s="345"/>
      <c r="EW162" s="345"/>
      <c r="EX162" s="345"/>
      <c r="EY162" s="345"/>
      <c r="EZ162" s="345"/>
      <c r="FA162" s="345"/>
      <c r="FB162" s="345"/>
      <c r="FC162" s="345"/>
      <c r="FD162" s="345"/>
      <c r="FE162" s="345"/>
      <c r="FF162" s="345"/>
      <c r="FG162" s="345"/>
      <c r="FH162" s="345"/>
      <c r="FI162" s="345"/>
      <c r="FJ162" s="345"/>
      <c r="FK162" s="345"/>
      <c r="FL162" s="345"/>
      <c r="FM162" s="345"/>
      <c r="FN162" s="345"/>
      <c r="FO162" s="345"/>
      <c r="FP162" s="345"/>
      <c r="FQ162" s="345"/>
      <c r="FR162" s="345"/>
      <c r="FS162" s="345"/>
      <c r="FT162" s="345"/>
      <c r="FU162" s="345"/>
      <c r="FV162" s="345"/>
      <c r="FW162" s="345"/>
      <c r="FX162" s="345"/>
      <c r="FY162" s="345"/>
      <c r="FZ162" s="345"/>
      <c r="GA162" s="345"/>
      <c r="GB162" s="345"/>
      <c r="GC162" s="345"/>
      <c r="GD162" s="345"/>
      <c r="GE162" s="345"/>
      <c r="GF162" s="345"/>
      <c r="GG162" s="345"/>
      <c r="GH162" s="345"/>
      <c r="GI162" s="345"/>
      <c r="GJ162" s="345"/>
      <c r="GK162" s="345"/>
      <c r="GL162" s="345"/>
      <c r="GM162" s="345"/>
      <c r="GN162" s="345"/>
      <c r="GO162" s="345"/>
      <c r="GP162" s="345"/>
      <c r="GQ162" s="345"/>
      <c r="GR162" s="345"/>
      <c r="GS162" s="345"/>
      <c r="GT162" s="345"/>
      <c r="GU162" s="345"/>
    </row>
    <row r="163" spans="1:203" ht="12.75" customHeight="1">
      <c r="A163" s="465" t="str">
        <f>IF(D163="","",IF(E159="F",2,IF(C163="T",3,A162)))</f>
        <v/>
      </c>
      <c r="B163" s="1108">
        <v>153</v>
      </c>
      <c r="C163" s="1131"/>
      <c r="D163" s="398"/>
      <c r="E163" s="1134"/>
      <c r="F163" s="465" t="str">
        <f t="shared" si="125"/>
        <v/>
      </c>
      <c r="G163" s="1108">
        <v>153</v>
      </c>
      <c r="H163" s="1131"/>
      <c r="I163" s="1110"/>
      <c r="J163" s="1134"/>
      <c r="K163" s="465"/>
      <c r="L163" s="465"/>
      <c r="M163" s="465" t="str">
        <f t="shared" si="121"/>
        <v/>
      </c>
      <c r="N163" s="1108">
        <v>153</v>
      </c>
      <c r="O163" s="1131"/>
      <c r="P163" s="398"/>
      <c r="Q163" s="1134"/>
      <c r="R163" s="465" t="str">
        <f t="shared" si="122"/>
        <v/>
      </c>
      <c r="S163" s="1108">
        <v>153</v>
      </c>
      <c r="T163" s="1131"/>
      <c r="U163" s="1133"/>
      <c r="V163" s="1134"/>
      <c r="W163" s="371"/>
      <c r="X163" s="494" t="str">
        <f t="shared" si="98"/>
        <v/>
      </c>
      <c r="Y163" s="495" t="str">
        <f>IF('Feuilles=description générale'!$E$13="","",IF(X163="","",IF(X163&gt;('Feuilles=description générale'!$E$11+'Feuilles=description générale'!$E$10),"",100*(X163-'Feuilles=description générale'!$E$10)/('Feuilles=description générale'!$E$11))))</f>
        <v/>
      </c>
      <c r="Z163" s="495" t="str">
        <f>IF('Feuilles=description générale'!$E$13="","",IF(X163="","",IF(X163&lt;=('Feuilles=description générale'!$E$11+'Feuilles=description générale'!$E$10),"",100*(X163-'Feuilles=description générale'!$E$11-'Feuilles=description générale'!$E$10)/('Feuilles=description générale'!$E$12))))</f>
        <v/>
      </c>
      <c r="AA163" s="1112" t="str">
        <f>IF('Feuilles=description générale'!$E$13="","",IF(X163="","",100*(X163-'Feuilles=description générale'!$E$10)/('Feuilles=description générale'!$E$13-'Feuilles=description générale'!$E$10)))</f>
        <v/>
      </c>
      <c r="AB163" s="497" t="str">
        <f t="shared" si="99"/>
        <v/>
      </c>
      <c r="AC163" s="500" t="str">
        <f t="shared" si="124"/>
        <v/>
      </c>
      <c r="AD163" s="494" t="str">
        <f t="shared" si="100"/>
        <v/>
      </c>
      <c r="AE163" s="499" t="str">
        <f t="shared" si="101"/>
        <v/>
      </c>
      <c r="AF163" s="1429"/>
      <c r="AG163" s="494" t="str">
        <f t="shared" si="102"/>
        <v/>
      </c>
      <c r="AH163" s="495" t="str">
        <f>IF('Feuilles=description générale'!$E$13="","",IF(AG163="","",IF(AG163&gt;('Feuilles=description générale'!$E$11+'Feuilles=description générale'!$E$10),"",100*(AG163-'Feuilles=description générale'!$E$10)/('Feuilles=description générale'!$E$11))))</f>
        <v/>
      </c>
      <c r="AI163" s="495" t="str">
        <f>IF('Feuilles=description générale'!$E$13="","",IF(AG163="","",IF(AG163&lt;=('Feuilles=description générale'!$E$11+'Feuilles=description générale'!$E$10),"",100*(AG163-'Feuilles=description générale'!$E$11-'Feuilles=description générale'!$E$10)/('Feuilles=description générale'!$E$12))))</f>
        <v/>
      </c>
      <c r="AJ163" s="496" t="str">
        <f>IF('Feuilles=description générale'!$E$13="","",IF(AG163="","",100*(AG163-'Feuilles=description générale'!$E$10)/('Feuilles=description générale'!$E$13-'Feuilles=description générale'!$E$10)))</f>
        <v/>
      </c>
      <c r="AK163" s="1113" t="str">
        <f t="shared" si="103"/>
        <v/>
      </c>
      <c r="AL163" s="498" t="str">
        <f t="shared" si="104"/>
        <v/>
      </c>
      <c r="AM163" s="494" t="str">
        <f t="shared" si="105"/>
        <v/>
      </c>
      <c r="AN163" s="499" t="str">
        <f t="shared" si="106"/>
        <v/>
      </c>
      <c r="AO163" s="371"/>
      <c r="AP163" s="494" t="str">
        <f t="shared" si="107"/>
        <v/>
      </c>
      <c r="AQ163" s="495" t="str">
        <f>IF('Feuilles=description générale'!$E$13="","",IF(AP163="","",IF(AP163&gt;('Feuilles=description générale'!$E$25+'Feuilles=description générale'!$E$24),"",100*(AP163-'Feuilles=description générale'!$E$24)/('Feuilles=description générale'!$E$25))))</f>
        <v/>
      </c>
      <c r="AR163" s="495" t="str">
        <f>IF('Feuilles=description générale'!$E$27="","",IF(AP163="","",IF(AP163&lt;=('Feuilles=description générale'!$E$25+'Feuilles=description générale'!$E$24),"",100*(AP163-'Feuilles=description générale'!$E$25-'Feuilles=description générale'!$E$24)/('Feuilles=description générale'!$E$26))))</f>
        <v/>
      </c>
      <c r="AS163" s="496" t="str">
        <f>IF('Feuilles=description générale'!$E$27="","",IF(AP163="","",100*(AP163-'Feuilles=description générale'!$E$24)/('Feuilles=description générale'!$E$27-'Feuilles=description générale'!$E$24)))</f>
        <v/>
      </c>
      <c r="AT163" s="497" t="str">
        <f t="shared" si="108"/>
        <v/>
      </c>
      <c r="AU163" s="500" t="str">
        <f t="shared" si="109"/>
        <v/>
      </c>
      <c r="AV163" s="494" t="str">
        <f t="shared" si="110"/>
        <v/>
      </c>
      <c r="AW163" s="499" t="str">
        <f t="shared" si="111"/>
        <v/>
      </c>
      <c r="AX163" s="1429"/>
      <c r="AY163" s="494" t="str">
        <f t="shared" si="112"/>
        <v/>
      </c>
      <c r="AZ163" s="495" t="str">
        <f>IF('Feuilles=description générale'!$E$13="","",IF(AY163="","",IF(AY163&gt;('Feuilles=description générale'!$E$25+'Feuilles=description générale'!$E$24),"",100*(AY163-'Feuilles=description générale'!$E$24)/('Feuilles=description générale'!$E$25))))</f>
        <v/>
      </c>
      <c r="BA163" s="495" t="str">
        <f>IF('Feuilles=description générale'!$E$27="","",IF(AY163="","",IF(AY163&lt;=('Feuilles=description générale'!$E$25+'Feuilles=description générale'!$E$24),"",100*(AY163-'Feuilles=description générale'!$E$25-'Feuilles=description générale'!$E$24)/('Feuilles=description générale'!$E$26))))</f>
        <v/>
      </c>
      <c r="BB163" s="496" t="str">
        <f>IF('Feuilles=description générale'!$E$27="","",IF(AY163="","",100*(AY163-'Feuilles=description générale'!$E$24)/('Feuilles=description générale'!$E$27-'Feuilles=description générale'!$E$24)))</f>
        <v/>
      </c>
      <c r="BC163" s="497" t="str">
        <f t="shared" si="113"/>
        <v/>
      </c>
      <c r="BD163" s="500" t="str">
        <f t="shared" si="114"/>
        <v/>
      </c>
      <c r="BE163" s="494" t="str">
        <f t="shared" si="115"/>
        <v/>
      </c>
      <c r="BF163" s="499" t="str">
        <f t="shared" si="116"/>
        <v/>
      </c>
      <c r="BG163" s="476"/>
      <c r="BH163" s="565"/>
      <c r="BI163" s="564"/>
      <c r="BJ163" s="564"/>
      <c r="BK163" s="564"/>
      <c r="BL163" s="564"/>
      <c r="BM163" s="564"/>
      <c r="BN163" s="564"/>
      <c r="BO163" s="564"/>
      <c r="BP163" s="564"/>
      <c r="BQ163" s="554"/>
      <c r="BR163" s="554"/>
      <c r="BS163" s="554"/>
      <c r="BT163" s="554"/>
      <c r="BU163" s="568"/>
      <c r="BV163" s="1114" t="str">
        <f t="shared" si="117"/>
        <v/>
      </c>
      <c r="BW163" s="1114" t="str">
        <f t="shared" si="117"/>
        <v/>
      </c>
      <c r="BX163" s="1114" t="str">
        <f t="shared" si="118"/>
        <v/>
      </c>
      <c r="BY163" s="1115" t="str">
        <f t="shared" si="118"/>
        <v/>
      </c>
      <c r="BZ163" s="477"/>
      <c r="CA163" s="1114" t="str">
        <f t="shared" si="119"/>
        <v/>
      </c>
      <c r="CB163" s="1114" t="str">
        <f t="shared" si="119"/>
        <v/>
      </c>
      <c r="CC163" s="1114" t="str">
        <f t="shared" si="120"/>
        <v/>
      </c>
      <c r="CD163" s="1115" t="str">
        <f t="shared" si="120"/>
        <v/>
      </c>
      <c r="CE163" s="568"/>
      <c r="CF163" s="477"/>
      <c r="CG163" s="477"/>
      <c r="CH163" s="477"/>
      <c r="CI163" s="477"/>
      <c r="CJ163" s="477"/>
      <c r="CK163" s="477"/>
      <c r="CL163" s="477"/>
      <c r="CM163" s="477"/>
      <c r="CN163" s="477"/>
      <c r="CO163" s="477"/>
      <c r="CP163" s="477"/>
      <c r="CQ163" s="477"/>
      <c r="CR163" s="477"/>
      <c r="CS163" s="477"/>
      <c r="CT163" s="477"/>
      <c r="CU163" s="477"/>
      <c r="CV163" s="476"/>
      <c r="CW163" s="345"/>
      <c r="CX163" s="345"/>
      <c r="CY163" s="345"/>
      <c r="CZ163" s="345"/>
      <c r="DA163" s="345"/>
      <c r="DB163" s="345"/>
      <c r="DC163" s="345"/>
      <c r="DD163" s="345"/>
      <c r="DE163" s="345"/>
      <c r="DF163" s="345"/>
      <c r="DG163" s="345"/>
      <c r="DH163" s="345"/>
      <c r="DI163" s="345"/>
      <c r="DJ163" s="345"/>
      <c r="DK163" s="345"/>
      <c r="DL163" s="345"/>
      <c r="DM163" s="345"/>
      <c r="DN163" s="345"/>
      <c r="DO163" s="345"/>
      <c r="DP163" s="345"/>
      <c r="DQ163" s="345"/>
      <c r="DR163" s="345"/>
      <c r="DS163" s="345"/>
      <c r="DT163" s="345"/>
      <c r="DU163" s="345"/>
      <c r="DV163" s="345"/>
      <c r="DW163" s="345"/>
      <c r="DX163" s="345"/>
      <c r="DY163" s="345"/>
      <c r="DZ163" s="345"/>
      <c r="EA163" s="345"/>
      <c r="EB163" s="345"/>
      <c r="EC163" s="345"/>
      <c r="ED163" s="345"/>
      <c r="EE163" s="345"/>
      <c r="EF163" s="345"/>
      <c r="EG163" s="345"/>
      <c r="EH163" s="345"/>
      <c r="EI163" s="345"/>
      <c r="EJ163" s="345"/>
      <c r="EK163" s="345"/>
      <c r="EL163" s="345"/>
      <c r="EM163" s="345"/>
      <c r="EN163" s="345"/>
      <c r="EO163" s="345"/>
      <c r="EP163" s="345"/>
      <c r="EQ163" s="345"/>
      <c r="ER163" s="345"/>
      <c r="ES163" s="345"/>
      <c r="ET163" s="345"/>
      <c r="EU163" s="345"/>
      <c r="EV163" s="345"/>
      <c r="EW163" s="345"/>
      <c r="EX163" s="345"/>
      <c r="EY163" s="345"/>
      <c r="EZ163" s="345"/>
      <c r="FA163" s="345"/>
      <c r="FB163" s="345"/>
      <c r="FC163" s="345"/>
      <c r="FD163" s="345"/>
      <c r="FE163" s="345"/>
      <c r="FF163" s="345"/>
      <c r="FG163" s="345"/>
      <c r="FH163" s="345"/>
      <c r="FI163" s="345"/>
      <c r="FJ163" s="345"/>
      <c r="FK163" s="345"/>
      <c r="FL163" s="345"/>
      <c r="FM163" s="345"/>
      <c r="FN163" s="345"/>
      <c r="FO163" s="345"/>
      <c r="FP163" s="345"/>
      <c r="FQ163" s="345"/>
      <c r="FR163" s="345"/>
      <c r="FS163" s="345"/>
      <c r="FT163" s="345"/>
      <c r="FU163" s="345"/>
      <c r="FV163" s="345"/>
      <c r="FW163" s="345"/>
      <c r="FX163" s="345"/>
      <c r="FY163" s="345"/>
      <c r="FZ163" s="345"/>
      <c r="GA163" s="345"/>
      <c r="GB163" s="345"/>
      <c r="GC163" s="345"/>
      <c r="GD163" s="345"/>
      <c r="GE163" s="345"/>
      <c r="GF163" s="345"/>
      <c r="GG163" s="345"/>
      <c r="GH163" s="345"/>
      <c r="GI163" s="345"/>
      <c r="GJ163" s="345"/>
      <c r="GK163" s="345"/>
      <c r="GL163" s="345"/>
      <c r="GM163" s="345"/>
      <c r="GN163" s="345"/>
      <c r="GO163" s="345"/>
      <c r="GP163" s="345"/>
      <c r="GQ163" s="345"/>
      <c r="GR163" s="345"/>
      <c r="GS163" s="345"/>
      <c r="GT163" s="345"/>
      <c r="GU163" s="345"/>
    </row>
    <row r="164" spans="1:203" ht="12.75" customHeight="1">
      <c r="A164" s="465" t="str">
        <f t="shared" si="123"/>
        <v/>
      </c>
      <c r="B164" s="1108">
        <v>154</v>
      </c>
      <c r="C164" s="1131"/>
      <c r="D164" s="398"/>
      <c r="E164" s="1134"/>
      <c r="F164" s="465" t="str">
        <f t="shared" si="125"/>
        <v/>
      </c>
      <c r="G164" s="1108">
        <v>154</v>
      </c>
      <c r="H164" s="1131"/>
      <c r="I164" s="1110"/>
      <c r="J164" s="1134"/>
      <c r="K164" s="465"/>
      <c r="L164" s="465"/>
      <c r="M164" s="465" t="str">
        <f t="shared" si="121"/>
        <v/>
      </c>
      <c r="N164" s="1108">
        <v>154</v>
      </c>
      <c r="O164" s="1131"/>
      <c r="P164" s="398"/>
      <c r="Q164" s="1134"/>
      <c r="R164" s="465" t="str">
        <f t="shared" si="122"/>
        <v/>
      </c>
      <c r="S164" s="1108">
        <v>154</v>
      </c>
      <c r="T164" s="1131"/>
      <c r="U164" s="1133"/>
      <c r="V164" s="1134"/>
      <c r="W164" s="371"/>
      <c r="X164" s="494" t="str">
        <f t="shared" si="98"/>
        <v/>
      </c>
      <c r="Y164" s="495" t="str">
        <f>IF('Feuilles=description générale'!$E$13="","",IF(X164="","",IF(X164&gt;('Feuilles=description générale'!$E$11+'Feuilles=description générale'!$E$10),"",100*(X164-'Feuilles=description générale'!$E$10)/('Feuilles=description générale'!$E$11))))</f>
        <v/>
      </c>
      <c r="Z164" s="495" t="str">
        <f>IF('Feuilles=description générale'!$E$13="","",IF(X164="","",IF(X164&lt;=('Feuilles=description générale'!$E$11+'Feuilles=description générale'!$E$10),"",100*(X164-'Feuilles=description générale'!$E$11-'Feuilles=description générale'!$E$10)/('Feuilles=description générale'!$E$12))))</f>
        <v/>
      </c>
      <c r="AA164" s="1112" t="str">
        <f>IF('Feuilles=description générale'!$E$13="","",IF(X164="","",100*(X164-'Feuilles=description générale'!$E$10)/('Feuilles=description générale'!$E$13-'Feuilles=description générale'!$E$10)))</f>
        <v/>
      </c>
      <c r="AB164" s="497" t="str">
        <f t="shared" si="99"/>
        <v/>
      </c>
      <c r="AC164" s="500" t="str">
        <f t="shared" si="124"/>
        <v/>
      </c>
      <c r="AD164" s="494" t="str">
        <f t="shared" si="100"/>
        <v/>
      </c>
      <c r="AE164" s="499" t="str">
        <f t="shared" si="101"/>
        <v/>
      </c>
      <c r="AF164" s="1429"/>
      <c r="AG164" s="494" t="str">
        <f t="shared" si="102"/>
        <v/>
      </c>
      <c r="AH164" s="495" t="str">
        <f>IF('Feuilles=description générale'!$E$13="","",IF(AG164="","",IF(AG164&gt;('Feuilles=description générale'!$E$11+'Feuilles=description générale'!$E$10),"",100*(AG164-'Feuilles=description générale'!$E$10)/('Feuilles=description générale'!$E$11))))</f>
        <v/>
      </c>
      <c r="AI164" s="495" t="str">
        <f>IF('Feuilles=description générale'!$E$13="","",IF(AG164="","",IF(AG164&lt;=('Feuilles=description générale'!$E$11+'Feuilles=description générale'!$E$10),"",100*(AG164-'Feuilles=description générale'!$E$11-'Feuilles=description générale'!$E$10)/('Feuilles=description générale'!$E$12))))</f>
        <v/>
      </c>
      <c r="AJ164" s="496" t="str">
        <f>IF('Feuilles=description générale'!$E$13="","",IF(AG164="","",100*(AG164-'Feuilles=description générale'!$E$10)/('Feuilles=description générale'!$E$13-'Feuilles=description générale'!$E$10)))</f>
        <v/>
      </c>
      <c r="AK164" s="1113" t="str">
        <f t="shared" si="103"/>
        <v/>
      </c>
      <c r="AL164" s="498" t="str">
        <f t="shared" si="104"/>
        <v/>
      </c>
      <c r="AM164" s="494" t="str">
        <f t="shared" si="105"/>
        <v/>
      </c>
      <c r="AN164" s="499" t="str">
        <f t="shared" si="106"/>
        <v/>
      </c>
      <c r="AO164" s="371"/>
      <c r="AP164" s="494" t="str">
        <f t="shared" si="107"/>
        <v/>
      </c>
      <c r="AQ164" s="495" t="str">
        <f>IF('Feuilles=description générale'!$E$13="","",IF(AP164="","",IF(AP164&gt;('Feuilles=description générale'!$E$25+'Feuilles=description générale'!$E$24),"",100*(AP164-'Feuilles=description générale'!$E$24)/('Feuilles=description générale'!$E$25))))</f>
        <v/>
      </c>
      <c r="AR164" s="495" t="str">
        <f>IF('Feuilles=description générale'!$E$27="","",IF(AP164="","",IF(AP164&lt;=('Feuilles=description générale'!$E$25+'Feuilles=description générale'!$E$24),"",100*(AP164-'Feuilles=description générale'!$E$25-'Feuilles=description générale'!$E$24)/('Feuilles=description générale'!$E$26))))</f>
        <v/>
      </c>
      <c r="AS164" s="496" t="str">
        <f>IF('Feuilles=description générale'!$E$27="","",IF(AP164="","",100*(AP164-'Feuilles=description générale'!$E$24)/('Feuilles=description générale'!$E$27-'Feuilles=description générale'!$E$24)))</f>
        <v/>
      </c>
      <c r="AT164" s="497" t="str">
        <f t="shared" si="108"/>
        <v/>
      </c>
      <c r="AU164" s="500" t="str">
        <f t="shared" si="109"/>
        <v/>
      </c>
      <c r="AV164" s="494" t="str">
        <f t="shared" si="110"/>
        <v/>
      </c>
      <c r="AW164" s="499" t="str">
        <f t="shared" si="111"/>
        <v/>
      </c>
      <c r="AX164" s="1429"/>
      <c r="AY164" s="494" t="str">
        <f t="shared" si="112"/>
        <v/>
      </c>
      <c r="AZ164" s="495" t="str">
        <f>IF('Feuilles=description générale'!$E$13="","",IF(AY164="","",IF(AY164&gt;('Feuilles=description générale'!$E$25+'Feuilles=description générale'!$E$24),"",100*(AY164-'Feuilles=description générale'!$E$24)/('Feuilles=description générale'!$E$25))))</f>
        <v/>
      </c>
      <c r="BA164" s="495" t="str">
        <f>IF('Feuilles=description générale'!$E$27="","",IF(AY164="","",IF(AY164&lt;=('Feuilles=description générale'!$E$25+'Feuilles=description générale'!$E$24),"",100*(AY164-'Feuilles=description générale'!$E$25-'Feuilles=description générale'!$E$24)/('Feuilles=description générale'!$E$26))))</f>
        <v/>
      </c>
      <c r="BB164" s="496" t="str">
        <f>IF('Feuilles=description générale'!$E$27="","",IF(AY164="","",100*(AY164-'Feuilles=description générale'!$E$24)/('Feuilles=description générale'!$E$27-'Feuilles=description générale'!$E$24)))</f>
        <v/>
      </c>
      <c r="BC164" s="497" t="str">
        <f t="shared" si="113"/>
        <v/>
      </c>
      <c r="BD164" s="500" t="str">
        <f t="shared" si="114"/>
        <v/>
      </c>
      <c r="BE164" s="494" t="str">
        <f t="shared" si="115"/>
        <v/>
      </c>
      <c r="BF164" s="499" t="str">
        <f t="shared" si="116"/>
        <v/>
      </c>
      <c r="BG164" s="476"/>
      <c r="BH164" s="568"/>
      <c r="BI164" s="568"/>
      <c r="BJ164" s="568"/>
      <c r="BK164" s="568"/>
      <c r="BL164" s="568"/>
      <c r="BM164" s="568"/>
      <c r="BN164" s="568"/>
      <c r="BO164" s="568"/>
      <c r="BP164" s="568"/>
      <c r="BQ164" s="568"/>
      <c r="BR164" s="568"/>
      <c r="BS164" s="568"/>
      <c r="BT164" s="568"/>
      <c r="BU164" s="568"/>
      <c r="BV164" s="1114" t="str">
        <f t="shared" si="117"/>
        <v/>
      </c>
      <c r="BW164" s="1114" t="str">
        <f t="shared" si="117"/>
        <v/>
      </c>
      <c r="BX164" s="1114" t="str">
        <f t="shared" si="118"/>
        <v/>
      </c>
      <c r="BY164" s="1115" t="str">
        <f t="shared" si="118"/>
        <v/>
      </c>
      <c r="BZ164" s="477"/>
      <c r="CA164" s="1114" t="str">
        <f t="shared" si="119"/>
        <v/>
      </c>
      <c r="CB164" s="1114" t="str">
        <f t="shared" si="119"/>
        <v/>
      </c>
      <c r="CC164" s="1114" t="str">
        <f t="shared" si="120"/>
        <v/>
      </c>
      <c r="CD164" s="1115" t="str">
        <f t="shared" si="120"/>
        <v/>
      </c>
      <c r="CE164" s="568"/>
      <c r="CF164" s="568"/>
      <c r="CG164" s="568"/>
      <c r="CH164" s="568"/>
      <c r="CI164" s="568"/>
      <c r="CJ164" s="568"/>
      <c r="CK164" s="568"/>
      <c r="CL164" s="568"/>
      <c r="CM164" s="568"/>
      <c r="CN164" s="568"/>
      <c r="CO164" s="568"/>
      <c r="CP164" s="568"/>
      <c r="CQ164" s="568"/>
      <c r="CR164" s="568"/>
      <c r="CS164" s="568"/>
      <c r="CT164" s="568"/>
      <c r="CU164" s="568"/>
      <c r="CV164" s="476"/>
      <c r="CW164" s="345"/>
      <c r="CX164" s="345"/>
      <c r="CY164" s="345"/>
      <c r="CZ164" s="345"/>
      <c r="DA164" s="345"/>
      <c r="DB164" s="345"/>
      <c r="DC164" s="345"/>
      <c r="DD164" s="345"/>
      <c r="DE164" s="345"/>
      <c r="DF164" s="345"/>
      <c r="DG164" s="345"/>
      <c r="DH164" s="345"/>
      <c r="DI164" s="345"/>
      <c r="DJ164" s="345"/>
      <c r="DK164" s="345"/>
      <c r="DL164" s="345"/>
      <c r="DM164" s="345"/>
      <c r="DN164" s="345"/>
      <c r="DO164" s="345"/>
      <c r="DP164" s="345"/>
      <c r="DQ164" s="345"/>
      <c r="DR164" s="345"/>
      <c r="DS164" s="345"/>
      <c r="DT164" s="345"/>
      <c r="DU164" s="345"/>
      <c r="DV164" s="345"/>
      <c r="DW164" s="345"/>
      <c r="DX164" s="345"/>
      <c r="DY164" s="345"/>
      <c r="DZ164" s="345"/>
      <c r="EA164" s="345"/>
      <c r="EB164" s="345"/>
      <c r="EC164" s="345"/>
      <c r="ED164" s="345"/>
      <c r="EE164" s="345"/>
      <c r="EF164" s="345"/>
      <c r="EG164" s="345"/>
      <c r="EH164" s="345"/>
      <c r="EI164" s="345"/>
      <c r="EJ164" s="345"/>
      <c r="EK164" s="345"/>
      <c r="EL164" s="345"/>
      <c r="EM164" s="345"/>
      <c r="EN164" s="345"/>
      <c r="EO164" s="345"/>
      <c r="EP164" s="345"/>
      <c r="EQ164" s="345"/>
      <c r="ER164" s="345"/>
      <c r="ES164" s="345"/>
      <c r="ET164" s="345"/>
      <c r="EU164" s="345"/>
      <c r="EV164" s="345"/>
      <c r="EW164" s="345"/>
      <c r="EX164" s="345"/>
      <c r="EY164" s="345"/>
      <c r="EZ164" s="345"/>
      <c r="FA164" s="345"/>
      <c r="FB164" s="345"/>
      <c r="FC164" s="345"/>
      <c r="FD164" s="345"/>
      <c r="FE164" s="345"/>
      <c r="FF164" s="345"/>
      <c r="FG164" s="345"/>
      <c r="FH164" s="345"/>
      <c r="FI164" s="345"/>
      <c r="FJ164" s="345"/>
      <c r="FK164" s="345"/>
      <c r="FL164" s="345"/>
      <c r="FM164" s="345"/>
      <c r="FN164" s="345"/>
      <c r="FO164" s="345"/>
      <c r="FP164" s="345"/>
      <c r="FQ164" s="345"/>
      <c r="FR164" s="345"/>
      <c r="FS164" s="345"/>
      <c r="FT164" s="345"/>
      <c r="FU164" s="345"/>
      <c r="FV164" s="345"/>
      <c r="FW164" s="345"/>
      <c r="FX164" s="345"/>
      <c r="FY164" s="345"/>
      <c r="FZ164" s="345"/>
      <c r="GA164" s="345"/>
      <c r="GB164" s="345"/>
      <c r="GC164" s="345"/>
      <c r="GD164" s="345"/>
      <c r="GE164" s="345"/>
      <c r="GF164" s="345"/>
      <c r="GG164" s="345"/>
      <c r="GH164" s="345"/>
      <c r="GI164" s="345"/>
      <c r="GJ164" s="345"/>
      <c r="GK164" s="345"/>
      <c r="GL164" s="345"/>
      <c r="GM164" s="345"/>
      <c r="GN164" s="345"/>
      <c r="GO164" s="345"/>
      <c r="GP164" s="345"/>
      <c r="GQ164" s="345"/>
      <c r="GR164" s="345"/>
      <c r="GS164" s="345"/>
      <c r="GT164" s="345"/>
      <c r="GU164" s="345"/>
    </row>
    <row r="165" spans="1:203" ht="12.75" customHeight="1" thickBot="1">
      <c r="A165" s="465" t="str">
        <f t="shared" si="123"/>
        <v/>
      </c>
      <c r="B165" s="1108">
        <v>155</v>
      </c>
      <c r="C165" s="1131"/>
      <c r="D165" s="398"/>
      <c r="E165" s="1134"/>
      <c r="F165" s="465" t="str">
        <f t="shared" si="125"/>
        <v/>
      </c>
      <c r="G165" s="1108">
        <v>155</v>
      </c>
      <c r="H165" s="1131"/>
      <c r="I165" s="1110"/>
      <c r="J165" s="1134"/>
      <c r="K165" s="465"/>
      <c r="L165" s="465"/>
      <c r="M165" s="465" t="str">
        <f t="shared" si="121"/>
        <v/>
      </c>
      <c r="N165" s="1108">
        <v>155</v>
      </c>
      <c r="O165" s="1131"/>
      <c r="P165" s="398"/>
      <c r="Q165" s="1134"/>
      <c r="R165" s="465" t="str">
        <f t="shared" si="122"/>
        <v/>
      </c>
      <c r="S165" s="1108">
        <v>155</v>
      </c>
      <c r="T165" s="1131"/>
      <c r="U165" s="1133"/>
      <c r="V165" s="1134"/>
      <c r="W165" s="371"/>
      <c r="X165" s="494" t="str">
        <f t="shared" si="98"/>
        <v/>
      </c>
      <c r="Y165" s="495" t="str">
        <f>IF('Feuilles=description générale'!$E$13="","",IF(X165="","",IF(X165&gt;('Feuilles=description générale'!$E$11+'Feuilles=description générale'!$E$10),"",100*(X165-'Feuilles=description générale'!$E$10)/('Feuilles=description générale'!$E$11))))</f>
        <v/>
      </c>
      <c r="Z165" s="495" t="str">
        <f>IF('Feuilles=description générale'!$E$13="","",IF(X165="","",IF(X165&lt;=('Feuilles=description générale'!$E$11+'Feuilles=description générale'!$E$10),"",100*(X165-'Feuilles=description générale'!$E$11-'Feuilles=description générale'!$E$10)/('Feuilles=description générale'!$E$12))))</f>
        <v/>
      </c>
      <c r="AA165" s="1112" t="str">
        <f>IF('Feuilles=description générale'!$E$13="","",IF(X165="","",100*(X165-'Feuilles=description générale'!$E$10)/('Feuilles=description générale'!$E$13-'Feuilles=description générale'!$E$10)))</f>
        <v/>
      </c>
      <c r="AB165" s="497" t="str">
        <f t="shared" si="99"/>
        <v/>
      </c>
      <c r="AC165" s="500" t="str">
        <f t="shared" si="124"/>
        <v/>
      </c>
      <c r="AD165" s="494" t="str">
        <f t="shared" si="100"/>
        <v/>
      </c>
      <c r="AE165" s="499" t="str">
        <f t="shared" si="101"/>
        <v/>
      </c>
      <c r="AF165" s="1429"/>
      <c r="AG165" s="494" t="str">
        <f t="shared" si="102"/>
        <v/>
      </c>
      <c r="AH165" s="495" t="str">
        <f>IF('Feuilles=description générale'!$E$13="","",IF(AG165="","",IF(AG165&gt;('Feuilles=description générale'!$E$11+'Feuilles=description générale'!$E$10),"",100*(AG165-'Feuilles=description générale'!$E$10)/('Feuilles=description générale'!$E$11))))</f>
        <v/>
      </c>
      <c r="AI165" s="495" t="str">
        <f>IF('Feuilles=description générale'!$E$13="","",IF(AG165="","",IF(AG165&lt;=('Feuilles=description générale'!$E$11+'Feuilles=description générale'!$E$10),"",100*(AG165-'Feuilles=description générale'!$E$11-'Feuilles=description générale'!$E$10)/('Feuilles=description générale'!$E$12))))</f>
        <v/>
      </c>
      <c r="AJ165" s="496" t="str">
        <f>IF('Feuilles=description générale'!$E$13="","",IF(AG165="","",100*(AG165-'Feuilles=description générale'!$E$10)/('Feuilles=description générale'!$E$13-'Feuilles=description générale'!$E$10)))</f>
        <v/>
      </c>
      <c r="AK165" s="1113" t="str">
        <f t="shared" si="103"/>
        <v/>
      </c>
      <c r="AL165" s="498" t="str">
        <f t="shared" si="104"/>
        <v/>
      </c>
      <c r="AM165" s="494" t="str">
        <f t="shared" si="105"/>
        <v/>
      </c>
      <c r="AN165" s="499" t="str">
        <f t="shared" si="106"/>
        <v/>
      </c>
      <c r="AO165" s="371"/>
      <c r="AP165" s="494" t="str">
        <f t="shared" si="107"/>
        <v/>
      </c>
      <c r="AQ165" s="495" t="str">
        <f>IF('Feuilles=description générale'!$E$13="","",IF(AP165="","",IF(AP165&gt;('Feuilles=description générale'!$E$25+'Feuilles=description générale'!$E$24),"",100*(AP165-'Feuilles=description générale'!$E$24)/('Feuilles=description générale'!$E$25))))</f>
        <v/>
      </c>
      <c r="AR165" s="495" t="str">
        <f>IF('Feuilles=description générale'!$E$27="","",IF(AP165="","",IF(AP165&lt;=('Feuilles=description générale'!$E$25+'Feuilles=description générale'!$E$24),"",100*(AP165-'Feuilles=description générale'!$E$25-'Feuilles=description générale'!$E$24)/('Feuilles=description générale'!$E$26))))</f>
        <v/>
      </c>
      <c r="AS165" s="496" t="str">
        <f>IF('Feuilles=description générale'!$E$27="","",IF(AP165="","",100*(AP165-'Feuilles=description générale'!$E$24)/('Feuilles=description générale'!$E$27-'Feuilles=description générale'!$E$24)))</f>
        <v/>
      </c>
      <c r="AT165" s="497" t="str">
        <f t="shared" si="108"/>
        <v/>
      </c>
      <c r="AU165" s="500" t="str">
        <f t="shared" si="109"/>
        <v/>
      </c>
      <c r="AV165" s="494" t="str">
        <f t="shared" si="110"/>
        <v/>
      </c>
      <c r="AW165" s="499" t="str">
        <f t="shared" si="111"/>
        <v/>
      </c>
      <c r="AX165" s="1429"/>
      <c r="AY165" s="494" t="str">
        <f t="shared" si="112"/>
        <v/>
      </c>
      <c r="AZ165" s="495" t="str">
        <f>IF('Feuilles=description générale'!$E$13="","",IF(AY165="","",IF(AY165&gt;('Feuilles=description générale'!$E$25+'Feuilles=description générale'!$E$24),"",100*(AY165-'Feuilles=description générale'!$E$24)/('Feuilles=description générale'!$E$25))))</f>
        <v/>
      </c>
      <c r="BA165" s="495" t="str">
        <f>IF('Feuilles=description générale'!$E$27="","",IF(AY165="","",IF(AY165&lt;=('Feuilles=description générale'!$E$25+'Feuilles=description générale'!$E$24),"",100*(AY165-'Feuilles=description générale'!$E$25-'Feuilles=description générale'!$E$24)/('Feuilles=description générale'!$E$26))))</f>
        <v/>
      </c>
      <c r="BB165" s="496" t="str">
        <f>IF('Feuilles=description générale'!$E$27="","",IF(AY165="","",100*(AY165-'Feuilles=description générale'!$E$24)/('Feuilles=description générale'!$E$27-'Feuilles=description générale'!$E$24)))</f>
        <v/>
      </c>
      <c r="BC165" s="497" t="str">
        <f t="shared" si="113"/>
        <v/>
      </c>
      <c r="BD165" s="500" t="str">
        <f t="shared" si="114"/>
        <v/>
      </c>
      <c r="BE165" s="494" t="str">
        <f t="shared" si="115"/>
        <v/>
      </c>
      <c r="BF165" s="499" t="str">
        <f t="shared" si="116"/>
        <v/>
      </c>
      <c r="BG165" s="476"/>
      <c r="BH165" s="568"/>
      <c r="BI165" s="568"/>
      <c r="BJ165" s="568"/>
      <c r="BK165" s="568"/>
      <c r="BL165" s="568"/>
      <c r="BM165" s="568"/>
      <c r="BN165" s="568"/>
      <c r="BO165" s="568"/>
      <c r="BP165" s="568"/>
      <c r="BQ165" s="568"/>
      <c r="BR165" s="568"/>
      <c r="BS165" s="568"/>
      <c r="BT165" s="568"/>
      <c r="BU165" s="568"/>
      <c r="BV165" s="1114" t="str">
        <f t="shared" si="117"/>
        <v/>
      </c>
      <c r="BW165" s="1114" t="str">
        <f t="shared" si="117"/>
        <v/>
      </c>
      <c r="BX165" s="1114" t="str">
        <f t="shared" si="118"/>
        <v/>
      </c>
      <c r="BY165" s="1115" t="str">
        <f t="shared" si="118"/>
        <v/>
      </c>
      <c r="BZ165" s="477"/>
      <c r="CA165" s="1114" t="str">
        <f t="shared" si="119"/>
        <v/>
      </c>
      <c r="CB165" s="1114" t="str">
        <f t="shared" si="119"/>
        <v/>
      </c>
      <c r="CC165" s="1114" t="str">
        <f t="shared" si="120"/>
        <v/>
      </c>
      <c r="CD165" s="1115" t="str">
        <f t="shared" si="120"/>
        <v/>
      </c>
      <c r="CE165" s="568"/>
      <c r="CF165" s="568"/>
      <c r="CG165" s="568"/>
      <c r="CH165" s="568"/>
      <c r="CI165" s="568"/>
      <c r="CJ165" s="568"/>
      <c r="CK165" s="568"/>
      <c r="CL165" s="568"/>
      <c r="CM165" s="568"/>
      <c r="CN165" s="568"/>
      <c r="CO165" s="568"/>
      <c r="CP165" s="568"/>
      <c r="CQ165" s="568"/>
      <c r="CR165" s="568"/>
      <c r="CS165" s="568"/>
      <c r="CT165" s="568"/>
      <c r="CU165" s="568"/>
      <c r="CV165" s="476"/>
      <c r="CW165" s="345"/>
      <c r="CX165" s="345"/>
      <c r="CY165" s="345"/>
      <c r="CZ165" s="345"/>
      <c r="DA165" s="345"/>
      <c r="DB165" s="345"/>
      <c r="DC165" s="345"/>
      <c r="DD165" s="345"/>
      <c r="DE165" s="345"/>
      <c r="DF165" s="345"/>
      <c r="DG165" s="345"/>
      <c r="DH165" s="345"/>
      <c r="DI165" s="345"/>
      <c r="DJ165" s="345"/>
      <c r="DK165" s="345"/>
      <c r="DL165" s="345"/>
      <c r="DM165" s="345"/>
      <c r="DN165" s="345"/>
      <c r="DO165" s="345"/>
      <c r="DP165" s="345"/>
      <c r="DQ165" s="345"/>
      <c r="DR165" s="345"/>
      <c r="DS165" s="345"/>
      <c r="DT165" s="345"/>
      <c r="DU165" s="345"/>
      <c r="DV165" s="345"/>
      <c r="DW165" s="345"/>
      <c r="DX165" s="345"/>
      <c r="DY165" s="345"/>
      <c r="DZ165" s="345"/>
      <c r="EA165" s="345"/>
      <c r="EB165" s="345"/>
      <c r="EC165" s="345"/>
      <c r="ED165" s="345"/>
      <c r="EE165" s="345"/>
      <c r="EF165" s="345"/>
      <c r="EG165" s="345"/>
      <c r="EH165" s="345"/>
      <c r="EI165" s="345"/>
      <c r="EJ165" s="345"/>
      <c r="EK165" s="345"/>
      <c r="EL165" s="345"/>
      <c r="EM165" s="345"/>
      <c r="EN165" s="345"/>
      <c r="EO165" s="345"/>
      <c r="EP165" s="345"/>
      <c r="EQ165" s="345"/>
      <c r="ER165" s="345"/>
      <c r="ES165" s="345"/>
      <c r="ET165" s="345"/>
      <c r="EU165" s="345"/>
      <c r="EV165" s="345"/>
      <c r="EW165" s="345"/>
      <c r="EX165" s="345"/>
      <c r="EY165" s="345"/>
      <c r="EZ165" s="345"/>
      <c r="FA165" s="345"/>
      <c r="FB165" s="345"/>
      <c r="FC165" s="345"/>
      <c r="FD165" s="345"/>
      <c r="FE165" s="345"/>
      <c r="FF165" s="345"/>
      <c r="FG165" s="345"/>
      <c r="FH165" s="345"/>
      <c r="FI165" s="345"/>
      <c r="FJ165" s="345"/>
      <c r="FK165" s="345"/>
      <c r="FL165" s="345"/>
      <c r="FM165" s="345"/>
      <c r="FN165" s="345"/>
      <c r="FO165" s="345"/>
      <c r="FP165" s="345"/>
      <c r="FQ165" s="345"/>
      <c r="FR165" s="345"/>
      <c r="FS165" s="345"/>
      <c r="FT165" s="345"/>
      <c r="FU165" s="345"/>
      <c r="FV165" s="345"/>
      <c r="FW165" s="345"/>
      <c r="FX165" s="345"/>
      <c r="FY165" s="345"/>
      <c r="FZ165" s="345"/>
      <c r="GA165" s="345"/>
      <c r="GB165" s="345"/>
      <c r="GC165" s="345"/>
      <c r="GD165" s="345"/>
      <c r="GE165" s="345"/>
      <c r="GF165" s="345"/>
      <c r="GG165" s="345"/>
      <c r="GH165" s="345"/>
      <c r="GI165" s="345"/>
      <c r="GJ165" s="345"/>
      <c r="GK165" s="345"/>
      <c r="GL165" s="345"/>
      <c r="GM165" s="345"/>
      <c r="GN165" s="345"/>
      <c r="GO165" s="345"/>
      <c r="GP165" s="345"/>
      <c r="GQ165" s="345"/>
      <c r="GR165" s="345"/>
      <c r="GS165" s="345"/>
      <c r="GT165" s="345"/>
      <c r="GU165" s="345"/>
    </row>
    <row r="166" spans="1:203" ht="12.75" customHeight="1" thickBot="1">
      <c r="A166" s="465" t="str">
        <f t="shared" si="123"/>
        <v/>
      </c>
      <c r="B166" s="1108">
        <v>156</v>
      </c>
      <c r="C166" s="1131"/>
      <c r="D166" s="398"/>
      <c r="E166" s="1141">
        <f>IF(COUNT(C$11:C$169)=0,"",COUNT(C$11:C$169))</f>
        <v>99</v>
      </c>
      <c r="F166" s="465" t="str">
        <f t="shared" si="125"/>
        <v/>
      </c>
      <c r="G166" s="1108">
        <v>156</v>
      </c>
      <c r="H166" s="1131"/>
      <c r="I166" s="1110"/>
      <c r="J166" s="1141">
        <f>IF(COUNT(H$11:H$169)=0,"",COUNT(H$11:H$169))</f>
        <v>100</v>
      </c>
      <c r="K166" s="465"/>
      <c r="L166" s="465"/>
      <c r="M166" s="465" t="str">
        <f t="shared" si="121"/>
        <v/>
      </c>
      <c r="N166" s="1108">
        <v>156</v>
      </c>
      <c r="O166" s="1131"/>
      <c r="P166" s="398"/>
      <c r="Q166" s="1141">
        <f>IF(COUNT(O$11:O$169)=0,"",COUNT(O$11:O$169))</f>
        <v>111</v>
      </c>
      <c r="R166" s="465" t="str">
        <f t="shared" si="122"/>
        <v/>
      </c>
      <c r="S166" s="1108">
        <v>156</v>
      </c>
      <c r="T166" s="1131"/>
      <c r="U166" s="1133"/>
      <c r="V166" s="1141">
        <f>IF(COUNT(T$11:T$169)=0,"",COUNT(T$11:T$169))</f>
        <v>108</v>
      </c>
      <c r="W166" s="371"/>
      <c r="X166" s="494" t="str">
        <f t="shared" si="98"/>
        <v/>
      </c>
      <c r="Y166" s="495" t="str">
        <f>IF('Feuilles=description générale'!$E$13="","",IF(X166="","",IF(X166&gt;('Feuilles=description générale'!$E$11+'Feuilles=description générale'!$E$10),"",100*(X166-'Feuilles=description générale'!$E$10)/('Feuilles=description générale'!$E$11))))</f>
        <v/>
      </c>
      <c r="Z166" s="495" t="str">
        <f>IF('Feuilles=description générale'!$E$13="","",IF(X166="","",IF(X166&lt;=('Feuilles=description générale'!$E$11+'Feuilles=description générale'!$E$10),"",100*(X166-'Feuilles=description générale'!$E$11-'Feuilles=description générale'!$E$10)/('Feuilles=description générale'!$E$12))))</f>
        <v/>
      </c>
      <c r="AA166" s="1112" t="str">
        <f>IF('Feuilles=description générale'!$E$13="","",IF(X166="","",100*(X166-'Feuilles=description générale'!$E$10)/('Feuilles=description générale'!$E$13-'Feuilles=description générale'!$E$10)))</f>
        <v/>
      </c>
      <c r="AB166" s="497" t="str">
        <f t="shared" si="99"/>
        <v/>
      </c>
      <c r="AC166" s="500" t="str">
        <f t="shared" si="124"/>
        <v/>
      </c>
      <c r="AD166" s="494" t="str">
        <f t="shared" si="100"/>
        <v/>
      </c>
      <c r="AE166" s="499" t="str">
        <f t="shared" si="101"/>
        <v/>
      </c>
      <c r="AF166" s="1429"/>
      <c r="AG166" s="494" t="str">
        <f t="shared" si="102"/>
        <v/>
      </c>
      <c r="AH166" s="495" t="str">
        <f>IF('Feuilles=description générale'!$E$13="","",IF(AG166="","",IF(AG166&gt;('Feuilles=description générale'!$E$11+'Feuilles=description générale'!$E$10),"",100*(AG166-'Feuilles=description générale'!$E$10)/('Feuilles=description générale'!$E$11))))</f>
        <v/>
      </c>
      <c r="AI166" s="495" t="str">
        <f>IF('Feuilles=description générale'!$E$13="","",IF(AG166="","",IF(AG166&lt;=('Feuilles=description générale'!$E$11+'Feuilles=description générale'!$E$10),"",100*(AG166-'Feuilles=description générale'!$E$11-'Feuilles=description générale'!$E$10)/('Feuilles=description générale'!$E$12))))</f>
        <v/>
      </c>
      <c r="AJ166" s="496" t="str">
        <f>IF('Feuilles=description générale'!$E$13="","",IF(AG166="","",100*(AG166-'Feuilles=description générale'!$E$10)/('Feuilles=description générale'!$E$13-'Feuilles=description générale'!$E$10)))</f>
        <v/>
      </c>
      <c r="AK166" s="1113" t="str">
        <f t="shared" si="103"/>
        <v/>
      </c>
      <c r="AL166" s="498" t="str">
        <f t="shared" si="104"/>
        <v/>
      </c>
      <c r="AM166" s="494" t="str">
        <f t="shared" si="105"/>
        <v/>
      </c>
      <c r="AN166" s="499" t="str">
        <f t="shared" si="106"/>
        <v/>
      </c>
      <c r="AO166" s="371"/>
      <c r="AP166" s="494" t="str">
        <f t="shared" si="107"/>
        <v/>
      </c>
      <c r="AQ166" s="495" t="str">
        <f>IF('Feuilles=description générale'!$E$13="","",IF(AP166="","",IF(AP166&gt;('Feuilles=description générale'!$E$25+'Feuilles=description générale'!$E$24),"",100*(AP166-'Feuilles=description générale'!$E$24)/('Feuilles=description générale'!$E$25))))</f>
        <v/>
      </c>
      <c r="AR166" s="495" t="str">
        <f>IF('Feuilles=description générale'!$E$27="","",IF(AP166="","",IF(AP166&lt;=('Feuilles=description générale'!$E$25+'Feuilles=description générale'!$E$24),"",100*(AP166-'Feuilles=description générale'!$E$25-'Feuilles=description générale'!$E$24)/('Feuilles=description générale'!$E$26))))</f>
        <v/>
      </c>
      <c r="AS166" s="496" t="str">
        <f>IF('Feuilles=description générale'!$E$27="","",IF(AP166="","",100*(AP166-'Feuilles=description générale'!$E$24)/('Feuilles=description générale'!$E$27-'Feuilles=description générale'!$E$24)))</f>
        <v/>
      </c>
      <c r="AT166" s="497" t="str">
        <f t="shared" si="108"/>
        <v/>
      </c>
      <c r="AU166" s="500" t="str">
        <f t="shared" si="109"/>
        <v/>
      </c>
      <c r="AV166" s="494" t="str">
        <f t="shared" si="110"/>
        <v/>
      </c>
      <c r="AW166" s="499" t="str">
        <f t="shared" si="111"/>
        <v/>
      </c>
      <c r="AX166" s="1429"/>
      <c r="AY166" s="494" t="str">
        <f t="shared" si="112"/>
        <v/>
      </c>
      <c r="AZ166" s="495" t="str">
        <f>IF('Feuilles=description générale'!$E$13="","",IF(AY166="","",IF(AY166&gt;('Feuilles=description générale'!$E$25+'Feuilles=description générale'!$E$24),"",100*(AY166-'Feuilles=description générale'!$E$24)/('Feuilles=description générale'!$E$25))))</f>
        <v/>
      </c>
      <c r="BA166" s="495" t="str">
        <f>IF('Feuilles=description générale'!$E$27="","",IF(AY166="","",IF(AY166&lt;=('Feuilles=description générale'!$E$25+'Feuilles=description générale'!$E$24),"",100*(AY166-'Feuilles=description générale'!$E$25-'Feuilles=description générale'!$E$24)/('Feuilles=description générale'!$E$26))))</f>
        <v/>
      </c>
      <c r="BB166" s="496" t="str">
        <f>IF('Feuilles=description générale'!$E$27="","",IF(AY166="","",100*(AY166-'Feuilles=description générale'!$E$24)/('Feuilles=description générale'!$E$27-'Feuilles=description générale'!$E$24)))</f>
        <v/>
      </c>
      <c r="BC166" s="497" t="str">
        <f t="shared" si="113"/>
        <v/>
      </c>
      <c r="BD166" s="500" t="str">
        <f t="shared" si="114"/>
        <v/>
      </c>
      <c r="BE166" s="494" t="str">
        <f t="shared" si="115"/>
        <v/>
      </c>
      <c r="BF166" s="499" t="str">
        <f t="shared" si="116"/>
        <v/>
      </c>
      <c r="BG166" s="476"/>
      <c r="BH166" s="568"/>
      <c r="BI166" s="568"/>
      <c r="BJ166" s="568"/>
      <c r="BK166" s="568"/>
      <c r="BL166" s="568"/>
      <c r="BM166" s="568"/>
      <c r="BN166" s="568"/>
      <c r="BO166" s="568"/>
      <c r="BP166" s="568"/>
      <c r="BQ166" s="568"/>
      <c r="BR166" s="568"/>
      <c r="BS166" s="568"/>
      <c r="BT166" s="568"/>
      <c r="BU166" s="568"/>
      <c r="BV166" s="1114" t="str">
        <f t="shared" si="117"/>
        <v/>
      </c>
      <c r="BW166" s="1114" t="str">
        <f t="shared" si="117"/>
        <v/>
      </c>
      <c r="BX166" s="1114" t="str">
        <f t="shared" si="118"/>
        <v/>
      </c>
      <c r="BY166" s="1115" t="str">
        <f t="shared" si="118"/>
        <v/>
      </c>
      <c r="BZ166" s="477"/>
      <c r="CA166" s="1114" t="str">
        <f t="shared" si="119"/>
        <v/>
      </c>
      <c r="CB166" s="1114" t="str">
        <f t="shared" si="119"/>
        <v/>
      </c>
      <c r="CC166" s="1114" t="str">
        <f t="shared" si="120"/>
        <v/>
      </c>
      <c r="CD166" s="1115" t="str">
        <f t="shared" si="120"/>
        <v/>
      </c>
      <c r="CE166" s="568"/>
      <c r="CF166" s="568"/>
      <c r="CG166" s="568"/>
      <c r="CH166" s="568"/>
      <c r="CI166" s="568"/>
      <c r="CJ166" s="568"/>
      <c r="CK166" s="568"/>
      <c r="CL166" s="568"/>
      <c r="CM166" s="568"/>
      <c r="CN166" s="568"/>
      <c r="CO166" s="568"/>
      <c r="CP166" s="568"/>
      <c r="CQ166" s="568"/>
      <c r="CR166" s="568"/>
      <c r="CS166" s="568"/>
      <c r="CT166" s="568"/>
      <c r="CU166" s="568"/>
      <c r="CV166" s="476"/>
      <c r="CW166" s="345"/>
      <c r="CX166" s="345"/>
      <c r="CY166" s="345"/>
      <c r="CZ166" s="345"/>
      <c r="DA166" s="345"/>
      <c r="DB166" s="345"/>
      <c r="DC166" s="345"/>
      <c r="DD166" s="345"/>
      <c r="DE166" s="345"/>
      <c r="DF166" s="345"/>
      <c r="DG166" s="345"/>
      <c r="DH166" s="345"/>
      <c r="DI166" s="345"/>
      <c r="DJ166" s="345"/>
      <c r="DK166" s="345"/>
      <c r="DL166" s="345"/>
      <c r="DM166" s="345"/>
      <c r="DN166" s="345"/>
      <c r="DO166" s="345"/>
      <c r="DP166" s="345"/>
      <c r="DQ166" s="345"/>
      <c r="DR166" s="345"/>
      <c r="DS166" s="345"/>
      <c r="DT166" s="345"/>
      <c r="DU166" s="345"/>
      <c r="DV166" s="345"/>
      <c r="DW166" s="345"/>
      <c r="DX166" s="345"/>
      <c r="DY166" s="345"/>
      <c r="DZ166" s="345"/>
      <c r="EA166" s="345"/>
      <c r="EB166" s="345"/>
      <c r="EC166" s="345"/>
      <c r="ED166" s="345"/>
      <c r="EE166" s="345"/>
      <c r="EF166" s="345"/>
      <c r="EG166" s="345"/>
      <c r="EH166" s="345"/>
      <c r="EI166" s="345"/>
      <c r="EJ166" s="345"/>
      <c r="EK166" s="345"/>
      <c r="EL166" s="345"/>
      <c r="EM166" s="345"/>
      <c r="EN166" s="345"/>
      <c r="EO166" s="345"/>
      <c r="EP166" s="345"/>
      <c r="EQ166" s="345"/>
      <c r="ER166" s="345"/>
      <c r="ES166" s="345"/>
      <c r="ET166" s="345"/>
      <c r="EU166" s="345"/>
      <c r="EV166" s="345"/>
      <c r="EW166" s="345"/>
      <c r="EX166" s="345"/>
      <c r="EY166" s="345"/>
      <c r="EZ166" s="345"/>
      <c r="FA166" s="345"/>
      <c r="FB166" s="345"/>
      <c r="FC166" s="345"/>
      <c r="FD166" s="345"/>
      <c r="FE166" s="345"/>
      <c r="FF166" s="345"/>
      <c r="FG166" s="345"/>
      <c r="FH166" s="345"/>
      <c r="FI166" s="345"/>
      <c r="FJ166" s="345"/>
      <c r="FK166" s="345"/>
      <c r="FL166" s="345"/>
      <c r="FM166" s="345"/>
      <c r="FN166" s="345"/>
      <c r="FO166" s="345"/>
      <c r="FP166" s="345"/>
      <c r="FQ166" s="345"/>
      <c r="FR166" s="345"/>
      <c r="FS166" s="345"/>
      <c r="FT166" s="345"/>
      <c r="FU166" s="345"/>
      <c r="FV166" s="345"/>
      <c r="FW166" s="345"/>
      <c r="FX166" s="345"/>
      <c r="FY166" s="345"/>
      <c r="FZ166" s="345"/>
      <c r="GA166" s="345"/>
      <c r="GB166" s="345"/>
      <c r="GC166" s="345"/>
      <c r="GD166" s="345"/>
      <c r="GE166" s="345"/>
      <c r="GF166" s="345"/>
      <c r="GG166" s="345"/>
      <c r="GH166" s="345"/>
      <c r="GI166" s="345"/>
      <c r="GJ166" s="345"/>
      <c r="GK166" s="345"/>
      <c r="GL166" s="345"/>
      <c r="GM166" s="345"/>
      <c r="GN166" s="345"/>
      <c r="GO166" s="345"/>
      <c r="GP166" s="345"/>
      <c r="GQ166" s="345"/>
      <c r="GR166" s="345"/>
      <c r="GS166" s="345"/>
      <c r="GT166" s="345"/>
      <c r="GU166" s="345"/>
    </row>
    <row r="167" spans="1:203" ht="12.75" customHeight="1">
      <c r="A167" s="465" t="str">
        <f t="shared" si="123"/>
        <v/>
      </c>
      <c r="B167" s="1108">
        <v>157</v>
      </c>
      <c r="C167" s="1131"/>
      <c r="D167" s="398"/>
      <c r="E167" s="1142">
        <f>IF(SUMIF(B$11:B$169,E$166-4,D$11:D$169)=0,"",SUMIF(B$11:B$169,E$166-4,D$11:D$169))</f>
        <v>397.2</v>
      </c>
      <c r="F167" s="465" t="str">
        <f t="shared" si="125"/>
        <v/>
      </c>
      <c r="G167" s="1108">
        <v>157</v>
      </c>
      <c r="H167" s="1131"/>
      <c r="I167" s="1110"/>
      <c r="J167" s="1142">
        <f>IF(SUMIF(G$11:G$169,J$166-4,I$11:I$169)=0,"",SUMIF(G$11:G$169,J$166-4,I$11:I$169))</f>
        <v>397</v>
      </c>
      <c r="K167" s="465"/>
      <c r="L167" s="465"/>
      <c r="M167" s="465" t="str">
        <f t="shared" si="121"/>
        <v/>
      </c>
      <c r="N167" s="1108">
        <v>157</v>
      </c>
      <c r="O167" s="1131"/>
      <c r="P167" s="398"/>
      <c r="Q167" s="1142">
        <f>IF(SUMIF(N$11:N$169,Q$166-4,P$11:P$169)=0,"",SUMIF(N$11:N$169,Q$166-4,P$11:P$169))</f>
        <v>423.6</v>
      </c>
      <c r="R167" s="465" t="str">
        <f t="shared" si="122"/>
        <v/>
      </c>
      <c r="S167" s="1108">
        <v>157</v>
      </c>
      <c r="T167" s="1131"/>
      <c r="U167" s="1133"/>
      <c r="V167" s="1142">
        <f>IF(SUMIF(S$11:S$169,V$166-4,U$11:U$169)=0,"",SUMIF(S$11:S$169,V$166-4,U$11:U$169))</f>
        <v>422.5</v>
      </c>
      <c r="W167" s="371"/>
      <c r="X167" s="494" t="str">
        <f t="shared" si="98"/>
        <v/>
      </c>
      <c r="Y167" s="495" t="str">
        <f>IF('Feuilles=description générale'!$E$13="","",IF(X167="","",IF(X167&gt;('Feuilles=description générale'!$E$11+'Feuilles=description générale'!$E$10),"",100*(X167-'Feuilles=description générale'!$E$10)/('Feuilles=description générale'!$E$11))))</f>
        <v/>
      </c>
      <c r="Z167" s="495" t="str">
        <f>IF('Feuilles=description générale'!$E$13="","",IF(X167="","",IF(X167&lt;=('Feuilles=description générale'!$E$11+'Feuilles=description générale'!$E$10),"",100*(X167-'Feuilles=description générale'!$E$11-'Feuilles=description générale'!$E$10)/('Feuilles=description générale'!$E$12))))</f>
        <v/>
      </c>
      <c r="AA167" s="1112" t="str">
        <f>IF('Feuilles=description générale'!$E$13="","",IF(X167="","",100*(X167-'Feuilles=description générale'!$E$10)/('Feuilles=description générale'!$E$13-'Feuilles=description générale'!$E$10)))</f>
        <v/>
      </c>
      <c r="AB167" s="497" t="str">
        <f t="shared" si="99"/>
        <v/>
      </c>
      <c r="AC167" s="500" t="str">
        <f t="shared" si="124"/>
        <v/>
      </c>
      <c r="AD167" s="494" t="str">
        <f t="shared" si="100"/>
        <v/>
      </c>
      <c r="AE167" s="499" t="str">
        <f t="shared" si="101"/>
        <v/>
      </c>
      <c r="AF167" s="569"/>
      <c r="AG167" s="494" t="str">
        <f t="shared" si="102"/>
        <v/>
      </c>
      <c r="AH167" s="495" t="str">
        <f>IF('Feuilles=description générale'!$E$13="","",IF(AG167="","",IF(AG167&gt;('Feuilles=description générale'!$E$11+'Feuilles=description générale'!$E$10),"",100*(AG167-'Feuilles=description générale'!$E$10)/('Feuilles=description générale'!$E$11))))</f>
        <v/>
      </c>
      <c r="AI167" s="495" t="str">
        <f>IF('Feuilles=description générale'!$E$13="","",IF(AG167="","",IF(AG167&lt;=('Feuilles=description générale'!$E$11+'Feuilles=description générale'!$E$10),"",100*(AG167-'Feuilles=description générale'!$E$11-'Feuilles=description générale'!$E$10)/('Feuilles=description générale'!$E$12))))</f>
        <v/>
      </c>
      <c r="AJ167" s="496" t="str">
        <f>IF('Feuilles=description générale'!$E$13="","",IF(AG167="","",100*(AG167-'Feuilles=description générale'!$E$10)/('Feuilles=description générale'!$E$13-'Feuilles=description générale'!$E$10)))</f>
        <v/>
      </c>
      <c r="AK167" s="1113" t="str">
        <f t="shared" si="103"/>
        <v/>
      </c>
      <c r="AL167" s="498" t="str">
        <f t="shared" si="104"/>
        <v/>
      </c>
      <c r="AM167" s="494" t="str">
        <f t="shared" si="105"/>
        <v/>
      </c>
      <c r="AN167" s="499" t="str">
        <f t="shared" si="106"/>
        <v/>
      </c>
      <c r="AO167" s="371"/>
      <c r="AP167" s="494" t="str">
        <f t="shared" si="107"/>
        <v/>
      </c>
      <c r="AQ167" s="495" t="str">
        <f>IF('Feuilles=description générale'!$E$13="","",IF(AP167="","",IF(AP167&gt;('Feuilles=description générale'!$E$25+'Feuilles=description générale'!$E$24),"",100*(AP167-'Feuilles=description générale'!$E$24)/('Feuilles=description générale'!$E$25))))</f>
        <v/>
      </c>
      <c r="AR167" s="495" t="str">
        <f>IF('Feuilles=description générale'!$E$27="","",IF(AP167="","",IF(AP167&lt;=('Feuilles=description générale'!$E$25+'Feuilles=description générale'!$E$24),"",100*(AP167-'Feuilles=description générale'!$E$25-'Feuilles=description générale'!$E$24)/('Feuilles=description générale'!$E$26))))</f>
        <v/>
      </c>
      <c r="AS167" s="496" t="str">
        <f>IF('Feuilles=description générale'!$E$27="","",IF(AP167="","",100*(AP167-'Feuilles=description générale'!$E$24)/('Feuilles=description générale'!$E$27-'Feuilles=description générale'!$E$24)))</f>
        <v/>
      </c>
      <c r="AT167" s="497" t="str">
        <f t="shared" si="108"/>
        <v/>
      </c>
      <c r="AU167" s="500" t="str">
        <f t="shared" si="109"/>
        <v/>
      </c>
      <c r="AV167" s="494" t="str">
        <f t="shared" si="110"/>
        <v/>
      </c>
      <c r="AW167" s="499" t="str">
        <f t="shared" si="111"/>
        <v/>
      </c>
      <c r="AX167" s="569"/>
      <c r="AY167" s="494" t="str">
        <f t="shared" si="112"/>
        <v/>
      </c>
      <c r="AZ167" s="495" t="str">
        <f>IF('Feuilles=description générale'!$E$13="","",IF(AY167="","",IF(AY167&gt;('Feuilles=description générale'!$E$25+'Feuilles=description générale'!$E$24),"",100*(AY167-'Feuilles=description générale'!$E$24)/('Feuilles=description générale'!$E$25))))</f>
        <v/>
      </c>
      <c r="BA167" s="495" t="str">
        <f>IF('Feuilles=description générale'!$E$27="","",IF(AY167="","",IF(AY167&lt;=('Feuilles=description générale'!$E$25+'Feuilles=description générale'!$E$24),"",100*(AY167-'Feuilles=description générale'!$E$25-'Feuilles=description générale'!$E$24)/('Feuilles=description générale'!$E$26))))</f>
        <v/>
      </c>
      <c r="BB167" s="496" t="str">
        <f>IF('Feuilles=description générale'!$E$27="","",IF(AY167="","",100*(AY167-'Feuilles=description générale'!$E$24)/('Feuilles=description générale'!$E$27-'Feuilles=description générale'!$E$24)))</f>
        <v/>
      </c>
      <c r="BC167" s="497" t="str">
        <f t="shared" si="113"/>
        <v/>
      </c>
      <c r="BD167" s="500" t="str">
        <f t="shared" si="114"/>
        <v/>
      </c>
      <c r="BE167" s="494" t="str">
        <f t="shared" si="115"/>
        <v/>
      </c>
      <c r="BF167" s="499" t="str">
        <f t="shared" si="116"/>
        <v/>
      </c>
      <c r="BG167" s="476"/>
      <c r="BH167" s="568"/>
      <c r="BI167" s="568"/>
      <c r="BJ167" s="568"/>
      <c r="BK167" s="568"/>
      <c r="BL167" s="568"/>
      <c r="BM167" s="568"/>
      <c r="BN167" s="568"/>
      <c r="BO167" s="568"/>
      <c r="BP167" s="568"/>
      <c r="BQ167" s="568"/>
      <c r="BR167" s="568"/>
      <c r="BS167" s="568"/>
      <c r="BT167" s="568"/>
      <c r="BU167" s="568"/>
      <c r="BV167" s="1114" t="str">
        <f t="shared" si="117"/>
        <v/>
      </c>
      <c r="BW167" s="1114" t="str">
        <f t="shared" si="117"/>
        <v/>
      </c>
      <c r="BX167" s="1114" t="str">
        <f t="shared" si="118"/>
        <v/>
      </c>
      <c r="BY167" s="1115" t="str">
        <f t="shared" si="118"/>
        <v/>
      </c>
      <c r="BZ167" s="477"/>
      <c r="CA167" s="1114" t="str">
        <f t="shared" si="119"/>
        <v/>
      </c>
      <c r="CB167" s="1114" t="str">
        <f t="shared" si="119"/>
        <v/>
      </c>
      <c r="CC167" s="1114" t="str">
        <f t="shared" si="120"/>
        <v/>
      </c>
      <c r="CD167" s="1115" t="str">
        <f t="shared" si="120"/>
        <v/>
      </c>
      <c r="CE167" s="568"/>
      <c r="CF167" s="568"/>
      <c r="CG167" s="568"/>
      <c r="CH167" s="568"/>
      <c r="CI167" s="568"/>
      <c r="CJ167" s="568"/>
      <c r="CK167" s="568"/>
      <c r="CL167" s="568"/>
      <c r="CM167" s="568"/>
      <c r="CN167" s="568"/>
      <c r="CO167" s="568"/>
      <c r="CP167" s="568"/>
      <c r="CQ167" s="568"/>
      <c r="CR167" s="568"/>
      <c r="CS167" s="568"/>
      <c r="CT167" s="568"/>
      <c r="CU167" s="568"/>
      <c r="CV167" s="476"/>
      <c r="CW167" s="345"/>
      <c r="CX167" s="345"/>
      <c r="CY167" s="345"/>
      <c r="CZ167" s="345"/>
      <c r="DA167" s="345"/>
      <c r="DB167" s="345"/>
      <c r="DC167" s="345"/>
      <c r="DD167" s="345"/>
      <c r="DE167" s="345"/>
      <c r="DF167" s="345"/>
      <c r="DG167" s="345"/>
      <c r="DH167" s="345"/>
      <c r="DI167" s="345"/>
      <c r="DJ167" s="345"/>
      <c r="DK167" s="345"/>
      <c r="DL167" s="345"/>
      <c r="DM167" s="345"/>
      <c r="DN167" s="345"/>
      <c r="DO167" s="345"/>
      <c r="DP167" s="345"/>
      <c r="DQ167" s="345"/>
      <c r="DR167" s="345"/>
      <c r="DS167" s="345"/>
      <c r="DT167" s="345"/>
      <c r="DU167" s="345"/>
      <c r="DV167" s="345"/>
      <c r="DW167" s="345"/>
      <c r="DX167" s="345"/>
      <c r="DY167" s="345"/>
      <c r="DZ167" s="345"/>
      <c r="EA167" s="345"/>
      <c r="EB167" s="345"/>
      <c r="EC167" s="345"/>
      <c r="ED167" s="345"/>
      <c r="EE167" s="345"/>
      <c r="EF167" s="345"/>
      <c r="EG167" s="345"/>
      <c r="EH167" s="345"/>
      <c r="EI167" s="345"/>
      <c r="EJ167" s="345"/>
      <c r="EK167" s="345"/>
      <c r="EL167" s="345"/>
      <c r="EM167" s="345"/>
      <c r="EN167" s="345"/>
      <c r="EO167" s="345"/>
      <c r="EP167" s="345"/>
      <c r="EQ167" s="345"/>
      <c r="ER167" s="345"/>
      <c r="ES167" s="345"/>
      <c r="ET167" s="345"/>
      <c r="EU167" s="345"/>
      <c r="EV167" s="345"/>
      <c r="EW167" s="345"/>
      <c r="EX167" s="345"/>
      <c r="EY167" s="345"/>
      <c r="EZ167" s="345"/>
      <c r="FA167" s="345"/>
      <c r="FB167" s="345"/>
      <c r="FC167" s="345"/>
      <c r="FD167" s="345"/>
      <c r="FE167" s="345"/>
      <c r="FF167" s="345"/>
      <c r="FG167" s="345"/>
      <c r="FH167" s="345"/>
      <c r="FI167" s="345"/>
      <c r="FJ167" s="345"/>
      <c r="FK167" s="345"/>
      <c r="FL167" s="345"/>
      <c r="FM167" s="345"/>
      <c r="FN167" s="345"/>
      <c r="FO167" s="345"/>
      <c r="FP167" s="345"/>
      <c r="FQ167" s="345"/>
      <c r="FR167" s="345"/>
      <c r="FS167" s="345"/>
      <c r="FT167" s="345"/>
      <c r="FU167" s="345"/>
      <c r="FV167" s="345"/>
      <c r="FW167" s="345"/>
      <c r="FX167" s="345"/>
      <c r="FY167" s="345"/>
      <c r="FZ167" s="345"/>
      <c r="GA167" s="345"/>
      <c r="GB167" s="345"/>
      <c r="GC167" s="345"/>
      <c r="GD167" s="345"/>
      <c r="GE167" s="345"/>
      <c r="GF167" s="345"/>
      <c r="GG167" s="345"/>
      <c r="GH167" s="345"/>
      <c r="GI167" s="345"/>
      <c r="GJ167" s="345"/>
      <c r="GK167" s="345"/>
      <c r="GL167" s="345"/>
      <c r="GM167" s="345"/>
      <c r="GN167" s="345"/>
      <c r="GO167" s="345"/>
      <c r="GP167" s="345"/>
      <c r="GQ167" s="345"/>
      <c r="GR167" s="345"/>
      <c r="GS167" s="345"/>
      <c r="GT167" s="345"/>
      <c r="GU167" s="345"/>
    </row>
    <row r="168" spans="1:203" ht="12.75" customHeight="1">
      <c r="A168" s="465" t="str">
        <f t="shared" si="123"/>
        <v/>
      </c>
      <c r="B168" s="1108">
        <v>158</v>
      </c>
      <c r="C168" s="1131"/>
      <c r="D168" s="398"/>
      <c r="E168" s="1142">
        <f>IF(SUMIF(B$11:B$169,E$166-3,D$11:D$169)=0,"",SUMIF(B$11:B$169,E$166-3,D$11:D$169))</f>
        <v>401.3</v>
      </c>
      <c r="F168" s="465" t="str">
        <f t="shared" si="125"/>
        <v/>
      </c>
      <c r="G168" s="1108">
        <v>158</v>
      </c>
      <c r="H168" s="1131"/>
      <c r="I168" s="1110"/>
      <c r="J168" s="1142">
        <f>IF(SUMIF(G$11:G$169,J$166-3,I$11:I$169)=0,"",SUMIF(G$11:G$169,J$166-3,I$11:I$169))</f>
        <v>398.7</v>
      </c>
      <c r="K168" s="465"/>
      <c r="L168" s="465"/>
      <c r="M168" s="465" t="str">
        <f t="shared" si="121"/>
        <v/>
      </c>
      <c r="N168" s="1108">
        <v>158</v>
      </c>
      <c r="O168" s="1131"/>
      <c r="P168" s="398"/>
      <c r="Q168" s="1142">
        <f>IF(SUMIF(N$11:N$169,Q$166-3,P$11:P$169)=0,"",SUMIF(N$11:N$169,Q$166-3,P$11:P$169))</f>
        <v>426.5</v>
      </c>
      <c r="R168" s="465" t="str">
        <f t="shared" si="122"/>
        <v/>
      </c>
      <c r="S168" s="1108">
        <v>158</v>
      </c>
      <c r="T168" s="1131"/>
      <c r="U168" s="1133"/>
      <c r="V168" s="1142">
        <f>IF(SUMIF(S$11:S$169,V$166-3,U$11:U$169)=0,"",SUMIF(S$11:S$169,V$166-3,U$11:U$169))</f>
        <v>426.2</v>
      </c>
      <c r="W168" s="371"/>
      <c r="X168" s="494" t="str">
        <f t="shared" si="98"/>
        <v/>
      </c>
      <c r="Y168" s="495" t="str">
        <f>IF('Feuilles=description générale'!$E$13="","",IF(X168="","",IF(X168&gt;('Feuilles=description générale'!$E$11+'Feuilles=description générale'!$E$10),"",100*(X168-'Feuilles=description générale'!$E$10)/('Feuilles=description générale'!$E$11))))</f>
        <v/>
      </c>
      <c r="Z168" s="495" t="str">
        <f>IF('Feuilles=description générale'!$E$13="","",IF(X168="","",IF(X168&lt;=('Feuilles=description générale'!$E$11+'Feuilles=description générale'!$E$10),"",100*(X168-'Feuilles=description générale'!$E$11-'Feuilles=description générale'!$E$10)/('Feuilles=description générale'!$E$12))))</f>
        <v/>
      </c>
      <c r="AA168" s="1112" t="str">
        <f>IF('Feuilles=description générale'!$E$13="","",IF(X168="","",100*(X168-'Feuilles=description générale'!$E$10)/('Feuilles=description générale'!$E$13-'Feuilles=description générale'!$E$10)))</f>
        <v/>
      </c>
      <c r="AB168" s="497" t="str">
        <f t="shared" si="99"/>
        <v/>
      </c>
      <c r="AC168" s="500" t="str">
        <f t="shared" si="124"/>
        <v/>
      </c>
      <c r="AD168" s="494" t="str">
        <f t="shared" si="100"/>
        <v/>
      </c>
      <c r="AE168" s="499" t="str">
        <f t="shared" si="101"/>
        <v/>
      </c>
      <c r="AF168" s="569"/>
      <c r="AG168" s="494" t="str">
        <f t="shared" si="102"/>
        <v/>
      </c>
      <c r="AH168" s="495" t="str">
        <f>IF('Feuilles=description générale'!$E$13="","",IF(AG168="","",IF(AG168&gt;('Feuilles=description générale'!$E$11+'Feuilles=description générale'!$E$10),"",100*(AG168-'Feuilles=description générale'!$E$10)/('Feuilles=description générale'!$E$11))))</f>
        <v/>
      </c>
      <c r="AI168" s="495" t="str">
        <f>IF('Feuilles=description générale'!$E$13="","",IF(AG168="","",IF(AG168&lt;=('Feuilles=description générale'!$E$11+'Feuilles=description générale'!$E$10),"",100*(AG168-'Feuilles=description générale'!$E$11-'Feuilles=description générale'!$E$10)/('Feuilles=description générale'!$E$12))))</f>
        <v/>
      </c>
      <c r="AJ168" s="496" t="str">
        <f>IF('Feuilles=description générale'!$E$13="","",IF(AG168="","",100*(AG168-'Feuilles=description générale'!$E$10)/('Feuilles=description générale'!$E$13-'Feuilles=description générale'!$E$10)))</f>
        <v/>
      </c>
      <c r="AK168" s="1113" t="str">
        <f t="shared" si="103"/>
        <v/>
      </c>
      <c r="AL168" s="498" t="str">
        <f t="shared" si="104"/>
        <v/>
      </c>
      <c r="AM168" s="494" t="str">
        <f t="shared" si="105"/>
        <v/>
      </c>
      <c r="AN168" s="499" t="str">
        <f t="shared" si="106"/>
        <v/>
      </c>
      <c r="AO168" s="371"/>
      <c r="AP168" s="494" t="str">
        <f t="shared" si="107"/>
        <v/>
      </c>
      <c r="AQ168" s="495" t="str">
        <f>IF('Feuilles=description générale'!$E$13="","",IF(AP168="","",IF(AP168&gt;('Feuilles=description générale'!$E$25+'Feuilles=description générale'!$E$24),"",100*(AP168-'Feuilles=description générale'!$E$24)/('Feuilles=description générale'!$E$25))))</f>
        <v/>
      </c>
      <c r="AR168" s="495" t="str">
        <f>IF('Feuilles=description générale'!$E$27="","",IF(AP168="","",IF(AP168&lt;=('Feuilles=description générale'!$E$25+'Feuilles=description générale'!$E$24),"",100*(AP168-'Feuilles=description générale'!$E$25-'Feuilles=description générale'!$E$24)/('Feuilles=description générale'!$E$26))))</f>
        <v/>
      </c>
      <c r="AS168" s="496" t="str">
        <f>IF('Feuilles=description générale'!$E$27="","",IF(AP168="","",100*(AP168-'Feuilles=description générale'!$E$24)/('Feuilles=description générale'!$E$27-'Feuilles=description générale'!$E$24)))</f>
        <v/>
      </c>
      <c r="AT168" s="497" t="str">
        <f t="shared" si="108"/>
        <v/>
      </c>
      <c r="AU168" s="500" t="str">
        <f t="shared" si="109"/>
        <v/>
      </c>
      <c r="AV168" s="494" t="str">
        <f t="shared" si="110"/>
        <v/>
      </c>
      <c r="AW168" s="499" t="str">
        <f t="shared" si="111"/>
        <v/>
      </c>
      <c r="AX168" s="569"/>
      <c r="AY168" s="494" t="str">
        <f t="shared" si="112"/>
        <v/>
      </c>
      <c r="AZ168" s="495" t="str">
        <f>IF('Feuilles=description générale'!$E$13="","",IF(AY168="","",IF(AY168&gt;('Feuilles=description générale'!$E$25+'Feuilles=description générale'!$E$24),"",100*(AY168-'Feuilles=description générale'!$E$24)/('Feuilles=description générale'!$E$25))))</f>
        <v/>
      </c>
      <c r="BA168" s="495" t="str">
        <f>IF('Feuilles=description générale'!$E$27="","",IF(AY168="","",IF(AY168&lt;=('Feuilles=description générale'!$E$25+'Feuilles=description générale'!$E$24),"",100*(AY168-'Feuilles=description générale'!$E$25-'Feuilles=description générale'!$E$24)/('Feuilles=description générale'!$E$26))))</f>
        <v/>
      </c>
      <c r="BB168" s="496" t="str">
        <f>IF('Feuilles=description générale'!$E$27="","",IF(AY168="","",100*(AY168-'Feuilles=description générale'!$E$24)/('Feuilles=description générale'!$E$27-'Feuilles=description générale'!$E$24)))</f>
        <v/>
      </c>
      <c r="BC168" s="497" t="str">
        <f t="shared" si="113"/>
        <v/>
      </c>
      <c r="BD168" s="500" t="str">
        <f t="shared" si="114"/>
        <v/>
      </c>
      <c r="BE168" s="494" t="str">
        <f t="shared" si="115"/>
        <v/>
      </c>
      <c r="BF168" s="499" t="str">
        <f t="shared" si="116"/>
        <v/>
      </c>
      <c r="BG168" s="476"/>
      <c r="BH168" s="568"/>
      <c r="BI168" s="568"/>
      <c r="BJ168" s="568"/>
      <c r="BK168" s="568"/>
      <c r="BL168" s="568"/>
      <c r="BM168" s="568"/>
      <c r="BN168" s="568"/>
      <c r="BO168" s="568"/>
      <c r="BP168" s="568"/>
      <c r="BQ168" s="568"/>
      <c r="BR168" s="568"/>
      <c r="BS168" s="568"/>
      <c r="BT168" s="568"/>
      <c r="BU168" s="568"/>
      <c r="BV168" s="1114" t="str">
        <f t="shared" si="117"/>
        <v/>
      </c>
      <c r="BW168" s="1114" t="str">
        <f t="shared" si="117"/>
        <v/>
      </c>
      <c r="BX168" s="1114" t="str">
        <f t="shared" si="118"/>
        <v/>
      </c>
      <c r="BY168" s="1115" t="str">
        <f t="shared" si="118"/>
        <v/>
      </c>
      <c r="BZ168" s="477"/>
      <c r="CA168" s="1114" t="str">
        <f t="shared" si="119"/>
        <v/>
      </c>
      <c r="CB168" s="1114" t="str">
        <f t="shared" si="119"/>
        <v/>
      </c>
      <c r="CC168" s="1114" t="str">
        <f t="shared" si="120"/>
        <v/>
      </c>
      <c r="CD168" s="1115" t="str">
        <f t="shared" si="120"/>
        <v/>
      </c>
      <c r="CE168" s="568"/>
      <c r="CF168" s="568"/>
      <c r="CG168" s="568"/>
      <c r="CH168" s="568"/>
      <c r="CI168" s="568"/>
      <c r="CJ168" s="568"/>
      <c r="CK168" s="568"/>
      <c r="CL168" s="568"/>
      <c r="CM168" s="568"/>
      <c r="CN168" s="568"/>
      <c r="CO168" s="568"/>
      <c r="CP168" s="568"/>
      <c r="CQ168" s="568"/>
      <c r="CR168" s="568"/>
      <c r="CS168" s="568"/>
      <c r="CT168" s="568"/>
      <c r="CU168" s="568"/>
      <c r="CV168" s="476"/>
      <c r="CW168" s="345"/>
      <c r="CX168" s="345"/>
      <c r="CY168" s="345"/>
      <c r="CZ168" s="345"/>
      <c r="DA168" s="345"/>
      <c r="DB168" s="345"/>
      <c r="DC168" s="345"/>
      <c r="DD168" s="345"/>
      <c r="DE168" s="345"/>
      <c r="DF168" s="345"/>
      <c r="DG168" s="345"/>
      <c r="DH168" s="345"/>
      <c r="DI168" s="345"/>
      <c r="DJ168" s="345"/>
      <c r="DK168" s="345"/>
      <c r="DL168" s="345"/>
      <c r="DM168" s="345"/>
      <c r="DN168" s="345"/>
      <c r="DO168" s="345"/>
      <c r="DP168" s="345"/>
      <c r="DQ168" s="345"/>
      <c r="DR168" s="345"/>
      <c r="DS168" s="345"/>
      <c r="DT168" s="345"/>
      <c r="DU168" s="345"/>
      <c r="DV168" s="345"/>
      <c r="DW168" s="345"/>
      <c r="DX168" s="345"/>
      <c r="DY168" s="345"/>
      <c r="DZ168" s="345"/>
      <c r="EA168" s="345"/>
      <c r="EB168" s="345"/>
      <c r="EC168" s="345"/>
      <c r="ED168" s="345"/>
      <c r="EE168" s="345"/>
      <c r="EF168" s="345"/>
      <c r="EG168" s="345"/>
      <c r="EH168" s="345"/>
      <c r="EI168" s="345"/>
      <c r="EJ168" s="345"/>
      <c r="EK168" s="345"/>
      <c r="EL168" s="345"/>
      <c r="EM168" s="345"/>
      <c r="EN168" s="345"/>
      <c r="EO168" s="345"/>
      <c r="EP168" s="345"/>
      <c r="EQ168" s="345"/>
      <c r="ER168" s="345"/>
      <c r="ES168" s="345"/>
      <c r="ET168" s="345"/>
      <c r="EU168" s="345"/>
      <c r="EV168" s="345"/>
      <c r="EW168" s="345"/>
      <c r="EX168" s="345"/>
      <c r="EY168" s="345"/>
      <c r="EZ168" s="345"/>
      <c r="FA168" s="345"/>
      <c r="FB168" s="345"/>
      <c r="FC168" s="345"/>
      <c r="FD168" s="345"/>
      <c r="FE168" s="345"/>
      <c r="FF168" s="345"/>
      <c r="FG168" s="345"/>
      <c r="FH168" s="345"/>
      <c r="FI168" s="345"/>
      <c r="FJ168" s="345"/>
      <c r="FK168" s="345"/>
      <c r="FL168" s="345"/>
      <c r="FM168" s="345"/>
      <c r="FN168" s="345"/>
      <c r="FO168" s="345"/>
      <c r="FP168" s="345"/>
      <c r="FQ168" s="345"/>
      <c r="FR168" s="345"/>
      <c r="FS168" s="345"/>
      <c r="FT168" s="345"/>
      <c r="FU168" s="345"/>
      <c r="FV168" s="345"/>
      <c r="FW168" s="345"/>
      <c r="FX168" s="345"/>
      <c r="FY168" s="345"/>
      <c r="FZ168" s="345"/>
      <c r="GA168" s="345"/>
      <c r="GB168" s="345"/>
      <c r="GC168" s="345"/>
      <c r="GD168" s="345"/>
      <c r="GE168" s="345"/>
      <c r="GF168" s="345"/>
      <c r="GG168" s="345"/>
      <c r="GH168" s="345"/>
      <c r="GI168" s="345"/>
      <c r="GJ168" s="345"/>
      <c r="GK168" s="345"/>
      <c r="GL168" s="345"/>
      <c r="GM168" s="345"/>
      <c r="GN168" s="345"/>
      <c r="GO168" s="345"/>
      <c r="GP168" s="345"/>
      <c r="GQ168" s="345"/>
      <c r="GR168" s="345"/>
      <c r="GS168" s="345"/>
      <c r="GT168" s="345"/>
      <c r="GU168" s="345"/>
    </row>
    <row r="169" spans="1:203" ht="12.75" customHeight="1">
      <c r="A169" s="465" t="str">
        <f t="shared" si="123"/>
        <v/>
      </c>
      <c r="B169" s="1108">
        <v>159</v>
      </c>
      <c r="C169" s="1131"/>
      <c r="D169" s="398"/>
      <c r="E169" s="1142">
        <f>IF(SUMIF(B$11:B$169,E$166-2,D$11:D$169)=0,"",SUMIF(B$11:B$169,E$166-2,D$11:D$169))</f>
        <v>403</v>
      </c>
      <c r="F169" s="465" t="str">
        <f t="shared" si="125"/>
        <v/>
      </c>
      <c r="G169" s="1108">
        <v>159</v>
      </c>
      <c r="H169" s="1131"/>
      <c r="I169" s="1110"/>
      <c r="J169" s="1142">
        <f>IF(SUMIF(G$11:G$169,J$166-2,I$11:I$169)=0,"",SUMIF(G$11:G$169,J$166-2,I$11:I$169))</f>
        <v>403</v>
      </c>
      <c r="K169" s="465"/>
      <c r="L169" s="465"/>
      <c r="M169" s="465" t="str">
        <f t="shared" si="121"/>
        <v/>
      </c>
      <c r="N169" s="1108">
        <v>159</v>
      </c>
      <c r="O169" s="1131"/>
      <c r="P169" s="398"/>
      <c r="Q169" s="1142">
        <f>IF(SUMIF(N$11:N$169,Q$166-2,P$11:P$169)=0,"",SUMIF(N$11:N$169,Q$166-2,P$11:P$169))</f>
        <v>429.3</v>
      </c>
      <c r="R169" s="465" t="str">
        <f t="shared" si="122"/>
        <v/>
      </c>
      <c r="S169" s="1108">
        <v>159</v>
      </c>
      <c r="T169" s="1131"/>
      <c r="U169" s="1133"/>
      <c r="V169" s="1142">
        <f>IF(SUMIF(S$11:S$169,V$166-2,U$11:U$169)=0,"",SUMIF(S$11:S$169,V$166-2,U$11:U$169))</f>
        <v>428.1</v>
      </c>
      <c r="W169" s="371"/>
      <c r="X169" s="494" t="str">
        <f t="shared" si="98"/>
        <v/>
      </c>
      <c r="Y169" s="495" t="str">
        <f>IF('Feuilles=description générale'!$E$13="","",IF(X169="","",IF(X169&gt;('Feuilles=description générale'!$E$11+'Feuilles=description générale'!$E$10),"",100*(X169-'Feuilles=description générale'!$E$10)/('Feuilles=description générale'!$E$11))))</f>
        <v/>
      </c>
      <c r="Z169" s="495" t="str">
        <f>IF('Feuilles=description générale'!$E$13="","",IF(X169="","",IF(X169&lt;=('Feuilles=description générale'!$E$11+'Feuilles=description générale'!$E$10),"",100*(X169-'Feuilles=description générale'!$E$11-'Feuilles=description générale'!$E$10)/('Feuilles=description générale'!$E$12))))</f>
        <v/>
      </c>
      <c r="AA169" s="1112" t="str">
        <f>IF('Feuilles=description générale'!$E$13="","",IF(X169="","",100*(X169-'Feuilles=description générale'!$E$10)/('Feuilles=description générale'!$E$13-'Feuilles=description générale'!$E$10)))</f>
        <v/>
      </c>
      <c r="AB169" s="497" t="str">
        <f t="shared" si="99"/>
        <v/>
      </c>
      <c r="AC169" s="500" t="str">
        <f t="shared" si="124"/>
        <v/>
      </c>
      <c r="AD169" s="494" t="str">
        <f t="shared" si="100"/>
        <v/>
      </c>
      <c r="AE169" s="499" t="str">
        <f t="shared" si="101"/>
        <v/>
      </c>
      <c r="AF169" s="569"/>
      <c r="AG169" s="494" t="str">
        <f t="shared" si="102"/>
        <v/>
      </c>
      <c r="AH169" s="495" t="str">
        <f>IF('Feuilles=description générale'!$E$13="","",IF(AG169="","",IF(AG169&gt;('Feuilles=description générale'!$E$11+'Feuilles=description générale'!$E$10),"",100*(AG169-'Feuilles=description générale'!$E$10)/('Feuilles=description générale'!$E$11))))</f>
        <v/>
      </c>
      <c r="AI169" s="495" t="str">
        <f>IF('Feuilles=description générale'!$E$13="","",IF(AG169="","",IF(AG169&lt;=('Feuilles=description générale'!$E$11+'Feuilles=description générale'!$E$10),"",100*(AG169-'Feuilles=description générale'!$E$11-'Feuilles=description générale'!$E$10)/('Feuilles=description générale'!$E$12))))</f>
        <v/>
      </c>
      <c r="AJ169" s="496" t="str">
        <f>IF('Feuilles=description générale'!$E$13="","",IF(AG169="","",100*(AG169-'Feuilles=description générale'!$E$10)/('Feuilles=description générale'!$E$13-'Feuilles=description générale'!$E$10)))</f>
        <v/>
      </c>
      <c r="AK169" s="1113" t="str">
        <f t="shared" si="103"/>
        <v/>
      </c>
      <c r="AL169" s="498" t="str">
        <f t="shared" si="104"/>
        <v/>
      </c>
      <c r="AM169" s="494" t="str">
        <f t="shared" si="105"/>
        <v/>
      </c>
      <c r="AN169" s="499" t="str">
        <f t="shared" si="106"/>
        <v/>
      </c>
      <c r="AO169" s="371"/>
      <c r="AP169" s="494" t="str">
        <f t="shared" si="107"/>
        <v/>
      </c>
      <c r="AQ169" s="495" t="str">
        <f>IF('Feuilles=description générale'!$E$13="","",IF(AP169="","",IF(AP169&gt;('Feuilles=description générale'!$E$25+'Feuilles=description générale'!$E$24),"",100*(AP169-'Feuilles=description générale'!$E$24)/('Feuilles=description générale'!$E$25))))</f>
        <v/>
      </c>
      <c r="AR169" s="495" t="str">
        <f>IF('Feuilles=description générale'!$E$27="","",IF(AP169="","",IF(AP169&lt;=('Feuilles=description générale'!$E$25+'Feuilles=description générale'!$E$24),"",100*(AP169-'Feuilles=description générale'!$E$25-'Feuilles=description générale'!$E$24)/('Feuilles=description générale'!$E$26))))</f>
        <v/>
      </c>
      <c r="AS169" s="496" t="str">
        <f>IF('Feuilles=description générale'!$E$27="","",IF(AP169="","",100*(AP169-'Feuilles=description générale'!$E$24)/('Feuilles=description générale'!$E$27-'Feuilles=description générale'!$E$24)))</f>
        <v/>
      </c>
      <c r="AT169" s="497" t="str">
        <f t="shared" si="108"/>
        <v/>
      </c>
      <c r="AU169" s="500" t="str">
        <f t="shared" si="109"/>
        <v/>
      </c>
      <c r="AV169" s="494" t="str">
        <f t="shared" si="110"/>
        <v/>
      </c>
      <c r="AW169" s="499" t="str">
        <f t="shared" si="111"/>
        <v/>
      </c>
      <c r="AX169" s="569"/>
      <c r="AY169" s="494" t="str">
        <f t="shared" si="112"/>
        <v/>
      </c>
      <c r="AZ169" s="495" t="str">
        <f>IF('Feuilles=description générale'!$E$13="","",IF(AY169="","",IF(AY169&gt;('Feuilles=description générale'!$E$25+'Feuilles=description générale'!$E$24),"",100*(AY169-'Feuilles=description générale'!$E$24)/('Feuilles=description générale'!$E$25))))</f>
        <v/>
      </c>
      <c r="BA169" s="495" t="str">
        <f>IF('Feuilles=description générale'!$E$27="","",IF(AY169="","",IF(AY169&lt;=('Feuilles=description générale'!$E$25+'Feuilles=description générale'!$E$24),"",100*(AY169-'Feuilles=description générale'!$E$25-'Feuilles=description générale'!$E$24)/('Feuilles=description générale'!$E$26))))</f>
        <v/>
      </c>
      <c r="BB169" s="496" t="str">
        <f>IF('Feuilles=description générale'!$E$27="","",IF(AY169="","",100*(AY169-'Feuilles=description générale'!$E$24)/('Feuilles=description générale'!$E$27-'Feuilles=description générale'!$E$24)))</f>
        <v/>
      </c>
      <c r="BC169" s="497" t="str">
        <f t="shared" si="113"/>
        <v/>
      </c>
      <c r="BD169" s="500" t="str">
        <f t="shared" si="114"/>
        <v/>
      </c>
      <c r="BE169" s="494" t="str">
        <f t="shared" si="115"/>
        <v/>
      </c>
      <c r="BF169" s="499" t="str">
        <f t="shared" si="116"/>
        <v/>
      </c>
      <c r="BG169" s="476"/>
      <c r="BH169" s="568"/>
      <c r="BI169" s="568"/>
      <c r="BJ169" s="568"/>
      <c r="BK169" s="568"/>
      <c r="BL169" s="568"/>
      <c r="BM169" s="568"/>
      <c r="BN169" s="568"/>
      <c r="BO169" s="568"/>
      <c r="BP169" s="568"/>
      <c r="BQ169" s="568"/>
      <c r="BR169" s="568"/>
      <c r="BS169" s="568"/>
      <c r="BT169" s="568"/>
      <c r="BU169" s="568"/>
      <c r="BV169" s="1114" t="str">
        <f t="shared" si="117"/>
        <v/>
      </c>
      <c r="BW169" s="1114" t="str">
        <f t="shared" si="117"/>
        <v/>
      </c>
      <c r="BX169" s="1114" t="str">
        <f t="shared" si="118"/>
        <v/>
      </c>
      <c r="BY169" s="1115" t="str">
        <f t="shared" si="118"/>
        <v/>
      </c>
      <c r="BZ169" s="477"/>
      <c r="CA169" s="1114" t="str">
        <f t="shared" si="119"/>
        <v/>
      </c>
      <c r="CB169" s="1114" t="str">
        <f t="shared" si="119"/>
        <v/>
      </c>
      <c r="CC169" s="1114" t="str">
        <f t="shared" si="120"/>
        <v/>
      </c>
      <c r="CD169" s="1115" t="str">
        <f t="shared" si="120"/>
        <v/>
      </c>
      <c r="CE169" s="568"/>
      <c r="CF169" s="568"/>
      <c r="CG169" s="568"/>
      <c r="CH169" s="568"/>
      <c r="CI169" s="568"/>
      <c r="CJ169" s="568"/>
      <c r="CK169" s="568"/>
      <c r="CL169" s="568"/>
      <c r="CM169" s="568"/>
      <c r="CN169" s="568"/>
      <c r="CO169" s="568"/>
      <c r="CP169" s="568"/>
      <c r="CQ169" s="568"/>
      <c r="CR169" s="568"/>
      <c r="CS169" s="568"/>
      <c r="CT169" s="568"/>
      <c r="CU169" s="568"/>
      <c r="CV169" s="476"/>
      <c r="CW169" s="345"/>
      <c r="CX169" s="345"/>
      <c r="CY169" s="345"/>
      <c r="CZ169" s="345"/>
      <c r="DA169" s="345"/>
      <c r="DB169" s="345"/>
      <c r="DC169" s="345"/>
      <c r="DD169" s="345"/>
      <c r="DE169" s="345"/>
      <c r="DF169" s="345"/>
      <c r="DG169" s="345"/>
      <c r="DH169" s="345"/>
      <c r="DI169" s="345"/>
      <c r="DJ169" s="345"/>
      <c r="DK169" s="345"/>
      <c r="DL169" s="345"/>
      <c r="DM169" s="345"/>
      <c r="DN169" s="345"/>
      <c r="DO169" s="345"/>
      <c r="DP169" s="345"/>
      <c r="DQ169" s="345"/>
      <c r="DR169" s="345"/>
      <c r="DS169" s="345"/>
      <c r="DT169" s="345"/>
      <c r="DU169" s="345"/>
      <c r="DV169" s="345"/>
      <c r="DW169" s="345"/>
      <c r="DX169" s="345"/>
      <c r="DY169" s="345"/>
      <c r="DZ169" s="345"/>
      <c r="EA169" s="345"/>
      <c r="EB169" s="345"/>
      <c r="EC169" s="345"/>
      <c r="ED169" s="345"/>
      <c r="EE169" s="345"/>
      <c r="EF169" s="345"/>
      <c r="EG169" s="345"/>
      <c r="EH169" s="345"/>
      <c r="EI169" s="345"/>
      <c r="EJ169" s="345"/>
      <c r="EK169" s="345"/>
      <c r="EL169" s="345"/>
      <c r="EM169" s="345"/>
      <c r="EN169" s="345"/>
      <c r="EO169" s="345"/>
      <c r="EP169" s="345"/>
      <c r="EQ169" s="345"/>
      <c r="ER169" s="345"/>
      <c r="ES169" s="345"/>
      <c r="ET169" s="345"/>
      <c r="EU169" s="345"/>
      <c r="EV169" s="345"/>
      <c r="EW169" s="345"/>
      <c r="EX169" s="345"/>
      <c r="EY169" s="345"/>
      <c r="EZ169" s="345"/>
      <c r="FA169" s="345"/>
      <c r="FB169" s="345"/>
      <c r="FC169" s="345"/>
      <c r="FD169" s="345"/>
      <c r="FE169" s="345"/>
      <c r="FF169" s="345"/>
      <c r="FG169" s="345"/>
      <c r="FH169" s="345"/>
      <c r="FI169" s="345"/>
      <c r="FJ169" s="345"/>
      <c r="FK169" s="345"/>
      <c r="FL169" s="345"/>
      <c r="FM169" s="345"/>
      <c r="FN169" s="345"/>
      <c r="FO169" s="345"/>
      <c r="FP169" s="345"/>
      <c r="FQ169" s="345"/>
      <c r="FR169" s="345"/>
      <c r="FS169" s="345"/>
      <c r="FT169" s="345"/>
      <c r="FU169" s="345"/>
      <c r="FV169" s="345"/>
      <c r="FW169" s="345"/>
      <c r="FX169" s="345"/>
      <c r="FY169" s="345"/>
      <c r="FZ169" s="345"/>
      <c r="GA169" s="345"/>
      <c r="GB169" s="345"/>
      <c r="GC169" s="345"/>
      <c r="GD169" s="345"/>
      <c r="GE169" s="345"/>
      <c r="GF169" s="345"/>
      <c r="GG169" s="345"/>
      <c r="GH169" s="345"/>
      <c r="GI169" s="345"/>
      <c r="GJ169" s="345"/>
      <c r="GK169" s="345"/>
      <c r="GL169" s="345"/>
      <c r="GM169" s="345"/>
      <c r="GN169" s="345"/>
      <c r="GO169" s="345"/>
      <c r="GP169" s="345"/>
      <c r="GQ169" s="345"/>
      <c r="GR169" s="345"/>
      <c r="GS169" s="345"/>
      <c r="GT169" s="345"/>
      <c r="GU169" s="345"/>
    </row>
    <row r="170" spans="1:203" ht="12.75" customHeight="1" thickBot="1">
      <c r="A170" s="465" t="str">
        <f t="shared" si="123"/>
        <v/>
      </c>
      <c r="B170" s="1143">
        <v>160</v>
      </c>
      <c r="C170" s="1144"/>
      <c r="D170" s="388"/>
      <c r="E170" s="1142">
        <f>IF(SUMIF(B$11:B$169,E$166-1,D$11:D$169)=0,"",SUMIF(B$11:B$169,E$166-1,D$11:D$169))</f>
        <v>405.6</v>
      </c>
      <c r="F170" s="465" t="str">
        <f t="shared" si="125"/>
        <v/>
      </c>
      <c r="G170" s="1145">
        <v>160</v>
      </c>
      <c r="H170" s="1146"/>
      <c r="I170" s="401"/>
      <c r="J170" s="1142">
        <f>IF(SUMIF(G$11:G$169,J$166-1,I$11:I$169)=0,"",SUMIF(G$11:G$169,J$166-1,I$11:I$169))</f>
        <v>405.5</v>
      </c>
      <c r="K170" s="465"/>
      <c r="L170" s="465"/>
      <c r="M170" s="465" t="str">
        <f t="shared" si="121"/>
        <v/>
      </c>
      <c r="N170" s="1145">
        <v>160</v>
      </c>
      <c r="O170" s="1146"/>
      <c r="P170" s="401"/>
      <c r="Q170" s="1142">
        <f>IF(SUMIF(N$11:N$169,Q$166-1,P$11:P$169)=0,"",SUMIF(N$11:N$169,Q$166-1,P$11:P$169))</f>
        <v>431</v>
      </c>
      <c r="R170" s="465" t="str">
        <f t="shared" si="122"/>
        <v/>
      </c>
      <c r="S170" s="1145">
        <v>160</v>
      </c>
      <c r="T170" s="1146"/>
      <c r="U170" s="401"/>
      <c r="V170" s="1142">
        <f>IF(SUMIF(S$11:S$169,V$166-1,U$11:U$169)=0,"",SUMIF(S$11:S$169,V$166-1,U$11:U$169))</f>
        <v>430.5</v>
      </c>
      <c r="W170" s="371"/>
      <c r="X170" s="570" t="str">
        <f t="shared" si="98"/>
        <v/>
      </c>
      <c r="Y170" s="571" t="str">
        <f>IF('Feuilles=description générale'!$E$13="","",IF(X170="","",IF(X170&gt;('Feuilles=description générale'!$E$11+'Feuilles=description générale'!$E$10),"",100*(X170-'Feuilles=description générale'!$E$10)/('Feuilles=description générale'!$E$11))))</f>
        <v/>
      </c>
      <c r="Z170" s="571" t="str">
        <f>IF('Feuilles=description générale'!$E$13="","",IF(X170="","",IF(X170&lt;=('Feuilles=description générale'!$E$11+'Feuilles=description générale'!$E$10),"",100*(X170-'Feuilles=description générale'!$E$11-'Feuilles=description générale'!$E$10)/('Feuilles=description générale'!$E$12))))</f>
        <v/>
      </c>
      <c r="AA170" s="424" t="str">
        <f>IF('Feuilles=description générale'!$E$13="","",IF(X170="","",100*(X170-'Feuilles=description générale'!$E$10)/('Feuilles=description générale'!$E$13-'Feuilles=description générale'!$E$10)))</f>
        <v/>
      </c>
      <c r="AB170" s="572" t="str">
        <f t="shared" si="99"/>
        <v/>
      </c>
      <c r="AC170" s="573" t="str">
        <f t="shared" si="124"/>
        <v/>
      </c>
      <c r="AD170" s="570" t="str">
        <f t="shared" si="100"/>
        <v/>
      </c>
      <c r="AE170" s="424" t="str">
        <f t="shared" si="101"/>
        <v/>
      </c>
      <c r="AF170" s="569"/>
      <c r="AG170" s="570" t="str">
        <f t="shared" si="102"/>
        <v/>
      </c>
      <c r="AH170" s="571" t="str">
        <f>IF('Feuilles=description générale'!$E$13="","",IF(AG170="","",IF(AG170&gt;('Feuilles=description générale'!$E$11+'Feuilles=description générale'!$E$10),"",100*(AG170-'Feuilles=description générale'!$E$10)/('Feuilles=description générale'!$E$11))))</f>
        <v/>
      </c>
      <c r="AI170" s="571" t="str">
        <f>IF('Feuilles=description générale'!$E$13="","",IF(AG170="","",IF(AG170&lt;=('Feuilles=description générale'!$E$11+'Feuilles=description générale'!$E$10),"",100*(AG170-'Feuilles=description générale'!$E$11-'Feuilles=description générale'!$E$10)/('Feuilles=description générale'!$E$12))))</f>
        <v/>
      </c>
      <c r="AJ170" s="424" t="str">
        <f>IF('Feuilles=description générale'!$E$13="","",IF(AG170="","",100*(AG170-'Feuilles=description générale'!$E$10)/('Feuilles=description générale'!$E$13-'Feuilles=description générale'!$E$10)))</f>
        <v/>
      </c>
      <c r="AK170" s="1147" t="str">
        <f t="shared" si="103"/>
        <v/>
      </c>
      <c r="AL170" s="1148" t="str">
        <f t="shared" si="104"/>
        <v/>
      </c>
      <c r="AM170" s="570" t="str">
        <f t="shared" si="105"/>
        <v/>
      </c>
      <c r="AN170" s="424" t="str">
        <f t="shared" si="106"/>
        <v/>
      </c>
      <c r="AO170" s="371"/>
      <c r="AP170" s="570" t="str">
        <f t="shared" si="107"/>
        <v/>
      </c>
      <c r="AQ170" s="571" t="str">
        <f>IF('Feuilles=description générale'!$E$13="","",IF(AP170="","",IF(AP170&gt;('Feuilles=description générale'!$E$25+'Feuilles=description générale'!$E$24),"",100*(AP170-'Feuilles=description générale'!$E$24)/('Feuilles=description générale'!$E$25))))</f>
        <v/>
      </c>
      <c r="AR170" s="571" t="str">
        <f>IF('Feuilles=description générale'!$E$27="","",IF(AP170="","",IF(AP170&lt;=('Feuilles=description générale'!$E$25+'Feuilles=description générale'!$E$24),"",100*(AP170-'Feuilles=description générale'!$E$25-'Feuilles=description générale'!$E$24)/('Feuilles=description générale'!$E$26))))</f>
        <v/>
      </c>
      <c r="AS170" s="424" t="str">
        <f>IF('Feuilles=description générale'!$E$27="","",IF(AP170="","",100*(AP170-'Feuilles=description générale'!$E$24)/('Feuilles=description générale'!$E$27-'Feuilles=description générale'!$E$24)))</f>
        <v/>
      </c>
      <c r="AT170" s="572" t="str">
        <f t="shared" si="108"/>
        <v/>
      </c>
      <c r="AU170" s="573" t="str">
        <f t="shared" si="109"/>
        <v/>
      </c>
      <c r="AV170" s="570" t="str">
        <f t="shared" si="110"/>
        <v/>
      </c>
      <c r="AW170" s="424" t="str">
        <f t="shared" si="111"/>
        <v/>
      </c>
      <c r="AX170" s="569"/>
      <c r="AY170" s="570" t="str">
        <f t="shared" si="112"/>
        <v/>
      </c>
      <c r="AZ170" s="571" t="str">
        <f>IF('Feuilles=description générale'!$E$13="","",IF(AY170="","",IF(AY170&gt;('Feuilles=description générale'!$E$25+'Feuilles=description générale'!$E$24),"",100*(AY170-'Feuilles=description générale'!$E$24)/('Feuilles=description générale'!$E$25))))</f>
        <v/>
      </c>
      <c r="BA170" s="571" t="str">
        <f>IF('Feuilles=description générale'!$E$27="","",IF(AY170="","",IF(AY170&lt;=('Feuilles=description générale'!$E$25+'Feuilles=description générale'!$E$24),"",100*(AY170-'Feuilles=description générale'!$E$25-'Feuilles=description générale'!$E$24)/('Feuilles=description générale'!$E$26))))</f>
        <v/>
      </c>
      <c r="BB170" s="424" t="str">
        <f>IF('Feuilles=description générale'!$E$27="","",IF(AY170="","",100*(AY170-'Feuilles=description générale'!$E$24)/('Feuilles=description générale'!$E$27-'Feuilles=description générale'!$E$24)))</f>
        <v/>
      </c>
      <c r="BC170" s="572" t="str">
        <f t="shared" si="113"/>
        <v/>
      </c>
      <c r="BD170" s="573" t="str">
        <f t="shared" si="114"/>
        <v/>
      </c>
      <c r="BE170" s="570" t="str">
        <f t="shared" si="115"/>
        <v/>
      </c>
      <c r="BF170" s="424" t="str">
        <f t="shared" si="116"/>
        <v/>
      </c>
      <c r="BG170" s="476"/>
      <c r="BH170" s="568"/>
      <c r="BI170" s="568"/>
      <c r="BJ170" s="568"/>
      <c r="BK170" s="568"/>
      <c r="BL170" s="568"/>
      <c r="BM170" s="568"/>
      <c r="BN170" s="568"/>
      <c r="BO170" s="568"/>
      <c r="BP170" s="568"/>
      <c r="BQ170" s="568"/>
      <c r="BR170" s="568"/>
      <c r="BS170" s="568"/>
      <c r="BT170" s="568"/>
      <c r="BU170" s="568"/>
      <c r="BV170" s="1149" t="str">
        <f t="shared" si="117"/>
        <v/>
      </c>
      <c r="BW170" s="1149" t="str">
        <f t="shared" si="117"/>
        <v/>
      </c>
      <c r="BX170" s="1149" t="str">
        <f t="shared" si="118"/>
        <v/>
      </c>
      <c r="BY170" s="1150" t="str">
        <f t="shared" si="118"/>
        <v/>
      </c>
      <c r="BZ170" s="477"/>
      <c r="CA170" s="1149" t="str">
        <f t="shared" si="119"/>
        <v/>
      </c>
      <c r="CB170" s="1149" t="str">
        <f t="shared" si="119"/>
        <v/>
      </c>
      <c r="CC170" s="1149" t="str">
        <f t="shared" si="120"/>
        <v/>
      </c>
      <c r="CD170" s="1150" t="str">
        <f t="shared" si="120"/>
        <v/>
      </c>
      <c r="CE170" s="568"/>
      <c r="CF170" s="568"/>
      <c r="CG170" s="568"/>
      <c r="CH170" s="568"/>
      <c r="CI170" s="568"/>
      <c r="CJ170" s="568"/>
      <c r="CK170" s="568"/>
      <c r="CL170" s="568"/>
      <c r="CM170" s="568"/>
      <c r="CN170" s="568"/>
      <c r="CO170" s="568"/>
      <c r="CP170" s="568"/>
      <c r="CQ170" s="568"/>
      <c r="CR170" s="568"/>
      <c r="CS170" s="568"/>
      <c r="CT170" s="568"/>
      <c r="CU170" s="568"/>
      <c r="CV170" s="476"/>
      <c r="CW170" s="345"/>
      <c r="CX170" s="345"/>
      <c r="CY170" s="345"/>
      <c r="CZ170" s="345"/>
      <c r="DA170" s="345"/>
      <c r="DB170" s="345"/>
      <c r="DC170" s="345"/>
      <c r="DD170" s="345"/>
      <c r="DE170" s="345"/>
      <c r="DF170" s="345"/>
      <c r="DG170" s="345"/>
      <c r="DH170" s="345"/>
      <c r="DI170" s="345"/>
      <c r="DJ170" s="345"/>
      <c r="DK170" s="345"/>
      <c r="DL170" s="345"/>
      <c r="DM170" s="345"/>
      <c r="DN170" s="345"/>
      <c r="DO170" s="345"/>
      <c r="DP170" s="345"/>
      <c r="DQ170" s="345"/>
      <c r="DR170" s="345"/>
      <c r="DS170" s="345"/>
      <c r="DT170" s="345"/>
      <c r="DU170" s="345"/>
      <c r="DV170" s="345"/>
      <c r="DW170" s="345"/>
      <c r="DX170" s="345"/>
      <c r="DY170" s="345"/>
      <c r="DZ170" s="345"/>
      <c r="EA170" s="345"/>
      <c r="EB170" s="345"/>
      <c r="EC170" s="345"/>
      <c r="ED170" s="345"/>
      <c r="EE170" s="345"/>
      <c r="EF170" s="345"/>
      <c r="EG170" s="345"/>
      <c r="EH170" s="345"/>
      <c r="EI170" s="345"/>
      <c r="EJ170" s="345"/>
      <c r="EK170" s="345"/>
      <c r="EL170" s="345"/>
      <c r="EM170" s="345"/>
      <c r="EN170" s="345"/>
      <c r="EO170" s="345"/>
      <c r="EP170" s="345"/>
      <c r="EQ170" s="345"/>
      <c r="ER170" s="345"/>
      <c r="ES170" s="345"/>
      <c r="ET170" s="345"/>
      <c r="EU170" s="345"/>
      <c r="EV170" s="345"/>
      <c r="EW170" s="345"/>
      <c r="EX170" s="345"/>
      <c r="EY170" s="345"/>
      <c r="EZ170" s="345"/>
      <c r="FA170" s="345"/>
      <c r="FB170" s="345"/>
      <c r="FC170" s="345"/>
      <c r="FD170" s="345"/>
      <c r="FE170" s="345"/>
      <c r="FF170" s="345"/>
      <c r="FG170" s="345"/>
      <c r="FH170" s="345"/>
      <c r="FI170" s="345"/>
      <c r="FJ170" s="345"/>
      <c r="FK170" s="345"/>
      <c r="FL170" s="345"/>
      <c r="FM170" s="345"/>
      <c r="FN170" s="345"/>
      <c r="FO170" s="345"/>
      <c r="FP170" s="345"/>
      <c r="FQ170" s="345"/>
      <c r="FR170" s="345"/>
      <c r="FS170" s="345"/>
      <c r="FT170" s="345"/>
      <c r="FU170" s="345"/>
      <c r="FV170" s="345"/>
      <c r="FW170" s="345"/>
      <c r="FX170" s="345"/>
      <c r="FY170" s="345"/>
      <c r="FZ170" s="345"/>
      <c r="GA170" s="345"/>
      <c r="GB170" s="345"/>
      <c r="GC170" s="345"/>
      <c r="GD170" s="345"/>
      <c r="GE170" s="345"/>
      <c r="GF170" s="345"/>
      <c r="GG170" s="345"/>
      <c r="GH170" s="345"/>
      <c r="GI170" s="345"/>
      <c r="GJ170" s="345"/>
      <c r="GK170" s="345"/>
      <c r="GL170" s="345"/>
      <c r="GM170" s="345"/>
      <c r="GN170" s="345"/>
      <c r="GO170" s="345"/>
      <c r="GP170" s="345"/>
      <c r="GQ170" s="345"/>
      <c r="GR170" s="345"/>
      <c r="GS170" s="345"/>
      <c r="GT170" s="345"/>
      <c r="GU170" s="345"/>
    </row>
    <row r="171" spans="1:203" ht="13.5" thickBot="1">
      <c r="A171" s="465"/>
      <c r="B171" s="1151" t="str">
        <f>IF('Feuilles=description générale'!$E$20="t","non",D173)</f>
        <v>non</v>
      </c>
      <c r="C171" s="1152" t="s">
        <v>1337</v>
      </c>
      <c r="D171" s="1153" t="str">
        <f>IF('Feuilles=description générale'!$E$20="t","non",E171)</f>
        <v>non</v>
      </c>
      <c r="E171" s="1142">
        <f>IF(SUMIF(B$11:B$169,E$166,D$11:D$169)=0,"",SUMIF(B$11:B$169,E$166,D$11:D$169))</f>
        <v>406.5</v>
      </c>
      <c r="F171" s="1154"/>
      <c r="G171" s="1151">
        <f>IF('Feuilles=description générale'!$F$20="t","non",I173)</f>
        <v>100</v>
      </c>
      <c r="H171" s="1152" t="s">
        <v>1337</v>
      </c>
      <c r="I171" s="1153">
        <f>IF('Feuilles=description générale'!$F$20="t","non",J171)</f>
        <v>406.9</v>
      </c>
      <c r="J171" s="1142">
        <f>IF(SUMIF(G$11:G$169,J$166,I$11:I$169)=0,"",SUMIF(G$11:G$169,J$166,I$11:I$169))</f>
        <v>406.9</v>
      </c>
      <c r="K171" s="1101">
        <f>AVERAGE(E172-E171,J172-J171,Q172-Q171,V172-V171)</f>
        <v>0.20000000000001705</v>
      </c>
      <c r="L171" s="1101">
        <f>STDEV(E172-E171,J172-J171,Q172-Q171,V172-V171)</f>
        <v>0.19999999999998866</v>
      </c>
      <c r="M171" s="465"/>
      <c r="N171" s="1151" t="str">
        <f>IF('Feuilles=description générale'!$E$34="t","non",P173)</f>
        <v>non</v>
      </c>
      <c r="O171" s="1152" t="s">
        <v>1337</v>
      </c>
      <c r="P171" s="1153" t="str">
        <f>IF('Feuilles=description générale'!$E$34="t","non",Q171)</f>
        <v>non</v>
      </c>
      <c r="Q171" s="1142">
        <f>IF(SUMIF(N$11:N$169,Q$166,P$11:P$169)=0,"",SUMIF(N$11:N$169,Q$166,P$11:P$169))</f>
        <v>432</v>
      </c>
      <c r="R171" s="1155"/>
      <c r="S171" s="1151">
        <f>IF('Feuilles=description générale'!$F$34="t","non",U173)</f>
        <v>108</v>
      </c>
      <c r="T171" s="1152" t="s">
        <v>1337</v>
      </c>
      <c r="U171" s="1153">
        <f>IF('Feuilles=description générale'!$F$34="t","non",V171)</f>
        <v>432</v>
      </c>
      <c r="V171" s="1142">
        <f>IF(SUMIF(S$11:S$169,V$166,U$11:U$169)=0,"",SUMIF(S$11:S$169,V$166,U$11:U$169))</f>
        <v>432</v>
      </c>
      <c r="W171" s="371"/>
      <c r="X171" s="1156"/>
      <c r="Y171" s="1156"/>
      <c r="Z171" s="1156"/>
      <c r="AA171" s="1156"/>
      <c r="AB171" s="1157"/>
      <c r="AC171" s="1158"/>
      <c r="AD171" s="1158"/>
      <c r="AE171" s="1158"/>
      <c r="AF171" s="569"/>
      <c r="AG171" s="1156"/>
      <c r="AH171" s="1156"/>
      <c r="AI171" s="1156"/>
      <c r="AJ171" s="1156"/>
      <c r="AK171" s="1157"/>
      <c r="AL171" s="1156"/>
      <c r="AM171" s="1156"/>
      <c r="AN171" s="1156"/>
      <c r="AO171" s="1159"/>
      <c r="AP171" s="1156"/>
      <c r="AQ171" s="1156"/>
      <c r="AR171" s="1156"/>
      <c r="AS171" s="1156"/>
      <c r="AT171" s="1157"/>
      <c r="AU171" s="1158"/>
      <c r="AV171" s="1158"/>
      <c r="AW171" s="1158"/>
      <c r="AX171" s="569"/>
      <c r="AY171" s="1156"/>
      <c r="AZ171" s="1156"/>
      <c r="BA171" s="1156"/>
      <c r="BB171" s="1156"/>
      <c r="BC171" s="1157"/>
      <c r="BD171" s="1156"/>
      <c r="BE171" s="1156"/>
      <c r="BF171" s="1156"/>
      <c r="BG171" s="476"/>
      <c r="BH171" s="568"/>
      <c r="BI171" s="568"/>
      <c r="BJ171" s="568"/>
      <c r="BK171" s="568"/>
      <c r="BL171" s="568"/>
      <c r="BM171" s="568"/>
      <c r="BN171" s="568"/>
      <c r="BO171" s="568"/>
      <c r="BP171" s="568"/>
      <c r="BQ171" s="568"/>
      <c r="BR171" s="568"/>
      <c r="BS171" s="568"/>
      <c r="BT171" s="568"/>
      <c r="BU171" s="568"/>
      <c r="BV171" s="477"/>
      <c r="BW171" s="477"/>
      <c r="BX171" s="477"/>
      <c r="BY171" s="477"/>
      <c r="BZ171" s="477"/>
      <c r="CA171" s="477"/>
      <c r="CB171" s="477"/>
      <c r="CC171" s="477"/>
      <c r="CD171" s="477"/>
      <c r="CE171" s="568"/>
      <c r="CF171" s="568"/>
      <c r="CG171" s="568"/>
      <c r="CH171" s="568"/>
      <c r="CI171" s="568"/>
      <c r="CJ171" s="568"/>
      <c r="CK171" s="568"/>
      <c r="CL171" s="568"/>
      <c r="CM171" s="568"/>
      <c r="CN171" s="568"/>
      <c r="CO171" s="568"/>
      <c r="CP171" s="568"/>
      <c r="CQ171" s="568"/>
      <c r="CR171" s="568"/>
      <c r="CS171" s="568"/>
      <c r="CT171" s="568"/>
      <c r="CU171" s="568"/>
      <c r="CV171" s="476"/>
      <c r="CW171" s="345"/>
      <c r="CX171" s="345"/>
      <c r="CY171" s="345"/>
      <c r="CZ171" s="345"/>
      <c r="DA171" s="345"/>
      <c r="DB171" s="345"/>
      <c r="DC171" s="345"/>
      <c r="DD171" s="345"/>
      <c r="DE171" s="345"/>
      <c r="DF171" s="345"/>
      <c r="DG171" s="345"/>
      <c r="DH171" s="345"/>
      <c r="DI171" s="345"/>
      <c r="DJ171" s="345"/>
      <c r="DK171" s="345"/>
      <c r="DL171" s="345"/>
      <c r="DM171" s="345"/>
      <c r="DN171" s="345"/>
      <c r="DO171" s="345"/>
      <c r="DP171" s="345"/>
      <c r="DQ171" s="345"/>
      <c r="DR171" s="345"/>
      <c r="DS171" s="345"/>
      <c r="DT171" s="345"/>
      <c r="DU171" s="345"/>
      <c r="DV171" s="345"/>
      <c r="DW171" s="345"/>
      <c r="DX171" s="345"/>
      <c r="DY171" s="345"/>
      <c r="DZ171" s="345"/>
      <c r="EA171" s="345"/>
      <c r="EB171" s="345"/>
      <c r="EC171" s="345"/>
      <c r="ED171" s="345"/>
      <c r="EE171" s="345"/>
      <c r="EF171" s="345"/>
      <c r="EG171" s="345"/>
      <c r="EH171" s="345"/>
      <c r="EI171" s="345"/>
      <c r="EJ171" s="345"/>
      <c r="EK171" s="345"/>
      <c r="EL171" s="345"/>
      <c r="EM171" s="345"/>
      <c r="EN171" s="345"/>
      <c r="EO171" s="345"/>
      <c r="EP171" s="345"/>
      <c r="EQ171" s="345"/>
      <c r="ER171" s="345"/>
      <c r="ES171" s="345"/>
      <c r="ET171" s="345"/>
      <c r="EU171" s="345"/>
      <c r="EV171" s="345"/>
      <c r="EW171" s="345"/>
      <c r="EX171" s="345"/>
      <c r="EY171" s="345"/>
      <c r="EZ171" s="345"/>
      <c r="FA171" s="345"/>
      <c r="FB171" s="345"/>
      <c r="FC171" s="345"/>
      <c r="FD171" s="345"/>
      <c r="FE171" s="345"/>
      <c r="FF171" s="345"/>
      <c r="FG171" s="345"/>
      <c r="FH171" s="345"/>
      <c r="FI171" s="345"/>
      <c r="FJ171" s="345"/>
      <c r="FK171" s="345"/>
      <c r="FL171" s="345"/>
      <c r="FM171" s="345"/>
      <c r="FN171" s="345"/>
      <c r="FO171" s="345"/>
      <c r="FP171" s="345"/>
      <c r="FQ171" s="345"/>
      <c r="FR171" s="345"/>
      <c r="FS171" s="345"/>
      <c r="FT171" s="345"/>
      <c r="FU171" s="345"/>
      <c r="FV171" s="345"/>
      <c r="FW171" s="345"/>
      <c r="FX171" s="345"/>
      <c r="FY171" s="345"/>
      <c r="FZ171" s="345"/>
      <c r="GA171" s="345"/>
      <c r="GB171" s="345"/>
      <c r="GC171" s="345"/>
      <c r="GD171" s="345"/>
      <c r="GE171" s="345"/>
      <c r="GF171" s="345"/>
      <c r="GG171" s="345"/>
      <c r="GH171" s="345"/>
      <c r="GI171" s="345"/>
      <c r="GJ171" s="345"/>
      <c r="GK171" s="345"/>
      <c r="GL171" s="345"/>
      <c r="GM171" s="345"/>
      <c r="GN171" s="345"/>
      <c r="GO171" s="345"/>
      <c r="GP171" s="345"/>
      <c r="GQ171" s="345"/>
      <c r="GR171" s="345"/>
      <c r="GS171" s="345"/>
      <c r="GT171" s="345"/>
      <c r="GU171" s="345"/>
    </row>
    <row r="172" spans="1:203" ht="13.5" thickBot="1">
      <c r="A172" s="465"/>
      <c r="B172" s="1160">
        <f>IF('Feuilles=description générale'!$E$20="t",D173,"non")</f>
        <v>100</v>
      </c>
      <c r="C172" s="1161" t="s">
        <v>1338</v>
      </c>
      <c r="D172" s="1162">
        <f>IF('Feuilles=description générale'!$E$20="t",D174,"non")</f>
        <v>407</v>
      </c>
      <c r="E172" s="1163">
        <f>D174</f>
        <v>407</v>
      </c>
      <c r="F172" s="1164"/>
      <c r="G172" s="1160" t="str">
        <f>IF('Feuilles=description générale'!$F$20="t",I173,"non")</f>
        <v>non</v>
      </c>
      <c r="H172" s="1161" t="s">
        <v>1338</v>
      </c>
      <c r="I172" s="1162" t="str">
        <f>IF('Feuilles=description générale'!$F$20="t",I174,"non")</f>
        <v>non</v>
      </c>
      <c r="J172" s="1163">
        <f>I174</f>
        <v>407</v>
      </c>
      <c r="K172" s="1165"/>
      <c r="L172" s="1165"/>
      <c r="M172" s="1166"/>
      <c r="N172" s="1160">
        <f>IF('Feuilles=description générale'!$E$34="t",P173,"non")</f>
        <v>112</v>
      </c>
      <c r="O172" s="1161" t="s">
        <v>1338</v>
      </c>
      <c r="P172" s="1162">
        <f>IF('Feuilles=description générale'!$E$34="t",P174,"non")</f>
        <v>432.1</v>
      </c>
      <c r="Q172" s="1163">
        <f>P174</f>
        <v>432.1</v>
      </c>
      <c r="R172" s="1167"/>
      <c r="S172" s="1160" t="str">
        <f>IF('Feuilles=description générale'!$F$34="t",U173,"non")</f>
        <v>non</v>
      </c>
      <c r="T172" s="1161" t="s">
        <v>1338</v>
      </c>
      <c r="U172" s="1162" t="str">
        <f>IF('Feuilles=description générale'!$F$34="t",U174,"non")</f>
        <v>non</v>
      </c>
      <c r="V172" s="1163">
        <f>U174</f>
        <v>432.1</v>
      </c>
      <c r="W172" s="371"/>
      <c r="X172" s="1168" t="s">
        <v>1339</v>
      </c>
      <c r="Y172" s="1168">
        <f>COUNT(AC11:AC170)</f>
        <v>48</v>
      </c>
      <c r="Z172" s="1169"/>
      <c r="AA172" s="1170"/>
      <c r="AB172" s="1170"/>
      <c r="AC172" s="1170"/>
      <c r="AD172" s="1170"/>
      <c r="AE172" s="1170"/>
      <c r="AF172" s="1170"/>
      <c r="AG172" s="1168" t="s">
        <v>1339</v>
      </c>
      <c r="AH172" s="1168">
        <f>COUNT(AL11:AL170)</f>
        <v>44</v>
      </c>
      <c r="AI172" s="1169"/>
      <c r="AJ172" s="1171"/>
      <c r="AK172" s="1171"/>
      <c r="AL172" s="1171"/>
      <c r="AM172" s="1171"/>
      <c r="AN172" s="1171"/>
      <c r="AO172" s="1159"/>
      <c r="AP172" s="1168" t="s">
        <v>1339</v>
      </c>
      <c r="AQ172" s="1168">
        <f>COUNT(AU11:AU170)</f>
        <v>53</v>
      </c>
      <c r="AR172" s="1169"/>
      <c r="AS172" s="1170"/>
      <c r="AT172" s="1170"/>
      <c r="AU172" s="1170"/>
      <c r="AV172" s="1170"/>
      <c r="AW172" s="1170"/>
      <c r="AX172" s="1170"/>
      <c r="AY172" s="1168" t="s">
        <v>1339</v>
      </c>
      <c r="AZ172" s="1168">
        <f>COUNT(BD11:BD170)</f>
        <v>49</v>
      </c>
      <c r="BA172" s="1169"/>
      <c r="BB172" s="1171"/>
      <c r="BC172" s="1171"/>
      <c r="BD172" s="1171"/>
      <c r="BE172" s="1171"/>
      <c r="BF172" s="1171"/>
      <c r="BG172" s="476"/>
      <c r="BH172" s="568"/>
      <c r="BI172" s="568"/>
      <c r="BJ172" s="568"/>
      <c r="BK172" s="568"/>
      <c r="BL172" s="568"/>
      <c r="BM172" s="568"/>
      <c r="BN172" s="568"/>
      <c r="BO172" s="568"/>
      <c r="BP172" s="568"/>
      <c r="BQ172" s="568"/>
      <c r="BR172" s="568"/>
      <c r="BS172" s="568"/>
      <c r="BT172" s="568"/>
      <c r="BU172" s="568"/>
      <c r="BV172" s="568"/>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476"/>
      <c r="CW172" s="345"/>
      <c r="CX172" s="345"/>
      <c r="CY172" s="345"/>
      <c r="CZ172" s="345"/>
      <c r="DA172" s="345"/>
      <c r="DB172" s="345"/>
      <c r="DC172" s="345"/>
      <c r="DD172" s="345"/>
      <c r="DE172" s="345"/>
      <c r="DF172" s="345"/>
      <c r="DG172" s="345"/>
      <c r="DH172" s="345"/>
      <c r="DI172" s="345"/>
      <c r="DJ172" s="345"/>
      <c r="DK172" s="345"/>
      <c r="DL172" s="345"/>
      <c r="DM172" s="345"/>
      <c r="DN172" s="345"/>
      <c r="DO172" s="345"/>
      <c r="DP172" s="345"/>
      <c r="DQ172" s="345"/>
      <c r="DR172" s="345"/>
      <c r="DS172" s="345"/>
      <c r="DT172" s="345"/>
      <c r="DU172" s="345"/>
      <c r="DV172" s="345"/>
      <c r="DW172" s="345"/>
      <c r="DX172" s="345"/>
      <c r="DY172" s="345"/>
      <c r="DZ172" s="345"/>
      <c r="EA172" s="345"/>
      <c r="EB172" s="345"/>
      <c r="EC172" s="345"/>
      <c r="ED172" s="345"/>
      <c r="EE172" s="345"/>
      <c r="EF172" s="345"/>
      <c r="EG172" s="345"/>
      <c r="EH172" s="345"/>
      <c r="EI172" s="345"/>
      <c r="EJ172" s="345"/>
      <c r="EK172" s="345"/>
      <c r="EL172" s="345"/>
      <c r="EM172" s="345"/>
      <c r="EN172" s="345"/>
      <c r="EO172" s="345"/>
      <c r="EP172" s="345"/>
      <c r="EQ172" s="345"/>
      <c r="ER172" s="345"/>
      <c r="ES172" s="345"/>
      <c r="ET172" s="345"/>
      <c r="EU172" s="345"/>
      <c r="EV172" s="345"/>
      <c r="EW172" s="345"/>
      <c r="EX172" s="345"/>
      <c r="EY172" s="345"/>
      <c r="EZ172" s="345"/>
      <c r="FA172" s="345"/>
      <c r="FB172" s="345"/>
      <c r="FC172" s="345"/>
      <c r="FD172" s="345"/>
      <c r="FE172" s="345"/>
      <c r="FF172" s="345"/>
      <c r="FG172" s="345"/>
      <c r="FH172" s="345"/>
      <c r="FI172" s="345"/>
      <c r="FJ172" s="345"/>
      <c r="FK172" s="345"/>
      <c r="FL172" s="345"/>
      <c r="FM172" s="345"/>
      <c r="FN172" s="345"/>
      <c r="FO172" s="345"/>
      <c r="FP172" s="345"/>
      <c r="FQ172" s="345"/>
      <c r="FR172" s="345"/>
      <c r="FS172" s="345"/>
      <c r="FT172" s="345"/>
      <c r="FU172" s="345"/>
      <c r="FV172" s="345"/>
      <c r="FW172" s="345"/>
      <c r="FX172" s="345"/>
      <c r="FY172" s="345"/>
      <c r="FZ172" s="345"/>
      <c r="GA172" s="345"/>
      <c r="GB172" s="345"/>
      <c r="GC172" s="345"/>
      <c r="GD172" s="345"/>
      <c r="GE172" s="345"/>
      <c r="GF172" s="345"/>
      <c r="GG172" s="345"/>
      <c r="GH172" s="345"/>
      <c r="GI172" s="345"/>
      <c r="GJ172" s="345"/>
      <c r="GK172" s="345"/>
      <c r="GL172" s="345"/>
      <c r="GM172" s="345"/>
      <c r="GN172" s="345"/>
      <c r="GO172" s="345"/>
      <c r="GP172" s="345"/>
      <c r="GQ172" s="345"/>
      <c r="GR172" s="345"/>
      <c r="GS172" s="345"/>
      <c r="GT172" s="345"/>
      <c r="GU172" s="345"/>
    </row>
    <row r="173" spans="1:203">
      <c r="A173" s="465"/>
      <c r="B173" s="465"/>
      <c r="C173" s="465"/>
      <c r="D173" s="1172">
        <f>'Feuilles=description générale'!$F$19</f>
        <v>100</v>
      </c>
      <c r="E173" s="1167"/>
      <c r="F173" s="465"/>
      <c r="G173" s="465"/>
      <c r="H173" s="465"/>
      <c r="I173" s="1172">
        <f>'Feuilles=description générale'!$E$19</f>
        <v>100</v>
      </c>
      <c r="J173" s="465"/>
      <c r="K173" s="465"/>
      <c r="L173" s="465"/>
      <c r="M173" s="465"/>
      <c r="N173" s="465"/>
      <c r="O173" s="465"/>
      <c r="P173" s="1172">
        <f>'Feuilles=description générale'!$E$33</f>
        <v>112</v>
      </c>
      <c r="Q173" s="1167"/>
      <c r="R173" s="465"/>
      <c r="S173" s="465"/>
      <c r="T173" s="465"/>
      <c r="U173" s="1172">
        <f>'Feuilles=description générale'!$F$33</f>
        <v>108</v>
      </c>
      <c r="V173" s="465"/>
      <c r="W173" s="371"/>
      <c r="X173" s="1423" t="s">
        <v>1340</v>
      </c>
      <c r="Y173" s="1423" t="s">
        <v>1341</v>
      </c>
      <c r="Z173" s="1425" t="s">
        <v>1342</v>
      </c>
      <c r="AA173" s="1170"/>
      <c r="AB173" s="1170"/>
      <c r="AC173" s="1170"/>
      <c r="AD173" s="1170"/>
      <c r="AE173" s="1170"/>
      <c r="AF173" s="1170"/>
      <c r="AG173" s="1423" t="s">
        <v>1340</v>
      </c>
      <c r="AH173" s="1423" t="s">
        <v>1341</v>
      </c>
      <c r="AI173" s="1425" t="s">
        <v>1342</v>
      </c>
      <c r="AJ173" s="1173"/>
      <c r="AK173" s="1173"/>
      <c r="AL173" s="1173"/>
      <c r="AM173" s="1173"/>
      <c r="AN173" s="1173"/>
      <c r="AO173" s="371"/>
      <c r="AP173" s="1423" t="s">
        <v>1340</v>
      </c>
      <c r="AQ173" s="1423" t="s">
        <v>1341</v>
      </c>
      <c r="AR173" s="1425" t="s">
        <v>1342</v>
      </c>
      <c r="AS173" s="1170"/>
      <c r="AT173" s="1170"/>
      <c r="AU173" s="1170"/>
      <c r="AV173" s="1170"/>
      <c r="AW173" s="1170"/>
      <c r="AX173" s="1170"/>
      <c r="AY173" s="1423" t="s">
        <v>1340</v>
      </c>
      <c r="AZ173" s="1423" t="s">
        <v>1341</v>
      </c>
      <c r="BA173" s="1425" t="s">
        <v>1342</v>
      </c>
      <c r="BB173" s="1173"/>
      <c r="BC173" s="1173"/>
      <c r="BD173" s="1173"/>
      <c r="BE173" s="1173"/>
      <c r="BF173" s="1173"/>
      <c r="BG173" s="476"/>
      <c r="BH173" s="568"/>
      <c r="BI173" s="568"/>
      <c r="BJ173" s="568"/>
      <c r="BK173" s="568"/>
      <c r="BL173" s="568"/>
      <c r="BM173" s="568"/>
      <c r="BN173" s="568"/>
      <c r="BO173" s="568"/>
      <c r="BP173" s="568"/>
      <c r="BQ173" s="568"/>
      <c r="BR173" s="568"/>
      <c r="BS173" s="568"/>
      <c r="BT173" s="568"/>
      <c r="BU173" s="568"/>
      <c r="BV173" s="568"/>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476"/>
      <c r="CW173" s="345"/>
      <c r="CX173" s="345"/>
      <c r="CY173" s="345"/>
      <c r="CZ173" s="345"/>
      <c r="DA173" s="345"/>
      <c r="DB173" s="345"/>
      <c r="DC173" s="345"/>
      <c r="DD173" s="345"/>
      <c r="DE173" s="345"/>
      <c r="DF173" s="345"/>
      <c r="DG173" s="345"/>
      <c r="DH173" s="345"/>
      <c r="DI173" s="345"/>
      <c r="DJ173" s="345"/>
      <c r="DK173" s="345"/>
      <c r="DL173" s="345"/>
      <c r="DM173" s="345"/>
      <c r="DN173" s="345"/>
      <c r="DO173" s="345"/>
      <c r="DP173" s="345"/>
      <c r="DQ173" s="345"/>
      <c r="DR173" s="345"/>
      <c r="DS173" s="345"/>
      <c r="DT173" s="345"/>
      <c r="DU173" s="345"/>
      <c r="DV173" s="345"/>
      <c r="DW173" s="345"/>
      <c r="DX173" s="345"/>
      <c r="DY173" s="345"/>
      <c r="DZ173" s="345"/>
      <c r="EA173" s="345"/>
      <c r="EB173" s="345"/>
      <c r="EC173" s="345"/>
      <c r="ED173" s="345"/>
      <c r="EE173" s="345"/>
      <c r="EF173" s="345"/>
      <c r="EG173" s="345"/>
      <c r="EH173" s="345"/>
      <c r="EI173" s="345"/>
      <c r="EJ173" s="345"/>
      <c r="EK173" s="345"/>
      <c r="EL173" s="345"/>
      <c r="EM173" s="345"/>
      <c r="EN173" s="345"/>
      <c r="EO173" s="345"/>
      <c r="EP173" s="345"/>
      <c r="EQ173" s="345"/>
      <c r="ER173" s="345"/>
      <c r="ES173" s="345"/>
      <c r="ET173" s="345"/>
      <c r="EU173" s="345"/>
      <c r="EV173" s="345"/>
      <c r="EW173" s="345"/>
      <c r="EX173" s="345"/>
      <c r="EY173" s="345"/>
      <c r="EZ173" s="345"/>
      <c r="FA173" s="345"/>
      <c r="FB173" s="345"/>
      <c r="FC173" s="345"/>
      <c r="FD173" s="345"/>
      <c r="FE173" s="345"/>
      <c r="FF173" s="345"/>
      <c r="FG173" s="345"/>
      <c r="FH173" s="345"/>
      <c r="FI173" s="345"/>
      <c r="FJ173" s="345"/>
      <c r="FK173" s="345"/>
      <c r="FL173" s="345"/>
      <c r="FM173" s="345"/>
      <c r="FN173" s="345"/>
      <c r="FO173" s="345"/>
      <c r="FP173" s="345"/>
      <c r="FQ173" s="345"/>
      <c r="FR173" s="345"/>
      <c r="FS173" s="345"/>
      <c r="FT173" s="345"/>
      <c r="FU173" s="345"/>
      <c r="FV173" s="345"/>
      <c r="FW173" s="345"/>
      <c r="FX173" s="345"/>
      <c r="FY173" s="345"/>
      <c r="FZ173" s="345"/>
      <c r="GA173" s="345"/>
      <c r="GB173" s="345"/>
      <c r="GC173" s="345"/>
      <c r="GD173" s="345"/>
      <c r="GE173" s="345"/>
      <c r="GF173" s="345"/>
      <c r="GG173" s="345"/>
      <c r="GH173" s="345"/>
      <c r="GI173" s="345"/>
      <c r="GJ173" s="345"/>
      <c r="GK173" s="345"/>
      <c r="GL173" s="345"/>
      <c r="GM173" s="345"/>
      <c r="GN173" s="345"/>
      <c r="GO173" s="345"/>
      <c r="GP173" s="345"/>
      <c r="GQ173" s="345"/>
      <c r="GR173" s="345"/>
      <c r="GS173" s="345"/>
      <c r="GT173" s="345"/>
      <c r="GU173" s="345"/>
    </row>
    <row r="174" spans="1:203" ht="13.5" thickBot="1">
      <c r="A174" s="465"/>
      <c r="B174" s="465"/>
      <c r="C174" s="465"/>
      <c r="D174" s="1174">
        <f>'Feuilles=description générale'!$E$13</f>
        <v>407</v>
      </c>
      <c r="E174" s="465"/>
      <c r="F174" s="465"/>
      <c r="G174" s="465"/>
      <c r="H174" s="465"/>
      <c r="I174" s="1174">
        <f>'Feuilles=description générale'!$E$13</f>
        <v>407</v>
      </c>
      <c r="J174" s="465"/>
      <c r="K174" s="465"/>
      <c r="L174" s="465"/>
      <c r="M174" s="465"/>
      <c r="N174" s="465"/>
      <c r="O174" s="465"/>
      <c r="P174" s="1174">
        <f>'Feuilles=description générale'!$E$27</f>
        <v>432.1</v>
      </c>
      <c r="Q174" s="465"/>
      <c r="R174" s="465"/>
      <c r="S174" s="465"/>
      <c r="T174" s="465"/>
      <c r="U174" s="1174">
        <f>'Feuilles=description générale'!$E$27</f>
        <v>432.1</v>
      </c>
      <c r="V174" s="465"/>
      <c r="W174" s="371"/>
      <c r="X174" s="1424"/>
      <c r="Y174" s="1424"/>
      <c r="Z174" s="1426"/>
      <c r="AA174" s="1170"/>
      <c r="AB174" s="1170"/>
      <c r="AC174" s="1170"/>
      <c r="AD174" s="1170"/>
      <c r="AE174" s="1170"/>
      <c r="AF174" s="1170"/>
      <c r="AG174" s="1424"/>
      <c r="AH174" s="1424"/>
      <c r="AI174" s="1426"/>
      <c r="AJ174" s="1173"/>
      <c r="AK174" s="1173"/>
      <c r="AL174" s="1173"/>
      <c r="AM174" s="1173"/>
      <c r="AN174" s="1173"/>
      <c r="AO174" s="371"/>
      <c r="AP174" s="1424"/>
      <c r="AQ174" s="1424"/>
      <c r="AR174" s="1426"/>
      <c r="AS174" s="1170"/>
      <c r="AT174" s="1170"/>
      <c r="AU174" s="1170"/>
      <c r="AV174" s="1170"/>
      <c r="AW174" s="1170"/>
      <c r="AX174" s="1170"/>
      <c r="AY174" s="1424"/>
      <c r="AZ174" s="1424"/>
      <c r="BA174" s="1426"/>
      <c r="BB174" s="1173"/>
      <c r="BC174" s="1173"/>
      <c r="BD174" s="1173"/>
      <c r="BE174" s="1173"/>
      <c r="BF174" s="1173"/>
      <c r="BG174" s="476"/>
      <c r="BH174" s="568"/>
      <c r="BI174" s="568"/>
      <c r="BJ174" s="568"/>
      <c r="BK174" s="568"/>
      <c r="BL174" s="568"/>
      <c r="BM174" s="568"/>
      <c r="BN174" s="568"/>
      <c r="BO174" s="568"/>
      <c r="BP174" s="568"/>
      <c r="BQ174" s="568"/>
      <c r="BR174" s="568"/>
      <c r="BS174" s="568"/>
      <c r="BT174" s="568"/>
      <c r="BU174" s="568"/>
      <c r="BV174" s="568"/>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476"/>
      <c r="CW174" s="345"/>
      <c r="CX174" s="345"/>
      <c r="CY174" s="345"/>
      <c r="CZ174" s="345"/>
      <c r="DA174" s="345"/>
      <c r="DB174" s="345"/>
      <c r="DC174" s="345"/>
      <c r="DD174" s="345"/>
      <c r="DE174" s="345"/>
      <c r="DF174" s="345"/>
      <c r="DG174" s="345"/>
      <c r="DH174" s="345"/>
      <c r="DI174" s="345"/>
      <c r="DJ174" s="345"/>
      <c r="DK174" s="345"/>
      <c r="DL174" s="345"/>
      <c r="DM174" s="345"/>
      <c r="DN174" s="345"/>
      <c r="DO174" s="345"/>
      <c r="DP174" s="345"/>
      <c r="DQ174" s="345"/>
      <c r="DR174" s="345"/>
      <c r="DS174" s="345"/>
      <c r="DT174" s="345"/>
      <c r="DU174" s="345"/>
      <c r="DV174" s="345"/>
      <c r="DW174" s="345"/>
      <c r="DX174" s="345"/>
      <c r="DY174" s="345"/>
      <c r="DZ174" s="345"/>
      <c r="EA174" s="345"/>
      <c r="EB174" s="345"/>
      <c r="EC174" s="345"/>
      <c r="ED174" s="345"/>
      <c r="EE174" s="345"/>
      <c r="EF174" s="345"/>
      <c r="EG174" s="345"/>
      <c r="EH174" s="345"/>
      <c r="EI174" s="345"/>
      <c r="EJ174" s="345"/>
      <c r="EK174" s="345"/>
      <c r="EL174" s="345"/>
      <c r="EM174" s="345"/>
      <c r="EN174" s="345"/>
      <c r="EO174" s="345"/>
      <c r="EP174" s="345"/>
      <c r="EQ174" s="345"/>
      <c r="ER174" s="345"/>
      <c r="ES174" s="345"/>
      <c r="ET174" s="345"/>
      <c r="EU174" s="345"/>
      <c r="EV174" s="345"/>
      <c r="EW174" s="345"/>
      <c r="EX174" s="345"/>
      <c r="EY174" s="345"/>
      <c r="EZ174" s="345"/>
      <c r="FA174" s="345"/>
      <c r="FB174" s="345"/>
      <c r="FC174" s="345"/>
      <c r="FD174" s="345"/>
      <c r="FE174" s="345"/>
      <c r="FF174" s="345"/>
      <c r="FG174" s="345"/>
      <c r="FH174" s="345"/>
      <c r="FI174" s="345"/>
      <c r="FJ174" s="345"/>
      <c r="FK174" s="345"/>
      <c r="FL174" s="345"/>
      <c r="FM174" s="345"/>
      <c r="FN174" s="345"/>
      <c r="FO174" s="345"/>
      <c r="FP174" s="345"/>
      <c r="FQ174" s="345"/>
      <c r="FR174" s="345"/>
      <c r="FS174" s="345"/>
      <c r="FT174" s="345"/>
      <c r="FU174" s="345"/>
      <c r="FV174" s="345"/>
      <c r="FW174" s="345"/>
      <c r="FX174" s="345"/>
      <c r="FY174" s="345"/>
      <c r="FZ174" s="345"/>
      <c r="GA174" s="345"/>
      <c r="GB174" s="345"/>
      <c r="GC174" s="345"/>
      <c r="GD174" s="345"/>
      <c r="GE174" s="345"/>
      <c r="GF174" s="345"/>
      <c r="GG174" s="345"/>
      <c r="GH174" s="345"/>
      <c r="GI174" s="345"/>
      <c r="GJ174" s="345"/>
      <c r="GK174" s="345"/>
      <c r="GL174" s="345"/>
      <c r="GM174" s="345"/>
      <c r="GN174" s="345"/>
      <c r="GO174" s="345"/>
      <c r="GP174" s="345"/>
      <c r="GQ174" s="345"/>
      <c r="GR174" s="345"/>
      <c r="GS174" s="345"/>
      <c r="GT174" s="345"/>
      <c r="GU174" s="345"/>
    </row>
    <row r="175" spans="1:203">
      <c r="A175" s="465"/>
      <c r="B175" s="980" t="s">
        <v>1243</v>
      </c>
      <c r="C175" s="1175">
        <f>IF(D11="","",D11)</f>
        <v>21</v>
      </c>
      <c r="D175" s="1101">
        <f>IF('Feuilles=description générale'!$E$13="","",100*C175/'Feuilles=description générale'!$E$13)</f>
        <v>5.15970515970516</v>
      </c>
      <c r="E175" s="465"/>
      <c r="F175" s="465"/>
      <c r="G175" s="980" t="s">
        <v>1243</v>
      </c>
      <c r="H175" s="1175">
        <f>IF(I11="","",I11)</f>
        <v>22</v>
      </c>
      <c r="I175" s="1101">
        <f>IF('Feuilles=description générale'!$E$13="","",100*H175/'Feuilles=description générale'!$E$13)</f>
        <v>5.4054054054054053</v>
      </c>
      <c r="J175" s="465"/>
      <c r="K175" s="465"/>
      <c r="L175" s="465"/>
      <c r="M175" s="465"/>
      <c r="N175" s="980" t="s">
        <v>1243</v>
      </c>
      <c r="O175" s="1175">
        <f>IF(P11="","",P11)</f>
        <v>23</v>
      </c>
      <c r="P175" s="1101">
        <f>IF('Feuilles=description générale'!$E$27="","",100*O175/'Feuilles=description générale'!$E$27)</f>
        <v>5.3228419347373288</v>
      </c>
      <c r="Q175" s="465"/>
      <c r="R175" s="465"/>
      <c r="S175" s="980" t="s">
        <v>1243</v>
      </c>
      <c r="T175" s="1175">
        <f>IF(U11="","",U11)</f>
        <v>24</v>
      </c>
      <c r="U175" s="1101">
        <f>IF('Feuilles=description générale'!$E$27="","",100*T175/'Feuilles=description générale'!$E$27)</f>
        <v>5.5542698449432999</v>
      </c>
      <c r="V175" s="465"/>
      <c r="W175" s="371"/>
      <c r="X175" s="1176">
        <v>1</v>
      </c>
      <c r="Y175" s="1177">
        <f>COUNTIF(AC11:AC170,"=1")</f>
        <v>10</v>
      </c>
      <c r="Z175" s="596">
        <f>IF(Y$172="","",IF(Y175=0,"",100*Y175/Y$172))</f>
        <v>20.833333333333332</v>
      </c>
      <c r="AA175" s="364"/>
      <c r="AB175" s="364"/>
      <c r="AC175" s="364"/>
      <c r="AD175" s="364"/>
      <c r="AE175" s="364"/>
      <c r="AF175" s="364"/>
      <c r="AG175" s="1176">
        <v>1</v>
      </c>
      <c r="AH175" s="1177">
        <f>COUNTIF(AL11:AL170,"=1")</f>
        <v>2</v>
      </c>
      <c r="AI175" s="596">
        <f>IF(AH$172="","",IF(AH175=0,"",100*AH175/AH$172))</f>
        <v>4.5454545454545459</v>
      </c>
      <c r="AJ175" s="1173"/>
      <c r="AK175" s="1173"/>
      <c r="AL175" s="1173"/>
      <c r="AM175" s="1173"/>
      <c r="AN175" s="1173"/>
      <c r="AO175" s="371"/>
      <c r="AP175" s="1176">
        <v>1</v>
      </c>
      <c r="AQ175" s="1177">
        <f>COUNTIF(AU11:AU170,"=1")</f>
        <v>6</v>
      </c>
      <c r="AR175" s="596">
        <f>IF(AQ$172="","",IF(AQ175=0,"",100*AQ175/AQ$172))</f>
        <v>11.320754716981131</v>
      </c>
      <c r="AS175" s="364"/>
      <c r="AT175" s="364"/>
      <c r="AU175" s="364"/>
      <c r="AV175" s="364"/>
      <c r="AW175" s="364"/>
      <c r="AX175" s="364"/>
      <c r="AY175" s="1176">
        <v>1</v>
      </c>
      <c r="AZ175" s="1177">
        <f>COUNTIF(BD11:BD170,"=1")</f>
        <v>4</v>
      </c>
      <c r="BA175" s="596">
        <f>IF(AZ$172="","",IF(AZ175=0,"",100*AZ175/AZ$172))</f>
        <v>8.1632653061224492</v>
      </c>
      <c r="BB175" s="1173"/>
      <c r="BC175" s="1173"/>
      <c r="BD175" s="1173"/>
      <c r="BE175" s="1173"/>
      <c r="BF175" s="1173"/>
      <c r="BG175" s="476"/>
      <c r="BH175" s="568"/>
      <c r="BI175" s="568"/>
      <c r="BJ175" s="568"/>
      <c r="BK175" s="568"/>
      <c r="BL175" s="568"/>
      <c r="BM175" s="568"/>
      <c r="BN175" s="568"/>
      <c r="BO175" s="568"/>
      <c r="BP175" s="568"/>
      <c r="BQ175" s="568"/>
      <c r="BR175" s="568"/>
      <c r="BS175" s="568"/>
      <c r="BT175" s="568"/>
      <c r="BU175" s="568"/>
      <c r="BV175" s="568"/>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476"/>
      <c r="CW175" s="345"/>
      <c r="CX175" s="345"/>
      <c r="CY175" s="345"/>
      <c r="CZ175" s="345"/>
      <c r="DA175" s="345"/>
      <c r="DB175" s="345"/>
      <c r="DC175" s="345"/>
      <c r="DD175" s="345"/>
      <c r="DE175" s="345"/>
      <c r="DF175" s="345"/>
      <c r="DG175" s="345"/>
      <c r="DH175" s="345"/>
      <c r="DI175" s="345"/>
      <c r="DJ175" s="345"/>
      <c r="DK175" s="345"/>
      <c r="DL175" s="345"/>
      <c r="DM175" s="345"/>
      <c r="DN175" s="345"/>
      <c r="DO175" s="345"/>
      <c r="DP175" s="345"/>
      <c r="DQ175" s="345"/>
      <c r="DR175" s="345"/>
      <c r="DS175" s="345"/>
      <c r="DT175" s="345"/>
      <c r="DU175" s="345"/>
      <c r="DV175" s="345"/>
      <c r="DW175" s="345"/>
      <c r="DX175" s="345"/>
      <c r="DY175" s="345"/>
      <c r="DZ175" s="345"/>
      <c r="EA175" s="345"/>
      <c r="EB175" s="345"/>
      <c r="EC175" s="345"/>
      <c r="ED175" s="345"/>
      <c r="EE175" s="345"/>
      <c r="EF175" s="345"/>
      <c r="EG175" s="345"/>
      <c r="EH175" s="345"/>
      <c r="EI175" s="345"/>
      <c r="EJ175" s="345"/>
      <c r="EK175" s="345"/>
      <c r="EL175" s="345"/>
      <c r="EM175" s="345"/>
      <c r="EN175" s="345"/>
      <c r="EO175" s="345"/>
      <c r="EP175" s="345"/>
      <c r="EQ175" s="345"/>
      <c r="ER175" s="345"/>
      <c r="ES175" s="345"/>
      <c r="ET175" s="345"/>
      <c r="EU175" s="345"/>
      <c r="EV175" s="345"/>
      <c r="EW175" s="345"/>
      <c r="EX175" s="345"/>
      <c r="EY175" s="345"/>
      <c r="EZ175" s="345"/>
      <c r="FA175" s="345"/>
      <c r="FB175" s="345"/>
      <c r="FC175" s="345"/>
      <c r="FD175" s="345"/>
      <c r="FE175" s="345"/>
      <c r="FF175" s="345"/>
      <c r="FG175" s="345"/>
      <c r="FH175" s="345"/>
      <c r="FI175" s="345"/>
      <c r="FJ175" s="345"/>
      <c r="FK175" s="345"/>
      <c r="FL175" s="345"/>
      <c r="FM175" s="345"/>
      <c r="FN175" s="345"/>
      <c r="FO175" s="345"/>
      <c r="FP175" s="345"/>
      <c r="FQ175" s="345"/>
      <c r="FR175" s="345"/>
      <c r="FS175" s="345"/>
      <c r="FT175" s="345"/>
      <c r="FU175" s="345"/>
      <c r="FV175" s="345"/>
      <c r="FW175" s="345"/>
      <c r="FX175" s="345"/>
      <c r="FY175" s="345"/>
      <c r="FZ175" s="345"/>
      <c r="GA175" s="345"/>
      <c r="GB175" s="345"/>
      <c r="GC175" s="345"/>
      <c r="GD175" s="345"/>
      <c r="GE175" s="345"/>
      <c r="GF175" s="345"/>
      <c r="GG175" s="345"/>
      <c r="GH175" s="345"/>
      <c r="GI175" s="345"/>
      <c r="GJ175" s="345"/>
      <c r="GK175" s="345"/>
      <c r="GL175" s="345"/>
      <c r="GM175" s="345"/>
      <c r="GN175" s="345"/>
      <c r="GO175" s="345"/>
      <c r="GP175" s="345"/>
      <c r="GQ175" s="345"/>
      <c r="GR175" s="345"/>
      <c r="GS175" s="345"/>
      <c r="GT175" s="345"/>
      <c r="GU175" s="345"/>
    </row>
    <row r="176" spans="1:203">
      <c r="A176" s="465"/>
      <c r="B176" s="980" t="s">
        <v>1343</v>
      </c>
      <c r="C176" s="1175">
        <f>IF(SUMIF(E11:E161,"F",D10:D160)=0,"",SUMIF(E11:E161,"F",D10:D160))</f>
        <v>111.3</v>
      </c>
      <c r="D176" s="1101">
        <f>IF('Feuilles=description générale'!$E$13="","",100*C176/'Feuilles=description générale'!$E$13)</f>
        <v>27.346437346437348</v>
      </c>
      <c r="E176" s="465"/>
      <c r="F176" s="465"/>
      <c r="G176" s="980" t="s">
        <v>1343</v>
      </c>
      <c r="H176" s="1175">
        <f>IF(SUMIF(J11:J161,"F",I10:I160)=0,"",SUMIF(J11:J161,"F",I10:I160))</f>
        <v>114.6</v>
      </c>
      <c r="I176" s="1101">
        <f>IF('Feuilles=description générale'!$E$13="","",100*H176/'Feuilles=description générale'!$E$13)</f>
        <v>28.157248157248159</v>
      </c>
      <c r="J176" s="465"/>
      <c r="K176" s="465"/>
      <c r="L176" s="465"/>
      <c r="M176" s="465"/>
      <c r="N176" s="980" t="s">
        <v>1343</v>
      </c>
      <c r="O176" s="1175">
        <f>IF(SUMIF(Q11:Q161,"F",P10:P160)=0,"",SUMIF(Q11:Q161,"F",P10:P160))</f>
        <v>114.2</v>
      </c>
      <c r="P176" s="1101">
        <f>IF('Feuilles=description générale'!$E$27="","",100*O176/'Feuilles=description générale'!$E$27)</f>
        <v>26.429067345521869</v>
      </c>
      <c r="Q176" s="465"/>
      <c r="R176" s="465"/>
      <c r="S176" s="980" t="s">
        <v>1343</v>
      </c>
      <c r="T176" s="1178">
        <f>IF(SUMIF(V11:V161,"F",U10:U160)=0,"",SUMIF(V11:V161,"F",U10:U160))</f>
        <v>111.3</v>
      </c>
      <c r="U176" s="1101">
        <f>IF('Feuilles=description générale'!$E$27="","",100*T176/'Feuilles=description générale'!$E$27)</f>
        <v>25.757926405924554</v>
      </c>
      <c r="V176" s="465"/>
      <c r="W176" s="371"/>
      <c r="X176" s="1179">
        <v>2</v>
      </c>
      <c r="Y176" s="1180">
        <f>COUNTIF(AC11:AC170,"=2")</f>
        <v>27</v>
      </c>
      <c r="Z176" s="610">
        <f>IF(Y$172="","",IF(Y176=0,"",100*Y176/Y$172))</f>
        <v>56.25</v>
      </c>
      <c r="AA176" s="364"/>
      <c r="AB176" s="364"/>
      <c r="AC176" s="364"/>
      <c r="AD176" s="364"/>
      <c r="AE176" s="364"/>
      <c r="AF176" s="364"/>
      <c r="AG176" s="1179">
        <v>2</v>
      </c>
      <c r="AH176" s="1180">
        <f>COUNTIF(AL11:AL170,"=2")</f>
        <v>31</v>
      </c>
      <c r="AI176" s="610">
        <f>IF(AH$172="","",IF(AH176=0,"",100*AH176/AH$172))</f>
        <v>70.454545454545453</v>
      </c>
      <c r="AJ176" s="1173"/>
      <c r="AK176" s="1173"/>
      <c r="AL176" s="1173"/>
      <c r="AM176" s="1173"/>
      <c r="AN176" s="1173"/>
      <c r="AO176" s="371"/>
      <c r="AP176" s="1179">
        <v>2</v>
      </c>
      <c r="AQ176" s="1180">
        <f>COUNTIF(AU11:AU170,"=2")</f>
        <v>35</v>
      </c>
      <c r="AR176" s="610">
        <f>IF(AQ$172="","",IF(AQ176=0,"",100*AQ176/AQ$172))</f>
        <v>66.037735849056602</v>
      </c>
      <c r="AS176" s="364"/>
      <c r="AT176" s="364"/>
      <c r="AU176" s="364"/>
      <c r="AV176" s="364"/>
      <c r="AW176" s="364"/>
      <c r="AX176" s="364"/>
      <c r="AY176" s="1179">
        <v>2</v>
      </c>
      <c r="AZ176" s="1180">
        <f>COUNTIF(BD11:BD170,"=2")</f>
        <v>31</v>
      </c>
      <c r="BA176" s="610">
        <f>IF(AZ$172="","",IF(AZ176=0,"",100*AZ176/AZ$172))</f>
        <v>63.265306122448976</v>
      </c>
      <c r="BB176" s="1173"/>
      <c r="BC176" s="1173"/>
      <c r="BD176" s="1173"/>
      <c r="BE176" s="1173"/>
      <c r="BF176" s="1173"/>
      <c r="BG176" s="476"/>
      <c r="BH176" s="568"/>
      <c r="BI176" s="568"/>
      <c r="BJ176" s="568"/>
      <c r="BK176" s="568"/>
      <c r="BL176" s="568"/>
      <c r="BM176" s="568"/>
      <c r="BN176" s="568"/>
      <c r="BO176" s="568"/>
      <c r="BP176" s="568"/>
      <c r="BQ176" s="568"/>
      <c r="BR176" s="568"/>
      <c r="BS176" s="568"/>
      <c r="BT176" s="568"/>
      <c r="BU176" s="476"/>
      <c r="BV176" s="476"/>
      <c r="BW176" s="476"/>
      <c r="BX176" s="476"/>
      <c r="BY176" s="476"/>
      <c r="BZ176" s="476"/>
      <c r="CA176" s="476"/>
      <c r="CB176" s="476"/>
      <c r="CC176" s="476"/>
      <c r="CD176" s="476"/>
      <c r="CE176" s="476"/>
      <c r="CF176" s="568"/>
      <c r="CG176" s="568"/>
      <c r="CH176" s="568"/>
      <c r="CI176" s="568"/>
      <c r="CJ176" s="568"/>
      <c r="CK176" s="568"/>
      <c r="CL176" s="568"/>
      <c r="CM176" s="568"/>
      <c r="CN176" s="568"/>
      <c r="CO176" s="568"/>
      <c r="CP176" s="568"/>
      <c r="CQ176" s="568"/>
      <c r="CR176" s="568"/>
      <c r="CS176" s="568"/>
      <c r="CT176" s="568"/>
      <c r="CU176" s="568"/>
      <c r="CV176" s="476"/>
      <c r="CW176" s="345"/>
      <c r="CX176" s="345"/>
      <c r="CY176" s="345"/>
      <c r="CZ176" s="345"/>
      <c r="DA176" s="345"/>
      <c r="DB176" s="345"/>
      <c r="DC176" s="345"/>
      <c r="DD176" s="345"/>
      <c r="DE176" s="345"/>
      <c r="DF176" s="345"/>
      <c r="DG176" s="345"/>
      <c r="DH176" s="345"/>
      <c r="DI176" s="345"/>
      <c r="DJ176" s="345"/>
      <c r="DK176" s="345"/>
      <c r="DL176" s="345"/>
      <c r="DM176" s="345"/>
      <c r="DN176" s="345"/>
      <c r="DO176" s="345"/>
      <c r="DP176" s="345"/>
      <c r="DQ176" s="345"/>
      <c r="DR176" s="345"/>
      <c r="DS176" s="345"/>
      <c r="DT176" s="345"/>
      <c r="DU176" s="345"/>
      <c r="DV176" s="345"/>
      <c r="DW176" s="345"/>
      <c r="DX176" s="345"/>
      <c r="DY176" s="345"/>
      <c r="DZ176" s="345"/>
      <c r="EA176" s="345"/>
      <c r="EB176" s="345"/>
      <c r="EC176" s="345"/>
      <c r="ED176" s="345"/>
      <c r="EE176" s="345"/>
      <c r="EF176" s="345"/>
      <c r="EG176" s="345"/>
      <c r="EH176" s="345"/>
      <c r="EI176" s="345"/>
      <c r="EJ176" s="345"/>
      <c r="EK176" s="345"/>
      <c r="EL176" s="345"/>
      <c r="EM176" s="345"/>
      <c r="EN176" s="345"/>
      <c r="EO176" s="345"/>
      <c r="EP176" s="345"/>
      <c r="EQ176" s="345"/>
      <c r="ER176" s="345"/>
      <c r="ES176" s="345"/>
      <c r="ET176" s="345"/>
      <c r="EU176" s="345"/>
      <c r="EV176" s="345"/>
      <c r="EW176" s="345"/>
      <c r="EX176" s="345"/>
      <c r="EY176" s="345"/>
      <c r="EZ176" s="345"/>
      <c r="FA176" s="345"/>
      <c r="FB176" s="345"/>
      <c r="FC176" s="345"/>
      <c r="FD176" s="345"/>
      <c r="FE176" s="345"/>
      <c r="FF176" s="345"/>
      <c r="FG176" s="345"/>
      <c r="FH176" s="345"/>
      <c r="FI176" s="345"/>
      <c r="FJ176" s="345"/>
      <c r="FK176" s="345"/>
      <c r="FL176" s="345"/>
      <c r="FM176" s="345"/>
      <c r="FN176" s="345"/>
      <c r="FO176" s="345"/>
      <c r="FP176" s="345"/>
      <c r="FQ176" s="345"/>
      <c r="FR176" s="345"/>
      <c r="FS176" s="345"/>
      <c r="FT176" s="345"/>
      <c r="FU176" s="345"/>
      <c r="FV176" s="345"/>
      <c r="FW176" s="345"/>
      <c r="FX176" s="345"/>
      <c r="FY176" s="345"/>
      <c r="FZ176" s="345"/>
      <c r="GA176" s="345"/>
      <c r="GB176" s="345"/>
      <c r="GC176" s="345"/>
      <c r="GD176" s="345"/>
      <c r="GE176" s="345"/>
      <c r="GF176" s="345"/>
      <c r="GG176" s="345"/>
      <c r="GH176" s="345"/>
      <c r="GI176" s="345"/>
      <c r="GJ176" s="345"/>
      <c r="GK176" s="345"/>
      <c r="GL176" s="345"/>
      <c r="GM176" s="345"/>
      <c r="GN176" s="345"/>
      <c r="GO176" s="345"/>
      <c r="GP176" s="345"/>
      <c r="GQ176" s="345"/>
      <c r="GR176" s="345"/>
      <c r="GS176" s="345"/>
      <c r="GT176" s="345"/>
      <c r="GU176" s="345"/>
    </row>
    <row r="177" spans="1:203">
      <c r="A177" s="465"/>
      <c r="B177" s="980" t="s">
        <v>1245</v>
      </c>
      <c r="C177" s="1175">
        <f>IF(SUMIF(E11:E161,"F",D11:D161)=0,"",SUMIF(E11:E161,"F",D11:D161))</f>
        <v>124</v>
      </c>
      <c r="D177" s="1101">
        <f>IF('Feuilles=description générale'!$E$13="","",100*C177/'Feuilles=description générale'!$E$13)</f>
        <v>30.466830466830466</v>
      </c>
      <c r="E177" s="465"/>
      <c r="F177" s="465"/>
      <c r="G177" s="980" t="s">
        <v>1245</v>
      </c>
      <c r="H177" s="1175">
        <f>IF(SUMIF(J11:J161,"F",I11:I161)=0,"",SUMIF(J11:J161,"F",I11:I161))</f>
        <v>116.2</v>
      </c>
      <c r="I177" s="1101">
        <f>IF('Feuilles=description générale'!$E$13="","",100*H177/'Feuilles=description générale'!$E$13)</f>
        <v>28.55036855036855</v>
      </c>
      <c r="J177" s="465"/>
      <c r="K177" s="465"/>
      <c r="L177" s="465"/>
      <c r="M177" s="465"/>
      <c r="N177" s="980" t="s">
        <v>1245</v>
      </c>
      <c r="O177" s="1175">
        <f>IF(SUMIF(Q11:Q161,"F",P11:P161)=0,"",SUMIF(Q11:Q161,"F",P11:P161))</f>
        <v>115.8</v>
      </c>
      <c r="P177" s="1101">
        <f>IF('Feuilles=description générale'!$E$27="","",100*O177/'Feuilles=description générale'!$E$27)</f>
        <v>26.799352001851421</v>
      </c>
      <c r="Q177" s="465"/>
      <c r="R177" s="465"/>
      <c r="S177" s="980" t="s">
        <v>1245</v>
      </c>
      <c r="T177" s="1178">
        <f>IF(SUMIF(V11:V161,"F",U11:U161)=0,"",SUMIF(V11:V161,"F",U11:U161))</f>
        <v>120.1</v>
      </c>
      <c r="U177" s="1101">
        <f>IF('Feuilles=description générale'!$E$27="","",100*T177/'Feuilles=description générale'!$E$27)</f>
        <v>27.794492015737095</v>
      </c>
      <c r="V177" s="465"/>
      <c r="W177" s="371"/>
      <c r="X177" s="1179">
        <v>3</v>
      </c>
      <c r="Y177" s="1180">
        <f>COUNTIF(AC11:AC170,"=3")</f>
        <v>11</v>
      </c>
      <c r="Z177" s="610">
        <f>IF(Y$172="","",IF(Y177=0,"",100*Y177/Y$172))</f>
        <v>22.916666666666668</v>
      </c>
      <c r="AA177" s="364"/>
      <c r="AB177" s="364"/>
      <c r="AC177" s="364"/>
      <c r="AD177" s="364"/>
      <c r="AE177" s="364"/>
      <c r="AF177" s="364"/>
      <c r="AG177" s="1179">
        <v>3</v>
      </c>
      <c r="AH177" s="1180">
        <f>COUNTIF(AL11:AL170,"=3")</f>
        <v>11</v>
      </c>
      <c r="AI177" s="610">
        <f>IF(AH$172="","",IF(AH177=0,"",100*AH177/AH$172))</f>
        <v>25</v>
      </c>
      <c r="AJ177" s="1173"/>
      <c r="AK177" s="1173"/>
      <c r="AL177" s="1173"/>
      <c r="AM177" s="1173"/>
      <c r="AN177" s="1173"/>
      <c r="AO177" s="371"/>
      <c r="AP177" s="1179">
        <v>3</v>
      </c>
      <c r="AQ177" s="1180">
        <f>COUNTIF(AU11:AU170,"=3")</f>
        <v>12</v>
      </c>
      <c r="AR177" s="610">
        <f>IF(AQ$172="","",IF(AQ177=0,"",100*AQ177/AQ$172))</f>
        <v>22.641509433962263</v>
      </c>
      <c r="AS177" s="364"/>
      <c r="AT177" s="364"/>
      <c r="AU177" s="364"/>
      <c r="AV177" s="364"/>
      <c r="AW177" s="364"/>
      <c r="AX177" s="364"/>
      <c r="AY177" s="1179">
        <v>3</v>
      </c>
      <c r="AZ177" s="1180">
        <f>COUNTIF(BD11:BD170,"=3")</f>
        <v>14</v>
      </c>
      <c r="BA177" s="610">
        <f>IF(AZ$172="","",IF(AZ177=0,"",100*AZ177/AZ$172))</f>
        <v>28.571428571428573</v>
      </c>
      <c r="BB177" s="1173"/>
      <c r="BC177" s="1173"/>
      <c r="BD177" s="1173"/>
      <c r="BE177" s="1173"/>
      <c r="BF177" s="1173"/>
      <c r="BG177" s="476"/>
      <c r="BH177" s="568"/>
      <c r="BI177" s="568"/>
      <c r="BJ177" s="568"/>
      <c r="BK177" s="568"/>
      <c r="BL177" s="568"/>
      <c r="BM177" s="568"/>
      <c r="BN177" s="568"/>
      <c r="BO177" s="568"/>
      <c r="BP177" s="568"/>
      <c r="BQ177" s="568"/>
      <c r="BR177" s="568"/>
      <c r="BS177" s="568"/>
      <c r="BT177" s="568"/>
      <c r="BU177" s="476"/>
      <c r="BV177" s="476"/>
      <c r="BW177" s="476"/>
      <c r="BX177" s="476"/>
      <c r="BY177" s="476"/>
      <c r="BZ177" s="476"/>
      <c r="CA177" s="476"/>
      <c r="CB177" s="476"/>
      <c r="CC177" s="476"/>
      <c r="CD177" s="476"/>
      <c r="CE177" s="476"/>
      <c r="CF177" s="568"/>
      <c r="CG177" s="568"/>
      <c r="CH177" s="568"/>
      <c r="CI177" s="568"/>
      <c r="CJ177" s="568"/>
      <c r="CK177" s="568"/>
      <c r="CL177" s="568"/>
      <c r="CM177" s="568"/>
      <c r="CN177" s="568"/>
      <c r="CO177" s="568"/>
      <c r="CP177" s="568"/>
      <c r="CQ177" s="568"/>
      <c r="CR177" s="568"/>
      <c r="CS177" s="568"/>
      <c r="CT177" s="568"/>
      <c r="CU177" s="568"/>
      <c r="CV177" s="476"/>
      <c r="CW177" s="345"/>
      <c r="CX177" s="345"/>
      <c r="CY177" s="345"/>
      <c r="CZ177" s="345"/>
      <c r="DA177" s="345"/>
      <c r="DB177" s="345"/>
      <c r="DC177" s="345"/>
      <c r="DD177" s="345"/>
      <c r="DE177" s="345"/>
      <c r="DF177" s="345"/>
      <c r="DG177" s="345"/>
      <c r="DH177" s="345"/>
      <c r="DI177" s="345"/>
      <c r="DJ177" s="345"/>
      <c r="DK177" s="345"/>
      <c r="DL177" s="345"/>
      <c r="DM177" s="345"/>
      <c r="DN177" s="345"/>
      <c r="DO177" s="345"/>
      <c r="DP177" s="345"/>
      <c r="DQ177" s="345"/>
      <c r="DR177" s="345"/>
      <c r="DS177" s="345"/>
      <c r="DT177" s="345"/>
      <c r="DU177" s="345"/>
      <c r="DV177" s="345"/>
      <c r="DW177" s="345"/>
      <c r="DX177" s="345"/>
      <c r="DY177" s="345"/>
      <c r="DZ177" s="345"/>
      <c r="EA177" s="345"/>
      <c r="EB177" s="345"/>
      <c r="EC177" s="345"/>
      <c r="ED177" s="345"/>
      <c r="EE177" s="345"/>
      <c r="EF177" s="345"/>
      <c r="EG177" s="345"/>
      <c r="EH177" s="345"/>
      <c r="EI177" s="345"/>
      <c r="EJ177" s="345"/>
      <c r="EK177" s="345"/>
      <c r="EL177" s="345"/>
      <c r="EM177" s="345"/>
      <c r="EN177" s="345"/>
      <c r="EO177" s="345"/>
      <c r="EP177" s="345"/>
      <c r="EQ177" s="345"/>
      <c r="ER177" s="345"/>
      <c r="ES177" s="345"/>
      <c r="ET177" s="345"/>
      <c r="EU177" s="345"/>
      <c r="EV177" s="345"/>
      <c r="EW177" s="345"/>
      <c r="EX177" s="345"/>
      <c r="EY177" s="345"/>
      <c r="EZ177" s="345"/>
      <c r="FA177" s="345"/>
      <c r="FB177" s="345"/>
      <c r="FC177" s="345"/>
      <c r="FD177" s="345"/>
      <c r="FE177" s="345"/>
      <c r="FF177" s="345"/>
      <c r="FG177" s="345"/>
      <c r="FH177" s="345"/>
      <c r="FI177" s="345"/>
      <c r="FJ177" s="345"/>
      <c r="FK177" s="345"/>
      <c r="FL177" s="345"/>
      <c r="FM177" s="345"/>
      <c r="FN177" s="345"/>
      <c r="FO177" s="345"/>
      <c r="FP177" s="345"/>
      <c r="FQ177" s="345"/>
      <c r="FR177" s="345"/>
      <c r="FS177" s="345"/>
      <c r="FT177" s="345"/>
      <c r="FU177" s="345"/>
      <c r="FV177" s="345"/>
      <c r="FW177" s="345"/>
      <c r="FX177" s="345"/>
      <c r="FY177" s="345"/>
      <c r="FZ177" s="345"/>
      <c r="GA177" s="345"/>
      <c r="GB177" s="345"/>
      <c r="GC177" s="345"/>
      <c r="GD177" s="345"/>
      <c r="GE177" s="345"/>
      <c r="GF177" s="345"/>
      <c r="GG177" s="345"/>
      <c r="GH177" s="345"/>
      <c r="GI177" s="345"/>
      <c r="GJ177" s="345"/>
      <c r="GK177" s="345"/>
      <c r="GL177" s="345"/>
      <c r="GM177" s="345"/>
      <c r="GN177" s="345"/>
      <c r="GO177" s="345"/>
      <c r="GP177" s="345"/>
      <c r="GQ177" s="345"/>
      <c r="GR177" s="345"/>
      <c r="GS177" s="345"/>
      <c r="GT177" s="345"/>
      <c r="GU177" s="345"/>
    </row>
    <row r="178" spans="1:203">
      <c r="W178" s="371"/>
      <c r="X178" s="1179">
        <v>4</v>
      </c>
      <c r="Y178" s="1180">
        <f>COUNTIF(AC11:AC170,"=4")</f>
        <v>0</v>
      </c>
      <c r="Z178" s="610" t="str">
        <f>IF(Y$172="","",IF(Y178=0,"",100*Y178/Y$172))</f>
        <v/>
      </c>
      <c r="AA178" s="364"/>
      <c r="AB178" s="364"/>
      <c r="AC178" s="364"/>
      <c r="AD178" s="364"/>
      <c r="AE178" s="364"/>
      <c r="AF178" s="364"/>
      <c r="AG178" s="1179">
        <v>4</v>
      </c>
      <c r="AH178" s="1180">
        <f>COUNTIF(AL11:AL170,"=4")</f>
        <v>0</v>
      </c>
      <c r="AI178" s="610" t="str">
        <f>IF(AH$172="","",IF(AH178=0,"",100*AH178/AH$172))</f>
        <v/>
      </c>
      <c r="AJ178" s="364"/>
      <c r="AK178" s="364"/>
      <c r="AL178" s="364"/>
      <c r="AM178" s="364"/>
      <c r="AN178" s="364"/>
      <c r="AO178" s="371"/>
      <c r="AP178" s="1179">
        <v>4</v>
      </c>
      <c r="AQ178" s="1180">
        <f>COUNTIF(AU11:AU170,"=4")</f>
        <v>0</v>
      </c>
      <c r="AR178" s="610" t="str">
        <f>IF(AQ$172="","",IF(AQ178=0,"",100*AQ178/AQ$172))</f>
        <v/>
      </c>
      <c r="AS178" s="364"/>
      <c r="AT178" s="364"/>
      <c r="AU178" s="364"/>
      <c r="AV178" s="364"/>
      <c r="AW178" s="364"/>
      <c r="AX178" s="364"/>
      <c r="AY178" s="1179">
        <v>4</v>
      </c>
      <c r="AZ178" s="1180">
        <f>COUNTIF(BD11:BD170,"=4")</f>
        <v>0</v>
      </c>
      <c r="BA178" s="610" t="str">
        <f>IF(AZ$172="","",IF(AZ178=0,"",100*AZ178/AZ$172))</f>
        <v/>
      </c>
      <c r="BB178" s="364"/>
      <c r="BC178" s="364"/>
      <c r="BD178" s="364"/>
      <c r="BE178" s="364"/>
      <c r="BF178" s="364"/>
      <c r="BG178" s="476"/>
      <c r="BH178" s="476"/>
      <c r="BI178" s="476"/>
      <c r="BJ178" s="476"/>
      <c r="BK178" s="476"/>
      <c r="BL178" s="476"/>
      <c r="BM178" s="476"/>
      <c r="BN178" s="476"/>
      <c r="BO178" s="476"/>
      <c r="BP178" s="476"/>
      <c r="BQ178" s="476"/>
      <c r="BR178" s="476"/>
      <c r="BS178" s="476"/>
      <c r="BT178" s="476"/>
      <c r="BU178" s="476"/>
      <c r="BV178" s="476"/>
      <c r="BW178" s="476"/>
      <c r="BX178" s="476"/>
      <c r="BY178" s="476"/>
      <c r="BZ178" s="476"/>
      <c r="CA178" s="476"/>
      <c r="CB178" s="476"/>
      <c r="CC178" s="476"/>
      <c r="CD178" s="476"/>
      <c r="CE178" s="476"/>
      <c r="CF178" s="476"/>
      <c r="CG178" s="476"/>
      <c r="CH178" s="476"/>
      <c r="CI178" s="476"/>
      <c r="CJ178" s="476"/>
      <c r="CK178" s="476"/>
      <c r="CL178" s="476"/>
      <c r="CM178" s="476"/>
      <c r="CN178" s="476"/>
      <c r="CO178" s="476"/>
      <c r="CP178" s="476"/>
      <c r="CQ178" s="476"/>
      <c r="CR178" s="476"/>
      <c r="CS178" s="476"/>
      <c r="CT178" s="476"/>
      <c r="CU178" s="476"/>
      <c r="CV178" s="476"/>
      <c r="CW178" s="345"/>
      <c r="CX178" s="345"/>
      <c r="CY178" s="345"/>
      <c r="CZ178" s="345"/>
      <c r="DA178" s="345"/>
      <c r="DB178" s="345"/>
      <c r="DC178" s="345"/>
      <c r="DD178" s="345"/>
      <c r="DE178" s="345"/>
      <c r="DF178" s="345"/>
      <c r="DG178" s="345"/>
      <c r="DH178" s="345"/>
      <c r="DI178" s="345"/>
      <c r="DJ178" s="345"/>
      <c r="DK178" s="345"/>
      <c r="DL178" s="345"/>
      <c r="DM178" s="345"/>
      <c r="DN178" s="345"/>
      <c r="DO178" s="345"/>
      <c r="DP178" s="345"/>
      <c r="DQ178" s="345"/>
      <c r="DR178" s="345"/>
      <c r="DS178" s="345"/>
      <c r="DT178" s="345"/>
      <c r="DU178" s="345"/>
      <c r="DV178" s="345"/>
      <c r="DW178" s="345"/>
      <c r="DX178" s="345"/>
      <c r="DY178" s="345"/>
      <c r="DZ178" s="345"/>
      <c r="EA178" s="345"/>
      <c r="EB178" s="345"/>
      <c r="EC178" s="345"/>
      <c r="ED178" s="345"/>
      <c r="EE178" s="345"/>
      <c r="EF178" s="345"/>
      <c r="EG178" s="345"/>
      <c r="EH178" s="345"/>
      <c r="EI178" s="345"/>
      <c r="EJ178" s="345"/>
      <c r="EK178" s="345"/>
      <c r="EL178" s="345"/>
      <c r="EM178" s="345"/>
      <c r="EN178" s="345"/>
      <c r="EO178" s="345"/>
      <c r="EP178" s="345"/>
      <c r="EQ178" s="345"/>
      <c r="ER178" s="345"/>
      <c r="ES178" s="345"/>
      <c r="ET178" s="345"/>
      <c r="EU178" s="345"/>
      <c r="EV178" s="345"/>
      <c r="EW178" s="345"/>
      <c r="EX178" s="345"/>
      <c r="EY178" s="345"/>
      <c r="EZ178" s="345"/>
      <c r="FA178" s="345"/>
      <c r="FB178" s="345"/>
      <c r="FC178" s="345"/>
      <c r="FD178" s="345"/>
      <c r="FE178" s="345"/>
      <c r="FF178" s="345"/>
      <c r="FG178" s="345"/>
      <c r="FH178" s="345"/>
      <c r="FI178" s="345"/>
      <c r="FJ178" s="345"/>
      <c r="FK178" s="345"/>
      <c r="FL178" s="345"/>
      <c r="FM178" s="345"/>
      <c r="FN178" s="345"/>
      <c r="FO178" s="345"/>
      <c r="FP178" s="345"/>
      <c r="FQ178" s="345"/>
      <c r="FR178" s="345"/>
      <c r="FS178" s="345"/>
      <c r="FT178" s="345"/>
      <c r="FU178" s="345"/>
      <c r="FV178" s="345"/>
      <c r="FW178" s="345"/>
      <c r="FX178" s="345"/>
      <c r="FY178" s="345"/>
      <c r="FZ178" s="345"/>
      <c r="GA178" s="345"/>
      <c r="GB178" s="345"/>
      <c r="GC178" s="345"/>
      <c r="GD178" s="345"/>
      <c r="GE178" s="345"/>
      <c r="GF178" s="345"/>
      <c r="GG178" s="345"/>
      <c r="GH178" s="345"/>
      <c r="GI178" s="345"/>
      <c r="GJ178" s="345"/>
      <c r="GK178" s="345"/>
      <c r="GL178" s="345"/>
      <c r="GM178" s="345"/>
      <c r="GN178" s="345"/>
      <c r="GO178" s="345"/>
      <c r="GP178" s="345"/>
      <c r="GQ178" s="345"/>
      <c r="GR178" s="345"/>
      <c r="GS178" s="345"/>
      <c r="GT178" s="345"/>
      <c r="GU178" s="345"/>
    </row>
    <row r="179" spans="1:203" ht="13.5" thickBot="1">
      <c r="W179" s="371"/>
      <c r="X179" s="1181" t="s">
        <v>1344</v>
      </c>
      <c r="Y179" s="1182">
        <f>COUNTIF(AC11:AC170,"&gt;4")</f>
        <v>0</v>
      </c>
      <c r="Z179" s="621" t="str">
        <f>IF(Y$172="","",IF(Y179=0,"",100*Y179/Y$172))</f>
        <v/>
      </c>
      <c r="AA179" s="371"/>
      <c r="AB179" s="371"/>
      <c r="AC179" s="371"/>
      <c r="AD179" s="371"/>
      <c r="AE179" s="371"/>
      <c r="AF179" s="371"/>
      <c r="AG179" s="1181" t="s">
        <v>1344</v>
      </c>
      <c r="AH179" s="1182">
        <f>COUNTIF(AL11:AL170,"&gt;4")</f>
        <v>0</v>
      </c>
      <c r="AI179" s="621" t="str">
        <f>IF(AH$172="","",IF(AH179=0,"",100*AH179/AH$172))</f>
        <v/>
      </c>
      <c r="AJ179" s="371"/>
      <c r="AK179" s="371"/>
      <c r="AL179" s="371"/>
      <c r="AM179" s="371"/>
      <c r="AN179" s="371"/>
      <c r="AO179" s="371"/>
      <c r="AP179" s="1181" t="s">
        <v>1344</v>
      </c>
      <c r="AQ179" s="1182">
        <f>COUNTIF(AU11:AU170,"&gt;4")</f>
        <v>0</v>
      </c>
      <c r="AR179" s="621" t="str">
        <f>IF(AQ$172="","",IF(AQ179=0,"",100*AQ179/AQ$172))</f>
        <v/>
      </c>
      <c r="AS179" s="371"/>
      <c r="AT179" s="371"/>
      <c r="AU179" s="371"/>
      <c r="AV179" s="371"/>
      <c r="AW179" s="371"/>
      <c r="AX179" s="371"/>
      <c r="AY179" s="1181" t="s">
        <v>1344</v>
      </c>
      <c r="AZ179" s="1182">
        <f>COUNTIF(BD11:BD170,"&gt;4")</f>
        <v>0</v>
      </c>
      <c r="BA179" s="621" t="str">
        <f>IF(AZ$172="","",IF(AZ179=0,"",100*AZ179/AZ$172))</f>
        <v/>
      </c>
      <c r="BB179" s="371"/>
      <c r="BC179" s="371"/>
      <c r="BD179" s="371"/>
      <c r="BE179" s="371"/>
      <c r="BF179" s="371"/>
      <c r="BG179" s="476"/>
      <c r="BH179" s="476"/>
      <c r="BI179" s="476"/>
      <c r="BJ179" s="476"/>
      <c r="BK179" s="476"/>
      <c r="BL179" s="476"/>
      <c r="BM179" s="476"/>
      <c r="BN179" s="476"/>
      <c r="BO179" s="476"/>
      <c r="BP179" s="476"/>
      <c r="BQ179" s="476"/>
      <c r="BR179" s="476"/>
      <c r="BS179" s="476"/>
      <c r="BT179" s="476"/>
      <c r="BU179" s="476"/>
      <c r="BV179" s="476"/>
      <c r="BW179" s="476"/>
      <c r="BX179" s="476"/>
      <c r="BY179" s="476"/>
      <c r="BZ179" s="476"/>
      <c r="CA179" s="476"/>
      <c r="CB179" s="476"/>
      <c r="CC179" s="476"/>
      <c r="CD179" s="476"/>
      <c r="CE179" s="476"/>
      <c r="CF179" s="476"/>
      <c r="CG179" s="476"/>
      <c r="CH179" s="476"/>
      <c r="CI179" s="476"/>
      <c r="CJ179" s="476"/>
      <c r="CK179" s="476"/>
      <c r="CL179" s="476"/>
      <c r="CM179" s="476"/>
      <c r="CN179" s="476"/>
      <c r="CO179" s="476"/>
      <c r="CP179" s="476"/>
      <c r="CQ179" s="476"/>
      <c r="CR179" s="476"/>
      <c r="CS179" s="476"/>
      <c r="CT179" s="476"/>
      <c r="CU179" s="476"/>
      <c r="CV179" s="476"/>
      <c r="CW179" s="345"/>
      <c r="CX179" s="345"/>
      <c r="CY179" s="345"/>
      <c r="CZ179" s="345"/>
      <c r="DA179" s="345"/>
      <c r="DB179" s="345"/>
      <c r="DC179" s="345"/>
      <c r="DD179" s="345"/>
      <c r="DE179" s="345"/>
      <c r="DF179" s="345"/>
      <c r="DG179" s="345"/>
      <c r="DH179" s="345"/>
      <c r="DI179" s="345"/>
      <c r="DJ179" s="345"/>
      <c r="DK179" s="345"/>
      <c r="DL179" s="345"/>
      <c r="DM179" s="345"/>
      <c r="DN179" s="345"/>
      <c r="DO179" s="345"/>
      <c r="DP179" s="345"/>
      <c r="DQ179" s="345"/>
      <c r="DR179" s="345"/>
      <c r="DS179" s="345"/>
      <c r="DT179" s="345"/>
      <c r="DU179" s="345"/>
      <c r="DV179" s="345"/>
      <c r="DW179" s="345"/>
      <c r="DX179" s="345"/>
      <c r="DY179" s="345"/>
      <c r="DZ179" s="345"/>
      <c r="EA179" s="345"/>
      <c r="EB179" s="345"/>
      <c r="EC179" s="345"/>
      <c r="ED179" s="345"/>
      <c r="EE179" s="345"/>
      <c r="EF179" s="345"/>
      <c r="EG179" s="345"/>
      <c r="EH179" s="345"/>
      <c r="EI179" s="345"/>
      <c r="EJ179" s="345"/>
      <c r="EK179" s="345"/>
      <c r="EL179" s="345"/>
      <c r="EM179" s="345"/>
      <c r="EN179" s="345"/>
      <c r="EO179" s="345"/>
      <c r="EP179" s="345"/>
      <c r="EQ179" s="345"/>
      <c r="ER179" s="345"/>
      <c r="ES179" s="345"/>
      <c r="ET179" s="345"/>
      <c r="EU179" s="345"/>
      <c r="EV179" s="345"/>
      <c r="EW179" s="345"/>
      <c r="EX179" s="345"/>
      <c r="EY179" s="345"/>
      <c r="EZ179" s="345"/>
      <c r="FA179" s="345"/>
      <c r="FB179" s="345"/>
      <c r="FC179" s="345"/>
      <c r="FD179" s="345"/>
      <c r="FE179" s="345"/>
      <c r="FF179" s="345"/>
      <c r="FG179" s="345"/>
      <c r="FH179" s="345"/>
      <c r="FI179" s="345"/>
      <c r="FJ179" s="345"/>
      <c r="FK179" s="345"/>
      <c r="FL179" s="345"/>
      <c r="FM179" s="345"/>
      <c r="FN179" s="345"/>
      <c r="FO179" s="345"/>
      <c r="FP179" s="345"/>
      <c r="FQ179" s="345"/>
      <c r="FR179" s="345"/>
      <c r="FS179" s="345"/>
      <c r="FT179" s="345"/>
      <c r="FU179" s="345"/>
      <c r="FV179" s="345"/>
      <c r="FW179" s="345"/>
      <c r="FX179" s="345"/>
      <c r="FY179" s="345"/>
      <c r="FZ179" s="345"/>
      <c r="GA179" s="345"/>
      <c r="GB179" s="345"/>
      <c r="GC179" s="345"/>
      <c r="GD179" s="345"/>
      <c r="GE179" s="345"/>
      <c r="GF179" s="345"/>
      <c r="GG179" s="345"/>
      <c r="GH179" s="345"/>
      <c r="GI179" s="345"/>
      <c r="GJ179" s="345"/>
      <c r="GK179" s="345"/>
      <c r="GL179" s="345"/>
      <c r="GM179" s="345"/>
      <c r="GN179" s="345"/>
      <c r="GO179" s="345"/>
      <c r="GP179" s="345"/>
      <c r="GQ179" s="345"/>
      <c r="GR179" s="345"/>
      <c r="GS179" s="345"/>
      <c r="GT179" s="345"/>
      <c r="GU179" s="345"/>
    </row>
    <row r="180" spans="1:203">
      <c r="W180" s="476"/>
      <c r="X180" s="476"/>
      <c r="Y180" s="476"/>
      <c r="Z180" s="476"/>
      <c r="AA180" s="476"/>
      <c r="AB180" s="476"/>
      <c r="AC180" s="476"/>
      <c r="AD180" s="476"/>
      <c r="AE180" s="476"/>
      <c r="AF180" s="476"/>
      <c r="AG180" s="476"/>
      <c r="AH180" s="476"/>
      <c r="AI180" s="476"/>
      <c r="AJ180" s="476"/>
      <c r="AK180" s="476"/>
      <c r="AL180" s="476"/>
      <c r="AM180" s="476"/>
      <c r="AN180" s="476"/>
      <c r="AO180" s="476"/>
      <c r="AP180" s="476"/>
      <c r="AQ180" s="476"/>
      <c r="AR180" s="476"/>
      <c r="AS180" s="476"/>
      <c r="AT180" s="476"/>
      <c r="AU180" s="476"/>
      <c r="AV180" s="476"/>
      <c r="AW180" s="476"/>
      <c r="AX180" s="476"/>
      <c r="AY180" s="476"/>
      <c r="AZ180" s="476"/>
      <c r="BA180" s="476"/>
      <c r="BB180" s="476"/>
      <c r="BC180" s="476"/>
      <c r="BD180" s="476"/>
      <c r="BE180" s="476"/>
      <c r="BF180" s="476"/>
      <c r="BG180" s="476"/>
      <c r="BH180" s="476"/>
      <c r="BI180" s="476"/>
      <c r="BJ180" s="476"/>
      <c r="BK180" s="476"/>
      <c r="BL180" s="476"/>
      <c r="BM180" s="476"/>
      <c r="BN180" s="476"/>
      <c r="BO180" s="476"/>
      <c r="BP180" s="476"/>
      <c r="BQ180" s="476"/>
      <c r="BR180" s="476"/>
      <c r="BS180" s="476"/>
      <c r="BT180" s="476"/>
      <c r="BU180" s="476"/>
      <c r="BV180" s="476"/>
      <c r="BW180" s="476"/>
      <c r="BX180" s="476"/>
      <c r="BY180" s="476"/>
      <c r="BZ180" s="476"/>
      <c r="CA180" s="476"/>
      <c r="CB180" s="476"/>
      <c r="CC180" s="476"/>
      <c r="CD180" s="476"/>
      <c r="CE180" s="476"/>
      <c r="CF180" s="476"/>
      <c r="CG180" s="476"/>
      <c r="CH180" s="476"/>
      <c r="CI180" s="476"/>
      <c r="CJ180" s="476"/>
      <c r="CK180" s="476"/>
      <c r="CL180" s="476"/>
      <c r="CM180" s="476"/>
      <c r="CN180" s="476"/>
      <c r="CO180" s="476"/>
      <c r="CP180" s="476"/>
      <c r="CQ180" s="476"/>
      <c r="CR180" s="476"/>
      <c r="CS180" s="476"/>
      <c r="CT180" s="476"/>
      <c r="CU180" s="476"/>
      <c r="CV180" s="476"/>
      <c r="CW180" s="345"/>
      <c r="CX180" s="345"/>
      <c r="CY180" s="345"/>
      <c r="CZ180" s="345"/>
      <c r="DA180" s="345"/>
      <c r="DB180" s="345"/>
      <c r="DC180" s="345"/>
      <c r="DD180" s="345"/>
      <c r="DE180" s="345"/>
      <c r="DF180" s="345"/>
      <c r="DG180" s="345"/>
      <c r="DH180" s="345"/>
      <c r="DI180" s="345"/>
      <c r="DJ180" s="345"/>
      <c r="DK180" s="345"/>
      <c r="DL180" s="345"/>
      <c r="DM180" s="345"/>
      <c r="DN180" s="345"/>
      <c r="DO180" s="345"/>
      <c r="DP180" s="345"/>
      <c r="DQ180" s="345"/>
      <c r="DR180" s="345"/>
      <c r="DS180" s="345"/>
      <c r="DT180" s="345"/>
      <c r="DU180" s="345"/>
      <c r="DV180" s="345"/>
      <c r="DW180" s="345"/>
      <c r="DX180" s="345"/>
      <c r="DY180" s="345"/>
      <c r="DZ180" s="345"/>
      <c r="EA180" s="345"/>
      <c r="EB180" s="345"/>
      <c r="EC180" s="345"/>
      <c r="ED180" s="345"/>
      <c r="EE180" s="345"/>
      <c r="EF180" s="345"/>
      <c r="EG180" s="345"/>
      <c r="EH180" s="345"/>
      <c r="EI180" s="345"/>
      <c r="EJ180" s="345"/>
      <c r="EK180" s="345"/>
      <c r="EL180" s="345"/>
      <c r="EM180" s="345"/>
      <c r="EN180" s="345"/>
      <c r="EO180" s="345"/>
      <c r="EP180" s="345"/>
      <c r="EQ180" s="345"/>
      <c r="ER180" s="345"/>
      <c r="ES180" s="345"/>
      <c r="ET180" s="345"/>
      <c r="EU180" s="345"/>
      <c r="EV180" s="345"/>
      <c r="EW180" s="345"/>
      <c r="EX180" s="345"/>
      <c r="EY180" s="345"/>
      <c r="EZ180" s="345"/>
      <c r="FA180" s="345"/>
      <c r="FB180" s="345"/>
      <c r="FC180" s="345"/>
      <c r="FD180" s="345"/>
      <c r="FE180" s="345"/>
      <c r="FF180" s="345"/>
      <c r="FG180" s="345"/>
      <c r="FH180" s="345"/>
      <c r="FI180" s="345"/>
      <c r="FJ180" s="345"/>
      <c r="FK180" s="345"/>
      <c r="FL180" s="345"/>
      <c r="FM180" s="345"/>
      <c r="FN180" s="345"/>
      <c r="FO180" s="345"/>
      <c r="FP180" s="345"/>
      <c r="FQ180" s="345"/>
      <c r="FR180" s="345"/>
      <c r="FS180" s="345"/>
      <c r="FT180" s="345"/>
      <c r="FU180" s="345"/>
      <c r="FV180" s="345"/>
      <c r="FW180" s="345"/>
      <c r="FX180" s="345"/>
      <c r="FY180" s="345"/>
      <c r="FZ180" s="345"/>
      <c r="GA180" s="345"/>
      <c r="GB180" s="345"/>
      <c r="GC180" s="345"/>
      <c r="GD180" s="345"/>
      <c r="GE180" s="345"/>
      <c r="GF180" s="345"/>
      <c r="GG180" s="345"/>
      <c r="GH180" s="345"/>
      <c r="GI180" s="345"/>
      <c r="GJ180" s="345"/>
      <c r="GK180" s="345"/>
      <c r="GL180" s="345"/>
      <c r="GM180" s="345"/>
      <c r="GN180" s="345"/>
      <c r="GO180" s="345"/>
      <c r="GP180" s="345"/>
      <c r="GQ180" s="345"/>
      <c r="GR180" s="345"/>
      <c r="GS180" s="345"/>
      <c r="GT180" s="345"/>
      <c r="GU180" s="345"/>
    </row>
    <row r="181" spans="1:203">
      <c r="W181" s="476"/>
      <c r="X181" s="476"/>
      <c r="Y181" s="476"/>
      <c r="Z181" s="476"/>
      <c r="AA181" s="476"/>
      <c r="AB181" s="476"/>
      <c r="AC181" s="476"/>
      <c r="AD181" s="476"/>
      <c r="AE181" s="476"/>
      <c r="AF181" s="476"/>
      <c r="AG181" s="476"/>
      <c r="AH181" s="476"/>
      <c r="AI181" s="476"/>
      <c r="AJ181" s="476"/>
      <c r="AK181" s="476"/>
      <c r="AL181" s="476"/>
      <c r="AM181" s="476"/>
      <c r="AN181" s="476"/>
      <c r="AO181" s="476"/>
      <c r="AP181" s="476"/>
      <c r="AQ181" s="476"/>
      <c r="AR181" s="476"/>
      <c r="AS181" s="476"/>
      <c r="AT181" s="476"/>
      <c r="AU181" s="476"/>
      <c r="AV181" s="476"/>
      <c r="AW181" s="476"/>
      <c r="AX181" s="476"/>
      <c r="AY181" s="476"/>
      <c r="AZ181" s="476"/>
      <c r="BA181" s="476"/>
      <c r="BB181" s="476"/>
      <c r="BC181" s="476"/>
      <c r="BD181" s="476"/>
      <c r="BE181" s="476"/>
      <c r="BF181" s="476"/>
      <c r="BG181" s="476"/>
      <c r="BH181" s="476"/>
      <c r="BI181" s="476"/>
      <c r="BJ181" s="476"/>
      <c r="BK181" s="476"/>
      <c r="BL181" s="476"/>
      <c r="BM181" s="476"/>
      <c r="BN181" s="476"/>
      <c r="BO181" s="476"/>
      <c r="BP181" s="476"/>
      <c r="BQ181" s="476"/>
      <c r="BR181" s="476"/>
      <c r="BS181" s="476"/>
      <c r="BT181" s="476"/>
      <c r="BU181" s="476"/>
      <c r="BV181" s="476"/>
      <c r="BW181" s="476"/>
      <c r="BX181" s="476"/>
      <c r="BY181" s="476"/>
      <c r="BZ181" s="476"/>
      <c r="CA181" s="476"/>
      <c r="CB181" s="476"/>
      <c r="CC181" s="476"/>
      <c r="CD181" s="476"/>
      <c r="CE181" s="476"/>
      <c r="CF181" s="476"/>
      <c r="CG181" s="476"/>
      <c r="CH181" s="476"/>
      <c r="CI181" s="476"/>
      <c r="CJ181" s="476"/>
      <c r="CK181" s="476"/>
      <c r="CL181" s="476"/>
      <c r="CM181" s="476"/>
      <c r="CN181" s="476"/>
      <c r="CO181" s="476"/>
      <c r="CP181" s="476"/>
      <c r="CQ181" s="476"/>
      <c r="CR181" s="476"/>
      <c r="CS181" s="476"/>
      <c r="CT181" s="476"/>
      <c r="CU181" s="476"/>
      <c r="CV181" s="476"/>
      <c r="CW181" s="345"/>
      <c r="CX181" s="345"/>
      <c r="CY181" s="345"/>
      <c r="CZ181" s="345"/>
      <c r="DA181" s="345"/>
      <c r="DB181" s="345"/>
      <c r="DC181" s="345"/>
      <c r="DD181" s="345"/>
      <c r="DE181" s="345"/>
      <c r="DF181" s="345"/>
      <c r="DG181" s="345"/>
      <c r="DH181" s="345"/>
      <c r="DI181" s="345"/>
      <c r="DJ181" s="345"/>
      <c r="DK181" s="345"/>
      <c r="DL181" s="345"/>
      <c r="DM181" s="345"/>
      <c r="DN181" s="345"/>
      <c r="DO181" s="345"/>
      <c r="DP181" s="345"/>
      <c r="DQ181" s="345"/>
      <c r="DR181" s="345"/>
      <c r="DS181" s="345"/>
      <c r="DT181" s="345"/>
      <c r="DU181" s="345"/>
      <c r="DV181" s="345"/>
      <c r="DW181" s="345"/>
      <c r="DX181" s="345"/>
      <c r="DY181" s="345"/>
      <c r="DZ181" s="345"/>
      <c r="EA181" s="345"/>
      <c r="EB181" s="345"/>
      <c r="EC181" s="345"/>
      <c r="ED181" s="345"/>
      <c r="EE181" s="345"/>
      <c r="EF181" s="345"/>
      <c r="EG181" s="345"/>
      <c r="EH181" s="345"/>
      <c r="EI181" s="345"/>
      <c r="EJ181" s="345"/>
      <c r="EK181" s="345"/>
      <c r="EL181" s="345"/>
      <c r="EM181" s="345"/>
      <c r="EN181" s="345"/>
      <c r="EO181" s="345"/>
      <c r="EP181" s="345"/>
      <c r="EQ181" s="345"/>
      <c r="ER181" s="345"/>
      <c r="ES181" s="345"/>
      <c r="ET181" s="345"/>
      <c r="EU181" s="345"/>
      <c r="EV181" s="345"/>
      <c r="EW181" s="345"/>
      <c r="EX181" s="345"/>
      <c r="EY181" s="345"/>
      <c r="EZ181" s="345"/>
      <c r="FA181" s="345"/>
      <c r="FB181" s="345"/>
      <c r="FC181" s="345"/>
      <c r="FD181" s="345"/>
      <c r="FE181" s="345"/>
      <c r="FF181" s="345"/>
      <c r="FG181" s="345"/>
      <c r="FH181" s="345"/>
      <c r="FI181" s="345"/>
      <c r="FJ181" s="345"/>
      <c r="FK181" s="345"/>
      <c r="FL181" s="345"/>
      <c r="FM181" s="345"/>
      <c r="FN181" s="345"/>
      <c r="FO181" s="345"/>
      <c r="FP181" s="345"/>
      <c r="FQ181" s="345"/>
      <c r="FR181" s="345"/>
      <c r="FS181" s="345"/>
      <c r="FT181" s="345"/>
      <c r="FU181" s="345"/>
      <c r="FV181" s="345"/>
      <c r="FW181" s="345"/>
      <c r="FX181" s="345"/>
      <c r="FY181" s="345"/>
      <c r="FZ181" s="345"/>
      <c r="GA181" s="345"/>
      <c r="GB181" s="345"/>
      <c r="GC181" s="345"/>
      <c r="GD181" s="345"/>
      <c r="GE181" s="345"/>
      <c r="GF181" s="345"/>
      <c r="GG181" s="345"/>
      <c r="GH181" s="345"/>
      <c r="GI181" s="345"/>
      <c r="GJ181" s="345"/>
      <c r="GK181" s="345"/>
      <c r="GL181" s="345"/>
      <c r="GM181" s="345"/>
      <c r="GN181" s="345"/>
      <c r="GO181" s="345"/>
      <c r="GP181" s="345"/>
      <c r="GQ181" s="345"/>
      <c r="GR181" s="345"/>
      <c r="GS181" s="345"/>
      <c r="GT181" s="345"/>
      <c r="GU181" s="345"/>
    </row>
    <row r="182" spans="1:203">
      <c r="W182" s="476"/>
      <c r="X182" s="476"/>
      <c r="Y182" s="476"/>
      <c r="Z182" s="476"/>
      <c r="AA182" s="476"/>
      <c r="AB182" s="476"/>
      <c r="AC182" s="476"/>
      <c r="AD182" s="476"/>
      <c r="AE182" s="476"/>
      <c r="AF182" s="476"/>
      <c r="AG182" s="476"/>
      <c r="AH182" s="476"/>
      <c r="AI182" s="476"/>
      <c r="AJ182" s="476"/>
      <c r="AK182" s="476"/>
      <c r="AL182" s="476"/>
      <c r="AM182" s="476"/>
      <c r="AN182" s="476"/>
      <c r="AO182" s="476"/>
      <c r="AP182" s="476"/>
      <c r="AQ182" s="476"/>
      <c r="AR182" s="476"/>
      <c r="AS182" s="476"/>
      <c r="AT182" s="476"/>
      <c r="AU182" s="476"/>
      <c r="AV182" s="476"/>
      <c r="AW182" s="476"/>
      <c r="AX182" s="476"/>
      <c r="AY182" s="476"/>
      <c r="AZ182" s="476"/>
      <c r="BA182" s="476"/>
      <c r="BB182" s="476"/>
      <c r="BC182" s="476"/>
      <c r="BD182" s="476"/>
      <c r="BE182" s="476"/>
      <c r="BF182" s="476"/>
      <c r="BG182" s="476"/>
      <c r="BH182" s="476"/>
      <c r="BI182" s="476"/>
      <c r="BJ182" s="476"/>
      <c r="BK182" s="476"/>
      <c r="BL182" s="476"/>
      <c r="BM182" s="476"/>
      <c r="BN182" s="476"/>
      <c r="BO182" s="476"/>
      <c r="BP182" s="476"/>
      <c r="BQ182" s="476"/>
      <c r="BR182" s="476"/>
      <c r="BS182" s="476"/>
      <c r="BT182" s="476"/>
      <c r="BU182" s="476"/>
      <c r="BV182" s="476"/>
      <c r="BW182" s="476"/>
      <c r="BX182" s="476"/>
      <c r="BY182" s="476"/>
      <c r="BZ182" s="476"/>
      <c r="CA182" s="476"/>
      <c r="CB182" s="476"/>
      <c r="CC182" s="476"/>
      <c r="CD182" s="476"/>
      <c r="CE182" s="476"/>
      <c r="CF182" s="476"/>
      <c r="CG182" s="476"/>
      <c r="CH182" s="476"/>
      <c r="CI182" s="476"/>
      <c r="CJ182" s="476"/>
      <c r="CK182" s="476"/>
      <c r="CL182" s="476"/>
      <c r="CM182" s="476"/>
      <c r="CN182" s="476"/>
      <c r="CO182" s="476"/>
      <c r="CP182" s="476"/>
      <c r="CQ182" s="476"/>
      <c r="CR182" s="476"/>
      <c r="CS182" s="476"/>
      <c r="CT182" s="476"/>
      <c r="CU182" s="476"/>
      <c r="CV182" s="476"/>
      <c r="CW182" s="345"/>
      <c r="CX182" s="345"/>
      <c r="CY182" s="345"/>
      <c r="CZ182" s="345"/>
      <c r="DA182" s="345"/>
      <c r="DB182" s="345"/>
      <c r="DC182" s="345"/>
      <c r="DD182" s="345"/>
      <c r="DE182" s="345"/>
      <c r="DF182" s="345"/>
      <c r="DG182" s="345"/>
      <c r="DH182" s="345"/>
      <c r="DI182" s="345"/>
      <c r="DJ182" s="345"/>
      <c r="DK182" s="345"/>
      <c r="DL182" s="345"/>
      <c r="DM182" s="345"/>
      <c r="DN182" s="345"/>
      <c r="DO182" s="345"/>
      <c r="DP182" s="345"/>
      <c r="DQ182" s="345"/>
      <c r="DR182" s="345"/>
      <c r="DS182" s="345"/>
      <c r="DT182" s="345"/>
      <c r="DU182" s="345"/>
      <c r="DV182" s="345"/>
      <c r="DW182" s="345"/>
      <c r="DX182" s="345"/>
      <c r="DY182" s="345"/>
      <c r="DZ182" s="345"/>
      <c r="EA182" s="345"/>
      <c r="EB182" s="345"/>
      <c r="EC182" s="345"/>
      <c r="ED182" s="345"/>
      <c r="EE182" s="345"/>
      <c r="EF182" s="345"/>
      <c r="EG182" s="345"/>
      <c r="EH182" s="345"/>
      <c r="EI182" s="345"/>
      <c r="EJ182" s="345"/>
      <c r="EK182" s="345"/>
      <c r="EL182" s="345"/>
      <c r="EM182" s="345"/>
      <c r="EN182" s="345"/>
      <c r="EO182" s="345"/>
      <c r="EP182" s="345"/>
      <c r="EQ182" s="345"/>
      <c r="ER182" s="345"/>
      <c r="ES182" s="345"/>
      <c r="ET182" s="345"/>
      <c r="EU182" s="345"/>
      <c r="EV182" s="345"/>
      <c r="EW182" s="345"/>
      <c r="EX182" s="345"/>
      <c r="EY182" s="345"/>
      <c r="EZ182" s="345"/>
      <c r="FA182" s="345"/>
      <c r="FB182" s="345"/>
      <c r="FC182" s="345"/>
      <c r="FD182" s="345"/>
      <c r="FE182" s="345"/>
      <c r="FF182" s="345"/>
      <c r="FG182" s="345"/>
      <c r="FH182" s="345"/>
      <c r="FI182" s="345"/>
      <c r="FJ182" s="345"/>
      <c r="FK182" s="345"/>
      <c r="FL182" s="345"/>
      <c r="FM182" s="345"/>
      <c r="FN182" s="345"/>
      <c r="FO182" s="345"/>
      <c r="FP182" s="345"/>
      <c r="FQ182" s="345"/>
      <c r="FR182" s="345"/>
      <c r="FS182" s="345"/>
      <c r="FT182" s="345"/>
      <c r="FU182" s="345"/>
      <c r="FV182" s="345"/>
      <c r="FW182" s="345"/>
      <c r="FX182" s="345"/>
      <c r="FY182" s="345"/>
      <c r="FZ182" s="345"/>
      <c r="GA182" s="345"/>
      <c r="GB182" s="345"/>
      <c r="GC182" s="345"/>
      <c r="GD182" s="345"/>
      <c r="GE182" s="345"/>
      <c r="GF182" s="345"/>
      <c r="GG182" s="345"/>
      <c r="GH182" s="345"/>
      <c r="GI182" s="345"/>
      <c r="GJ182" s="345"/>
      <c r="GK182" s="345"/>
      <c r="GL182" s="345"/>
      <c r="GM182" s="345"/>
      <c r="GN182" s="345"/>
      <c r="GO182" s="345"/>
      <c r="GP182" s="345"/>
      <c r="GQ182" s="345"/>
      <c r="GR182" s="345"/>
      <c r="GS182" s="345"/>
      <c r="GT182" s="345"/>
      <c r="GU182" s="345"/>
    </row>
    <row r="183" spans="1:203">
      <c r="W183" s="476"/>
      <c r="X183" s="476"/>
      <c r="Y183" s="476"/>
      <c r="Z183" s="476"/>
      <c r="AA183" s="476"/>
      <c r="AB183" s="476"/>
      <c r="AC183" s="476"/>
      <c r="AD183" s="476"/>
      <c r="AE183" s="476"/>
      <c r="AF183" s="476"/>
      <c r="AG183" s="476"/>
      <c r="AH183" s="476"/>
      <c r="AI183" s="476"/>
      <c r="AJ183" s="476"/>
      <c r="AK183" s="476"/>
      <c r="AL183" s="476"/>
      <c r="AM183" s="476"/>
      <c r="AN183" s="476"/>
      <c r="AO183" s="476"/>
      <c r="AP183" s="476"/>
      <c r="AQ183" s="476"/>
      <c r="AR183" s="476"/>
      <c r="AS183" s="476"/>
      <c r="AT183" s="476"/>
      <c r="AU183" s="476"/>
      <c r="AV183" s="476"/>
      <c r="AW183" s="476"/>
      <c r="AX183" s="476"/>
      <c r="AY183" s="476"/>
      <c r="AZ183" s="476"/>
      <c r="BA183" s="476"/>
      <c r="BB183" s="476"/>
      <c r="BC183" s="476"/>
      <c r="BD183" s="476"/>
      <c r="BE183" s="476"/>
      <c r="BF183" s="476"/>
      <c r="BG183" s="476"/>
      <c r="BH183" s="476"/>
      <c r="BI183" s="476"/>
      <c r="BJ183" s="476"/>
      <c r="BK183" s="476"/>
      <c r="BL183" s="476"/>
      <c r="BM183" s="476"/>
      <c r="BN183" s="476"/>
      <c r="BO183" s="476"/>
      <c r="BP183" s="476"/>
      <c r="BQ183" s="476"/>
      <c r="BR183" s="476"/>
      <c r="BS183" s="476"/>
      <c r="BT183" s="476"/>
      <c r="BU183" s="476"/>
      <c r="BV183" s="476"/>
      <c r="BW183" s="476"/>
      <c r="BX183" s="476"/>
      <c r="BY183" s="476"/>
      <c r="BZ183" s="476"/>
      <c r="CA183" s="476"/>
      <c r="CB183" s="476"/>
      <c r="CC183" s="476"/>
      <c r="CD183" s="476"/>
      <c r="CE183" s="476"/>
      <c r="CF183" s="476"/>
      <c r="CG183" s="476"/>
      <c r="CH183" s="476"/>
      <c r="CI183" s="476"/>
      <c r="CJ183" s="476"/>
      <c r="CK183" s="476"/>
      <c r="CL183" s="476"/>
      <c r="CM183" s="476"/>
      <c r="CN183" s="476"/>
      <c r="CO183" s="476"/>
      <c r="CP183" s="476"/>
      <c r="CQ183" s="476"/>
      <c r="CR183" s="476"/>
      <c r="CS183" s="476"/>
      <c r="CT183" s="476"/>
      <c r="CU183" s="476"/>
      <c r="CV183" s="476"/>
      <c r="CW183" s="345"/>
      <c r="CX183" s="345"/>
      <c r="CY183" s="345"/>
      <c r="CZ183" s="345"/>
      <c r="DA183" s="345"/>
      <c r="DB183" s="345"/>
      <c r="DC183" s="345"/>
      <c r="DD183" s="345"/>
      <c r="DE183" s="345"/>
      <c r="DF183" s="345"/>
      <c r="DG183" s="345"/>
      <c r="DH183" s="345"/>
      <c r="DI183" s="345"/>
      <c r="DJ183" s="345"/>
      <c r="DK183" s="345"/>
      <c r="DL183" s="345"/>
      <c r="DM183" s="345"/>
      <c r="DN183" s="345"/>
      <c r="DO183" s="345"/>
      <c r="DP183" s="345"/>
      <c r="DQ183" s="345"/>
      <c r="DR183" s="345"/>
      <c r="DS183" s="345"/>
      <c r="DT183" s="345"/>
      <c r="DU183" s="345"/>
      <c r="DV183" s="345"/>
      <c r="DW183" s="345"/>
      <c r="DX183" s="345"/>
      <c r="DY183" s="345"/>
      <c r="DZ183" s="345"/>
      <c r="EA183" s="345"/>
      <c r="EB183" s="345"/>
      <c r="EC183" s="345"/>
      <c r="ED183" s="345"/>
      <c r="EE183" s="345"/>
      <c r="EF183" s="345"/>
      <c r="EG183" s="345"/>
      <c r="EH183" s="345"/>
      <c r="EI183" s="345"/>
      <c r="EJ183" s="345"/>
      <c r="EK183" s="345"/>
      <c r="EL183" s="345"/>
      <c r="EM183" s="345"/>
      <c r="EN183" s="345"/>
      <c r="EO183" s="345"/>
      <c r="EP183" s="345"/>
      <c r="EQ183" s="345"/>
      <c r="ER183" s="345"/>
      <c r="ES183" s="345"/>
      <c r="ET183" s="345"/>
      <c r="EU183" s="345"/>
      <c r="EV183" s="345"/>
      <c r="EW183" s="345"/>
      <c r="EX183" s="345"/>
      <c r="EY183" s="345"/>
      <c r="EZ183" s="345"/>
      <c r="FA183" s="345"/>
      <c r="FB183" s="345"/>
      <c r="FC183" s="345"/>
      <c r="FD183" s="345"/>
      <c r="FE183" s="345"/>
      <c r="FF183" s="345"/>
      <c r="FG183" s="345"/>
      <c r="FH183" s="345"/>
      <c r="FI183" s="345"/>
      <c r="FJ183" s="345"/>
      <c r="FK183" s="345"/>
      <c r="FL183" s="345"/>
      <c r="FM183" s="345"/>
      <c r="FN183" s="345"/>
      <c r="FO183" s="345"/>
      <c r="FP183" s="345"/>
      <c r="FQ183" s="345"/>
      <c r="FR183" s="345"/>
      <c r="FS183" s="345"/>
      <c r="FT183" s="345"/>
      <c r="FU183" s="345"/>
      <c r="FV183" s="345"/>
      <c r="FW183" s="345"/>
      <c r="FX183" s="345"/>
      <c r="FY183" s="345"/>
      <c r="FZ183" s="345"/>
      <c r="GA183" s="345"/>
      <c r="GB183" s="345"/>
      <c r="GC183" s="345"/>
      <c r="GD183" s="345"/>
      <c r="GE183" s="345"/>
      <c r="GF183" s="345"/>
      <c r="GG183" s="345"/>
      <c r="GH183" s="345"/>
      <c r="GI183" s="345"/>
      <c r="GJ183" s="345"/>
      <c r="GK183" s="345"/>
      <c r="GL183" s="345"/>
      <c r="GM183" s="345"/>
      <c r="GN183" s="345"/>
      <c r="GO183" s="345"/>
      <c r="GP183" s="345"/>
      <c r="GQ183" s="345"/>
      <c r="GR183" s="345"/>
      <c r="GS183" s="345"/>
      <c r="GT183" s="345"/>
      <c r="GU183" s="345"/>
    </row>
    <row r="184" spans="1:203">
      <c r="W184" s="476"/>
      <c r="X184" s="476"/>
      <c r="Y184" s="476"/>
      <c r="Z184" s="476"/>
      <c r="AA184" s="476"/>
      <c r="AB184" s="476"/>
      <c r="AC184" s="476"/>
      <c r="AD184" s="476"/>
      <c r="AE184" s="476"/>
      <c r="AF184" s="476"/>
      <c r="AG184" s="476"/>
      <c r="AH184" s="476"/>
      <c r="AI184" s="476"/>
      <c r="AJ184" s="476"/>
      <c r="AK184" s="476"/>
      <c r="AL184" s="476"/>
      <c r="AM184" s="476"/>
      <c r="AN184" s="476"/>
      <c r="AO184" s="476"/>
      <c r="AP184" s="476"/>
      <c r="AQ184" s="476"/>
      <c r="AR184" s="476"/>
      <c r="AS184" s="476"/>
      <c r="AT184" s="476"/>
      <c r="AU184" s="476"/>
      <c r="AV184" s="476"/>
      <c r="AW184" s="476"/>
      <c r="AX184" s="476"/>
      <c r="AY184" s="476"/>
      <c r="AZ184" s="476"/>
      <c r="BA184" s="476"/>
      <c r="BB184" s="476"/>
      <c r="BC184" s="476"/>
      <c r="BD184" s="476"/>
      <c r="BE184" s="476"/>
      <c r="BF184" s="476"/>
      <c r="BG184" s="476"/>
      <c r="BH184" s="476"/>
      <c r="BI184" s="476"/>
      <c r="BJ184" s="476"/>
      <c r="BK184" s="476"/>
      <c r="BL184" s="476"/>
      <c r="BM184" s="476"/>
      <c r="BN184" s="476"/>
      <c r="BO184" s="476"/>
      <c r="BP184" s="476"/>
      <c r="BQ184" s="476"/>
      <c r="BR184" s="476"/>
      <c r="BS184" s="476"/>
      <c r="BT184" s="476"/>
      <c r="BU184" s="476"/>
      <c r="BV184" s="476"/>
      <c r="BW184" s="476"/>
      <c r="BX184" s="476"/>
      <c r="BY184" s="476"/>
      <c r="BZ184" s="476"/>
      <c r="CA184" s="476"/>
      <c r="CB184" s="476"/>
      <c r="CC184" s="476"/>
      <c r="CD184" s="476"/>
      <c r="CE184" s="476"/>
      <c r="CF184" s="476"/>
      <c r="CG184" s="476"/>
      <c r="CH184" s="476"/>
      <c r="CI184" s="476"/>
      <c r="CJ184" s="476"/>
      <c r="CK184" s="476"/>
      <c r="CL184" s="476"/>
      <c r="CM184" s="476"/>
      <c r="CN184" s="476"/>
      <c r="CO184" s="476"/>
      <c r="CP184" s="476"/>
      <c r="CQ184" s="476"/>
      <c r="CR184" s="476"/>
      <c r="CS184" s="476"/>
      <c r="CT184" s="476"/>
      <c r="CU184" s="476"/>
      <c r="CV184" s="476"/>
      <c r="CW184" s="345"/>
      <c r="CX184" s="345"/>
      <c r="CY184" s="345"/>
      <c r="CZ184" s="345"/>
      <c r="DA184" s="345"/>
      <c r="DB184" s="345"/>
      <c r="DC184" s="345"/>
      <c r="DD184" s="345"/>
      <c r="DE184" s="345"/>
      <c r="DF184" s="345"/>
      <c r="DG184" s="345"/>
      <c r="DH184" s="345"/>
      <c r="DI184" s="345"/>
      <c r="DJ184" s="345"/>
      <c r="DK184" s="345"/>
      <c r="DL184" s="345"/>
      <c r="DM184" s="345"/>
      <c r="DN184" s="345"/>
      <c r="DO184" s="345"/>
      <c r="DP184" s="345"/>
      <c r="DQ184" s="345"/>
      <c r="DR184" s="345"/>
      <c r="DS184" s="345"/>
      <c r="DT184" s="345"/>
      <c r="DU184" s="345"/>
      <c r="DV184" s="345"/>
      <c r="DW184" s="345"/>
      <c r="DX184" s="345"/>
      <c r="DY184" s="345"/>
      <c r="DZ184" s="345"/>
      <c r="EA184" s="345"/>
      <c r="EB184" s="345"/>
      <c r="EC184" s="345"/>
      <c r="ED184" s="345"/>
      <c r="EE184" s="345"/>
      <c r="EF184" s="345"/>
      <c r="EG184" s="345"/>
      <c r="EH184" s="345"/>
      <c r="EI184" s="345"/>
      <c r="EJ184" s="345"/>
      <c r="EK184" s="345"/>
      <c r="EL184" s="345"/>
      <c r="EM184" s="345"/>
      <c r="EN184" s="345"/>
      <c r="EO184" s="345"/>
      <c r="EP184" s="345"/>
      <c r="EQ184" s="345"/>
      <c r="ER184" s="345"/>
      <c r="ES184" s="345"/>
      <c r="ET184" s="345"/>
      <c r="EU184" s="345"/>
      <c r="EV184" s="345"/>
      <c r="EW184" s="345"/>
      <c r="EX184" s="345"/>
      <c r="EY184" s="345"/>
      <c r="EZ184" s="345"/>
      <c r="FA184" s="345"/>
      <c r="FB184" s="345"/>
      <c r="FC184" s="345"/>
      <c r="FD184" s="345"/>
      <c r="FE184" s="345"/>
      <c r="FF184" s="345"/>
      <c r="FG184" s="345"/>
      <c r="FH184" s="345"/>
      <c r="FI184" s="345"/>
      <c r="FJ184" s="345"/>
      <c r="FK184" s="345"/>
      <c r="FL184" s="345"/>
      <c r="FM184" s="345"/>
      <c r="FN184" s="345"/>
      <c r="FO184" s="345"/>
      <c r="FP184" s="345"/>
      <c r="FQ184" s="345"/>
      <c r="FR184" s="345"/>
      <c r="FS184" s="345"/>
      <c r="FT184" s="345"/>
      <c r="FU184" s="345"/>
      <c r="FV184" s="345"/>
      <c r="FW184" s="345"/>
      <c r="FX184" s="345"/>
      <c r="FY184" s="345"/>
      <c r="FZ184" s="345"/>
      <c r="GA184" s="345"/>
      <c r="GB184" s="345"/>
      <c r="GC184" s="345"/>
      <c r="GD184" s="345"/>
      <c r="GE184" s="345"/>
      <c r="GF184" s="345"/>
      <c r="GG184" s="345"/>
      <c r="GH184" s="345"/>
      <c r="GI184" s="345"/>
      <c r="GJ184" s="345"/>
      <c r="GK184" s="345"/>
      <c r="GL184" s="345"/>
      <c r="GM184" s="345"/>
      <c r="GN184" s="345"/>
      <c r="GO184" s="345"/>
      <c r="GP184" s="345"/>
      <c r="GQ184" s="345"/>
      <c r="GR184" s="345"/>
      <c r="GS184" s="345"/>
      <c r="GT184" s="345"/>
      <c r="GU184" s="345"/>
    </row>
    <row r="185" spans="1:203">
      <c r="W185" s="476"/>
      <c r="X185" s="476"/>
      <c r="Y185" s="476"/>
      <c r="Z185" s="476"/>
      <c r="AA185" s="476"/>
      <c r="AB185" s="476"/>
      <c r="AC185" s="476"/>
      <c r="AD185" s="476"/>
      <c r="AE185" s="476"/>
      <c r="AF185" s="476"/>
      <c r="AG185" s="476"/>
      <c r="AH185" s="476"/>
      <c r="AI185" s="476"/>
      <c r="AJ185" s="476"/>
      <c r="AK185" s="476"/>
      <c r="AL185" s="476"/>
      <c r="AM185" s="476"/>
      <c r="AN185" s="476"/>
      <c r="AO185" s="476"/>
      <c r="AP185" s="476"/>
      <c r="AQ185" s="476"/>
      <c r="AR185" s="476"/>
      <c r="AS185" s="476"/>
      <c r="AT185" s="476"/>
      <c r="AU185" s="476"/>
      <c r="AV185" s="476"/>
      <c r="AW185" s="476"/>
      <c r="AX185" s="476"/>
      <c r="AY185" s="476"/>
      <c r="AZ185" s="476"/>
      <c r="BA185" s="476"/>
      <c r="BB185" s="476"/>
      <c r="BC185" s="476"/>
      <c r="BD185" s="476"/>
      <c r="BE185" s="476"/>
      <c r="BF185" s="476"/>
      <c r="BG185" s="476"/>
      <c r="BH185" s="476"/>
      <c r="BI185" s="476"/>
      <c r="BJ185" s="476"/>
      <c r="BK185" s="476"/>
      <c r="BL185" s="476"/>
      <c r="BM185" s="476"/>
      <c r="BN185" s="476"/>
      <c r="BO185" s="476"/>
      <c r="BP185" s="476"/>
      <c r="BQ185" s="476"/>
      <c r="BR185" s="476"/>
      <c r="BS185" s="476"/>
      <c r="BT185" s="476"/>
      <c r="BU185" s="476"/>
      <c r="BV185" s="476"/>
      <c r="BW185" s="476"/>
      <c r="BX185" s="476"/>
      <c r="BY185" s="476"/>
      <c r="BZ185" s="476"/>
      <c r="CA185" s="476"/>
      <c r="CB185" s="476"/>
      <c r="CC185" s="476"/>
      <c r="CD185" s="476"/>
      <c r="CE185" s="476"/>
      <c r="CF185" s="476"/>
      <c r="CG185" s="476"/>
      <c r="CH185" s="476"/>
      <c r="CI185" s="476"/>
      <c r="CJ185" s="476"/>
      <c r="CK185" s="476"/>
      <c r="CL185" s="476"/>
      <c r="CM185" s="476"/>
      <c r="CN185" s="476"/>
      <c r="CO185" s="476"/>
      <c r="CP185" s="476"/>
      <c r="CQ185" s="476"/>
      <c r="CR185" s="476"/>
      <c r="CS185" s="476"/>
      <c r="CT185" s="476"/>
      <c r="CU185" s="476"/>
      <c r="CV185" s="476"/>
      <c r="CW185" s="345"/>
      <c r="CX185" s="345"/>
      <c r="CY185" s="345"/>
      <c r="CZ185" s="345"/>
      <c r="DA185" s="345"/>
      <c r="DB185" s="345"/>
      <c r="DC185" s="345"/>
      <c r="DD185" s="345"/>
      <c r="DE185" s="345"/>
      <c r="DF185" s="345"/>
      <c r="DG185" s="345"/>
      <c r="DH185" s="345"/>
      <c r="DI185" s="345"/>
      <c r="DJ185" s="345"/>
      <c r="DK185" s="345"/>
      <c r="DL185" s="345"/>
      <c r="DM185" s="345"/>
      <c r="DN185" s="345"/>
      <c r="DO185" s="345"/>
      <c r="DP185" s="345"/>
      <c r="DQ185" s="345"/>
      <c r="DR185" s="345"/>
      <c r="DS185" s="345"/>
      <c r="DT185" s="345"/>
      <c r="DU185" s="345"/>
      <c r="DV185" s="345"/>
      <c r="DW185" s="345"/>
      <c r="DX185" s="345"/>
      <c r="DY185" s="345"/>
      <c r="DZ185" s="345"/>
      <c r="EA185" s="345"/>
      <c r="EB185" s="345"/>
      <c r="EC185" s="345"/>
      <c r="ED185" s="345"/>
      <c r="EE185" s="345"/>
      <c r="EF185" s="345"/>
      <c r="EG185" s="345"/>
      <c r="EH185" s="345"/>
      <c r="EI185" s="345"/>
      <c r="EJ185" s="345"/>
      <c r="EK185" s="345"/>
      <c r="EL185" s="345"/>
      <c r="EM185" s="345"/>
      <c r="EN185" s="345"/>
      <c r="EO185" s="345"/>
      <c r="EP185" s="345"/>
      <c r="EQ185" s="345"/>
      <c r="ER185" s="345"/>
      <c r="ES185" s="345"/>
      <c r="ET185" s="345"/>
      <c r="EU185" s="345"/>
      <c r="EV185" s="345"/>
      <c r="EW185" s="345"/>
      <c r="EX185" s="345"/>
      <c r="EY185" s="345"/>
      <c r="EZ185" s="345"/>
      <c r="FA185" s="345"/>
      <c r="FB185" s="345"/>
      <c r="FC185" s="345"/>
      <c r="FD185" s="345"/>
      <c r="FE185" s="345"/>
      <c r="FF185" s="345"/>
      <c r="FG185" s="345"/>
      <c r="FH185" s="345"/>
      <c r="FI185" s="345"/>
      <c r="FJ185" s="345"/>
      <c r="FK185" s="345"/>
      <c r="FL185" s="345"/>
      <c r="FM185" s="345"/>
      <c r="FN185" s="345"/>
      <c r="FO185" s="345"/>
      <c r="FP185" s="345"/>
      <c r="FQ185" s="345"/>
      <c r="FR185" s="345"/>
      <c r="FS185" s="345"/>
      <c r="FT185" s="345"/>
      <c r="FU185" s="345"/>
      <c r="FV185" s="345"/>
      <c r="FW185" s="345"/>
      <c r="FX185" s="345"/>
      <c r="FY185" s="345"/>
      <c r="FZ185" s="345"/>
      <c r="GA185" s="345"/>
      <c r="GB185" s="345"/>
      <c r="GC185" s="345"/>
      <c r="GD185" s="345"/>
      <c r="GE185" s="345"/>
      <c r="GF185" s="345"/>
      <c r="GG185" s="345"/>
      <c r="GH185" s="345"/>
      <c r="GI185" s="345"/>
      <c r="GJ185" s="345"/>
      <c r="GK185" s="345"/>
      <c r="GL185" s="345"/>
      <c r="GM185" s="345"/>
      <c r="GN185" s="345"/>
      <c r="GO185" s="345"/>
      <c r="GP185" s="345"/>
      <c r="GQ185" s="345"/>
      <c r="GR185" s="345"/>
      <c r="GS185" s="345"/>
      <c r="GT185" s="345"/>
      <c r="GU185" s="345"/>
    </row>
    <row r="186" spans="1:203">
      <c r="W186" s="476"/>
      <c r="X186" s="476"/>
      <c r="Y186" s="476"/>
      <c r="Z186" s="476"/>
      <c r="AA186" s="476"/>
      <c r="AB186" s="476"/>
      <c r="AC186" s="476"/>
      <c r="AD186" s="476"/>
      <c r="AE186" s="476"/>
      <c r="AF186" s="476"/>
      <c r="AG186" s="476"/>
      <c r="AH186" s="476"/>
      <c r="AI186" s="476"/>
      <c r="AJ186" s="476"/>
      <c r="AK186" s="476"/>
      <c r="AL186" s="476"/>
      <c r="AM186" s="476"/>
      <c r="AN186" s="476"/>
      <c r="AO186" s="476"/>
      <c r="AP186" s="476"/>
      <c r="AQ186" s="476"/>
      <c r="AR186" s="476"/>
      <c r="AS186" s="476"/>
      <c r="AT186" s="476"/>
      <c r="AU186" s="476"/>
      <c r="AV186" s="476"/>
      <c r="AW186" s="476"/>
      <c r="AX186" s="476"/>
      <c r="AY186" s="476"/>
      <c r="AZ186" s="476"/>
      <c r="BA186" s="476"/>
      <c r="BB186" s="476"/>
      <c r="BC186" s="476"/>
      <c r="BD186" s="476"/>
      <c r="BE186" s="476"/>
      <c r="BF186" s="476"/>
      <c r="BG186" s="476"/>
      <c r="BH186" s="476"/>
      <c r="BI186" s="476"/>
      <c r="BJ186" s="476"/>
      <c r="BK186" s="476"/>
      <c r="BL186" s="476"/>
      <c r="BM186" s="476"/>
      <c r="BN186" s="476"/>
      <c r="BO186" s="476"/>
      <c r="BP186" s="476"/>
      <c r="BQ186" s="476"/>
      <c r="BR186" s="476"/>
      <c r="BS186" s="476"/>
      <c r="BT186" s="476"/>
      <c r="BU186" s="476"/>
      <c r="BV186" s="476"/>
      <c r="BW186" s="476"/>
      <c r="BX186" s="476"/>
      <c r="BY186" s="476"/>
      <c r="BZ186" s="476"/>
      <c r="CA186" s="476"/>
      <c r="CB186" s="476"/>
      <c r="CC186" s="476"/>
      <c r="CD186" s="476"/>
      <c r="CE186" s="476"/>
      <c r="CF186" s="476"/>
      <c r="CG186" s="476"/>
      <c r="CH186" s="476"/>
      <c r="CI186" s="476"/>
      <c r="CJ186" s="476"/>
      <c r="CK186" s="476"/>
      <c r="CL186" s="476"/>
      <c r="CM186" s="476"/>
      <c r="CN186" s="476"/>
      <c r="CO186" s="476"/>
      <c r="CP186" s="476"/>
      <c r="CQ186" s="476"/>
      <c r="CR186" s="476"/>
      <c r="CS186" s="476"/>
      <c r="CT186" s="476"/>
      <c r="CU186" s="476"/>
      <c r="CV186" s="476"/>
      <c r="CW186" s="345"/>
      <c r="CX186" s="345"/>
      <c r="CY186" s="345"/>
      <c r="CZ186" s="345"/>
      <c r="DA186" s="345"/>
      <c r="DB186" s="345"/>
      <c r="DC186" s="345"/>
      <c r="DD186" s="345"/>
      <c r="DE186" s="345"/>
      <c r="DF186" s="345"/>
      <c r="DG186" s="345"/>
      <c r="DH186" s="345"/>
      <c r="DI186" s="345"/>
      <c r="DJ186" s="345"/>
      <c r="DK186" s="345"/>
      <c r="DL186" s="345"/>
      <c r="DM186" s="345"/>
      <c r="DN186" s="345"/>
      <c r="DO186" s="345"/>
      <c r="DP186" s="345"/>
      <c r="DQ186" s="345"/>
      <c r="DR186" s="345"/>
      <c r="DS186" s="345"/>
      <c r="DT186" s="345"/>
      <c r="DU186" s="345"/>
      <c r="DV186" s="345"/>
      <c r="DW186" s="345"/>
      <c r="DX186" s="345"/>
      <c r="DY186" s="345"/>
      <c r="DZ186" s="345"/>
      <c r="EA186" s="345"/>
      <c r="EB186" s="345"/>
      <c r="EC186" s="345"/>
      <c r="ED186" s="345"/>
      <c r="EE186" s="345"/>
      <c r="EF186" s="345"/>
      <c r="EG186" s="345"/>
      <c r="EH186" s="345"/>
      <c r="EI186" s="345"/>
      <c r="EJ186" s="345"/>
      <c r="EK186" s="345"/>
      <c r="EL186" s="345"/>
      <c r="EM186" s="345"/>
      <c r="EN186" s="345"/>
      <c r="EO186" s="345"/>
      <c r="EP186" s="345"/>
      <c r="EQ186" s="345"/>
      <c r="ER186" s="345"/>
      <c r="ES186" s="345"/>
      <c r="ET186" s="345"/>
      <c r="EU186" s="345"/>
      <c r="EV186" s="345"/>
      <c r="EW186" s="345"/>
      <c r="EX186" s="345"/>
      <c r="EY186" s="345"/>
      <c r="EZ186" s="345"/>
      <c r="FA186" s="345"/>
      <c r="FB186" s="345"/>
      <c r="FC186" s="345"/>
      <c r="FD186" s="345"/>
      <c r="FE186" s="345"/>
      <c r="FF186" s="345"/>
      <c r="FG186" s="345"/>
      <c r="FH186" s="345"/>
      <c r="FI186" s="345"/>
      <c r="FJ186" s="345"/>
      <c r="FK186" s="345"/>
      <c r="FL186" s="345"/>
      <c r="FM186" s="345"/>
      <c r="FN186" s="345"/>
      <c r="FO186" s="345"/>
      <c r="FP186" s="345"/>
      <c r="FQ186" s="345"/>
      <c r="FR186" s="345"/>
      <c r="FS186" s="345"/>
      <c r="FT186" s="345"/>
      <c r="FU186" s="345"/>
      <c r="FV186" s="345"/>
      <c r="FW186" s="345"/>
      <c r="FX186" s="345"/>
      <c r="FY186" s="345"/>
      <c r="FZ186" s="345"/>
      <c r="GA186" s="345"/>
      <c r="GB186" s="345"/>
      <c r="GC186" s="345"/>
      <c r="GD186" s="345"/>
      <c r="GE186" s="345"/>
      <c r="GF186" s="345"/>
      <c r="GG186" s="345"/>
      <c r="GH186" s="345"/>
      <c r="GI186" s="345"/>
      <c r="GJ186" s="345"/>
      <c r="GK186" s="345"/>
      <c r="GL186" s="345"/>
      <c r="GM186" s="345"/>
      <c r="GN186" s="345"/>
      <c r="GO186" s="345"/>
      <c r="GP186" s="345"/>
      <c r="GQ186" s="345"/>
      <c r="GR186" s="345"/>
      <c r="GS186" s="345"/>
      <c r="GT186" s="345"/>
      <c r="GU186" s="345"/>
    </row>
    <row r="187" spans="1:203">
      <c r="W187" s="476"/>
      <c r="X187" s="476"/>
      <c r="Y187" s="476"/>
      <c r="Z187" s="476"/>
      <c r="AA187" s="476"/>
      <c r="AB187" s="476"/>
      <c r="AC187" s="476"/>
      <c r="AD187" s="476"/>
      <c r="AE187" s="476"/>
      <c r="AF187" s="476"/>
      <c r="AG187" s="476"/>
      <c r="AH187" s="476"/>
      <c r="AI187" s="476"/>
      <c r="AJ187" s="476"/>
      <c r="AK187" s="476"/>
      <c r="AL187" s="476"/>
      <c r="AM187" s="476"/>
      <c r="AN187" s="476"/>
      <c r="AO187" s="476"/>
      <c r="AP187" s="476"/>
      <c r="AQ187" s="476"/>
      <c r="AR187" s="476"/>
      <c r="AS187" s="476"/>
      <c r="AT187" s="476"/>
      <c r="AU187" s="476"/>
      <c r="AV187" s="476"/>
      <c r="AW187" s="476"/>
      <c r="AX187" s="476"/>
      <c r="AY187" s="476"/>
      <c r="AZ187" s="476"/>
      <c r="BA187" s="476"/>
      <c r="BB187" s="476"/>
      <c r="BC187" s="476"/>
      <c r="BD187" s="476"/>
      <c r="BE187" s="476"/>
      <c r="BF187" s="476"/>
      <c r="BG187" s="476"/>
      <c r="BH187" s="476"/>
      <c r="BI187" s="476"/>
      <c r="BJ187" s="476"/>
      <c r="BK187" s="476"/>
      <c r="BL187" s="476"/>
      <c r="BM187" s="476"/>
      <c r="BN187" s="476"/>
      <c r="BO187" s="476"/>
      <c r="BP187" s="476"/>
      <c r="BQ187" s="476"/>
      <c r="BR187" s="476"/>
      <c r="BS187" s="476"/>
      <c r="BT187" s="476"/>
      <c r="BU187" s="476"/>
      <c r="BV187" s="476"/>
      <c r="BW187" s="476"/>
      <c r="BX187" s="476"/>
      <c r="BY187" s="476"/>
      <c r="BZ187" s="476"/>
      <c r="CA187" s="476"/>
      <c r="CB187" s="476"/>
      <c r="CC187" s="476"/>
      <c r="CD187" s="476"/>
      <c r="CE187" s="476"/>
      <c r="CF187" s="476"/>
      <c r="CG187" s="476"/>
      <c r="CH187" s="476"/>
      <c r="CI187" s="476"/>
      <c r="CJ187" s="476"/>
      <c r="CK187" s="476"/>
      <c r="CL187" s="476"/>
      <c r="CM187" s="476"/>
      <c r="CN187" s="476"/>
      <c r="CO187" s="476"/>
      <c r="CP187" s="476"/>
      <c r="CQ187" s="476"/>
      <c r="CR187" s="476"/>
      <c r="CS187" s="476"/>
      <c r="CT187" s="476"/>
      <c r="CU187" s="476"/>
      <c r="CV187" s="476"/>
      <c r="CW187" s="345"/>
      <c r="CX187" s="345"/>
      <c r="CY187" s="345"/>
      <c r="CZ187" s="345"/>
      <c r="DA187" s="345"/>
      <c r="DB187" s="345"/>
      <c r="DC187" s="345"/>
      <c r="DD187" s="345"/>
      <c r="DE187" s="345"/>
      <c r="DF187" s="345"/>
      <c r="DG187" s="345"/>
      <c r="DH187" s="345"/>
      <c r="DI187" s="345"/>
      <c r="DJ187" s="345"/>
      <c r="DK187" s="345"/>
      <c r="DL187" s="345"/>
      <c r="DM187" s="345"/>
      <c r="DN187" s="345"/>
      <c r="DO187" s="345"/>
      <c r="DP187" s="345"/>
      <c r="DQ187" s="345"/>
      <c r="DR187" s="345"/>
      <c r="DS187" s="345"/>
      <c r="DT187" s="345"/>
      <c r="DU187" s="345"/>
      <c r="DV187" s="345"/>
      <c r="DW187" s="345"/>
      <c r="DX187" s="345"/>
      <c r="DY187" s="345"/>
      <c r="DZ187" s="345"/>
      <c r="EA187" s="345"/>
      <c r="EB187" s="345"/>
      <c r="EC187" s="345"/>
      <c r="ED187" s="345"/>
      <c r="EE187" s="345"/>
      <c r="EF187" s="345"/>
      <c r="EG187" s="345"/>
      <c r="EH187" s="345"/>
      <c r="EI187" s="345"/>
      <c r="EJ187" s="345"/>
      <c r="EK187" s="345"/>
      <c r="EL187" s="345"/>
      <c r="EM187" s="345"/>
      <c r="EN187" s="345"/>
      <c r="EO187" s="345"/>
      <c r="EP187" s="345"/>
      <c r="EQ187" s="345"/>
      <c r="ER187" s="345"/>
      <c r="ES187" s="345"/>
      <c r="ET187" s="345"/>
      <c r="EU187" s="345"/>
      <c r="EV187" s="345"/>
      <c r="EW187" s="345"/>
      <c r="EX187" s="345"/>
      <c r="EY187" s="345"/>
      <c r="EZ187" s="345"/>
      <c r="FA187" s="345"/>
      <c r="FB187" s="345"/>
      <c r="FC187" s="345"/>
      <c r="FD187" s="345"/>
      <c r="FE187" s="345"/>
      <c r="FF187" s="345"/>
      <c r="FG187" s="345"/>
      <c r="FH187" s="345"/>
      <c r="FI187" s="345"/>
      <c r="FJ187" s="345"/>
      <c r="FK187" s="345"/>
      <c r="FL187" s="345"/>
      <c r="FM187" s="345"/>
      <c r="FN187" s="345"/>
      <c r="FO187" s="345"/>
      <c r="FP187" s="345"/>
      <c r="FQ187" s="345"/>
      <c r="FR187" s="345"/>
      <c r="FS187" s="345"/>
      <c r="FT187" s="345"/>
      <c r="FU187" s="345"/>
      <c r="FV187" s="345"/>
      <c r="FW187" s="345"/>
      <c r="FX187" s="345"/>
      <c r="FY187" s="345"/>
      <c r="FZ187" s="345"/>
      <c r="GA187" s="345"/>
      <c r="GB187" s="345"/>
      <c r="GC187" s="345"/>
      <c r="GD187" s="345"/>
      <c r="GE187" s="345"/>
      <c r="GF187" s="345"/>
      <c r="GG187" s="345"/>
      <c r="GH187" s="345"/>
      <c r="GI187" s="345"/>
      <c r="GJ187" s="345"/>
      <c r="GK187" s="345"/>
      <c r="GL187" s="345"/>
      <c r="GM187" s="345"/>
      <c r="GN187" s="345"/>
      <c r="GO187" s="345"/>
      <c r="GP187" s="345"/>
      <c r="GQ187" s="345"/>
      <c r="GR187" s="345"/>
      <c r="GS187" s="345"/>
      <c r="GT187" s="345"/>
      <c r="GU187" s="345"/>
    </row>
    <row r="188" spans="1:203">
      <c r="W188" s="476"/>
      <c r="X188" s="476"/>
      <c r="Y188" s="476"/>
      <c r="Z188" s="476"/>
      <c r="AA188" s="476"/>
      <c r="AB188" s="476"/>
      <c r="AC188" s="476"/>
      <c r="AD188" s="476"/>
      <c r="AE188" s="476"/>
      <c r="AF188" s="476"/>
      <c r="AG188" s="476"/>
      <c r="AH188" s="476"/>
      <c r="AI188" s="476"/>
      <c r="AJ188" s="476"/>
      <c r="AK188" s="476"/>
      <c r="AL188" s="476"/>
      <c r="AM188" s="476"/>
      <c r="AN188" s="476"/>
      <c r="AO188" s="476"/>
      <c r="AP188" s="476"/>
      <c r="AQ188" s="476"/>
      <c r="AR188" s="476"/>
      <c r="AS188" s="476"/>
      <c r="AT188" s="476"/>
      <c r="AU188" s="476"/>
      <c r="AV188" s="476"/>
      <c r="AW188" s="476"/>
      <c r="AX188" s="476"/>
      <c r="AY188" s="476"/>
      <c r="AZ188" s="476"/>
      <c r="BA188" s="476"/>
      <c r="BB188" s="476"/>
      <c r="BC188" s="476"/>
      <c r="BD188" s="476"/>
      <c r="BE188" s="476"/>
      <c r="BF188" s="476"/>
      <c r="BG188" s="476"/>
      <c r="BH188" s="476"/>
      <c r="BI188" s="476"/>
      <c r="BJ188" s="476"/>
      <c r="BK188" s="476"/>
      <c r="BL188" s="476"/>
      <c r="BM188" s="476"/>
      <c r="BN188" s="476"/>
      <c r="BO188" s="476"/>
      <c r="BP188" s="476"/>
      <c r="BQ188" s="476"/>
      <c r="BR188" s="476"/>
      <c r="BS188" s="476"/>
      <c r="BT188" s="476"/>
      <c r="BU188" s="476"/>
      <c r="BV188" s="476"/>
      <c r="BW188" s="476"/>
      <c r="BX188" s="476"/>
      <c r="BY188" s="476"/>
      <c r="BZ188" s="476"/>
      <c r="CA188" s="476"/>
      <c r="CB188" s="476"/>
      <c r="CC188" s="476"/>
      <c r="CD188" s="476"/>
      <c r="CE188" s="476"/>
      <c r="CF188" s="476"/>
      <c r="CG188" s="476"/>
      <c r="CH188" s="476"/>
      <c r="CI188" s="476"/>
      <c r="CJ188" s="476"/>
      <c r="CK188" s="476"/>
      <c r="CL188" s="476"/>
      <c r="CM188" s="476"/>
      <c r="CN188" s="476"/>
      <c r="CO188" s="476"/>
      <c r="CP188" s="476"/>
      <c r="CQ188" s="476"/>
      <c r="CR188" s="476"/>
      <c r="CS188" s="476"/>
      <c r="CT188" s="476"/>
      <c r="CU188" s="476"/>
      <c r="CV188" s="476"/>
      <c r="CW188" s="345"/>
      <c r="CX188" s="345"/>
      <c r="CY188" s="345"/>
      <c r="CZ188" s="345"/>
      <c r="DA188" s="345"/>
      <c r="DB188" s="345"/>
      <c r="DC188" s="345"/>
      <c r="DD188" s="345"/>
      <c r="DE188" s="345"/>
      <c r="DF188" s="345"/>
      <c r="DG188" s="345"/>
      <c r="DH188" s="345"/>
      <c r="DI188" s="345"/>
      <c r="DJ188" s="345"/>
      <c r="DK188" s="345"/>
      <c r="DL188" s="345"/>
      <c r="DM188" s="345"/>
      <c r="DN188" s="345"/>
      <c r="DO188" s="345"/>
      <c r="DP188" s="345"/>
      <c r="DQ188" s="345"/>
      <c r="DR188" s="345"/>
      <c r="DS188" s="345"/>
      <c r="DT188" s="345"/>
      <c r="DU188" s="345"/>
      <c r="DV188" s="345"/>
      <c r="DW188" s="345"/>
      <c r="DX188" s="345"/>
      <c r="DY188" s="345"/>
      <c r="DZ188" s="345"/>
      <c r="EA188" s="345"/>
      <c r="EB188" s="345"/>
      <c r="EC188" s="345"/>
      <c r="ED188" s="345"/>
      <c r="EE188" s="345"/>
      <c r="EF188" s="345"/>
      <c r="EG188" s="345"/>
      <c r="EH188" s="345"/>
      <c r="EI188" s="345"/>
      <c r="EJ188" s="345"/>
      <c r="EK188" s="345"/>
      <c r="EL188" s="345"/>
      <c r="EM188" s="345"/>
      <c r="EN188" s="345"/>
      <c r="EO188" s="345"/>
      <c r="EP188" s="345"/>
      <c r="EQ188" s="345"/>
      <c r="ER188" s="345"/>
      <c r="ES188" s="345"/>
      <c r="ET188" s="345"/>
      <c r="EU188" s="345"/>
      <c r="EV188" s="345"/>
      <c r="EW188" s="345"/>
      <c r="EX188" s="345"/>
      <c r="EY188" s="345"/>
      <c r="EZ188" s="345"/>
      <c r="FA188" s="345"/>
      <c r="FB188" s="345"/>
      <c r="FC188" s="345"/>
      <c r="FD188" s="345"/>
      <c r="FE188" s="345"/>
      <c r="FF188" s="345"/>
      <c r="FG188" s="345"/>
      <c r="FH188" s="345"/>
      <c r="FI188" s="345"/>
      <c r="FJ188" s="345"/>
      <c r="FK188" s="345"/>
      <c r="FL188" s="345"/>
      <c r="FM188" s="345"/>
      <c r="FN188" s="345"/>
      <c r="FO188" s="345"/>
      <c r="FP188" s="345"/>
      <c r="FQ188" s="345"/>
      <c r="FR188" s="345"/>
      <c r="FS188" s="345"/>
      <c r="FT188" s="345"/>
      <c r="FU188" s="345"/>
      <c r="FV188" s="345"/>
      <c r="FW188" s="345"/>
      <c r="FX188" s="345"/>
      <c r="FY188" s="345"/>
      <c r="FZ188" s="345"/>
      <c r="GA188" s="345"/>
      <c r="GB188" s="345"/>
      <c r="GC188" s="345"/>
      <c r="GD188" s="345"/>
      <c r="GE188" s="345"/>
      <c r="GF188" s="345"/>
      <c r="GG188" s="345"/>
      <c r="GH188" s="345"/>
      <c r="GI188" s="345"/>
      <c r="GJ188" s="345"/>
      <c r="GK188" s="345"/>
      <c r="GL188" s="345"/>
      <c r="GM188" s="345"/>
      <c r="GN188" s="345"/>
      <c r="GO188" s="345"/>
      <c r="GP188" s="345"/>
      <c r="GQ188" s="345"/>
      <c r="GR188" s="345"/>
      <c r="GS188" s="345"/>
      <c r="GT188" s="345"/>
      <c r="GU188" s="345"/>
    </row>
    <row r="189" spans="1:203">
      <c r="W189" s="476"/>
      <c r="X189" s="476"/>
      <c r="Y189" s="476"/>
      <c r="Z189" s="476"/>
      <c r="AA189" s="476"/>
      <c r="AB189" s="476"/>
      <c r="AC189" s="476"/>
      <c r="AD189" s="476"/>
      <c r="AE189" s="476"/>
      <c r="AF189" s="476"/>
      <c r="AG189" s="476"/>
      <c r="AH189" s="476"/>
      <c r="AI189" s="476"/>
      <c r="AJ189" s="476"/>
      <c r="AK189" s="476"/>
      <c r="AL189" s="476"/>
      <c r="AM189" s="476"/>
      <c r="AN189" s="476"/>
      <c r="AO189" s="476"/>
      <c r="AP189" s="476"/>
      <c r="AQ189" s="476"/>
      <c r="AR189" s="476"/>
      <c r="AS189" s="476"/>
      <c r="AT189" s="476"/>
      <c r="AU189" s="476"/>
      <c r="AV189" s="476"/>
      <c r="AW189" s="476"/>
      <c r="AX189" s="476"/>
      <c r="AY189" s="476"/>
      <c r="AZ189" s="476"/>
      <c r="BA189" s="476"/>
      <c r="BB189" s="476"/>
      <c r="BC189" s="476"/>
      <c r="BD189" s="476"/>
      <c r="BE189" s="476"/>
      <c r="BF189" s="476"/>
      <c r="BG189" s="476"/>
      <c r="BH189" s="476"/>
      <c r="BI189" s="476"/>
      <c r="BJ189" s="476"/>
      <c r="BK189" s="476"/>
      <c r="BL189" s="476"/>
      <c r="BM189" s="476"/>
      <c r="BN189" s="476"/>
      <c r="BO189" s="476"/>
      <c r="BP189" s="476"/>
      <c r="BQ189" s="476"/>
      <c r="BR189" s="476"/>
      <c r="BS189" s="476"/>
      <c r="BT189" s="476"/>
      <c r="BU189" s="476"/>
      <c r="BV189" s="476"/>
      <c r="BW189" s="476"/>
      <c r="BX189" s="476"/>
      <c r="BY189" s="476"/>
      <c r="BZ189" s="476"/>
      <c r="CA189" s="476"/>
      <c r="CB189" s="476"/>
      <c r="CC189" s="476"/>
      <c r="CD189" s="476"/>
      <c r="CE189" s="476"/>
      <c r="CF189" s="476"/>
      <c r="CG189" s="476"/>
      <c r="CH189" s="476"/>
      <c r="CI189" s="476"/>
      <c r="CJ189" s="476"/>
      <c r="CK189" s="476"/>
      <c r="CL189" s="476"/>
      <c r="CM189" s="476"/>
      <c r="CN189" s="476"/>
      <c r="CO189" s="476"/>
      <c r="CP189" s="476"/>
      <c r="CQ189" s="476"/>
      <c r="CR189" s="476"/>
      <c r="CS189" s="476"/>
      <c r="CT189" s="476"/>
      <c r="CU189" s="476"/>
      <c r="CV189" s="476"/>
      <c r="CW189" s="345"/>
      <c r="CX189" s="345"/>
      <c r="CY189" s="345"/>
      <c r="CZ189" s="345"/>
      <c r="DA189" s="345"/>
      <c r="DB189" s="345"/>
      <c r="DC189" s="345"/>
      <c r="DD189" s="345"/>
      <c r="DE189" s="345"/>
      <c r="DF189" s="345"/>
      <c r="DG189" s="345"/>
      <c r="DH189" s="345"/>
      <c r="DI189" s="345"/>
      <c r="DJ189" s="345"/>
      <c r="DK189" s="345"/>
      <c r="DL189" s="345"/>
      <c r="DM189" s="345"/>
      <c r="DN189" s="345"/>
      <c r="DO189" s="345"/>
      <c r="DP189" s="345"/>
      <c r="DQ189" s="345"/>
      <c r="DR189" s="345"/>
      <c r="DS189" s="345"/>
      <c r="DT189" s="345"/>
      <c r="DU189" s="345"/>
      <c r="DV189" s="345"/>
      <c r="DW189" s="345"/>
      <c r="DX189" s="345"/>
      <c r="DY189" s="345"/>
      <c r="DZ189" s="345"/>
      <c r="EA189" s="345"/>
      <c r="EB189" s="345"/>
      <c r="EC189" s="345"/>
      <c r="ED189" s="345"/>
      <c r="EE189" s="345"/>
      <c r="EF189" s="345"/>
      <c r="EG189" s="345"/>
      <c r="EH189" s="345"/>
      <c r="EI189" s="345"/>
      <c r="EJ189" s="345"/>
      <c r="EK189" s="345"/>
      <c r="EL189" s="345"/>
      <c r="EM189" s="345"/>
      <c r="EN189" s="345"/>
      <c r="EO189" s="345"/>
      <c r="EP189" s="345"/>
      <c r="EQ189" s="345"/>
      <c r="ER189" s="345"/>
      <c r="ES189" s="345"/>
      <c r="ET189" s="345"/>
      <c r="EU189" s="345"/>
      <c r="EV189" s="345"/>
      <c r="EW189" s="345"/>
      <c r="EX189" s="345"/>
      <c r="EY189" s="345"/>
      <c r="EZ189" s="345"/>
      <c r="FA189" s="345"/>
      <c r="FB189" s="345"/>
      <c r="FC189" s="345"/>
      <c r="FD189" s="345"/>
      <c r="FE189" s="345"/>
      <c r="FF189" s="345"/>
      <c r="FG189" s="345"/>
      <c r="FH189" s="345"/>
      <c r="FI189" s="345"/>
      <c r="FJ189" s="345"/>
      <c r="FK189" s="345"/>
      <c r="FL189" s="345"/>
      <c r="FM189" s="345"/>
      <c r="FN189" s="345"/>
      <c r="FO189" s="345"/>
      <c r="FP189" s="345"/>
      <c r="FQ189" s="345"/>
      <c r="FR189" s="345"/>
      <c r="FS189" s="345"/>
      <c r="FT189" s="345"/>
      <c r="FU189" s="345"/>
      <c r="FV189" s="345"/>
      <c r="FW189" s="345"/>
      <c r="FX189" s="345"/>
      <c r="FY189" s="345"/>
      <c r="FZ189" s="345"/>
      <c r="GA189" s="345"/>
      <c r="GB189" s="345"/>
      <c r="GC189" s="345"/>
      <c r="GD189" s="345"/>
      <c r="GE189" s="345"/>
      <c r="GF189" s="345"/>
      <c r="GG189" s="345"/>
      <c r="GH189" s="345"/>
      <c r="GI189" s="345"/>
      <c r="GJ189" s="345"/>
      <c r="GK189" s="345"/>
      <c r="GL189" s="345"/>
      <c r="GM189" s="345"/>
      <c r="GN189" s="345"/>
      <c r="GO189" s="345"/>
      <c r="GP189" s="345"/>
      <c r="GQ189" s="345"/>
      <c r="GR189" s="345"/>
      <c r="GS189" s="345"/>
      <c r="GT189" s="345"/>
      <c r="GU189" s="345"/>
    </row>
    <row r="190" spans="1:203">
      <c r="W190" s="476"/>
      <c r="X190" s="476"/>
      <c r="Y190" s="476"/>
      <c r="Z190" s="476"/>
      <c r="AA190" s="476"/>
      <c r="AB190" s="476"/>
      <c r="AC190" s="476"/>
      <c r="AD190" s="476"/>
      <c r="AE190" s="476"/>
      <c r="AF190" s="476"/>
      <c r="AG190" s="476"/>
      <c r="AH190" s="476"/>
      <c r="AI190" s="476"/>
      <c r="AJ190" s="476"/>
      <c r="AK190" s="476"/>
      <c r="AL190" s="476"/>
      <c r="AM190" s="476"/>
      <c r="AN190" s="476"/>
      <c r="AO190" s="476"/>
      <c r="AP190" s="476"/>
      <c r="AQ190" s="476"/>
      <c r="AR190" s="476"/>
      <c r="AS190" s="476"/>
      <c r="AT190" s="476"/>
      <c r="AU190" s="476"/>
      <c r="AV190" s="476"/>
      <c r="AW190" s="476"/>
      <c r="AX190" s="476"/>
      <c r="AY190" s="476"/>
      <c r="AZ190" s="476"/>
      <c r="BA190" s="476"/>
      <c r="BB190" s="476"/>
      <c r="BC190" s="476"/>
      <c r="BD190" s="476"/>
      <c r="BE190" s="476"/>
      <c r="BF190" s="476"/>
      <c r="BG190" s="476"/>
      <c r="BH190" s="476"/>
      <c r="BI190" s="476"/>
      <c r="BJ190" s="476"/>
      <c r="BK190" s="476"/>
      <c r="BL190" s="476"/>
      <c r="BM190" s="476"/>
      <c r="BN190" s="476"/>
      <c r="BO190" s="476"/>
      <c r="BP190" s="476"/>
      <c r="BQ190" s="476"/>
      <c r="BR190" s="476"/>
      <c r="BS190" s="476"/>
      <c r="BT190" s="476"/>
      <c r="BU190" s="476"/>
      <c r="BV190" s="476"/>
      <c r="BW190" s="476"/>
      <c r="BX190" s="476"/>
      <c r="BY190" s="476"/>
      <c r="BZ190" s="476"/>
      <c r="CA190" s="476"/>
      <c r="CB190" s="476"/>
      <c r="CC190" s="476"/>
      <c r="CD190" s="476"/>
      <c r="CE190" s="476"/>
      <c r="CF190" s="476"/>
      <c r="CG190" s="476"/>
      <c r="CH190" s="476"/>
      <c r="CI190" s="476"/>
      <c r="CJ190" s="476"/>
      <c r="CK190" s="476"/>
      <c r="CL190" s="476"/>
      <c r="CM190" s="476"/>
      <c r="CN190" s="476"/>
      <c r="CO190" s="476"/>
      <c r="CP190" s="476"/>
      <c r="CQ190" s="476"/>
      <c r="CR190" s="476"/>
      <c r="CS190" s="476"/>
      <c r="CT190" s="476"/>
      <c r="CU190" s="476"/>
      <c r="CV190" s="476"/>
      <c r="CW190" s="345"/>
      <c r="CX190" s="345"/>
      <c r="CY190" s="345"/>
      <c r="CZ190" s="345"/>
      <c r="DA190" s="345"/>
      <c r="DB190" s="345"/>
      <c r="DC190" s="345"/>
      <c r="DD190" s="345"/>
      <c r="DE190" s="345"/>
      <c r="DF190" s="345"/>
      <c r="DG190" s="345"/>
      <c r="DH190" s="345"/>
      <c r="DI190" s="345"/>
      <c r="DJ190" s="345"/>
      <c r="DK190" s="345"/>
      <c r="DL190" s="345"/>
      <c r="DM190" s="345"/>
      <c r="DN190" s="345"/>
      <c r="DO190" s="345"/>
      <c r="DP190" s="345"/>
      <c r="DQ190" s="345"/>
      <c r="DR190" s="345"/>
      <c r="DS190" s="345"/>
      <c r="DT190" s="345"/>
      <c r="DU190" s="345"/>
      <c r="DV190" s="345"/>
      <c r="DW190" s="345"/>
      <c r="DX190" s="345"/>
      <c r="DY190" s="345"/>
      <c r="DZ190" s="345"/>
      <c r="EA190" s="345"/>
      <c r="EB190" s="345"/>
      <c r="EC190" s="345"/>
      <c r="ED190" s="345"/>
      <c r="EE190" s="345"/>
      <c r="EF190" s="345"/>
      <c r="EG190" s="345"/>
      <c r="EH190" s="345"/>
      <c r="EI190" s="345"/>
      <c r="EJ190" s="345"/>
      <c r="EK190" s="345"/>
      <c r="EL190" s="345"/>
      <c r="EM190" s="345"/>
      <c r="EN190" s="345"/>
      <c r="EO190" s="345"/>
      <c r="EP190" s="345"/>
      <c r="EQ190" s="345"/>
      <c r="ER190" s="345"/>
      <c r="ES190" s="345"/>
      <c r="ET190" s="345"/>
      <c r="EU190" s="345"/>
      <c r="EV190" s="345"/>
      <c r="EW190" s="345"/>
      <c r="EX190" s="345"/>
      <c r="EY190" s="345"/>
      <c r="EZ190" s="345"/>
      <c r="FA190" s="345"/>
      <c r="FB190" s="345"/>
      <c r="FC190" s="345"/>
      <c r="FD190" s="345"/>
      <c r="FE190" s="345"/>
      <c r="FF190" s="345"/>
      <c r="FG190" s="345"/>
      <c r="FH190" s="345"/>
      <c r="FI190" s="345"/>
      <c r="FJ190" s="345"/>
      <c r="FK190" s="345"/>
      <c r="FL190" s="345"/>
      <c r="FM190" s="345"/>
      <c r="FN190" s="345"/>
      <c r="FO190" s="345"/>
      <c r="FP190" s="345"/>
      <c r="FQ190" s="345"/>
      <c r="FR190" s="345"/>
      <c r="FS190" s="345"/>
      <c r="FT190" s="345"/>
      <c r="FU190" s="345"/>
      <c r="FV190" s="345"/>
      <c r="FW190" s="345"/>
      <c r="FX190" s="345"/>
      <c r="FY190" s="345"/>
      <c r="FZ190" s="345"/>
      <c r="GA190" s="345"/>
      <c r="GB190" s="345"/>
      <c r="GC190" s="345"/>
      <c r="GD190" s="345"/>
      <c r="GE190" s="345"/>
      <c r="GF190" s="345"/>
      <c r="GG190" s="345"/>
      <c r="GH190" s="345"/>
      <c r="GI190" s="345"/>
      <c r="GJ190" s="345"/>
      <c r="GK190" s="345"/>
      <c r="GL190" s="345"/>
      <c r="GM190" s="345"/>
      <c r="GN190" s="345"/>
      <c r="GO190" s="345"/>
      <c r="GP190" s="345"/>
      <c r="GQ190" s="345"/>
      <c r="GR190" s="345"/>
      <c r="GS190" s="345"/>
      <c r="GT190" s="345"/>
      <c r="GU190" s="345"/>
    </row>
    <row r="191" spans="1:203">
      <c r="W191" s="476"/>
      <c r="X191" s="476"/>
      <c r="Y191" s="476"/>
      <c r="Z191" s="476"/>
      <c r="AA191" s="476"/>
      <c r="AB191" s="476"/>
      <c r="AC191" s="476"/>
      <c r="AD191" s="476"/>
      <c r="AE191" s="476"/>
      <c r="AF191" s="476"/>
      <c r="AG191" s="476"/>
      <c r="AH191" s="476"/>
      <c r="AI191" s="476"/>
      <c r="AJ191" s="476"/>
      <c r="AK191" s="476"/>
      <c r="AL191" s="476"/>
      <c r="AM191" s="476"/>
      <c r="AN191" s="476"/>
      <c r="AO191" s="476"/>
      <c r="AP191" s="476"/>
      <c r="AQ191" s="476"/>
      <c r="AR191" s="476"/>
      <c r="AS191" s="476"/>
      <c r="AT191" s="476"/>
      <c r="AU191" s="476"/>
      <c r="AV191" s="476"/>
      <c r="AW191" s="476"/>
      <c r="AX191" s="476"/>
      <c r="AY191" s="476"/>
      <c r="AZ191" s="476"/>
      <c r="BA191" s="476"/>
      <c r="BB191" s="476"/>
      <c r="BC191" s="476"/>
      <c r="BD191" s="476"/>
      <c r="BE191" s="476"/>
      <c r="BF191" s="476"/>
      <c r="BG191" s="476"/>
      <c r="BH191" s="476"/>
      <c r="BI191" s="476"/>
      <c r="BJ191" s="476"/>
      <c r="BK191" s="476"/>
      <c r="BL191" s="476"/>
      <c r="BM191" s="476"/>
      <c r="BN191" s="476"/>
      <c r="BO191" s="476"/>
      <c r="BP191" s="476"/>
      <c r="BQ191" s="476"/>
      <c r="BR191" s="476"/>
      <c r="BS191" s="476"/>
      <c r="BT191" s="476"/>
      <c r="BU191" s="476"/>
      <c r="BV191" s="476"/>
      <c r="BW191" s="476"/>
      <c r="BX191" s="476"/>
      <c r="BY191" s="476"/>
      <c r="BZ191" s="476"/>
      <c r="CA191" s="476"/>
      <c r="CB191" s="476"/>
      <c r="CC191" s="476"/>
      <c r="CD191" s="476"/>
      <c r="CE191" s="476"/>
      <c r="CF191" s="476"/>
      <c r="CG191" s="476"/>
      <c r="CH191" s="476"/>
      <c r="CI191" s="476"/>
      <c r="CJ191" s="476"/>
      <c r="CK191" s="476"/>
      <c r="CL191" s="476"/>
      <c r="CM191" s="476"/>
      <c r="CN191" s="476"/>
      <c r="CO191" s="476"/>
      <c r="CP191" s="476"/>
      <c r="CQ191" s="476"/>
      <c r="CR191" s="476"/>
      <c r="CS191" s="476"/>
      <c r="CT191" s="476"/>
      <c r="CU191" s="476"/>
      <c r="CV191" s="476"/>
      <c r="CW191" s="345"/>
      <c r="CX191" s="345"/>
      <c r="CY191" s="345"/>
      <c r="CZ191" s="345"/>
      <c r="DA191" s="345"/>
      <c r="DB191" s="345"/>
      <c r="DC191" s="345"/>
      <c r="DD191" s="345"/>
      <c r="DE191" s="345"/>
      <c r="DF191" s="345"/>
      <c r="DG191" s="345"/>
      <c r="DH191" s="345"/>
      <c r="DI191" s="345"/>
      <c r="DJ191" s="345"/>
      <c r="DK191" s="345"/>
      <c r="DL191" s="345"/>
      <c r="DM191" s="345"/>
      <c r="DN191" s="345"/>
      <c r="DO191" s="345"/>
      <c r="DP191" s="345"/>
      <c r="DQ191" s="345"/>
      <c r="DR191" s="345"/>
      <c r="DS191" s="345"/>
      <c r="DT191" s="345"/>
      <c r="DU191" s="345"/>
      <c r="DV191" s="345"/>
      <c r="DW191" s="345"/>
      <c r="DX191" s="345"/>
      <c r="DY191" s="345"/>
      <c r="DZ191" s="345"/>
      <c r="EA191" s="345"/>
      <c r="EB191" s="345"/>
      <c r="EC191" s="345"/>
      <c r="ED191" s="345"/>
      <c r="EE191" s="345"/>
      <c r="EF191" s="345"/>
      <c r="EG191" s="345"/>
      <c r="EH191" s="345"/>
      <c r="EI191" s="345"/>
      <c r="EJ191" s="345"/>
      <c r="EK191" s="345"/>
      <c r="EL191" s="345"/>
      <c r="EM191" s="345"/>
      <c r="EN191" s="345"/>
      <c r="EO191" s="345"/>
      <c r="EP191" s="345"/>
      <c r="EQ191" s="345"/>
      <c r="ER191" s="345"/>
      <c r="ES191" s="345"/>
      <c r="ET191" s="345"/>
      <c r="EU191" s="345"/>
      <c r="EV191" s="345"/>
      <c r="EW191" s="345"/>
      <c r="EX191" s="345"/>
      <c r="EY191" s="345"/>
      <c r="EZ191" s="345"/>
      <c r="FA191" s="345"/>
      <c r="FB191" s="345"/>
      <c r="FC191" s="345"/>
      <c r="FD191" s="345"/>
      <c r="FE191" s="345"/>
      <c r="FF191" s="345"/>
      <c r="FG191" s="345"/>
      <c r="FH191" s="345"/>
      <c r="FI191" s="345"/>
      <c r="FJ191" s="345"/>
      <c r="FK191" s="345"/>
      <c r="FL191" s="345"/>
      <c r="FM191" s="345"/>
      <c r="FN191" s="345"/>
      <c r="FO191" s="345"/>
      <c r="FP191" s="345"/>
      <c r="FQ191" s="345"/>
      <c r="FR191" s="345"/>
      <c r="FS191" s="345"/>
      <c r="FT191" s="345"/>
      <c r="FU191" s="345"/>
      <c r="FV191" s="345"/>
      <c r="FW191" s="345"/>
      <c r="FX191" s="345"/>
      <c r="FY191" s="345"/>
      <c r="FZ191" s="345"/>
      <c r="GA191" s="345"/>
      <c r="GB191" s="345"/>
      <c r="GC191" s="345"/>
      <c r="GD191" s="345"/>
      <c r="GE191" s="345"/>
      <c r="GF191" s="345"/>
      <c r="GG191" s="345"/>
      <c r="GH191" s="345"/>
      <c r="GI191" s="345"/>
      <c r="GJ191" s="345"/>
      <c r="GK191" s="345"/>
      <c r="GL191" s="345"/>
      <c r="GM191" s="345"/>
      <c r="GN191" s="345"/>
      <c r="GO191" s="345"/>
      <c r="GP191" s="345"/>
      <c r="GQ191" s="345"/>
      <c r="GR191" s="345"/>
      <c r="GS191" s="345"/>
      <c r="GT191" s="345"/>
      <c r="GU191" s="345"/>
    </row>
    <row r="192" spans="1:203">
      <c r="W192" s="476"/>
      <c r="X192" s="476"/>
      <c r="Y192" s="476"/>
      <c r="Z192" s="476"/>
      <c r="AA192" s="476"/>
      <c r="AB192" s="476"/>
      <c r="AC192" s="476"/>
      <c r="AD192" s="476"/>
      <c r="AE192" s="476"/>
      <c r="AF192" s="476"/>
      <c r="AG192" s="476"/>
      <c r="AH192" s="476"/>
      <c r="AI192" s="476"/>
      <c r="AJ192" s="476"/>
      <c r="AK192" s="476"/>
      <c r="AL192" s="476"/>
      <c r="AM192" s="476"/>
      <c r="AN192" s="476"/>
      <c r="AO192" s="476"/>
      <c r="AP192" s="476"/>
      <c r="AQ192" s="476"/>
      <c r="AR192" s="476"/>
      <c r="AS192" s="476"/>
      <c r="AT192" s="476"/>
      <c r="AU192" s="476"/>
      <c r="AV192" s="476"/>
      <c r="AW192" s="476"/>
      <c r="AX192" s="476"/>
      <c r="AY192" s="476"/>
      <c r="AZ192" s="476"/>
      <c r="BA192" s="476"/>
      <c r="BB192" s="476"/>
      <c r="BC192" s="476"/>
      <c r="BD192" s="476"/>
      <c r="BE192" s="476"/>
      <c r="BF192" s="476"/>
      <c r="BG192" s="476"/>
      <c r="BH192" s="476"/>
      <c r="BI192" s="476"/>
      <c r="BJ192" s="476"/>
      <c r="BK192" s="476"/>
      <c r="BL192" s="476"/>
      <c r="BM192" s="476"/>
      <c r="BN192" s="476"/>
      <c r="BO192" s="476"/>
      <c r="BP192" s="476"/>
      <c r="BQ192" s="476"/>
      <c r="BR192" s="476"/>
      <c r="BS192" s="476"/>
      <c r="BT192" s="476"/>
      <c r="BU192" s="476"/>
      <c r="BV192" s="476"/>
      <c r="BW192" s="476"/>
      <c r="BX192" s="476"/>
      <c r="BY192" s="476"/>
      <c r="BZ192" s="476"/>
      <c r="CA192" s="476"/>
      <c r="CB192" s="476"/>
      <c r="CC192" s="476"/>
      <c r="CD192" s="476"/>
      <c r="CE192" s="476"/>
      <c r="CF192" s="476"/>
      <c r="CG192" s="476"/>
      <c r="CH192" s="476"/>
      <c r="CI192" s="476"/>
      <c r="CJ192" s="476"/>
      <c r="CK192" s="476"/>
      <c r="CL192" s="476"/>
      <c r="CM192" s="476"/>
      <c r="CN192" s="476"/>
      <c r="CO192" s="476"/>
      <c r="CP192" s="476"/>
      <c r="CQ192" s="476"/>
      <c r="CR192" s="476"/>
      <c r="CS192" s="476"/>
      <c r="CT192" s="476"/>
      <c r="CU192" s="476"/>
      <c r="CV192" s="476"/>
      <c r="CW192" s="345"/>
      <c r="CX192" s="345"/>
      <c r="CY192" s="345"/>
      <c r="CZ192" s="345"/>
      <c r="DA192" s="345"/>
      <c r="DB192" s="345"/>
      <c r="DC192" s="345"/>
      <c r="DD192" s="345"/>
      <c r="DE192" s="345"/>
      <c r="DF192" s="345"/>
      <c r="DG192" s="345"/>
      <c r="DH192" s="345"/>
      <c r="DI192" s="345"/>
      <c r="DJ192" s="345"/>
      <c r="DK192" s="345"/>
      <c r="DL192" s="345"/>
      <c r="DM192" s="345"/>
      <c r="DN192" s="345"/>
      <c r="DO192" s="345"/>
      <c r="DP192" s="345"/>
      <c r="DQ192" s="345"/>
      <c r="DR192" s="345"/>
      <c r="DS192" s="345"/>
      <c r="DT192" s="345"/>
      <c r="DU192" s="345"/>
      <c r="DV192" s="345"/>
      <c r="DW192" s="345"/>
      <c r="DX192" s="345"/>
      <c r="DY192" s="345"/>
      <c r="DZ192" s="345"/>
      <c r="EA192" s="345"/>
      <c r="EB192" s="345"/>
      <c r="EC192" s="345"/>
      <c r="ED192" s="345"/>
      <c r="EE192" s="345"/>
      <c r="EF192" s="345"/>
      <c r="EG192" s="345"/>
      <c r="EH192" s="345"/>
      <c r="EI192" s="345"/>
      <c r="EJ192" s="345"/>
      <c r="EK192" s="345"/>
      <c r="EL192" s="345"/>
      <c r="EM192" s="345"/>
      <c r="EN192" s="345"/>
      <c r="EO192" s="345"/>
      <c r="EP192" s="345"/>
      <c r="EQ192" s="345"/>
      <c r="ER192" s="345"/>
      <c r="ES192" s="345"/>
      <c r="ET192" s="345"/>
      <c r="EU192" s="345"/>
      <c r="EV192" s="345"/>
      <c r="EW192" s="345"/>
      <c r="EX192" s="345"/>
      <c r="EY192" s="345"/>
      <c r="EZ192" s="345"/>
      <c r="FA192" s="345"/>
      <c r="FB192" s="345"/>
      <c r="FC192" s="345"/>
      <c r="FD192" s="345"/>
      <c r="FE192" s="345"/>
      <c r="FF192" s="345"/>
      <c r="FG192" s="345"/>
      <c r="FH192" s="345"/>
      <c r="FI192" s="345"/>
      <c r="FJ192" s="345"/>
      <c r="FK192" s="345"/>
      <c r="FL192" s="345"/>
      <c r="FM192" s="345"/>
      <c r="FN192" s="345"/>
      <c r="FO192" s="345"/>
      <c r="FP192" s="345"/>
      <c r="FQ192" s="345"/>
      <c r="FR192" s="345"/>
      <c r="FS192" s="345"/>
      <c r="FT192" s="345"/>
      <c r="FU192" s="345"/>
      <c r="FV192" s="345"/>
      <c r="FW192" s="345"/>
      <c r="FX192" s="345"/>
      <c r="FY192" s="345"/>
      <c r="FZ192" s="345"/>
      <c r="GA192" s="345"/>
      <c r="GB192" s="345"/>
      <c r="GC192" s="345"/>
      <c r="GD192" s="345"/>
      <c r="GE192" s="345"/>
      <c r="GF192" s="345"/>
      <c r="GG192" s="345"/>
      <c r="GH192" s="345"/>
      <c r="GI192" s="345"/>
      <c r="GJ192" s="345"/>
      <c r="GK192" s="345"/>
      <c r="GL192" s="345"/>
      <c r="GM192" s="345"/>
      <c r="GN192" s="345"/>
      <c r="GO192" s="345"/>
      <c r="GP192" s="345"/>
      <c r="GQ192" s="345"/>
      <c r="GR192" s="345"/>
      <c r="GS192" s="345"/>
      <c r="GT192" s="345"/>
      <c r="GU192" s="345"/>
    </row>
    <row r="193" spans="23:203">
      <c r="W193" s="476"/>
      <c r="X193" s="476"/>
      <c r="Y193" s="476"/>
      <c r="Z193" s="476"/>
      <c r="AA193" s="476"/>
      <c r="AB193" s="476"/>
      <c r="AC193" s="476"/>
      <c r="AD193" s="476"/>
      <c r="AE193" s="476"/>
      <c r="AF193" s="476"/>
      <c r="AG193" s="476"/>
      <c r="AH193" s="476"/>
      <c r="AI193" s="476"/>
      <c r="AJ193" s="476"/>
      <c r="AK193" s="476"/>
      <c r="AL193" s="476"/>
      <c r="AM193" s="476"/>
      <c r="AN193" s="476"/>
      <c r="AO193" s="476"/>
      <c r="AP193" s="476"/>
      <c r="AQ193" s="476"/>
      <c r="AR193" s="476"/>
      <c r="AS193" s="476"/>
      <c r="AT193" s="476"/>
      <c r="AU193" s="476"/>
      <c r="AV193" s="476"/>
      <c r="AW193" s="476"/>
      <c r="AX193" s="476"/>
      <c r="AY193" s="476"/>
      <c r="AZ193" s="476"/>
      <c r="BA193" s="476"/>
      <c r="BB193" s="476"/>
      <c r="BC193" s="476"/>
      <c r="BD193" s="476"/>
      <c r="BE193" s="476"/>
      <c r="BF193" s="476"/>
      <c r="BG193" s="476"/>
      <c r="BH193" s="476"/>
      <c r="BI193" s="476"/>
      <c r="BJ193" s="476"/>
      <c r="BK193" s="476"/>
      <c r="BL193" s="476"/>
      <c r="BM193" s="476"/>
      <c r="BN193" s="476"/>
      <c r="BO193" s="476"/>
      <c r="BP193" s="476"/>
      <c r="BQ193" s="476"/>
      <c r="BR193" s="476"/>
      <c r="BS193" s="476"/>
      <c r="BT193" s="476"/>
      <c r="BU193" s="476"/>
      <c r="BV193" s="476"/>
      <c r="BW193" s="476"/>
      <c r="BX193" s="476"/>
      <c r="BY193" s="476"/>
      <c r="BZ193" s="476"/>
      <c r="CA193" s="476"/>
      <c r="CB193" s="476"/>
      <c r="CC193" s="476"/>
      <c r="CD193" s="476"/>
      <c r="CE193" s="476"/>
      <c r="CF193" s="476"/>
      <c r="CG193" s="476"/>
      <c r="CH193" s="476"/>
      <c r="CI193" s="476"/>
      <c r="CJ193" s="476"/>
      <c r="CK193" s="476"/>
      <c r="CL193" s="476"/>
      <c r="CM193" s="476"/>
      <c r="CN193" s="476"/>
      <c r="CO193" s="476"/>
      <c r="CP193" s="476"/>
      <c r="CQ193" s="476"/>
      <c r="CR193" s="476"/>
      <c r="CS193" s="476"/>
      <c r="CT193" s="476"/>
      <c r="CU193" s="476"/>
      <c r="CV193" s="476"/>
      <c r="CW193" s="345"/>
      <c r="CX193" s="345"/>
      <c r="CY193" s="345"/>
      <c r="CZ193" s="345"/>
      <c r="DA193" s="345"/>
      <c r="DB193" s="345"/>
      <c r="DC193" s="345"/>
      <c r="DD193" s="345"/>
      <c r="DE193" s="345"/>
      <c r="DF193" s="345"/>
      <c r="DG193" s="345"/>
      <c r="DH193" s="345"/>
      <c r="DI193" s="345"/>
      <c r="DJ193" s="345"/>
      <c r="DK193" s="345"/>
      <c r="DL193" s="345"/>
      <c r="DM193" s="345"/>
      <c r="DN193" s="345"/>
      <c r="DO193" s="345"/>
      <c r="DP193" s="345"/>
      <c r="DQ193" s="345"/>
      <c r="DR193" s="345"/>
      <c r="DS193" s="345"/>
      <c r="DT193" s="345"/>
      <c r="DU193" s="345"/>
      <c r="DV193" s="345"/>
      <c r="DW193" s="345"/>
      <c r="DX193" s="345"/>
      <c r="DY193" s="345"/>
      <c r="DZ193" s="345"/>
      <c r="EA193" s="345"/>
      <c r="EB193" s="345"/>
      <c r="EC193" s="345"/>
      <c r="ED193" s="345"/>
      <c r="EE193" s="345"/>
      <c r="EF193" s="345"/>
      <c r="EG193" s="345"/>
      <c r="EH193" s="345"/>
      <c r="EI193" s="345"/>
      <c r="EJ193" s="345"/>
      <c r="EK193" s="345"/>
      <c r="EL193" s="345"/>
      <c r="EM193" s="345"/>
      <c r="EN193" s="345"/>
      <c r="EO193" s="345"/>
      <c r="EP193" s="345"/>
      <c r="EQ193" s="345"/>
      <c r="ER193" s="345"/>
      <c r="ES193" s="345"/>
      <c r="ET193" s="345"/>
      <c r="EU193" s="345"/>
      <c r="EV193" s="345"/>
      <c r="EW193" s="345"/>
      <c r="EX193" s="345"/>
      <c r="EY193" s="345"/>
      <c r="EZ193" s="345"/>
      <c r="FA193" s="345"/>
      <c r="FB193" s="345"/>
      <c r="FC193" s="345"/>
      <c r="FD193" s="345"/>
      <c r="FE193" s="345"/>
      <c r="FF193" s="345"/>
      <c r="FG193" s="345"/>
      <c r="FH193" s="345"/>
      <c r="FI193" s="345"/>
      <c r="FJ193" s="345"/>
      <c r="FK193" s="345"/>
      <c r="FL193" s="345"/>
      <c r="FM193" s="345"/>
      <c r="FN193" s="345"/>
      <c r="FO193" s="345"/>
      <c r="FP193" s="345"/>
      <c r="FQ193" s="345"/>
      <c r="FR193" s="345"/>
      <c r="FS193" s="345"/>
      <c r="FT193" s="345"/>
      <c r="FU193" s="345"/>
      <c r="FV193" s="345"/>
      <c r="FW193" s="345"/>
      <c r="FX193" s="345"/>
      <c r="FY193" s="345"/>
      <c r="FZ193" s="345"/>
      <c r="GA193" s="345"/>
      <c r="GB193" s="345"/>
      <c r="GC193" s="345"/>
      <c r="GD193" s="345"/>
      <c r="GE193" s="345"/>
      <c r="GF193" s="345"/>
      <c r="GG193" s="345"/>
      <c r="GH193" s="345"/>
      <c r="GI193" s="345"/>
      <c r="GJ193" s="345"/>
      <c r="GK193" s="345"/>
      <c r="GL193" s="345"/>
      <c r="GM193" s="345"/>
      <c r="GN193" s="345"/>
      <c r="GO193" s="345"/>
      <c r="GP193" s="345"/>
      <c r="GQ193" s="345"/>
      <c r="GR193" s="345"/>
      <c r="GS193" s="345"/>
      <c r="GT193" s="345"/>
      <c r="GU193" s="345"/>
    </row>
    <row r="194" spans="23:203">
      <c r="W194" s="476"/>
      <c r="X194" s="476"/>
      <c r="Y194" s="476"/>
      <c r="Z194" s="476"/>
      <c r="AA194" s="476"/>
      <c r="AB194" s="476"/>
      <c r="AC194" s="476"/>
      <c r="AD194" s="476"/>
      <c r="AE194" s="476"/>
      <c r="AF194" s="476"/>
      <c r="AG194" s="476"/>
      <c r="AH194" s="476"/>
      <c r="AI194" s="476"/>
      <c r="AJ194" s="476"/>
      <c r="AK194" s="476"/>
      <c r="AL194" s="476"/>
      <c r="AM194" s="476"/>
      <c r="AN194" s="476"/>
      <c r="AO194" s="476"/>
      <c r="AP194" s="476"/>
      <c r="AQ194" s="476"/>
      <c r="AR194" s="476"/>
      <c r="AS194" s="476"/>
      <c r="AT194" s="476"/>
      <c r="AU194" s="476"/>
      <c r="AV194" s="476"/>
      <c r="AW194" s="476"/>
      <c r="AX194" s="476"/>
      <c r="AY194" s="476"/>
      <c r="AZ194" s="476"/>
      <c r="BA194" s="476"/>
      <c r="BB194" s="476"/>
      <c r="BC194" s="476"/>
      <c r="BD194" s="476"/>
      <c r="BE194" s="476"/>
      <c r="BF194" s="476"/>
      <c r="BG194" s="476"/>
      <c r="BH194" s="476"/>
      <c r="BI194" s="476"/>
      <c r="BJ194" s="476"/>
      <c r="BK194" s="476"/>
      <c r="BL194" s="476"/>
      <c r="BM194" s="476"/>
      <c r="BN194" s="476"/>
      <c r="BO194" s="476"/>
      <c r="BP194" s="476"/>
      <c r="BQ194" s="476"/>
      <c r="BR194" s="476"/>
      <c r="BS194" s="476"/>
      <c r="BT194" s="476"/>
      <c r="BU194" s="476"/>
      <c r="BV194" s="476"/>
      <c r="BW194" s="476"/>
      <c r="BX194" s="476"/>
      <c r="BY194" s="476"/>
      <c r="BZ194" s="476"/>
      <c r="CA194" s="476"/>
      <c r="CB194" s="476"/>
      <c r="CC194" s="476"/>
      <c r="CD194" s="476"/>
      <c r="CE194" s="476"/>
      <c r="CF194" s="476"/>
      <c r="CG194" s="476"/>
      <c r="CH194" s="476"/>
      <c r="CI194" s="476"/>
      <c r="CJ194" s="476"/>
      <c r="CK194" s="476"/>
      <c r="CL194" s="476"/>
      <c r="CM194" s="476"/>
      <c r="CN194" s="476"/>
      <c r="CO194" s="476"/>
      <c r="CP194" s="476"/>
      <c r="CQ194" s="476"/>
      <c r="CR194" s="476"/>
      <c r="CS194" s="476"/>
      <c r="CT194" s="476"/>
      <c r="CU194" s="476"/>
      <c r="CV194" s="476"/>
      <c r="CW194" s="345"/>
      <c r="CX194" s="345"/>
      <c r="CY194" s="345"/>
      <c r="CZ194" s="345"/>
      <c r="DA194" s="345"/>
      <c r="DB194" s="345"/>
      <c r="DC194" s="345"/>
      <c r="DD194" s="345"/>
      <c r="DE194" s="345"/>
      <c r="DF194" s="345"/>
      <c r="DG194" s="345"/>
      <c r="DH194" s="345"/>
      <c r="DI194" s="345"/>
      <c r="DJ194" s="345"/>
      <c r="DK194" s="345"/>
      <c r="DL194" s="345"/>
      <c r="DM194" s="345"/>
      <c r="DN194" s="345"/>
      <c r="DO194" s="345"/>
      <c r="DP194" s="345"/>
      <c r="DQ194" s="345"/>
      <c r="DR194" s="345"/>
      <c r="DS194" s="345"/>
      <c r="DT194" s="345"/>
      <c r="DU194" s="345"/>
      <c r="DV194" s="345"/>
      <c r="DW194" s="345"/>
      <c r="DX194" s="345"/>
      <c r="DY194" s="345"/>
      <c r="DZ194" s="345"/>
      <c r="EA194" s="345"/>
      <c r="EB194" s="345"/>
      <c r="EC194" s="345"/>
      <c r="ED194" s="345"/>
      <c r="EE194" s="345"/>
      <c r="EF194" s="345"/>
      <c r="EG194" s="345"/>
      <c r="EH194" s="345"/>
      <c r="EI194" s="345"/>
      <c r="EJ194" s="345"/>
      <c r="EK194" s="345"/>
      <c r="EL194" s="345"/>
      <c r="EM194" s="345"/>
      <c r="EN194" s="345"/>
      <c r="EO194" s="345"/>
      <c r="EP194" s="345"/>
      <c r="EQ194" s="345"/>
      <c r="ER194" s="345"/>
      <c r="ES194" s="345"/>
      <c r="ET194" s="345"/>
      <c r="EU194" s="345"/>
      <c r="EV194" s="345"/>
      <c r="EW194" s="345"/>
      <c r="EX194" s="345"/>
      <c r="EY194" s="345"/>
      <c r="EZ194" s="345"/>
      <c r="FA194" s="345"/>
      <c r="FB194" s="345"/>
      <c r="FC194" s="345"/>
      <c r="FD194" s="345"/>
      <c r="FE194" s="345"/>
      <c r="FF194" s="345"/>
      <c r="FG194" s="345"/>
      <c r="FH194" s="345"/>
      <c r="FI194" s="345"/>
      <c r="FJ194" s="345"/>
      <c r="FK194" s="345"/>
      <c r="FL194" s="345"/>
      <c r="FM194" s="345"/>
      <c r="FN194" s="345"/>
      <c r="FO194" s="345"/>
      <c r="FP194" s="345"/>
      <c r="FQ194" s="345"/>
      <c r="FR194" s="345"/>
      <c r="FS194" s="345"/>
      <c r="FT194" s="345"/>
      <c r="FU194" s="345"/>
      <c r="FV194" s="345"/>
      <c r="FW194" s="345"/>
      <c r="FX194" s="345"/>
      <c r="FY194" s="345"/>
      <c r="FZ194" s="345"/>
      <c r="GA194" s="345"/>
      <c r="GB194" s="345"/>
      <c r="GC194" s="345"/>
      <c r="GD194" s="345"/>
      <c r="GE194" s="345"/>
      <c r="GF194" s="345"/>
      <c r="GG194" s="345"/>
      <c r="GH194" s="345"/>
      <c r="GI194" s="345"/>
      <c r="GJ194" s="345"/>
      <c r="GK194" s="345"/>
      <c r="GL194" s="345"/>
      <c r="GM194" s="345"/>
      <c r="GN194" s="345"/>
      <c r="GO194" s="345"/>
      <c r="GP194" s="345"/>
      <c r="GQ194" s="345"/>
      <c r="GR194" s="345"/>
      <c r="GS194" s="345"/>
      <c r="GT194" s="345"/>
      <c r="GU194" s="345"/>
    </row>
    <row r="195" spans="23:203">
      <c r="W195" s="476"/>
      <c r="X195" s="476"/>
      <c r="Y195" s="476"/>
      <c r="Z195" s="476"/>
      <c r="AA195" s="476"/>
      <c r="AB195" s="476"/>
      <c r="AC195" s="476"/>
      <c r="AD195" s="476"/>
      <c r="AE195" s="476"/>
      <c r="AF195" s="476"/>
      <c r="AG195" s="476"/>
      <c r="AH195" s="476"/>
      <c r="AI195" s="476"/>
      <c r="AJ195" s="476"/>
      <c r="AK195" s="476"/>
      <c r="AL195" s="476"/>
      <c r="AM195" s="476"/>
      <c r="AN195" s="476"/>
      <c r="AO195" s="476"/>
      <c r="AP195" s="476"/>
      <c r="AQ195" s="476"/>
      <c r="AR195" s="476"/>
      <c r="AS195" s="476"/>
      <c r="AT195" s="476"/>
      <c r="AU195" s="476"/>
      <c r="AV195" s="476"/>
      <c r="AW195" s="476"/>
      <c r="AX195" s="476"/>
      <c r="AY195" s="476"/>
      <c r="AZ195" s="476"/>
      <c r="BA195" s="476"/>
      <c r="BB195" s="476"/>
      <c r="BC195" s="476"/>
      <c r="BD195" s="476"/>
      <c r="BE195" s="476"/>
      <c r="BF195" s="476"/>
      <c r="BG195" s="476"/>
      <c r="BH195" s="476"/>
      <c r="BI195" s="476"/>
      <c r="BJ195" s="476"/>
      <c r="BK195" s="476"/>
      <c r="BL195" s="476"/>
      <c r="BM195" s="476"/>
      <c r="BN195" s="476"/>
      <c r="BO195" s="476"/>
      <c r="BP195" s="476"/>
      <c r="BQ195" s="476"/>
      <c r="BR195" s="476"/>
      <c r="BS195" s="476"/>
      <c r="BT195" s="476"/>
      <c r="BU195" s="476"/>
      <c r="BV195" s="476"/>
      <c r="BW195" s="476"/>
      <c r="BX195" s="476"/>
      <c r="BY195" s="476"/>
      <c r="BZ195" s="476"/>
      <c r="CA195" s="476"/>
      <c r="CB195" s="476"/>
      <c r="CC195" s="476"/>
      <c r="CD195" s="476"/>
      <c r="CE195" s="476"/>
      <c r="CF195" s="476"/>
      <c r="CG195" s="476"/>
      <c r="CH195" s="476"/>
      <c r="CI195" s="476"/>
      <c r="CJ195" s="476"/>
      <c r="CK195" s="476"/>
      <c r="CL195" s="476"/>
      <c r="CM195" s="476"/>
      <c r="CN195" s="476"/>
      <c r="CO195" s="476"/>
      <c r="CP195" s="476"/>
      <c r="CQ195" s="476"/>
      <c r="CR195" s="476"/>
      <c r="CS195" s="476"/>
      <c r="CT195" s="476"/>
      <c r="CU195" s="476"/>
      <c r="CV195" s="476"/>
      <c r="CW195" s="345"/>
      <c r="CX195" s="345"/>
      <c r="CY195" s="345"/>
      <c r="CZ195" s="345"/>
      <c r="DA195" s="345"/>
      <c r="DB195" s="345"/>
      <c r="DC195" s="345"/>
      <c r="DD195" s="345"/>
      <c r="DE195" s="345"/>
      <c r="DF195" s="345"/>
      <c r="DG195" s="345"/>
      <c r="DH195" s="345"/>
      <c r="DI195" s="345"/>
      <c r="DJ195" s="345"/>
      <c r="DK195" s="345"/>
      <c r="DL195" s="345"/>
      <c r="DM195" s="345"/>
      <c r="DN195" s="345"/>
      <c r="DO195" s="345"/>
      <c r="DP195" s="345"/>
      <c r="DQ195" s="345"/>
      <c r="DR195" s="345"/>
      <c r="DS195" s="345"/>
      <c r="DT195" s="345"/>
      <c r="DU195" s="345"/>
      <c r="DV195" s="345"/>
      <c r="DW195" s="345"/>
      <c r="DX195" s="345"/>
      <c r="DY195" s="345"/>
      <c r="DZ195" s="345"/>
      <c r="EA195" s="345"/>
      <c r="EB195" s="345"/>
      <c r="EC195" s="345"/>
      <c r="ED195" s="345"/>
      <c r="EE195" s="345"/>
      <c r="EF195" s="345"/>
      <c r="EG195" s="345"/>
      <c r="EH195" s="345"/>
      <c r="EI195" s="345"/>
      <c r="EJ195" s="345"/>
      <c r="EK195" s="345"/>
      <c r="EL195" s="345"/>
      <c r="EM195" s="345"/>
      <c r="EN195" s="345"/>
      <c r="EO195" s="345"/>
      <c r="EP195" s="345"/>
      <c r="EQ195" s="345"/>
      <c r="ER195" s="345"/>
      <c r="ES195" s="345"/>
      <c r="ET195" s="345"/>
      <c r="EU195" s="345"/>
      <c r="EV195" s="345"/>
      <c r="EW195" s="345"/>
      <c r="EX195" s="345"/>
      <c r="EY195" s="345"/>
      <c r="EZ195" s="345"/>
      <c r="FA195" s="345"/>
      <c r="FB195" s="345"/>
      <c r="FC195" s="345"/>
      <c r="FD195" s="345"/>
      <c r="FE195" s="345"/>
      <c r="FF195" s="345"/>
      <c r="FG195" s="345"/>
      <c r="FH195" s="345"/>
      <c r="FI195" s="345"/>
      <c r="FJ195" s="345"/>
      <c r="FK195" s="345"/>
      <c r="FL195" s="345"/>
      <c r="FM195" s="345"/>
      <c r="FN195" s="345"/>
      <c r="FO195" s="345"/>
      <c r="FP195" s="345"/>
      <c r="FQ195" s="345"/>
      <c r="FR195" s="345"/>
      <c r="FS195" s="345"/>
      <c r="FT195" s="345"/>
      <c r="FU195" s="345"/>
      <c r="FV195" s="345"/>
      <c r="FW195" s="345"/>
      <c r="FX195" s="345"/>
      <c r="FY195" s="345"/>
      <c r="FZ195" s="345"/>
      <c r="GA195" s="345"/>
      <c r="GB195" s="345"/>
      <c r="GC195" s="345"/>
      <c r="GD195" s="345"/>
      <c r="GE195" s="345"/>
      <c r="GF195" s="345"/>
      <c r="GG195" s="345"/>
      <c r="GH195" s="345"/>
      <c r="GI195" s="345"/>
      <c r="GJ195" s="345"/>
      <c r="GK195" s="345"/>
      <c r="GL195" s="345"/>
      <c r="GM195" s="345"/>
      <c r="GN195" s="345"/>
      <c r="GO195" s="345"/>
      <c r="GP195" s="345"/>
      <c r="GQ195" s="345"/>
      <c r="GR195" s="345"/>
      <c r="GS195" s="345"/>
      <c r="GT195" s="345"/>
      <c r="GU195" s="345"/>
    </row>
    <row r="196" spans="23:203">
      <c r="W196" s="476"/>
      <c r="X196" s="476"/>
      <c r="Y196" s="476"/>
      <c r="Z196" s="476"/>
      <c r="AA196" s="476"/>
      <c r="AB196" s="476"/>
      <c r="AC196" s="476"/>
      <c r="AD196" s="476"/>
      <c r="AE196" s="476"/>
      <c r="AF196" s="476"/>
      <c r="AG196" s="476"/>
      <c r="AH196" s="476"/>
      <c r="AI196" s="476"/>
      <c r="AJ196" s="476"/>
      <c r="AK196" s="476"/>
      <c r="AL196" s="476"/>
      <c r="AM196" s="476"/>
      <c r="AN196" s="476"/>
      <c r="AO196" s="476"/>
      <c r="AP196" s="476"/>
      <c r="AQ196" s="476"/>
      <c r="AR196" s="476"/>
      <c r="AS196" s="476"/>
      <c r="AT196" s="476"/>
      <c r="AU196" s="476"/>
      <c r="AV196" s="476"/>
      <c r="AW196" s="476"/>
      <c r="AX196" s="476"/>
      <c r="AY196" s="476"/>
      <c r="AZ196" s="476"/>
      <c r="BA196" s="476"/>
      <c r="BB196" s="476"/>
      <c r="BC196" s="476"/>
      <c r="BD196" s="476"/>
      <c r="BE196" s="476"/>
      <c r="BF196" s="476"/>
      <c r="BG196" s="476"/>
      <c r="BH196" s="476"/>
      <c r="BI196" s="476"/>
      <c r="BJ196" s="476"/>
      <c r="BK196" s="476"/>
      <c r="BL196" s="476"/>
      <c r="BM196" s="476"/>
      <c r="BN196" s="476"/>
      <c r="BO196" s="476"/>
      <c r="BP196" s="476"/>
      <c r="BQ196" s="476"/>
      <c r="BR196" s="476"/>
      <c r="BS196" s="476"/>
      <c r="BT196" s="476"/>
      <c r="BU196" s="476"/>
      <c r="BV196" s="476"/>
      <c r="BW196" s="476"/>
      <c r="BX196" s="476"/>
      <c r="BY196" s="476"/>
      <c r="BZ196" s="476"/>
      <c r="CA196" s="476"/>
      <c r="CB196" s="476"/>
      <c r="CC196" s="476"/>
      <c r="CD196" s="476"/>
      <c r="CE196" s="476"/>
      <c r="CF196" s="476"/>
      <c r="CG196" s="476"/>
      <c r="CH196" s="476"/>
      <c r="CI196" s="476"/>
      <c r="CJ196" s="476"/>
      <c r="CK196" s="476"/>
      <c r="CL196" s="476"/>
      <c r="CM196" s="476"/>
      <c r="CN196" s="476"/>
      <c r="CO196" s="476"/>
      <c r="CP196" s="476"/>
      <c r="CQ196" s="476"/>
      <c r="CR196" s="476"/>
      <c r="CS196" s="476"/>
      <c r="CT196" s="476"/>
      <c r="CU196" s="476"/>
      <c r="CV196" s="476"/>
      <c r="CW196" s="345"/>
      <c r="CX196" s="345"/>
      <c r="CY196" s="345"/>
      <c r="CZ196" s="345"/>
      <c r="DA196" s="345"/>
      <c r="DB196" s="345"/>
      <c r="DC196" s="345"/>
      <c r="DD196" s="345"/>
      <c r="DE196" s="345"/>
      <c r="DF196" s="345"/>
      <c r="DG196" s="345"/>
      <c r="DH196" s="345"/>
      <c r="DI196" s="345"/>
      <c r="DJ196" s="345"/>
      <c r="DK196" s="345"/>
      <c r="DL196" s="345"/>
      <c r="DM196" s="345"/>
      <c r="DN196" s="345"/>
      <c r="DO196" s="345"/>
      <c r="DP196" s="345"/>
      <c r="DQ196" s="345"/>
      <c r="DR196" s="345"/>
      <c r="DS196" s="345"/>
      <c r="DT196" s="345"/>
      <c r="DU196" s="345"/>
      <c r="DV196" s="345"/>
      <c r="DW196" s="345"/>
      <c r="DX196" s="345"/>
      <c r="DY196" s="345"/>
      <c r="DZ196" s="345"/>
      <c r="EA196" s="345"/>
      <c r="EB196" s="345"/>
      <c r="EC196" s="345"/>
      <c r="ED196" s="345"/>
      <c r="EE196" s="345"/>
      <c r="EF196" s="345"/>
      <c r="EG196" s="345"/>
      <c r="EH196" s="345"/>
      <c r="EI196" s="345"/>
      <c r="EJ196" s="345"/>
      <c r="EK196" s="345"/>
      <c r="EL196" s="345"/>
      <c r="EM196" s="345"/>
      <c r="EN196" s="345"/>
      <c r="EO196" s="345"/>
      <c r="EP196" s="345"/>
      <c r="EQ196" s="345"/>
      <c r="ER196" s="345"/>
      <c r="ES196" s="345"/>
      <c r="ET196" s="345"/>
      <c r="EU196" s="345"/>
      <c r="EV196" s="345"/>
      <c r="EW196" s="345"/>
      <c r="EX196" s="345"/>
      <c r="EY196" s="345"/>
      <c r="EZ196" s="345"/>
      <c r="FA196" s="345"/>
      <c r="FB196" s="345"/>
      <c r="FC196" s="345"/>
      <c r="FD196" s="345"/>
      <c r="FE196" s="345"/>
      <c r="FF196" s="345"/>
      <c r="FG196" s="345"/>
      <c r="FH196" s="345"/>
      <c r="FI196" s="345"/>
      <c r="FJ196" s="345"/>
      <c r="FK196" s="345"/>
      <c r="FL196" s="345"/>
      <c r="FM196" s="345"/>
      <c r="FN196" s="345"/>
      <c r="FO196" s="345"/>
      <c r="FP196" s="345"/>
      <c r="FQ196" s="345"/>
      <c r="FR196" s="345"/>
      <c r="FS196" s="345"/>
      <c r="FT196" s="345"/>
      <c r="FU196" s="345"/>
      <c r="FV196" s="345"/>
      <c r="FW196" s="345"/>
      <c r="FX196" s="345"/>
      <c r="FY196" s="345"/>
      <c r="FZ196" s="345"/>
      <c r="GA196" s="345"/>
      <c r="GB196" s="345"/>
      <c r="GC196" s="345"/>
      <c r="GD196" s="345"/>
      <c r="GE196" s="345"/>
      <c r="GF196" s="345"/>
      <c r="GG196" s="345"/>
      <c r="GH196" s="345"/>
      <c r="GI196" s="345"/>
      <c r="GJ196" s="345"/>
      <c r="GK196" s="345"/>
      <c r="GL196" s="345"/>
      <c r="GM196" s="345"/>
      <c r="GN196" s="345"/>
      <c r="GO196" s="345"/>
      <c r="GP196" s="345"/>
      <c r="GQ196" s="345"/>
      <c r="GR196" s="345"/>
      <c r="GS196" s="345"/>
      <c r="GT196" s="345"/>
      <c r="GU196" s="345"/>
    </row>
    <row r="197" spans="23:203">
      <c r="W197" s="476"/>
      <c r="X197" s="476"/>
      <c r="Y197" s="476"/>
      <c r="Z197" s="476"/>
      <c r="AA197" s="476"/>
      <c r="AB197" s="476"/>
      <c r="AC197" s="476"/>
      <c r="AD197" s="476"/>
      <c r="AE197" s="476"/>
      <c r="AF197" s="476"/>
      <c r="AG197" s="476"/>
      <c r="AH197" s="476"/>
      <c r="AI197" s="476"/>
      <c r="AJ197" s="476"/>
      <c r="AK197" s="476"/>
      <c r="AL197" s="476"/>
      <c r="AM197" s="476"/>
      <c r="AN197" s="476"/>
      <c r="AO197" s="476"/>
      <c r="AP197" s="476"/>
      <c r="AQ197" s="476"/>
      <c r="AR197" s="476"/>
      <c r="AS197" s="476"/>
      <c r="AT197" s="476"/>
      <c r="AU197" s="476"/>
      <c r="AV197" s="476"/>
      <c r="AW197" s="476"/>
      <c r="AX197" s="476"/>
      <c r="AY197" s="476"/>
      <c r="AZ197" s="476"/>
      <c r="BA197" s="476"/>
      <c r="BB197" s="476"/>
      <c r="BC197" s="476"/>
      <c r="BD197" s="476"/>
      <c r="BE197" s="476"/>
      <c r="BF197" s="476"/>
      <c r="BG197" s="476"/>
      <c r="BH197" s="476"/>
      <c r="BI197" s="476"/>
      <c r="BJ197" s="476"/>
      <c r="BK197" s="476"/>
      <c r="BL197" s="476"/>
      <c r="BM197" s="476"/>
      <c r="BN197" s="476"/>
      <c r="BO197" s="476"/>
      <c r="BP197" s="476"/>
      <c r="BQ197" s="476"/>
      <c r="BR197" s="476"/>
      <c r="BS197" s="476"/>
      <c r="BT197" s="476"/>
      <c r="BU197" s="476"/>
      <c r="BV197" s="476"/>
      <c r="BW197" s="476"/>
      <c r="BX197" s="476"/>
      <c r="BY197" s="476"/>
      <c r="BZ197" s="476"/>
      <c r="CA197" s="476"/>
      <c r="CB197" s="476"/>
      <c r="CC197" s="476"/>
      <c r="CD197" s="476"/>
      <c r="CE197" s="476"/>
      <c r="CF197" s="476"/>
      <c r="CG197" s="476"/>
      <c r="CH197" s="476"/>
      <c r="CI197" s="476"/>
      <c r="CJ197" s="476"/>
      <c r="CK197" s="476"/>
      <c r="CL197" s="476"/>
      <c r="CM197" s="476"/>
      <c r="CN197" s="476"/>
      <c r="CO197" s="476"/>
      <c r="CP197" s="476"/>
      <c r="CQ197" s="476"/>
      <c r="CR197" s="476"/>
      <c r="CS197" s="476"/>
      <c r="CT197" s="476"/>
      <c r="CU197" s="476"/>
      <c r="CV197" s="476"/>
      <c r="CW197" s="345"/>
      <c r="CX197" s="345"/>
      <c r="CY197" s="345"/>
      <c r="CZ197" s="345"/>
      <c r="DA197" s="345"/>
      <c r="DB197" s="345"/>
      <c r="DC197" s="345"/>
      <c r="DD197" s="345"/>
      <c r="DE197" s="345"/>
      <c r="DF197" s="345"/>
      <c r="DG197" s="345"/>
      <c r="DH197" s="345"/>
      <c r="DI197" s="345"/>
      <c r="DJ197" s="345"/>
      <c r="DK197" s="345"/>
      <c r="DL197" s="345"/>
      <c r="DM197" s="345"/>
      <c r="DN197" s="345"/>
      <c r="DO197" s="345"/>
      <c r="DP197" s="345"/>
      <c r="DQ197" s="345"/>
      <c r="DR197" s="345"/>
      <c r="DS197" s="345"/>
      <c r="DT197" s="345"/>
      <c r="DU197" s="345"/>
      <c r="DV197" s="345"/>
      <c r="DW197" s="345"/>
      <c r="DX197" s="345"/>
      <c r="DY197" s="345"/>
      <c r="DZ197" s="345"/>
      <c r="EA197" s="345"/>
      <c r="EB197" s="345"/>
      <c r="EC197" s="345"/>
      <c r="ED197" s="345"/>
      <c r="EE197" s="345"/>
      <c r="EF197" s="345"/>
      <c r="EG197" s="345"/>
      <c r="EH197" s="345"/>
      <c r="EI197" s="345"/>
      <c r="EJ197" s="345"/>
      <c r="EK197" s="345"/>
      <c r="EL197" s="345"/>
      <c r="EM197" s="345"/>
      <c r="EN197" s="345"/>
      <c r="EO197" s="345"/>
      <c r="EP197" s="345"/>
      <c r="EQ197" s="345"/>
      <c r="ER197" s="345"/>
      <c r="ES197" s="345"/>
      <c r="ET197" s="345"/>
      <c r="EU197" s="345"/>
      <c r="EV197" s="345"/>
      <c r="EW197" s="345"/>
      <c r="EX197" s="345"/>
      <c r="EY197" s="345"/>
      <c r="EZ197" s="345"/>
      <c r="FA197" s="345"/>
      <c r="FB197" s="345"/>
      <c r="FC197" s="345"/>
      <c r="FD197" s="345"/>
      <c r="FE197" s="345"/>
      <c r="FF197" s="345"/>
      <c r="FG197" s="345"/>
      <c r="FH197" s="345"/>
      <c r="FI197" s="345"/>
      <c r="FJ197" s="345"/>
      <c r="FK197" s="345"/>
      <c r="FL197" s="345"/>
      <c r="FM197" s="345"/>
      <c r="FN197" s="345"/>
      <c r="FO197" s="345"/>
      <c r="FP197" s="345"/>
      <c r="FQ197" s="345"/>
      <c r="FR197" s="345"/>
      <c r="FS197" s="345"/>
      <c r="FT197" s="345"/>
      <c r="FU197" s="345"/>
      <c r="FV197" s="345"/>
      <c r="FW197" s="345"/>
      <c r="FX197" s="345"/>
      <c r="FY197" s="345"/>
      <c r="FZ197" s="345"/>
      <c r="GA197" s="345"/>
      <c r="GB197" s="345"/>
      <c r="GC197" s="345"/>
      <c r="GD197" s="345"/>
      <c r="GE197" s="345"/>
      <c r="GF197" s="345"/>
      <c r="GG197" s="345"/>
      <c r="GH197" s="345"/>
      <c r="GI197" s="345"/>
      <c r="GJ197" s="345"/>
      <c r="GK197" s="345"/>
      <c r="GL197" s="345"/>
      <c r="GM197" s="345"/>
      <c r="GN197" s="345"/>
      <c r="GO197" s="345"/>
      <c r="GP197" s="345"/>
      <c r="GQ197" s="345"/>
      <c r="GR197" s="345"/>
      <c r="GS197" s="345"/>
      <c r="GT197" s="345"/>
      <c r="GU197" s="345"/>
    </row>
    <row r="198" spans="23:203">
      <c r="W198" s="476"/>
      <c r="X198" s="476"/>
      <c r="Y198" s="476"/>
      <c r="Z198" s="476"/>
      <c r="AA198" s="476"/>
      <c r="AB198" s="476"/>
      <c r="AC198" s="476"/>
      <c r="AD198" s="476"/>
      <c r="AE198" s="476"/>
      <c r="AF198" s="476"/>
      <c r="AG198" s="476"/>
      <c r="AH198" s="476"/>
      <c r="AI198" s="476"/>
      <c r="AJ198" s="476"/>
      <c r="AK198" s="476"/>
      <c r="AL198" s="476"/>
      <c r="AM198" s="476"/>
      <c r="AN198" s="476"/>
      <c r="AO198" s="476"/>
      <c r="AP198" s="476"/>
      <c r="AQ198" s="476"/>
      <c r="AR198" s="476"/>
      <c r="AS198" s="476"/>
      <c r="AT198" s="476"/>
      <c r="AU198" s="476"/>
      <c r="AV198" s="476"/>
      <c r="AW198" s="476"/>
      <c r="AX198" s="476"/>
      <c r="AY198" s="476"/>
      <c r="AZ198" s="476"/>
      <c r="BA198" s="476"/>
      <c r="BB198" s="476"/>
      <c r="BC198" s="476"/>
      <c r="BD198" s="476"/>
      <c r="BE198" s="476"/>
      <c r="BF198" s="476"/>
      <c r="BG198" s="476"/>
      <c r="BH198" s="476"/>
      <c r="BI198" s="476"/>
      <c r="BJ198" s="476"/>
      <c r="BK198" s="476"/>
      <c r="BL198" s="476"/>
      <c r="BM198" s="476"/>
      <c r="BN198" s="476"/>
      <c r="BO198" s="476"/>
      <c r="BP198" s="476"/>
      <c r="BQ198" s="476"/>
      <c r="BR198" s="476"/>
      <c r="BS198" s="476"/>
      <c r="BT198" s="476"/>
      <c r="BU198" s="476"/>
      <c r="BV198" s="476"/>
      <c r="BW198" s="476"/>
      <c r="BX198" s="476"/>
      <c r="BY198" s="476"/>
      <c r="BZ198" s="476"/>
      <c r="CA198" s="476"/>
      <c r="CB198" s="476"/>
      <c r="CC198" s="476"/>
      <c r="CD198" s="476"/>
      <c r="CE198" s="476"/>
      <c r="CF198" s="476"/>
      <c r="CG198" s="476"/>
      <c r="CH198" s="476"/>
      <c r="CI198" s="476"/>
      <c r="CJ198" s="476"/>
      <c r="CK198" s="476"/>
      <c r="CL198" s="476"/>
      <c r="CM198" s="476"/>
      <c r="CN198" s="476"/>
      <c r="CO198" s="476"/>
      <c r="CP198" s="476"/>
      <c r="CQ198" s="476"/>
      <c r="CR198" s="476"/>
      <c r="CS198" s="476"/>
      <c r="CT198" s="476"/>
      <c r="CU198" s="476"/>
      <c r="CV198" s="476"/>
      <c r="CW198" s="345"/>
      <c r="CX198" s="345"/>
      <c r="CY198" s="345"/>
      <c r="CZ198" s="345"/>
      <c r="DA198" s="345"/>
      <c r="DB198" s="345"/>
      <c r="DC198" s="345"/>
      <c r="DD198" s="345"/>
      <c r="DE198" s="345"/>
      <c r="DF198" s="345"/>
      <c r="DG198" s="345"/>
      <c r="DH198" s="345"/>
      <c r="DI198" s="345"/>
      <c r="DJ198" s="345"/>
      <c r="DK198" s="345"/>
      <c r="DL198" s="345"/>
      <c r="DM198" s="345"/>
      <c r="DN198" s="345"/>
      <c r="DO198" s="345"/>
      <c r="DP198" s="345"/>
      <c r="DQ198" s="345"/>
      <c r="DR198" s="345"/>
      <c r="DS198" s="345"/>
      <c r="DT198" s="345"/>
      <c r="DU198" s="345"/>
      <c r="DV198" s="345"/>
      <c r="DW198" s="345"/>
      <c r="DX198" s="345"/>
      <c r="DY198" s="345"/>
      <c r="DZ198" s="345"/>
      <c r="EA198" s="345"/>
      <c r="EB198" s="345"/>
      <c r="EC198" s="345"/>
      <c r="ED198" s="345"/>
      <c r="EE198" s="345"/>
      <c r="EF198" s="345"/>
      <c r="EG198" s="345"/>
      <c r="EH198" s="345"/>
      <c r="EI198" s="345"/>
      <c r="EJ198" s="345"/>
      <c r="EK198" s="345"/>
      <c r="EL198" s="345"/>
      <c r="EM198" s="345"/>
      <c r="EN198" s="345"/>
      <c r="EO198" s="345"/>
      <c r="EP198" s="345"/>
      <c r="EQ198" s="345"/>
      <c r="ER198" s="345"/>
      <c r="ES198" s="345"/>
      <c r="ET198" s="345"/>
      <c r="EU198" s="345"/>
      <c r="EV198" s="345"/>
      <c r="EW198" s="345"/>
      <c r="EX198" s="345"/>
      <c r="EY198" s="345"/>
      <c r="EZ198" s="345"/>
      <c r="FA198" s="345"/>
      <c r="FB198" s="345"/>
      <c r="FC198" s="345"/>
      <c r="FD198" s="345"/>
      <c r="FE198" s="345"/>
      <c r="FF198" s="345"/>
      <c r="FG198" s="345"/>
      <c r="FH198" s="345"/>
      <c r="FI198" s="345"/>
      <c r="FJ198" s="345"/>
      <c r="FK198" s="345"/>
      <c r="FL198" s="345"/>
      <c r="FM198" s="345"/>
      <c r="FN198" s="345"/>
      <c r="FO198" s="345"/>
      <c r="FP198" s="345"/>
      <c r="FQ198" s="345"/>
      <c r="FR198" s="345"/>
      <c r="FS198" s="345"/>
      <c r="FT198" s="345"/>
      <c r="FU198" s="345"/>
      <c r="FV198" s="345"/>
      <c r="FW198" s="345"/>
      <c r="FX198" s="345"/>
      <c r="FY198" s="345"/>
      <c r="FZ198" s="345"/>
      <c r="GA198" s="345"/>
      <c r="GB198" s="345"/>
      <c r="GC198" s="345"/>
      <c r="GD198" s="345"/>
      <c r="GE198" s="345"/>
      <c r="GF198" s="345"/>
      <c r="GG198" s="345"/>
      <c r="GH198" s="345"/>
      <c r="GI198" s="345"/>
      <c r="GJ198" s="345"/>
      <c r="GK198" s="345"/>
      <c r="GL198" s="345"/>
      <c r="GM198" s="345"/>
      <c r="GN198" s="345"/>
      <c r="GO198" s="345"/>
      <c r="GP198" s="345"/>
      <c r="GQ198" s="345"/>
      <c r="GR198" s="345"/>
      <c r="GS198" s="345"/>
      <c r="GT198" s="345"/>
      <c r="GU198" s="345"/>
    </row>
    <row r="199" spans="23:203">
      <c r="W199" s="476"/>
      <c r="X199" s="476"/>
      <c r="Y199" s="476"/>
      <c r="Z199" s="476"/>
      <c r="AA199" s="476"/>
      <c r="AB199" s="476"/>
      <c r="AC199" s="476"/>
      <c r="AD199" s="476"/>
      <c r="AE199" s="476"/>
      <c r="AF199" s="476"/>
      <c r="AG199" s="476"/>
      <c r="AH199" s="476"/>
      <c r="AI199" s="476"/>
      <c r="AJ199" s="476"/>
      <c r="AK199" s="476"/>
      <c r="AL199" s="476"/>
      <c r="AM199" s="476"/>
      <c r="AN199" s="476"/>
      <c r="AO199" s="476"/>
      <c r="AP199" s="476"/>
      <c r="AQ199" s="476"/>
      <c r="AR199" s="476"/>
      <c r="AS199" s="476"/>
      <c r="AT199" s="476"/>
      <c r="AU199" s="476"/>
      <c r="AV199" s="476"/>
      <c r="AW199" s="476"/>
      <c r="AX199" s="476"/>
      <c r="AY199" s="476"/>
      <c r="AZ199" s="476"/>
      <c r="BA199" s="476"/>
      <c r="BB199" s="476"/>
      <c r="BC199" s="476"/>
      <c r="BD199" s="476"/>
      <c r="BE199" s="476"/>
      <c r="BF199" s="476"/>
      <c r="BG199" s="476"/>
      <c r="BH199" s="476"/>
      <c r="BI199" s="476"/>
      <c r="BJ199" s="476"/>
      <c r="BK199" s="476"/>
      <c r="BL199" s="476"/>
      <c r="BM199" s="476"/>
      <c r="BN199" s="476"/>
      <c r="BO199" s="476"/>
      <c r="BP199" s="476"/>
      <c r="BQ199" s="476"/>
      <c r="BR199" s="476"/>
      <c r="BS199" s="476"/>
      <c r="BT199" s="476"/>
      <c r="BU199" s="476"/>
      <c r="BV199" s="476"/>
      <c r="BW199" s="476"/>
      <c r="BX199" s="476"/>
      <c r="BY199" s="476"/>
      <c r="BZ199" s="476"/>
      <c r="CA199" s="476"/>
      <c r="CB199" s="476"/>
      <c r="CC199" s="476"/>
      <c r="CD199" s="476"/>
      <c r="CE199" s="476"/>
      <c r="CF199" s="476"/>
      <c r="CG199" s="476"/>
      <c r="CH199" s="476"/>
      <c r="CI199" s="476"/>
      <c r="CJ199" s="476"/>
      <c r="CK199" s="476"/>
      <c r="CL199" s="476"/>
      <c r="CM199" s="476"/>
      <c r="CN199" s="476"/>
      <c r="CO199" s="476"/>
      <c r="CP199" s="476"/>
      <c r="CQ199" s="476"/>
      <c r="CR199" s="476"/>
      <c r="CS199" s="476"/>
      <c r="CT199" s="476"/>
      <c r="CU199" s="476"/>
      <c r="CV199" s="476"/>
      <c r="CW199" s="345"/>
      <c r="CX199" s="345"/>
      <c r="CY199" s="345"/>
      <c r="CZ199" s="345"/>
      <c r="DA199" s="345"/>
      <c r="DB199" s="345"/>
      <c r="DC199" s="345"/>
      <c r="DD199" s="345"/>
      <c r="DE199" s="345"/>
      <c r="DF199" s="345"/>
      <c r="DG199" s="345"/>
      <c r="DH199" s="345"/>
      <c r="DI199" s="345"/>
      <c r="DJ199" s="345"/>
      <c r="DK199" s="345"/>
      <c r="DL199" s="345"/>
      <c r="DM199" s="345"/>
      <c r="DN199" s="345"/>
      <c r="DO199" s="345"/>
      <c r="DP199" s="345"/>
      <c r="DQ199" s="345"/>
      <c r="DR199" s="345"/>
      <c r="DS199" s="345"/>
      <c r="DT199" s="345"/>
      <c r="DU199" s="345"/>
      <c r="DV199" s="345"/>
      <c r="DW199" s="345"/>
      <c r="DX199" s="345"/>
      <c r="DY199" s="345"/>
      <c r="DZ199" s="345"/>
      <c r="EA199" s="345"/>
      <c r="EB199" s="345"/>
      <c r="EC199" s="345"/>
      <c r="ED199" s="345"/>
      <c r="EE199" s="345"/>
      <c r="EF199" s="345"/>
      <c r="EG199" s="345"/>
      <c r="EH199" s="345"/>
      <c r="EI199" s="345"/>
      <c r="EJ199" s="345"/>
      <c r="EK199" s="345"/>
      <c r="EL199" s="345"/>
      <c r="EM199" s="345"/>
      <c r="EN199" s="345"/>
      <c r="EO199" s="345"/>
      <c r="EP199" s="345"/>
      <c r="EQ199" s="345"/>
      <c r="ER199" s="345"/>
      <c r="ES199" s="345"/>
      <c r="ET199" s="345"/>
      <c r="EU199" s="345"/>
      <c r="EV199" s="345"/>
      <c r="EW199" s="345"/>
      <c r="EX199" s="345"/>
      <c r="EY199" s="345"/>
      <c r="EZ199" s="345"/>
      <c r="FA199" s="345"/>
      <c r="FB199" s="345"/>
      <c r="FC199" s="345"/>
      <c r="FD199" s="345"/>
      <c r="FE199" s="345"/>
      <c r="FF199" s="345"/>
      <c r="FG199" s="345"/>
      <c r="FH199" s="345"/>
      <c r="FI199" s="345"/>
      <c r="FJ199" s="345"/>
      <c r="FK199" s="345"/>
      <c r="FL199" s="345"/>
      <c r="FM199" s="345"/>
      <c r="FN199" s="345"/>
      <c r="FO199" s="345"/>
      <c r="FP199" s="345"/>
      <c r="FQ199" s="345"/>
      <c r="FR199" s="345"/>
      <c r="FS199" s="345"/>
      <c r="FT199" s="345"/>
      <c r="FU199" s="345"/>
      <c r="FV199" s="345"/>
      <c r="FW199" s="345"/>
      <c r="FX199" s="345"/>
      <c r="FY199" s="345"/>
      <c r="FZ199" s="345"/>
      <c r="GA199" s="345"/>
      <c r="GB199" s="345"/>
      <c r="GC199" s="345"/>
      <c r="GD199" s="345"/>
      <c r="GE199" s="345"/>
      <c r="GF199" s="345"/>
      <c r="GG199" s="345"/>
      <c r="GH199" s="345"/>
      <c r="GI199" s="345"/>
      <c r="GJ199" s="345"/>
      <c r="GK199" s="345"/>
      <c r="GL199" s="345"/>
      <c r="GM199" s="345"/>
      <c r="GN199" s="345"/>
      <c r="GO199" s="345"/>
      <c r="GP199" s="345"/>
      <c r="GQ199" s="345"/>
      <c r="GR199" s="345"/>
      <c r="GS199" s="345"/>
      <c r="GT199" s="345"/>
      <c r="GU199" s="345"/>
    </row>
    <row r="200" spans="23:203">
      <c r="W200" s="476"/>
      <c r="X200" s="476"/>
      <c r="Y200" s="476"/>
      <c r="Z200" s="476"/>
      <c r="AA200" s="476"/>
      <c r="AB200" s="476"/>
      <c r="AC200" s="476"/>
      <c r="AD200" s="476"/>
      <c r="AE200" s="476"/>
      <c r="AF200" s="476"/>
      <c r="AG200" s="476"/>
      <c r="AH200" s="476"/>
      <c r="AI200" s="476"/>
      <c r="AJ200" s="476"/>
      <c r="AK200" s="476"/>
      <c r="AL200" s="476"/>
      <c r="AM200" s="476"/>
      <c r="AN200" s="476"/>
      <c r="AO200" s="476"/>
      <c r="AP200" s="476"/>
      <c r="AQ200" s="476"/>
      <c r="AR200" s="476"/>
      <c r="AS200" s="476"/>
      <c r="AT200" s="476"/>
      <c r="AU200" s="476"/>
      <c r="AV200" s="476"/>
      <c r="AW200" s="476"/>
      <c r="AX200" s="476"/>
      <c r="AY200" s="476"/>
      <c r="AZ200" s="476"/>
      <c r="BA200" s="476"/>
      <c r="BB200" s="476"/>
      <c r="BC200" s="476"/>
      <c r="BD200" s="476"/>
      <c r="BE200" s="476"/>
      <c r="BF200" s="476"/>
      <c r="BG200" s="476"/>
      <c r="BH200" s="476"/>
      <c r="BI200" s="476"/>
      <c r="BJ200" s="476"/>
      <c r="BK200" s="476"/>
      <c r="BL200" s="476"/>
      <c r="BM200" s="476"/>
      <c r="BN200" s="476"/>
      <c r="BO200" s="476"/>
      <c r="BP200" s="476"/>
      <c r="BQ200" s="476"/>
      <c r="BR200" s="476"/>
      <c r="BS200" s="476"/>
      <c r="BT200" s="476"/>
      <c r="BU200" s="476"/>
      <c r="BV200" s="476"/>
      <c r="BW200" s="476"/>
      <c r="BX200" s="476"/>
      <c r="BY200" s="476"/>
      <c r="BZ200" s="476"/>
      <c r="CA200" s="476"/>
      <c r="CB200" s="476"/>
      <c r="CC200" s="476"/>
      <c r="CD200" s="476"/>
      <c r="CE200" s="476"/>
      <c r="CF200" s="476"/>
      <c r="CG200" s="476"/>
      <c r="CH200" s="476"/>
      <c r="CI200" s="476"/>
      <c r="CJ200" s="476"/>
      <c r="CK200" s="476"/>
      <c r="CL200" s="476"/>
      <c r="CM200" s="476"/>
      <c r="CN200" s="476"/>
      <c r="CO200" s="476"/>
      <c r="CP200" s="476"/>
      <c r="CQ200" s="476"/>
      <c r="CR200" s="476"/>
      <c r="CS200" s="476"/>
      <c r="CT200" s="476"/>
      <c r="CU200" s="476"/>
      <c r="CV200" s="476"/>
      <c r="CW200" s="345"/>
      <c r="CX200" s="345"/>
      <c r="CY200" s="345"/>
      <c r="CZ200" s="345"/>
      <c r="DA200" s="345"/>
      <c r="DB200" s="345"/>
      <c r="DC200" s="345"/>
      <c r="DD200" s="345"/>
      <c r="DE200" s="345"/>
      <c r="DF200" s="345"/>
      <c r="DG200" s="345"/>
      <c r="DH200" s="345"/>
      <c r="DI200" s="345"/>
      <c r="DJ200" s="345"/>
      <c r="DK200" s="345"/>
      <c r="DL200" s="345"/>
      <c r="DM200" s="345"/>
      <c r="DN200" s="345"/>
      <c r="DO200" s="345"/>
      <c r="DP200" s="345"/>
      <c r="DQ200" s="345"/>
      <c r="DR200" s="345"/>
      <c r="DS200" s="345"/>
      <c r="DT200" s="345"/>
      <c r="DU200" s="345"/>
      <c r="DV200" s="345"/>
      <c r="DW200" s="345"/>
      <c r="DX200" s="345"/>
      <c r="DY200" s="345"/>
      <c r="DZ200" s="345"/>
      <c r="EA200" s="345"/>
      <c r="EB200" s="345"/>
      <c r="EC200" s="345"/>
      <c r="ED200" s="345"/>
      <c r="EE200" s="345"/>
      <c r="EF200" s="345"/>
      <c r="EG200" s="345"/>
      <c r="EH200" s="345"/>
      <c r="EI200" s="345"/>
      <c r="EJ200" s="345"/>
      <c r="EK200" s="345"/>
      <c r="EL200" s="345"/>
      <c r="EM200" s="345"/>
      <c r="EN200" s="345"/>
      <c r="EO200" s="345"/>
      <c r="EP200" s="345"/>
      <c r="EQ200" s="345"/>
      <c r="ER200" s="345"/>
      <c r="ES200" s="345"/>
      <c r="ET200" s="345"/>
      <c r="EU200" s="345"/>
      <c r="EV200" s="345"/>
      <c r="EW200" s="345"/>
      <c r="EX200" s="345"/>
      <c r="EY200" s="345"/>
      <c r="EZ200" s="345"/>
      <c r="FA200" s="345"/>
      <c r="FB200" s="345"/>
      <c r="FC200" s="345"/>
      <c r="FD200" s="345"/>
      <c r="FE200" s="345"/>
      <c r="FF200" s="345"/>
      <c r="FG200" s="345"/>
      <c r="FH200" s="345"/>
      <c r="FI200" s="345"/>
      <c r="FJ200" s="345"/>
      <c r="FK200" s="345"/>
      <c r="FL200" s="345"/>
      <c r="FM200" s="345"/>
      <c r="FN200" s="345"/>
      <c r="FO200" s="345"/>
      <c r="FP200" s="345"/>
      <c r="FQ200" s="345"/>
      <c r="FR200" s="345"/>
      <c r="FS200" s="345"/>
      <c r="FT200" s="345"/>
      <c r="FU200" s="345"/>
      <c r="FV200" s="345"/>
      <c r="FW200" s="345"/>
      <c r="FX200" s="345"/>
      <c r="FY200" s="345"/>
      <c r="FZ200" s="345"/>
      <c r="GA200" s="345"/>
      <c r="GB200" s="345"/>
      <c r="GC200" s="345"/>
      <c r="GD200" s="345"/>
      <c r="GE200" s="345"/>
      <c r="GF200" s="345"/>
      <c r="GG200" s="345"/>
      <c r="GH200" s="345"/>
      <c r="GI200" s="345"/>
      <c r="GJ200" s="345"/>
      <c r="GK200" s="345"/>
      <c r="GL200" s="345"/>
      <c r="GM200" s="345"/>
      <c r="GN200" s="345"/>
      <c r="GO200" s="345"/>
      <c r="GP200" s="345"/>
      <c r="GQ200" s="345"/>
      <c r="GR200" s="345"/>
      <c r="GS200" s="345"/>
      <c r="GT200" s="345"/>
      <c r="GU200" s="345"/>
    </row>
    <row r="201" spans="23:203">
      <c r="W201" s="476"/>
      <c r="X201" s="476"/>
      <c r="Y201" s="476"/>
      <c r="Z201" s="476"/>
      <c r="AA201" s="476"/>
      <c r="AB201" s="476"/>
      <c r="AC201" s="476"/>
      <c r="AD201" s="476"/>
      <c r="AE201" s="476"/>
      <c r="AF201" s="476"/>
      <c r="AG201" s="476"/>
      <c r="AH201" s="476"/>
      <c r="AI201" s="476"/>
      <c r="AJ201" s="476"/>
      <c r="AK201" s="476"/>
      <c r="AL201" s="476"/>
      <c r="AM201" s="476"/>
      <c r="AN201" s="476"/>
      <c r="AO201" s="476"/>
      <c r="AP201" s="476"/>
      <c r="AQ201" s="476"/>
      <c r="AR201" s="476"/>
      <c r="AS201" s="476"/>
      <c r="AT201" s="476"/>
      <c r="AU201" s="476"/>
      <c r="AV201" s="476"/>
      <c r="AW201" s="476"/>
      <c r="AX201" s="476"/>
      <c r="AY201" s="476"/>
      <c r="AZ201" s="476"/>
      <c r="BA201" s="476"/>
      <c r="BB201" s="476"/>
      <c r="BC201" s="476"/>
      <c r="BD201" s="476"/>
      <c r="BE201" s="476"/>
      <c r="BF201" s="476"/>
      <c r="BG201" s="476"/>
      <c r="BH201" s="476"/>
      <c r="BI201" s="476"/>
      <c r="BJ201" s="476"/>
      <c r="BK201" s="476"/>
      <c r="BL201" s="476"/>
      <c r="BM201" s="476"/>
      <c r="BN201" s="476"/>
      <c r="BO201" s="476"/>
      <c r="BP201" s="476"/>
      <c r="BQ201" s="476"/>
      <c r="BR201" s="476"/>
      <c r="BS201" s="476"/>
      <c r="BT201" s="476"/>
      <c r="BU201" s="476"/>
      <c r="BV201" s="476"/>
      <c r="BW201" s="476"/>
      <c r="BX201" s="476"/>
      <c r="BY201" s="476"/>
      <c r="BZ201" s="476"/>
      <c r="CA201" s="476"/>
      <c r="CB201" s="476"/>
      <c r="CC201" s="476"/>
      <c r="CD201" s="476"/>
      <c r="CE201" s="476"/>
      <c r="CF201" s="476"/>
      <c r="CG201" s="476"/>
      <c r="CH201" s="476"/>
      <c r="CI201" s="476"/>
      <c r="CJ201" s="476"/>
      <c r="CK201" s="476"/>
      <c r="CL201" s="476"/>
      <c r="CM201" s="476"/>
      <c r="CN201" s="476"/>
      <c r="CO201" s="476"/>
      <c r="CP201" s="476"/>
      <c r="CQ201" s="476"/>
      <c r="CR201" s="476"/>
      <c r="CS201" s="476"/>
      <c r="CT201" s="476"/>
      <c r="CU201" s="476"/>
      <c r="CV201" s="476"/>
      <c r="CW201" s="345"/>
      <c r="CX201" s="345"/>
      <c r="CY201" s="345"/>
      <c r="CZ201" s="345"/>
      <c r="DA201" s="345"/>
      <c r="DB201" s="345"/>
      <c r="DC201" s="345"/>
      <c r="DD201" s="345"/>
      <c r="DE201" s="345"/>
      <c r="DF201" s="345"/>
      <c r="DG201" s="345"/>
      <c r="DH201" s="345"/>
      <c r="DI201" s="345"/>
      <c r="DJ201" s="345"/>
      <c r="DK201" s="345"/>
      <c r="DL201" s="345"/>
      <c r="DM201" s="345"/>
      <c r="DN201" s="345"/>
      <c r="DO201" s="345"/>
      <c r="DP201" s="345"/>
      <c r="DQ201" s="345"/>
      <c r="DR201" s="345"/>
      <c r="DS201" s="345"/>
      <c r="DT201" s="345"/>
      <c r="DU201" s="345"/>
      <c r="DV201" s="345"/>
      <c r="DW201" s="345"/>
      <c r="DX201" s="345"/>
      <c r="DY201" s="345"/>
      <c r="DZ201" s="345"/>
      <c r="EA201" s="345"/>
      <c r="EB201" s="345"/>
      <c r="EC201" s="345"/>
      <c r="ED201" s="345"/>
      <c r="EE201" s="345"/>
      <c r="EF201" s="345"/>
      <c r="EG201" s="345"/>
      <c r="EH201" s="345"/>
      <c r="EI201" s="345"/>
      <c r="EJ201" s="345"/>
      <c r="EK201" s="345"/>
      <c r="EL201" s="345"/>
      <c r="EM201" s="345"/>
      <c r="EN201" s="345"/>
      <c r="EO201" s="345"/>
      <c r="EP201" s="345"/>
      <c r="EQ201" s="345"/>
      <c r="ER201" s="345"/>
      <c r="ES201" s="345"/>
      <c r="ET201" s="345"/>
      <c r="EU201" s="345"/>
      <c r="EV201" s="345"/>
      <c r="EW201" s="345"/>
      <c r="EX201" s="345"/>
      <c r="EY201" s="345"/>
      <c r="EZ201" s="345"/>
      <c r="FA201" s="345"/>
      <c r="FB201" s="345"/>
      <c r="FC201" s="345"/>
      <c r="FD201" s="345"/>
      <c r="FE201" s="345"/>
      <c r="FF201" s="345"/>
      <c r="FG201" s="345"/>
      <c r="FH201" s="345"/>
      <c r="FI201" s="345"/>
      <c r="FJ201" s="345"/>
      <c r="FK201" s="345"/>
      <c r="FL201" s="345"/>
      <c r="FM201" s="345"/>
      <c r="FN201" s="345"/>
      <c r="FO201" s="345"/>
      <c r="FP201" s="345"/>
      <c r="FQ201" s="345"/>
      <c r="FR201" s="345"/>
      <c r="FS201" s="345"/>
      <c r="FT201" s="345"/>
      <c r="FU201" s="345"/>
      <c r="FV201" s="345"/>
      <c r="FW201" s="345"/>
      <c r="FX201" s="345"/>
      <c r="FY201" s="345"/>
      <c r="FZ201" s="345"/>
      <c r="GA201" s="345"/>
      <c r="GB201" s="345"/>
      <c r="GC201" s="345"/>
      <c r="GD201" s="345"/>
      <c r="GE201" s="345"/>
      <c r="GF201" s="345"/>
      <c r="GG201" s="345"/>
      <c r="GH201" s="345"/>
      <c r="GI201" s="345"/>
      <c r="GJ201" s="345"/>
      <c r="GK201" s="345"/>
      <c r="GL201" s="345"/>
      <c r="GM201" s="345"/>
      <c r="GN201" s="345"/>
      <c r="GO201" s="345"/>
      <c r="GP201" s="345"/>
      <c r="GQ201" s="345"/>
      <c r="GR201" s="345"/>
      <c r="GS201" s="345"/>
      <c r="GT201" s="345"/>
      <c r="GU201" s="345"/>
    </row>
    <row r="202" spans="23:203">
      <c r="W202" s="476"/>
      <c r="X202" s="476"/>
      <c r="Y202" s="476"/>
      <c r="Z202" s="476"/>
      <c r="AA202" s="476"/>
      <c r="AB202" s="476"/>
      <c r="AC202" s="476"/>
      <c r="AD202" s="476"/>
      <c r="AE202" s="476"/>
      <c r="AF202" s="476"/>
      <c r="AG202" s="476"/>
      <c r="AH202" s="476"/>
      <c r="AI202" s="476"/>
      <c r="AJ202" s="476"/>
      <c r="AK202" s="476"/>
      <c r="AL202" s="476"/>
      <c r="AM202" s="476"/>
      <c r="AN202" s="476"/>
      <c r="AO202" s="476"/>
      <c r="AP202" s="476"/>
      <c r="AQ202" s="476"/>
      <c r="AR202" s="476"/>
      <c r="AS202" s="476"/>
      <c r="AT202" s="476"/>
      <c r="AU202" s="476"/>
      <c r="AV202" s="476"/>
      <c r="AW202" s="476"/>
      <c r="AX202" s="476"/>
      <c r="AY202" s="476"/>
      <c r="AZ202" s="476"/>
      <c r="BA202" s="476"/>
      <c r="BB202" s="476"/>
      <c r="BC202" s="476"/>
      <c r="BD202" s="476"/>
      <c r="BE202" s="476"/>
      <c r="BF202" s="476"/>
      <c r="BG202" s="476"/>
      <c r="BH202" s="476"/>
      <c r="BI202" s="476"/>
      <c r="BJ202" s="476"/>
      <c r="BK202" s="476"/>
      <c r="BL202" s="476"/>
      <c r="BM202" s="476"/>
      <c r="BN202" s="476"/>
      <c r="BO202" s="476"/>
      <c r="BP202" s="476"/>
      <c r="BQ202" s="476"/>
      <c r="BR202" s="476"/>
      <c r="BS202" s="476"/>
      <c r="BT202" s="476"/>
      <c r="BU202" s="476"/>
      <c r="BV202" s="476"/>
      <c r="BW202" s="476"/>
      <c r="BX202" s="476"/>
      <c r="BY202" s="476"/>
      <c r="BZ202" s="476"/>
      <c r="CA202" s="476"/>
      <c r="CB202" s="476"/>
      <c r="CC202" s="476"/>
      <c r="CD202" s="476"/>
      <c r="CE202" s="476"/>
      <c r="CF202" s="476"/>
      <c r="CG202" s="476"/>
      <c r="CH202" s="476"/>
      <c r="CI202" s="476"/>
      <c r="CJ202" s="476"/>
      <c r="CK202" s="476"/>
      <c r="CL202" s="476"/>
      <c r="CM202" s="476"/>
      <c r="CN202" s="476"/>
      <c r="CO202" s="476"/>
      <c r="CP202" s="476"/>
      <c r="CQ202" s="476"/>
      <c r="CR202" s="476"/>
      <c r="CS202" s="476"/>
      <c r="CT202" s="476"/>
      <c r="CU202" s="476"/>
      <c r="CV202" s="476"/>
      <c r="CW202" s="345"/>
      <c r="CX202" s="345"/>
      <c r="CY202" s="345"/>
      <c r="CZ202" s="345"/>
      <c r="DA202" s="345"/>
      <c r="DB202" s="345"/>
      <c r="DC202" s="345"/>
      <c r="DD202" s="345"/>
      <c r="DE202" s="345"/>
      <c r="DF202" s="345"/>
      <c r="DG202" s="345"/>
      <c r="DH202" s="345"/>
      <c r="DI202" s="345"/>
      <c r="DJ202" s="345"/>
      <c r="DK202" s="345"/>
      <c r="DL202" s="345"/>
      <c r="DM202" s="345"/>
      <c r="DN202" s="345"/>
      <c r="DO202" s="345"/>
      <c r="DP202" s="345"/>
      <c r="DQ202" s="345"/>
      <c r="DR202" s="345"/>
      <c r="DS202" s="345"/>
      <c r="DT202" s="345"/>
      <c r="DU202" s="345"/>
      <c r="DV202" s="345"/>
      <c r="DW202" s="345"/>
      <c r="DX202" s="345"/>
      <c r="DY202" s="345"/>
      <c r="DZ202" s="345"/>
      <c r="EA202" s="345"/>
      <c r="EB202" s="345"/>
      <c r="EC202" s="345"/>
      <c r="ED202" s="345"/>
      <c r="EE202" s="345"/>
      <c r="EF202" s="345"/>
      <c r="EG202" s="345"/>
      <c r="EH202" s="345"/>
      <c r="EI202" s="345"/>
      <c r="EJ202" s="345"/>
      <c r="EK202" s="345"/>
      <c r="EL202" s="345"/>
      <c r="EM202" s="345"/>
      <c r="EN202" s="345"/>
      <c r="EO202" s="345"/>
      <c r="EP202" s="345"/>
      <c r="EQ202" s="345"/>
      <c r="ER202" s="345"/>
      <c r="ES202" s="345"/>
      <c r="ET202" s="345"/>
      <c r="EU202" s="345"/>
      <c r="EV202" s="345"/>
      <c r="EW202" s="345"/>
      <c r="EX202" s="345"/>
      <c r="EY202" s="345"/>
      <c r="EZ202" s="345"/>
      <c r="FA202" s="345"/>
      <c r="FB202" s="345"/>
      <c r="FC202" s="345"/>
      <c r="FD202" s="345"/>
      <c r="FE202" s="345"/>
      <c r="FF202" s="345"/>
      <c r="FG202" s="345"/>
      <c r="FH202" s="345"/>
      <c r="FI202" s="345"/>
      <c r="FJ202" s="345"/>
      <c r="FK202" s="345"/>
      <c r="FL202" s="345"/>
      <c r="FM202" s="345"/>
      <c r="FN202" s="345"/>
      <c r="FO202" s="345"/>
      <c r="FP202" s="345"/>
      <c r="FQ202" s="345"/>
      <c r="FR202" s="345"/>
      <c r="FS202" s="345"/>
      <c r="FT202" s="345"/>
      <c r="FU202" s="345"/>
      <c r="FV202" s="345"/>
      <c r="FW202" s="345"/>
      <c r="FX202" s="345"/>
      <c r="FY202" s="345"/>
      <c r="FZ202" s="345"/>
      <c r="GA202" s="345"/>
      <c r="GB202" s="345"/>
      <c r="GC202" s="345"/>
      <c r="GD202" s="345"/>
      <c r="GE202" s="345"/>
      <c r="GF202" s="345"/>
      <c r="GG202" s="345"/>
      <c r="GH202" s="345"/>
      <c r="GI202" s="345"/>
      <c r="GJ202" s="345"/>
      <c r="GK202" s="345"/>
      <c r="GL202" s="345"/>
      <c r="GM202" s="345"/>
      <c r="GN202" s="345"/>
      <c r="GO202" s="345"/>
      <c r="GP202" s="345"/>
      <c r="GQ202" s="345"/>
      <c r="GR202" s="345"/>
      <c r="GS202" s="345"/>
      <c r="GT202" s="345"/>
      <c r="GU202" s="345"/>
    </row>
    <row r="203" spans="23:203">
      <c r="W203" s="476"/>
      <c r="X203" s="476"/>
      <c r="Y203" s="476"/>
      <c r="Z203" s="476"/>
      <c r="AA203" s="476"/>
      <c r="AB203" s="476"/>
      <c r="AC203" s="476"/>
      <c r="AD203" s="476"/>
      <c r="AE203" s="476"/>
      <c r="AF203" s="476"/>
      <c r="AG203" s="476"/>
      <c r="AH203" s="476"/>
      <c r="AI203" s="476"/>
      <c r="AJ203" s="476"/>
      <c r="AK203" s="476"/>
      <c r="AL203" s="476"/>
      <c r="AM203" s="476"/>
      <c r="AN203" s="476"/>
      <c r="AO203" s="476"/>
      <c r="AP203" s="476"/>
      <c r="AQ203" s="476"/>
      <c r="AR203" s="476"/>
      <c r="AS203" s="476"/>
      <c r="AT203" s="476"/>
      <c r="AU203" s="476"/>
      <c r="AV203" s="476"/>
      <c r="AW203" s="476"/>
      <c r="AX203" s="476"/>
      <c r="AY203" s="476"/>
      <c r="AZ203" s="476"/>
      <c r="BA203" s="476"/>
      <c r="BB203" s="476"/>
      <c r="BC203" s="476"/>
      <c r="BD203" s="476"/>
      <c r="BE203" s="476"/>
      <c r="BF203" s="476"/>
      <c r="BG203" s="476"/>
      <c r="BH203" s="476"/>
      <c r="BI203" s="476"/>
      <c r="BJ203" s="476"/>
      <c r="BK203" s="476"/>
      <c r="BL203" s="476"/>
      <c r="BM203" s="476"/>
      <c r="BN203" s="476"/>
      <c r="BO203" s="476"/>
      <c r="BP203" s="476"/>
      <c r="BQ203" s="476"/>
      <c r="BR203" s="476"/>
      <c r="BS203" s="476"/>
      <c r="BT203" s="476"/>
      <c r="BU203" s="476"/>
      <c r="BV203" s="476"/>
      <c r="BW203" s="476"/>
      <c r="BX203" s="476"/>
      <c r="BY203" s="476"/>
      <c r="BZ203" s="476"/>
      <c r="CA203" s="476"/>
      <c r="CB203" s="476"/>
      <c r="CC203" s="476"/>
      <c r="CD203" s="476"/>
      <c r="CE203" s="476"/>
      <c r="CF203" s="476"/>
      <c r="CG203" s="476"/>
      <c r="CH203" s="476"/>
      <c r="CI203" s="476"/>
      <c r="CJ203" s="476"/>
      <c r="CK203" s="476"/>
      <c r="CL203" s="476"/>
      <c r="CM203" s="476"/>
      <c r="CN203" s="476"/>
      <c r="CO203" s="476"/>
      <c r="CP203" s="476"/>
      <c r="CQ203" s="476"/>
      <c r="CR203" s="476"/>
      <c r="CS203" s="476"/>
      <c r="CT203" s="476"/>
      <c r="CU203" s="476"/>
      <c r="CV203" s="476"/>
      <c r="CW203" s="345"/>
      <c r="CX203" s="345"/>
      <c r="CY203" s="345"/>
      <c r="CZ203" s="345"/>
      <c r="DA203" s="345"/>
      <c r="DB203" s="345"/>
      <c r="DC203" s="345"/>
      <c r="DD203" s="345"/>
      <c r="DE203" s="345"/>
      <c r="DF203" s="345"/>
      <c r="DG203" s="345"/>
      <c r="DH203" s="345"/>
      <c r="DI203" s="345"/>
      <c r="DJ203" s="345"/>
      <c r="DK203" s="345"/>
      <c r="DL203" s="345"/>
      <c r="DM203" s="345"/>
      <c r="DN203" s="345"/>
      <c r="DO203" s="345"/>
      <c r="DP203" s="345"/>
      <c r="DQ203" s="345"/>
      <c r="DR203" s="345"/>
      <c r="DS203" s="345"/>
      <c r="DT203" s="345"/>
      <c r="DU203" s="345"/>
      <c r="DV203" s="345"/>
      <c r="DW203" s="345"/>
      <c r="DX203" s="345"/>
      <c r="DY203" s="345"/>
      <c r="DZ203" s="345"/>
      <c r="EA203" s="345"/>
      <c r="EB203" s="345"/>
      <c r="EC203" s="345"/>
      <c r="ED203" s="345"/>
      <c r="EE203" s="345"/>
      <c r="EF203" s="345"/>
      <c r="EG203" s="345"/>
      <c r="EH203" s="345"/>
      <c r="EI203" s="345"/>
      <c r="EJ203" s="345"/>
      <c r="EK203" s="345"/>
      <c r="EL203" s="345"/>
      <c r="EM203" s="345"/>
      <c r="EN203" s="345"/>
      <c r="EO203" s="345"/>
      <c r="EP203" s="345"/>
      <c r="EQ203" s="345"/>
      <c r="ER203" s="345"/>
      <c r="ES203" s="345"/>
      <c r="ET203" s="345"/>
      <c r="EU203" s="345"/>
      <c r="EV203" s="345"/>
      <c r="EW203" s="345"/>
      <c r="EX203" s="345"/>
      <c r="EY203" s="345"/>
      <c r="EZ203" s="345"/>
      <c r="FA203" s="345"/>
      <c r="FB203" s="345"/>
      <c r="FC203" s="345"/>
      <c r="FD203" s="345"/>
      <c r="FE203" s="345"/>
      <c r="FF203" s="345"/>
      <c r="FG203" s="345"/>
      <c r="FH203" s="345"/>
      <c r="FI203" s="345"/>
      <c r="FJ203" s="345"/>
      <c r="FK203" s="345"/>
      <c r="FL203" s="345"/>
      <c r="FM203" s="345"/>
      <c r="FN203" s="345"/>
      <c r="FO203" s="345"/>
      <c r="FP203" s="345"/>
      <c r="FQ203" s="345"/>
      <c r="FR203" s="345"/>
      <c r="FS203" s="345"/>
      <c r="FT203" s="345"/>
      <c r="FU203" s="345"/>
      <c r="FV203" s="345"/>
      <c r="FW203" s="345"/>
      <c r="FX203" s="345"/>
      <c r="FY203" s="345"/>
      <c r="FZ203" s="345"/>
      <c r="GA203" s="345"/>
      <c r="GB203" s="345"/>
      <c r="GC203" s="345"/>
      <c r="GD203" s="345"/>
      <c r="GE203" s="345"/>
      <c r="GF203" s="345"/>
      <c r="GG203" s="345"/>
      <c r="GH203" s="345"/>
      <c r="GI203" s="345"/>
      <c r="GJ203" s="345"/>
      <c r="GK203" s="345"/>
      <c r="GL203" s="345"/>
      <c r="GM203" s="345"/>
      <c r="GN203" s="345"/>
      <c r="GO203" s="345"/>
      <c r="GP203" s="345"/>
      <c r="GQ203" s="345"/>
      <c r="GR203" s="345"/>
      <c r="GS203" s="345"/>
      <c r="GT203" s="345"/>
      <c r="GU203" s="345"/>
    </row>
    <row r="204" spans="23:203">
      <c r="W204" s="476"/>
      <c r="X204" s="476"/>
      <c r="Y204" s="476"/>
      <c r="Z204" s="476"/>
      <c r="AA204" s="476"/>
      <c r="AB204" s="476"/>
      <c r="AC204" s="476"/>
      <c r="AD204" s="476"/>
      <c r="AE204" s="476"/>
      <c r="AF204" s="476"/>
      <c r="AG204" s="476"/>
      <c r="AH204" s="476"/>
      <c r="AI204" s="476"/>
      <c r="AJ204" s="476"/>
      <c r="AK204" s="476"/>
      <c r="AL204" s="476"/>
      <c r="AM204" s="476"/>
      <c r="AN204" s="476"/>
      <c r="AO204" s="476"/>
      <c r="AP204" s="476"/>
      <c r="AQ204" s="476"/>
      <c r="AR204" s="476"/>
      <c r="AS204" s="476"/>
      <c r="AT204" s="476"/>
      <c r="AU204" s="476"/>
      <c r="AV204" s="476"/>
      <c r="AW204" s="476"/>
      <c r="AX204" s="476"/>
      <c r="AY204" s="476"/>
      <c r="AZ204" s="476"/>
      <c r="BA204" s="476"/>
      <c r="BB204" s="476"/>
      <c r="BC204" s="476"/>
      <c r="BD204" s="476"/>
      <c r="BE204" s="476"/>
      <c r="BF204" s="476"/>
      <c r="BG204" s="476"/>
      <c r="BH204" s="476"/>
      <c r="BI204" s="476"/>
      <c r="BJ204" s="476"/>
      <c r="BK204" s="476"/>
      <c r="BL204" s="476"/>
      <c r="BM204" s="476"/>
      <c r="BN204" s="476"/>
      <c r="BO204" s="476"/>
      <c r="BP204" s="476"/>
      <c r="BQ204" s="476"/>
      <c r="BR204" s="476"/>
      <c r="BS204" s="476"/>
      <c r="BT204" s="476"/>
      <c r="BU204" s="476"/>
      <c r="BV204" s="476"/>
      <c r="BW204" s="476"/>
      <c r="BX204" s="476"/>
      <c r="BY204" s="476"/>
      <c r="BZ204" s="476"/>
      <c r="CA204" s="476"/>
      <c r="CB204" s="476"/>
      <c r="CC204" s="476"/>
      <c r="CD204" s="476"/>
      <c r="CE204" s="476"/>
      <c r="CF204" s="476"/>
      <c r="CG204" s="476"/>
      <c r="CH204" s="476"/>
      <c r="CI204" s="476"/>
      <c r="CJ204" s="476"/>
      <c r="CK204" s="476"/>
      <c r="CL204" s="476"/>
      <c r="CM204" s="476"/>
      <c r="CN204" s="476"/>
      <c r="CO204" s="476"/>
      <c r="CP204" s="476"/>
      <c r="CQ204" s="476"/>
      <c r="CR204" s="476"/>
      <c r="CS204" s="476"/>
      <c r="CT204" s="476"/>
      <c r="CU204" s="476"/>
      <c r="CV204" s="476"/>
      <c r="CW204" s="345"/>
      <c r="CX204" s="345"/>
      <c r="CY204" s="345"/>
      <c r="CZ204" s="345"/>
      <c r="DA204" s="345"/>
      <c r="DB204" s="345"/>
      <c r="DC204" s="345"/>
      <c r="DD204" s="345"/>
      <c r="DE204" s="345"/>
      <c r="DF204" s="345"/>
      <c r="DG204" s="345"/>
      <c r="DH204" s="345"/>
      <c r="DI204" s="345"/>
      <c r="DJ204" s="345"/>
      <c r="DK204" s="345"/>
      <c r="DL204" s="345"/>
      <c r="DM204" s="345"/>
      <c r="DN204" s="345"/>
      <c r="DO204" s="345"/>
      <c r="DP204" s="345"/>
      <c r="DQ204" s="345"/>
      <c r="DR204" s="345"/>
      <c r="DS204" s="345"/>
      <c r="DT204" s="345"/>
      <c r="DU204" s="345"/>
      <c r="DV204" s="345"/>
      <c r="DW204" s="345"/>
      <c r="DX204" s="345"/>
      <c r="DY204" s="345"/>
      <c r="DZ204" s="345"/>
      <c r="EA204" s="345"/>
      <c r="EB204" s="345"/>
      <c r="EC204" s="345"/>
      <c r="ED204" s="345"/>
      <c r="EE204" s="345"/>
      <c r="EF204" s="345"/>
      <c r="EG204" s="345"/>
      <c r="EH204" s="345"/>
      <c r="EI204" s="345"/>
      <c r="EJ204" s="345"/>
      <c r="EK204" s="345"/>
      <c r="EL204" s="345"/>
      <c r="EM204" s="345"/>
      <c r="EN204" s="345"/>
      <c r="EO204" s="345"/>
      <c r="EP204" s="345"/>
      <c r="EQ204" s="345"/>
      <c r="ER204" s="345"/>
      <c r="ES204" s="345"/>
      <c r="ET204" s="345"/>
      <c r="EU204" s="345"/>
      <c r="EV204" s="345"/>
      <c r="EW204" s="345"/>
      <c r="EX204" s="345"/>
      <c r="EY204" s="345"/>
      <c r="EZ204" s="345"/>
      <c r="FA204" s="345"/>
      <c r="FB204" s="345"/>
      <c r="FC204" s="345"/>
      <c r="FD204" s="345"/>
      <c r="FE204" s="345"/>
      <c r="FF204" s="345"/>
      <c r="FG204" s="345"/>
      <c r="FH204" s="345"/>
      <c r="FI204" s="345"/>
      <c r="FJ204" s="345"/>
      <c r="FK204" s="345"/>
      <c r="FL204" s="345"/>
      <c r="FM204" s="345"/>
      <c r="FN204" s="345"/>
      <c r="FO204" s="345"/>
      <c r="FP204" s="345"/>
      <c r="FQ204" s="345"/>
      <c r="FR204" s="345"/>
      <c r="FS204" s="345"/>
      <c r="FT204" s="345"/>
      <c r="FU204" s="345"/>
      <c r="FV204" s="345"/>
      <c r="FW204" s="345"/>
      <c r="FX204" s="345"/>
      <c r="FY204" s="345"/>
      <c r="FZ204" s="345"/>
      <c r="GA204" s="345"/>
      <c r="GB204" s="345"/>
      <c r="GC204" s="345"/>
      <c r="GD204" s="345"/>
      <c r="GE204" s="345"/>
      <c r="GF204" s="345"/>
      <c r="GG204" s="345"/>
      <c r="GH204" s="345"/>
      <c r="GI204" s="345"/>
      <c r="GJ204" s="345"/>
      <c r="GK204" s="345"/>
      <c r="GL204" s="345"/>
      <c r="GM204" s="345"/>
      <c r="GN204" s="345"/>
      <c r="GO204" s="345"/>
      <c r="GP204" s="345"/>
      <c r="GQ204" s="345"/>
      <c r="GR204" s="345"/>
      <c r="GS204" s="345"/>
      <c r="GT204" s="345"/>
      <c r="GU204" s="345"/>
    </row>
    <row r="205" spans="23:203">
      <c r="W205" s="345"/>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c r="AS205" s="345"/>
      <c r="AT205" s="345"/>
      <c r="AU205" s="345"/>
      <c r="AV205" s="345"/>
      <c r="AW205" s="345"/>
      <c r="AX205" s="345"/>
      <c r="AY205" s="345"/>
      <c r="AZ205" s="345"/>
      <c r="BA205" s="345"/>
      <c r="BB205" s="345"/>
      <c r="BC205" s="345"/>
      <c r="BD205" s="345"/>
      <c r="BE205" s="345"/>
      <c r="BF205" s="345"/>
      <c r="BG205" s="345"/>
      <c r="BH205" s="345"/>
      <c r="BI205" s="345"/>
      <c r="BJ205" s="345"/>
      <c r="BK205" s="345"/>
      <c r="BL205" s="345"/>
      <c r="BM205" s="345"/>
      <c r="BN205" s="345"/>
      <c r="BO205" s="345"/>
      <c r="BP205" s="345"/>
      <c r="BQ205" s="345"/>
      <c r="BR205" s="345"/>
      <c r="BS205" s="345"/>
      <c r="BT205" s="345"/>
      <c r="BU205" s="345"/>
      <c r="BV205" s="345"/>
      <c r="BW205" s="345"/>
      <c r="BX205" s="345"/>
      <c r="BY205" s="345"/>
      <c r="BZ205" s="345"/>
      <c r="CA205" s="345"/>
      <c r="CB205" s="345"/>
      <c r="CC205" s="345"/>
      <c r="CD205" s="345"/>
      <c r="CE205" s="345"/>
      <c r="CF205" s="345"/>
      <c r="CG205" s="345"/>
      <c r="CH205" s="345"/>
      <c r="CI205" s="345"/>
      <c r="CJ205" s="345"/>
      <c r="CK205" s="345"/>
      <c r="CL205" s="345"/>
      <c r="CM205" s="345"/>
      <c r="CN205" s="345"/>
      <c r="CO205" s="345"/>
      <c r="CP205" s="345"/>
      <c r="CQ205" s="345"/>
      <c r="CR205" s="345"/>
      <c r="CS205" s="345"/>
      <c r="CT205" s="345"/>
      <c r="CU205" s="345"/>
      <c r="CV205" s="345"/>
      <c r="CW205" s="345"/>
      <c r="CX205" s="345"/>
      <c r="CY205" s="345"/>
      <c r="CZ205" s="345"/>
      <c r="DA205" s="345"/>
      <c r="DB205" s="345"/>
      <c r="DC205" s="345"/>
      <c r="DD205" s="345"/>
      <c r="DE205" s="345"/>
      <c r="DF205" s="345"/>
      <c r="DG205" s="345"/>
      <c r="DH205" s="345"/>
      <c r="DI205" s="345"/>
      <c r="DJ205" s="345"/>
      <c r="DK205" s="345"/>
      <c r="DL205" s="345"/>
      <c r="DM205" s="345"/>
      <c r="DN205" s="345"/>
      <c r="DO205" s="345"/>
      <c r="DP205" s="345"/>
      <c r="DQ205" s="345"/>
      <c r="DR205" s="345"/>
      <c r="DS205" s="345"/>
      <c r="DT205" s="345"/>
      <c r="DU205" s="345"/>
      <c r="DV205" s="345"/>
      <c r="DW205" s="345"/>
      <c r="DX205" s="345"/>
      <c r="DY205" s="345"/>
      <c r="DZ205" s="345"/>
      <c r="EA205" s="345"/>
      <c r="EB205" s="345"/>
      <c r="EC205" s="345"/>
      <c r="ED205" s="345"/>
      <c r="EE205" s="345"/>
      <c r="EF205" s="345"/>
      <c r="EG205" s="345"/>
      <c r="EH205" s="345"/>
      <c r="EI205" s="345"/>
      <c r="EJ205" s="345"/>
      <c r="EK205" s="345"/>
      <c r="EL205" s="345"/>
      <c r="EM205" s="345"/>
      <c r="EN205" s="345"/>
      <c r="EO205" s="345"/>
      <c r="EP205" s="345"/>
      <c r="EQ205" s="345"/>
      <c r="ER205" s="345"/>
      <c r="ES205" s="345"/>
      <c r="ET205" s="345"/>
      <c r="EU205" s="345"/>
      <c r="EV205" s="345"/>
      <c r="EW205" s="345"/>
      <c r="EX205" s="345"/>
      <c r="EY205" s="345"/>
      <c r="EZ205" s="345"/>
      <c r="FA205" s="345"/>
      <c r="FB205" s="345"/>
      <c r="FC205" s="345"/>
      <c r="FD205" s="345"/>
      <c r="FE205" s="345"/>
      <c r="FF205" s="345"/>
      <c r="FG205" s="345"/>
      <c r="FH205" s="345"/>
      <c r="FI205" s="345"/>
      <c r="FJ205" s="345"/>
      <c r="FK205" s="345"/>
      <c r="FL205" s="345"/>
      <c r="FM205" s="345"/>
      <c r="FN205" s="345"/>
      <c r="FO205" s="345"/>
      <c r="FP205" s="345"/>
      <c r="FQ205" s="345"/>
      <c r="FR205" s="345"/>
      <c r="FS205" s="345"/>
      <c r="FT205" s="345"/>
      <c r="FU205" s="345"/>
      <c r="FV205" s="345"/>
      <c r="FW205" s="345"/>
      <c r="FX205" s="345"/>
      <c r="FY205" s="345"/>
      <c r="FZ205" s="345"/>
      <c r="GA205" s="345"/>
      <c r="GB205" s="345"/>
      <c r="GC205" s="345"/>
      <c r="GD205" s="345"/>
      <c r="GE205" s="345"/>
      <c r="GF205" s="345"/>
      <c r="GG205" s="345"/>
      <c r="GH205" s="345"/>
      <c r="GI205" s="345"/>
      <c r="GJ205" s="345"/>
      <c r="GK205" s="345"/>
      <c r="GL205" s="345"/>
      <c r="GM205" s="345"/>
      <c r="GN205" s="345"/>
      <c r="GO205" s="345"/>
      <c r="GP205" s="345"/>
      <c r="GQ205" s="345"/>
      <c r="GR205" s="345"/>
      <c r="GS205" s="345"/>
      <c r="GT205" s="345"/>
      <c r="GU205" s="345"/>
    </row>
    <row r="206" spans="23:203">
      <c r="W206" s="345"/>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c r="AS206" s="345"/>
      <c r="AT206" s="345"/>
      <c r="AU206" s="345"/>
      <c r="AV206" s="345"/>
      <c r="AW206" s="345"/>
      <c r="AX206" s="345"/>
      <c r="AY206" s="345"/>
      <c r="AZ206" s="345"/>
      <c r="BA206" s="345"/>
      <c r="BB206" s="345"/>
      <c r="BC206" s="345"/>
      <c r="BD206" s="345"/>
      <c r="BE206" s="345"/>
      <c r="BF206" s="345"/>
      <c r="BG206" s="345"/>
      <c r="BH206" s="345"/>
      <c r="BI206" s="345"/>
      <c r="BJ206" s="345"/>
      <c r="BK206" s="345"/>
      <c r="BL206" s="345"/>
      <c r="BM206" s="345"/>
      <c r="BN206" s="345"/>
      <c r="BO206" s="345"/>
      <c r="BP206" s="345"/>
      <c r="BQ206" s="345"/>
      <c r="BR206" s="345"/>
      <c r="BS206" s="345"/>
      <c r="BT206" s="345"/>
      <c r="BU206" s="345"/>
      <c r="BV206" s="345"/>
      <c r="BW206" s="345"/>
      <c r="BX206" s="345"/>
      <c r="BY206" s="345"/>
      <c r="BZ206" s="345"/>
      <c r="CA206" s="345"/>
      <c r="CB206" s="345"/>
      <c r="CC206" s="345"/>
      <c r="CD206" s="345"/>
      <c r="CE206" s="345"/>
      <c r="CF206" s="345"/>
      <c r="CG206" s="345"/>
      <c r="CH206" s="345"/>
      <c r="CI206" s="345"/>
      <c r="CJ206" s="345"/>
      <c r="CK206" s="345"/>
      <c r="CL206" s="345"/>
      <c r="CM206" s="345"/>
      <c r="CN206" s="345"/>
      <c r="CO206" s="345"/>
      <c r="CP206" s="345"/>
      <c r="CQ206" s="345"/>
      <c r="CR206" s="345"/>
      <c r="CS206" s="345"/>
      <c r="CT206" s="345"/>
      <c r="CU206" s="345"/>
      <c r="CV206" s="345"/>
      <c r="CW206" s="345"/>
      <c r="CX206" s="345"/>
      <c r="CY206" s="345"/>
      <c r="CZ206" s="345"/>
      <c r="DA206" s="345"/>
      <c r="DB206" s="345"/>
      <c r="DC206" s="345"/>
      <c r="DD206" s="345"/>
      <c r="DE206" s="345"/>
      <c r="DF206" s="345"/>
      <c r="DG206" s="345"/>
      <c r="DH206" s="345"/>
      <c r="DI206" s="345"/>
      <c r="DJ206" s="345"/>
      <c r="DK206" s="345"/>
      <c r="DL206" s="345"/>
      <c r="DM206" s="345"/>
      <c r="DN206" s="345"/>
      <c r="DO206" s="345"/>
      <c r="DP206" s="345"/>
      <c r="DQ206" s="345"/>
      <c r="DR206" s="345"/>
      <c r="DS206" s="345"/>
      <c r="DT206" s="345"/>
      <c r="DU206" s="345"/>
      <c r="DV206" s="345"/>
      <c r="DW206" s="345"/>
      <c r="DX206" s="345"/>
      <c r="DY206" s="345"/>
      <c r="DZ206" s="345"/>
      <c r="EA206" s="345"/>
      <c r="EB206" s="345"/>
      <c r="EC206" s="345"/>
      <c r="ED206" s="345"/>
      <c r="EE206" s="345"/>
      <c r="EF206" s="345"/>
      <c r="EG206" s="345"/>
      <c r="EH206" s="345"/>
      <c r="EI206" s="345"/>
      <c r="EJ206" s="345"/>
      <c r="EK206" s="345"/>
      <c r="EL206" s="345"/>
      <c r="EM206" s="345"/>
      <c r="EN206" s="345"/>
      <c r="EO206" s="345"/>
      <c r="EP206" s="345"/>
      <c r="EQ206" s="345"/>
      <c r="ER206" s="345"/>
      <c r="ES206" s="345"/>
      <c r="ET206" s="345"/>
      <c r="EU206" s="345"/>
      <c r="EV206" s="345"/>
      <c r="EW206" s="345"/>
      <c r="EX206" s="345"/>
      <c r="EY206" s="345"/>
      <c r="EZ206" s="345"/>
      <c r="FA206" s="345"/>
      <c r="FB206" s="345"/>
      <c r="FC206" s="345"/>
      <c r="FD206" s="345"/>
      <c r="FE206" s="345"/>
      <c r="FF206" s="345"/>
      <c r="FG206" s="345"/>
      <c r="FH206" s="345"/>
      <c r="FI206" s="345"/>
      <c r="FJ206" s="345"/>
      <c r="FK206" s="345"/>
      <c r="FL206" s="345"/>
      <c r="FM206" s="345"/>
      <c r="FN206" s="345"/>
      <c r="FO206" s="345"/>
      <c r="FP206" s="345"/>
      <c r="FQ206" s="345"/>
      <c r="FR206" s="345"/>
      <c r="FS206" s="345"/>
      <c r="FT206" s="345"/>
      <c r="FU206" s="345"/>
      <c r="FV206" s="345"/>
      <c r="FW206" s="345"/>
      <c r="FX206" s="345"/>
      <c r="FY206" s="345"/>
      <c r="FZ206" s="345"/>
      <c r="GA206" s="345"/>
      <c r="GB206" s="345"/>
      <c r="GC206" s="345"/>
      <c r="GD206" s="345"/>
      <c r="GE206" s="345"/>
      <c r="GF206" s="345"/>
      <c r="GG206" s="345"/>
      <c r="GH206" s="345"/>
      <c r="GI206" s="345"/>
      <c r="GJ206" s="345"/>
      <c r="GK206" s="345"/>
      <c r="GL206" s="345"/>
      <c r="GM206" s="345"/>
      <c r="GN206" s="345"/>
      <c r="GO206" s="345"/>
      <c r="GP206" s="345"/>
      <c r="GQ206" s="345"/>
      <c r="GR206" s="345"/>
      <c r="GS206" s="345"/>
      <c r="GT206" s="345"/>
      <c r="GU206" s="345"/>
    </row>
    <row r="207" spans="23:203">
      <c r="W207" s="345"/>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c r="AS207" s="345"/>
      <c r="AT207" s="345"/>
      <c r="AU207" s="345"/>
      <c r="AV207" s="345"/>
      <c r="AW207" s="345"/>
      <c r="AX207" s="345"/>
      <c r="AY207" s="345"/>
      <c r="AZ207" s="345"/>
      <c r="BA207" s="345"/>
      <c r="BB207" s="345"/>
      <c r="BC207" s="345"/>
      <c r="BD207" s="345"/>
      <c r="BE207" s="345"/>
      <c r="BF207" s="345"/>
      <c r="BG207" s="345"/>
      <c r="BH207" s="345"/>
      <c r="BI207" s="345"/>
      <c r="BJ207" s="345"/>
      <c r="BK207" s="345"/>
      <c r="BL207" s="345"/>
      <c r="BM207" s="345"/>
      <c r="BN207" s="345"/>
      <c r="BO207" s="345"/>
      <c r="BP207" s="345"/>
      <c r="BQ207" s="345"/>
      <c r="BR207" s="345"/>
      <c r="BS207" s="345"/>
      <c r="BT207" s="345"/>
      <c r="BU207" s="345"/>
      <c r="BV207" s="345"/>
      <c r="BW207" s="345"/>
      <c r="BX207" s="345"/>
      <c r="BY207" s="345"/>
      <c r="BZ207" s="345"/>
      <c r="CA207" s="345"/>
      <c r="CB207" s="345"/>
      <c r="CC207" s="345"/>
      <c r="CD207" s="345"/>
      <c r="CE207" s="345"/>
      <c r="CF207" s="345"/>
      <c r="CG207" s="345"/>
      <c r="CH207" s="345"/>
      <c r="CI207" s="345"/>
      <c r="CJ207" s="345"/>
      <c r="CK207" s="345"/>
      <c r="CL207" s="345"/>
      <c r="CM207" s="345"/>
      <c r="CN207" s="345"/>
      <c r="CO207" s="345"/>
      <c r="CP207" s="345"/>
      <c r="CQ207" s="345"/>
      <c r="CR207" s="345"/>
      <c r="CS207" s="345"/>
      <c r="CT207" s="345"/>
      <c r="CU207" s="345"/>
      <c r="CV207" s="345"/>
      <c r="CW207" s="345"/>
      <c r="CX207" s="345"/>
      <c r="CY207" s="345"/>
      <c r="CZ207" s="345"/>
      <c r="DA207" s="345"/>
      <c r="DB207" s="345"/>
      <c r="DC207" s="345"/>
      <c r="DD207" s="345"/>
      <c r="DE207" s="345"/>
      <c r="DF207" s="345"/>
      <c r="DG207" s="345"/>
      <c r="DH207" s="345"/>
      <c r="DI207" s="345"/>
      <c r="DJ207" s="345"/>
      <c r="DK207" s="345"/>
      <c r="DL207" s="345"/>
      <c r="DM207" s="345"/>
      <c r="DN207" s="345"/>
      <c r="DO207" s="345"/>
      <c r="DP207" s="345"/>
      <c r="DQ207" s="345"/>
      <c r="DR207" s="345"/>
      <c r="DS207" s="345"/>
      <c r="DT207" s="345"/>
      <c r="DU207" s="345"/>
      <c r="DV207" s="345"/>
      <c r="DW207" s="345"/>
      <c r="DX207" s="345"/>
      <c r="DY207" s="345"/>
      <c r="DZ207" s="345"/>
      <c r="EA207" s="345"/>
      <c r="EB207" s="345"/>
      <c r="EC207" s="345"/>
      <c r="ED207" s="345"/>
      <c r="EE207" s="345"/>
      <c r="EF207" s="345"/>
      <c r="EG207" s="345"/>
      <c r="EH207" s="345"/>
      <c r="EI207" s="345"/>
      <c r="EJ207" s="345"/>
      <c r="EK207" s="345"/>
      <c r="EL207" s="345"/>
      <c r="EM207" s="345"/>
      <c r="EN207" s="345"/>
      <c r="EO207" s="345"/>
      <c r="EP207" s="345"/>
      <c r="EQ207" s="345"/>
      <c r="ER207" s="345"/>
      <c r="ES207" s="345"/>
      <c r="ET207" s="345"/>
      <c r="EU207" s="345"/>
      <c r="EV207" s="345"/>
      <c r="EW207" s="345"/>
      <c r="EX207" s="345"/>
      <c r="EY207" s="345"/>
      <c r="EZ207" s="345"/>
      <c r="FA207" s="345"/>
      <c r="FB207" s="345"/>
      <c r="FC207" s="345"/>
      <c r="FD207" s="345"/>
      <c r="FE207" s="345"/>
      <c r="FF207" s="345"/>
      <c r="FG207" s="345"/>
      <c r="FH207" s="345"/>
      <c r="FI207" s="345"/>
      <c r="FJ207" s="345"/>
      <c r="FK207" s="345"/>
      <c r="FL207" s="345"/>
      <c r="FM207" s="345"/>
      <c r="FN207" s="345"/>
      <c r="FO207" s="345"/>
      <c r="FP207" s="345"/>
      <c r="FQ207" s="345"/>
      <c r="FR207" s="345"/>
      <c r="FS207" s="345"/>
      <c r="FT207" s="345"/>
      <c r="FU207" s="345"/>
      <c r="FV207" s="345"/>
      <c r="FW207" s="345"/>
      <c r="FX207" s="345"/>
      <c r="FY207" s="345"/>
      <c r="FZ207" s="345"/>
      <c r="GA207" s="345"/>
      <c r="GB207" s="345"/>
      <c r="GC207" s="345"/>
      <c r="GD207" s="345"/>
      <c r="GE207" s="345"/>
      <c r="GF207" s="345"/>
      <c r="GG207" s="345"/>
      <c r="GH207" s="345"/>
      <c r="GI207" s="345"/>
      <c r="GJ207" s="345"/>
      <c r="GK207" s="345"/>
      <c r="GL207" s="345"/>
      <c r="GM207" s="345"/>
      <c r="GN207" s="345"/>
      <c r="GO207" s="345"/>
      <c r="GP207" s="345"/>
      <c r="GQ207" s="345"/>
      <c r="GR207" s="345"/>
      <c r="GS207" s="345"/>
      <c r="GT207" s="345"/>
      <c r="GU207" s="345"/>
    </row>
    <row r="208" spans="23:203">
      <c r="W208" s="345"/>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c r="AS208" s="345"/>
      <c r="AT208" s="345"/>
      <c r="AU208" s="345"/>
      <c r="AV208" s="345"/>
      <c r="AW208" s="345"/>
      <c r="AX208" s="345"/>
      <c r="AY208" s="345"/>
      <c r="AZ208" s="345"/>
      <c r="BA208" s="345"/>
      <c r="BB208" s="345"/>
      <c r="BC208" s="345"/>
      <c r="BD208" s="345"/>
      <c r="BE208" s="345"/>
      <c r="BF208" s="345"/>
      <c r="BG208" s="345"/>
      <c r="BH208" s="345"/>
      <c r="BI208" s="345"/>
      <c r="BJ208" s="345"/>
      <c r="BK208" s="345"/>
      <c r="BL208" s="345"/>
      <c r="BM208" s="345"/>
      <c r="BN208" s="345"/>
      <c r="BO208" s="345"/>
      <c r="BP208" s="345"/>
      <c r="BQ208" s="345"/>
      <c r="BR208" s="345"/>
      <c r="BS208" s="345"/>
      <c r="BT208" s="345"/>
      <c r="BU208" s="345"/>
      <c r="BV208" s="345"/>
      <c r="BW208" s="345"/>
      <c r="BX208" s="345"/>
      <c r="BY208" s="345"/>
      <c r="BZ208" s="345"/>
      <c r="CA208" s="345"/>
      <c r="CB208" s="345"/>
      <c r="CC208" s="345"/>
      <c r="CD208" s="345"/>
      <c r="CE208" s="345"/>
      <c r="CF208" s="345"/>
      <c r="CG208" s="345"/>
      <c r="CH208" s="345"/>
      <c r="CI208" s="345"/>
      <c r="CJ208" s="345"/>
      <c r="CK208" s="345"/>
      <c r="CL208" s="345"/>
      <c r="CM208" s="345"/>
      <c r="CN208" s="345"/>
      <c r="CO208" s="345"/>
      <c r="CP208" s="345"/>
      <c r="CQ208" s="345"/>
      <c r="CR208" s="345"/>
      <c r="CS208" s="345"/>
      <c r="CT208" s="345"/>
      <c r="CU208" s="345"/>
      <c r="CV208" s="345"/>
      <c r="CW208" s="345"/>
      <c r="CX208" s="345"/>
      <c r="CY208" s="345"/>
      <c r="CZ208" s="345"/>
      <c r="DA208" s="345"/>
      <c r="DB208" s="345"/>
      <c r="DC208" s="345"/>
      <c r="DD208" s="345"/>
      <c r="DE208" s="345"/>
      <c r="DF208" s="345"/>
      <c r="DG208" s="345"/>
      <c r="DH208" s="345"/>
      <c r="DI208" s="345"/>
      <c r="DJ208" s="345"/>
      <c r="DK208" s="345"/>
      <c r="DL208" s="345"/>
      <c r="DM208" s="345"/>
      <c r="DN208" s="345"/>
      <c r="DO208" s="345"/>
      <c r="DP208" s="345"/>
      <c r="DQ208" s="345"/>
      <c r="DR208" s="345"/>
      <c r="DS208" s="345"/>
      <c r="DT208" s="345"/>
      <c r="DU208" s="345"/>
      <c r="DV208" s="345"/>
      <c r="DW208" s="345"/>
      <c r="DX208" s="345"/>
      <c r="DY208" s="345"/>
      <c r="DZ208" s="345"/>
      <c r="EA208" s="345"/>
      <c r="EB208" s="345"/>
      <c r="EC208" s="345"/>
      <c r="ED208" s="345"/>
      <c r="EE208" s="345"/>
      <c r="EF208" s="345"/>
      <c r="EG208" s="345"/>
      <c r="EH208" s="345"/>
      <c r="EI208" s="345"/>
      <c r="EJ208" s="345"/>
      <c r="EK208" s="345"/>
      <c r="EL208" s="345"/>
      <c r="EM208" s="345"/>
      <c r="EN208" s="345"/>
      <c r="EO208" s="345"/>
      <c r="EP208" s="345"/>
      <c r="EQ208" s="345"/>
      <c r="ER208" s="345"/>
      <c r="ES208" s="345"/>
      <c r="ET208" s="345"/>
      <c r="EU208" s="345"/>
      <c r="EV208" s="345"/>
      <c r="EW208" s="345"/>
      <c r="EX208" s="345"/>
      <c r="EY208" s="345"/>
      <c r="EZ208" s="345"/>
      <c r="FA208" s="345"/>
      <c r="FB208" s="345"/>
      <c r="FC208" s="345"/>
      <c r="FD208" s="345"/>
      <c r="FE208" s="345"/>
      <c r="FF208" s="345"/>
      <c r="FG208" s="345"/>
      <c r="FH208" s="345"/>
      <c r="FI208" s="345"/>
      <c r="FJ208" s="345"/>
      <c r="FK208" s="345"/>
      <c r="FL208" s="345"/>
      <c r="FM208" s="345"/>
      <c r="FN208" s="345"/>
      <c r="FO208" s="345"/>
      <c r="FP208" s="345"/>
      <c r="FQ208" s="345"/>
      <c r="FR208" s="345"/>
      <c r="FS208" s="345"/>
      <c r="FT208" s="345"/>
      <c r="FU208" s="345"/>
      <c r="FV208" s="345"/>
      <c r="FW208" s="345"/>
      <c r="FX208" s="345"/>
      <c r="FY208" s="345"/>
      <c r="FZ208" s="345"/>
      <c r="GA208" s="345"/>
      <c r="GB208" s="345"/>
      <c r="GC208" s="345"/>
      <c r="GD208" s="345"/>
      <c r="GE208" s="345"/>
      <c r="GF208" s="345"/>
      <c r="GG208" s="345"/>
      <c r="GH208" s="345"/>
      <c r="GI208" s="345"/>
      <c r="GJ208" s="345"/>
      <c r="GK208" s="345"/>
      <c r="GL208" s="345"/>
      <c r="GM208" s="345"/>
      <c r="GN208" s="345"/>
      <c r="GO208" s="345"/>
      <c r="GP208" s="345"/>
      <c r="GQ208" s="345"/>
      <c r="GR208" s="345"/>
      <c r="GS208" s="345"/>
      <c r="GT208" s="345"/>
      <c r="GU208" s="345"/>
    </row>
    <row r="209" spans="23:203">
      <c r="W209" s="345"/>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c r="AS209" s="345"/>
      <c r="AT209" s="345"/>
      <c r="AU209" s="345"/>
      <c r="AV209" s="345"/>
      <c r="AW209" s="345"/>
      <c r="AX209" s="345"/>
      <c r="AY209" s="345"/>
      <c r="AZ209" s="345"/>
      <c r="BA209" s="345"/>
      <c r="BB209" s="345"/>
      <c r="BC209" s="345"/>
      <c r="BD209" s="345"/>
      <c r="BE209" s="345"/>
      <c r="BF209" s="345"/>
      <c r="BG209" s="345"/>
      <c r="BH209" s="345"/>
      <c r="BI209" s="345"/>
      <c r="BJ209" s="345"/>
      <c r="BK209" s="345"/>
      <c r="BL209" s="345"/>
      <c r="BM209" s="345"/>
      <c r="BN209" s="345"/>
      <c r="BO209" s="345"/>
      <c r="BP209" s="345"/>
      <c r="BQ209" s="345"/>
      <c r="BR209" s="345"/>
      <c r="BS209" s="345"/>
      <c r="BT209" s="345"/>
      <c r="BU209" s="345"/>
      <c r="BV209" s="345"/>
      <c r="BW209" s="345"/>
      <c r="BX209" s="345"/>
      <c r="BY209" s="345"/>
      <c r="BZ209" s="345"/>
      <c r="CA209" s="345"/>
      <c r="CB209" s="345"/>
      <c r="CC209" s="345"/>
      <c r="CD209" s="345"/>
      <c r="CE209" s="345"/>
      <c r="CF209" s="345"/>
      <c r="CG209" s="345"/>
      <c r="CH209" s="345"/>
      <c r="CI209" s="345"/>
      <c r="CJ209" s="345"/>
      <c r="CK209" s="345"/>
      <c r="CL209" s="345"/>
      <c r="CM209" s="345"/>
      <c r="CN209" s="345"/>
      <c r="CO209" s="345"/>
      <c r="CP209" s="345"/>
      <c r="CQ209" s="345"/>
      <c r="CR209" s="345"/>
      <c r="CS209" s="345"/>
      <c r="CT209" s="345"/>
      <c r="CU209" s="345"/>
      <c r="CV209" s="345"/>
      <c r="CW209" s="345"/>
      <c r="CX209" s="345"/>
      <c r="CY209" s="345"/>
      <c r="CZ209" s="345"/>
      <c r="DA209" s="345"/>
      <c r="DB209" s="345"/>
      <c r="DC209" s="345"/>
      <c r="DD209" s="345"/>
      <c r="DE209" s="345"/>
      <c r="DF209" s="345"/>
      <c r="DG209" s="345"/>
      <c r="DH209" s="345"/>
      <c r="DI209" s="345"/>
      <c r="DJ209" s="345"/>
      <c r="DK209" s="345"/>
      <c r="DL209" s="345"/>
      <c r="DM209" s="345"/>
      <c r="DN209" s="345"/>
      <c r="DO209" s="345"/>
      <c r="DP209" s="345"/>
      <c r="DQ209" s="345"/>
      <c r="DR209" s="345"/>
      <c r="DS209" s="345"/>
      <c r="DT209" s="345"/>
      <c r="DU209" s="345"/>
      <c r="DV209" s="345"/>
      <c r="DW209" s="345"/>
      <c r="DX209" s="345"/>
      <c r="DY209" s="345"/>
      <c r="DZ209" s="345"/>
      <c r="EA209" s="345"/>
      <c r="EB209" s="345"/>
      <c r="EC209" s="345"/>
      <c r="ED209" s="345"/>
      <c r="EE209" s="345"/>
      <c r="EF209" s="345"/>
      <c r="EG209" s="345"/>
      <c r="EH209" s="345"/>
      <c r="EI209" s="345"/>
      <c r="EJ209" s="345"/>
      <c r="EK209" s="345"/>
      <c r="EL209" s="345"/>
      <c r="EM209" s="345"/>
      <c r="EN209" s="345"/>
      <c r="EO209" s="345"/>
      <c r="EP209" s="345"/>
      <c r="EQ209" s="345"/>
      <c r="ER209" s="345"/>
      <c r="ES209" s="345"/>
      <c r="ET209" s="345"/>
      <c r="EU209" s="345"/>
      <c r="EV209" s="345"/>
      <c r="EW209" s="345"/>
      <c r="EX209" s="345"/>
      <c r="EY209" s="345"/>
      <c r="EZ209" s="345"/>
      <c r="FA209" s="345"/>
      <c r="FB209" s="345"/>
      <c r="FC209" s="345"/>
      <c r="FD209" s="345"/>
      <c r="FE209" s="345"/>
      <c r="FF209" s="345"/>
      <c r="FG209" s="345"/>
      <c r="FH209" s="345"/>
      <c r="FI209" s="345"/>
      <c r="FJ209" s="345"/>
      <c r="FK209" s="345"/>
      <c r="FL209" s="345"/>
      <c r="FM209" s="345"/>
      <c r="FN209" s="345"/>
      <c r="FO209" s="345"/>
      <c r="FP209" s="345"/>
      <c r="FQ209" s="345"/>
      <c r="FR209" s="345"/>
      <c r="FS209" s="345"/>
      <c r="FT209" s="345"/>
      <c r="FU209" s="345"/>
      <c r="FV209" s="345"/>
      <c r="FW209" s="345"/>
      <c r="FX209" s="345"/>
      <c r="FY209" s="345"/>
      <c r="FZ209" s="345"/>
      <c r="GA209" s="345"/>
      <c r="GB209" s="345"/>
      <c r="GC209" s="345"/>
      <c r="GD209" s="345"/>
      <c r="GE209" s="345"/>
      <c r="GF209" s="345"/>
      <c r="GG209" s="345"/>
      <c r="GH209" s="345"/>
      <c r="GI209" s="345"/>
      <c r="GJ209" s="345"/>
      <c r="GK209" s="345"/>
      <c r="GL209" s="345"/>
      <c r="GM209" s="345"/>
      <c r="GN209" s="345"/>
      <c r="GO209" s="345"/>
      <c r="GP209" s="345"/>
      <c r="GQ209" s="345"/>
      <c r="GR209" s="345"/>
      <c r="GS209" s="345"/>
      <c r="GT209" s="345"/>
      <c r="GU209" s="345"/>
    </row>
    <row r="210" spans="23:203">
      <c r="W210" s="345"/>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c r="AS210" s="345"/>
      <c r="AT210" s="345"/>
      <c r="AU210" s="345"/>
      <c r="AV210" s="345"/>
      <c r="AW210" s="345"/>
      <c r="AX210" s="345"/>
      <c r="AY210" s="345"/>
      <c r="AZ210" s="345"/>
      <c r="BA210" s="345"/>
      <c r="BB210" s="345"/>
      <c r="BC210" s="345"/>
      <c r="BD210" s="345"/>
      <c r="BE210" s="345"/>
      <c r="BF210" s="345"/>
      <c r="BG210" s="345"/>
      <c r="BH210" s="345"/>
      <c r="BI210" s="345"/>
      <c r="BJ210" s="345"/>
      <c r="BK210" s="345"/>
      <c r="BL210" s="345"/>
      <c r="BM210" s="345"/>
      <c r="BN210" s="345"/>
      <c r="BO210" s="345"/>
      <c r="BP210" s="345"/>
      <c r="BQ210" s="345"/>
      <c r="BR210" s="345"/>
      <c r="BS210" s="345"/>
      <c r="BT210" s="345"/>
      <c r="BU210" s="345"/>
      <c r="BV210" s="345"/>
      <c r="BW210" s="345"/>
      <c r="BX210" s="345"/>
      <c r="BY210" s="345"/>
      <c r="BZ210" s="345"/>
      <c r="CA210" s="345"/>
      <c r="CB210" s="345"/>
      <c r="CC210" s="345"/>
      <c r="CD210" s="345"/>
      <c r="CE210" s="345"/>
      <c r="CF210" s="345"/>
      <c r="CG210" s="345"/>
      <c r="CH210" s="345"/>
      <c r="CI210" s="345"/>
      <c r="CJ210" s="345"/>
      <c r="CK210" s="345"/>
      <c r="CL210" s="345"/>
      <c r="CM210" s="345"/>
      <c r="CN210" s="345"/>
      <c r="CO210" s="345"/>
      <c r="CP210" s="345"/>
      <c r="CQ210" s="345"/>
      <c r="CR210" s="345"/>
      <c r="CS210" s="345"/>
      <c r="CT210" s="345"/>
      <c r="CU210" s="345"/>
      <c r="CV210" s="345"/>
      <c r="CW210" s="345"/>
      <c r="CX210" s="345"/>
      <c r="CY210" s="345"/>
      <c r="CZ210" s="345"/>
      <c r="DA210" s="345"/>
      <c r="DB210" s="345"/>
      <c r="DC210" s="345"/>
      <c r="DD210" s="345"/>
      <c r="DE210" s="345"/>
      <c r="DF210" s="345"/>
      <c r="DG210" s="345"/>
      <c r="DH210" s="345"/>
      <c r="DI210" s="345"/>
      <c r="DJ210" s="345"/>
      <c r="DK210" s="345"/>
      <c r="DL210" s="345"/>
      <c r="DM210" s="345"/>
      <c r="DN210" s="345"/>
      <c r="DO210" s="345"/>
      <c r="DP210" s="345"/>
      <c r="DQ210" s="345"/>
      <c r="DR210" s="345"/>
      <c r="DS210" s="345"/>
      <c r="DT210" s="345"/>
      <c r="DU210" s="345"/>
      <c r="DV210" s="345"/>
      <c r="DW210" s="345"/>
      <c r="DX210" s="345"/>
      <c r="DY210" s="345"/>
      <c r="DZ210" s="345"/>
      <c r="EA210" s="345"/>
      <c r="EB210" s="345"/>
      <c r="EC210" s="345"/>
      <c r="ED210" s="345"/>
      <c r="EE210" s="345"/>
      <c r="EF210" s="345"/>
      <c r="EG210" s="345"/>
      <c r="EH210" s="345"/>
      <c r="EI210" s="345"/>
      <c r="EJ210" s="345"/>
      <c r="EK210" s="345"/>
      <c r="EL210" s="345"/>
      <c r="EM210" s="345"/>
      <c r="EN210" s="345"/>
      <c r="EO210" s="345"/>
      <c r="EP210" s="345"/>
      <c r="EQ210" s="345"/>
      <c r="ER210" s="345"/>
      <c r="ES210" s="345"/>
      <c r="ET210" s="345"/>
      <c r="EU210" s="345"/>
      <c r="EV210" s="345"/>
      <c r="EW210" s="345"/>
      <c r="EX210" s="345"/>
      <c r="EY210" s="345"/>
      <c r="EZ210" s="345"/>
      <c r="FA210" s="345"/>
      <c r="FB210" s="345"/>
      <c r="FC210" s="345"/>
      <c r="FD210" s="345"/>
      <c r="FE210" s="345"/>
      <c r="FF210" s="345"/>
      <c r="FG210" s="345"/>
      <c r="FH210" s="345"/>
      <c r="FI210" s="345"/>
      <c r="FJ210" s="345"/>
      <c r="FK210" s="345"/>
      <c r="FL210" s="345"/>
      <c r="FM210" s="345"/>
      <c r="FN210" s="345"/>
      <c r="FO210" s="345"/>
      <c r="FP210" s="345"/>
      <c r="FQ210" s="345"/>
      <c r="FR210" s="345"/>
      <c r="FS210" s="345"/>
      <c r="FT210" s="345"/>
      <c r="FU210" s="345"/>
      <c r="FV210" s="345"/>
      <c r="FW210" s="345"/>
      <c r="FX210" s="345"/>
      <c r="FY210" s="345"/>
      <c r="FZ210" s="345"/>
      <c r="GA210" s="345"/>
      <c r="GB210" s="345"/>
      <c r="GC210" s="345"/>
      <c r="GD210" s="345"/>
      <c r="GE210" s="345"/>
      <c r="GF210" s="345"/>
      <c r="GG210" s="345"/>
      <c r="GH210" s="345"/>
      <c r="GI210" s="345"/>
      <c r="GJ210" s="345"/>
      <c r="GK210" s="345"/>
      <c r="GL210" s="345"/>
      <c r="GM210" s="345"/>
      <c r="GN210" s="345"/>
      <c r="GO210" s="345"/>
      <c r="GP210" s="345"/>
      <c r="GQ210" s="345"/>
      <c r="GR210" s="345"/>
      <c r="GS210" s="345"/>
      <c r="GT210" s="345"/>
      <c r="GU210" s="345"/>
    </row>
    <row r="211" spans="23:203">
      <c r="W211" s="345"/>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c r="AS211" s="345"/>
      <c r="AT211" s="345"/>
      <c r="AU211" s="345"/>
      <c r="AV211" s="345"/>
      <c r="AW211" s="345"/>
      <c r="AX211" s="345"/>
      <c r="AY211" s="345"/>
      <c r="AZ211" s="345"/>
      <c r="BA211" s="345"/>
      <c r="BB211" s="345"/>
      <c r="BC211" s="345"/>
      <c r="BD211" s="345"/>
      <c r="BE211" s="345"/>
      <c r="BF211" s="345"/>
      <c r="BG211" s="345"/>
      <c r="BH211" s="345"/>
      <c r="BI211" s="345"/>
      <c r="BJ211" s="345"/>
      <c r="BK211" s="345"/>
      <c r="BL211" s="345"/>
      <c r="BM211" s="345"/>
      <c r="BN211" s="345"/>
      <c r="BO211" s="345"/>
      <c r="BP211" s="345"/>
      <c r="BQ211" s="345"/>
      <c r="BR211" s="345"/>
      <c r="BS211" s="345"/>
      <c r="BT211" s="345"/>
      <c r="BU211" s="345"/>
      <c r="BV211" s="345"/>
      <c r="BW211" s="345"/>
      <c r="BX211" s="345"/>
      <c r="BY211" s="345"/>
      <c r="BZ211" s="345"/>
      <c r="CA211" s="345"/>
      <c r="CB211" s="345"/>
      <c r="CC211" s="345"/>
      <c r="CD211" s="345"/>
      <c r="CE211" s="345"/>
      <c r="CF211" s="345"/>
      <c r="CG211" s="345"/>
      <c r="CH211" s="345"/>
      <c r="CI211" s="345"/>
      <c r="CJ211" s="345"/>
      <c r="CK211" s="345"/>
      <c r="CL211" s="345"/>
      <c r="CM211" s="345"/>
      <c r="CN211" s="345"/>
      <c r="CO211" s="345"/>
      <c r="CP211" s="345"/>
      <c r="CQ211" s="345"/>
      <c r="CR211" s="345"/>
      <c r="CS211" s="345"/>
      <c r="CT211" s="345"/>
      <c r="CU211" s="345"/>
      <c r="CV211" s="345"/>
      <c r="CW211" s="345"/>
      <c r="CX211" s="345"/>
      <c r="CY211" s="345"/>
      <c r="CZ211" s="345"/>
      <c r="DA211" s="345"/>
      <c r="DB211" s="345"/>
      <c r="DC211" s="345"/>
      <c r="DD211" s="345"/>
      <c r="DE211" s="345"/>
      <c r="DF211" s="345"/>
      <c r="DG211" s="345"/>
      <c r="DH211" s="345"/>
      <c r="DI211" s="345"/>
      <c r="DJ211" s="345"/>
      <c r="DK211" s="345"/>
      <c r="DL211" s="345"/>
      <c r="DM211" s="345"/>
      <c r="DN211" s="345"/>
      <c r="DO211" s="345"/>
      <c r="DP211" s="345"/>
      <c r="DQ211" s="345"/>
      <c r="DR211" s="345"/>
      <c r="DS211" s="345"/>
      <c r="DT211" s="345"/>
      <c r="DU211" s="345"/>
      <c r="DV211" s="345"/>
      <c r="DW211" s="345"/>
      <c r="DX211" s="345"/>
      <c r="DY211" s="345"/>
      <c r="DZ211" s="345"/>
      <c r="EA211" s="345"/>
      <c r="EB211" s="345"/>
      <c r="EC211" s="345"/>
      <c r="ED211" s="345"/>
      <c r="EE211" s="345"/>
      <c r="EF211" s="345"/>
      <c r="EG211" s="345"/>
      <c r="EH211" s="345"/>
      <c r="EI211" s="345"/>
      <c r="EJ211" s="345"/>
      <c r="EK211" s="345"/>
      <c r="EL211" s="345"/>
      <c r="EM211" s="345"/>
      <c r="EN211" s="345"/>
      <c r="EO211" s="345"/>
      <c r="EP211" s="345"/>
      <c r="EQ211" s="345"/>
      <c r="ER211" s="345"/>
      <c r="ES211" s="345"/>
      <c r="ET211" s="345"/>
      <c r="EU211" s="345"/>
      <c r="EV211" s="345"/>
      <c r="EW211" s="345"/>
      <c r="EX211" s="345"/>
      <c r="EY211" s="345"/>
      <c r="EZ211" s="345"/>
      <c r="FA211" s="345"/>
      <c r="FB211" s="345"/>
      <c r="FC211" s="345"/>
      <c r="FD211" s="345"/>
      <c r="FE211" s="345"/>
      <c r="FF211" s="345"/>
      <c r="FG211" s="345"/>
      <c r="FH211" s="345"/>
      <c r="FI211" s="345"/>
      <c r="FJ211" s="345"/>
      <c r="FK211" s="345"/>
      <c r="FL211" s="345"/>
      <c r="FM211" s="345"/>
      <c r="FN211" s="345"/>
      <c r="FO211" s="345"/>
      <c r="FP211" s="345"/>
      <c r="FQ211" s="345"/>
      <c r="FR211" s="345"/>
      <c r="FS211" s="345"/>
      <c r="FT211" s="345"/>
      <c r="FU211" s="345"/>
      <c r="FV211" s="345"/>
      <c r="FW211" s="345"/>
      <c r="FX211" s="345"/>
      <c r="FY211" s="345"/>
      <c r="FZ211" s="345"/>
      <c r="GA211" s="345"/>
      <c r="GB211" s="345"/>
      <c r="GC211" s="345"/>
      <c r="GD211" s="345"/>
      <c r="GE211" s="345"/>
      <c r="GF211" s="345"/>
      <c r="GG211" s="345"/>
      <c r="GH211" s="345"/>
      <c r="GI211" s="345"/>
      <c r="GJ211" s="345"/>
      <c r="GK211" s="345"/>
      <c r="GL211" s="345"/>
      <c r="GM211" s="345"/>
      <c r="GN211" s="345"/>
      <c r="GO211" s="345"/>
      <c r="GP211" s="345"/>
      <c r="GQ211" s="345"/>
      <c r="GR211" s="345"/>
      <c r="GS211" s="345"/>
      <c r="GT211" s="345"/>
      <c r="GU211" s="345"/>
    </row>
    <row r="212" spans="23:203">
      <c r="W212" s="345"/>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c r="AS212" s="345"/>
      <c r="AT212" s="345"/>
      <c r="AU212" s="345"/>
      <c r="AV212" s="345"/>
      <c r="AW212" s="345"/>
      <c r="AX212" s="345"/>
      <c r="AY212" s="345"/>
      <c r="AZ212" s="345"/>
      <c r="BA212" s="345"/>
      <c r="BB212" s="345"/>
      <c r="BC212" s="345"/>
      <c r="BD212" s="345"/>
      <c r="BE212" s="345"/>
      <c r="BF212" s="345"/>
      <c r="BG212" s="345"/>
      <c r="BH212" s="345"/>
      <c r="BI212" s="345"/>
      <c r="BJ212" s="345"/>
      <c r="BK212" s="345"/>
      <c r="BL212" s="345"/>
      <c r="BM212" s="345"/>
      <c r="BN212" s="345"/>
      <c r="BO212" s="345"/>
      <c r="BP212" s="345"/>
      <c r="BQ212" s="345"/>
      <c r="BR212" s="345"/>
      <c r="BS212" s="345"/>
      <c r="BT212" s="345"/>
      <c r="BU212" s="345"/>
      <c r="BV212" s="345"/>
      <c r="BW212" s="345"/>
      <c r="BX212" s="345"/>
      <c r="BY212" s="345"/>
      <c r="BZ212" s="345"/>
      <c r="CA212" s="345"/>
      <c r="CB212" s="345"/>
      <c r="CC212" s="345"/>
      <c r="CD212" s="345"/>
      <c r="CE212" s="345"/>
      <c r="CF212" s="345"/>
      <c r="CG212" s="345"/>
      <c r="CH212" s="345"/>
      <c r="CI212" s="345"/>
      <c r="CJ212" s="345"/>
      <c r="CK212" s="345"/>
      <c r="CL212" s="345"/>
      <c r="CM212" s="345"/>
      <c r="CN212" s="345"/>
      <c r="CO212" s="345"/>
      <c r="CP212" s="345"/>
      <c r="CQ212" s="345"/>
      <c r="CR212" s="345"/>
      <c r="CS212" s="345"/>
      <c r="CT212" s="345"/>
      <c r="CU212" s="345"/>
      <c r="CV212" s="345"/>
      <c r="CW212" s="345"/>
      <c r="CX212" s="345"/>
      <c r="CY212" s="345"/>
      <c r="CZ212" s="345"/>
      <c r="DA212" s="345"/>
      <c r="DB212" s="345"/>
      <c r="DC212" s="345"/>
      <c r="DD212" s="345"/>
      <c r="DE212" s="345"/>
      <c r="DF212" s="345"/>
      <c r="DG212" s="345"/>
      <c r="DH212" s="345"/>
      <c r="DI212" s="345"/>
      <c r="DJ212" s="345"/>
      <c r="DK212" s="345"/>
      <c r="DL212" s="345"/>
      <c r="DM212" s="345"/>
      <c r="DN212" s="345"/>
      <c r="DO212" s="345"/>
      <c r="DP212" s="345"/>
      <c r="DQ212" s="345"/>
      <c r="DR212" s="345"/>
      <c r="DS212" s="345"/>
      <c r="DT212" s="345"/>
      <c r="DU212" s="345"/>
      <c r="DV212" s="345"/>
      <c r="DW212" s="345"/>
      <c r="DX212" s="345"/>
      <c r="DY212" s="345"/>
      <c r="DZ212" s="345"/>
      <c r="EA212" s="345"/>
      <c r="EB212" s="345"/>
      <c r="EC212" s="345"/>
      <c r="ED212" s="345"/>
      <c r="EE212" s="345"/>
      <c r="EF212" s="345"/>
      <c r="EG212" s="345"/>
      <c r="EH212" s="345"/>
      <c r="EI212" s="345"/>
      <c r="EJ212" s="345"/>
      <c r="EK212" s="345"/>
      <c r="EL212" s="345"/>
      <c r="EM212" s="345"/>
      <c r="EN212" s="345"/>
      <c r="EO212" s="345"/>
      <c r="EP212" s="345"/>
      <c r="EQ212" s="345"/>
      <c r="ER212" s="345"/>
      <c r="ES212" s="345"/>
      <c r="ET212" s="345"/>
      <c r="EU212" s="345"/>
      <c r="EV212" s="345"/>
      <c r="EW212" s="345"/>
      <c r="EX212" s="345"/>
      <c r="EY212" s="345"/>
      <c r="EZ212" s="345"/>
      <c r="FA212" s="345"/>
      <c r="FB212" s="345"/>
      <c r="FC212" s="345"/>
      <c r="FD212" s="345"/>
      <c r="FE212" s="345"/>
      <c r="FF212" s="345"/>
      <c r="FG212" s="345"/>
      <c r="FH212" s="345"/>
      <c r="FI212" s="345"/>
      <c r="FJ212" s="345"/>
      <c r="FK212" s="345"/>
      <c r="FL212" s="345"/>
      <c r="FM212" s="345"/>
      <c r="FN212" s="345"/>
      <c r="FO212" s="345"/>
      <c r="FP212" s="345"/>
      <c r="FQ212" s="345"/>
      <c r="FR212" s="345"/>
      <c r="FS212" s="345"/>
      <c r="FT212" s="345"/>
      <c r="FU212" s="345"/>
      <c r="FV212" s="345"/>
      <c r="FW212" s="345"/>
      <c r="FX212" s="345"/>
      <c r="FY212" s="345"/>
      <c r="FZ212" s="345"/>
      <c r="GA212" s="345"/>
      <c r="GB212" s="345"/>
      <c r="GC212" s="345"/>
      <c r="GD212" s="345"/>
      <c r="GE212" s="345"/>
      <c r="GF212" s="345"/>
      <c r="GG212" s="345"/>
      <c r="GH212" s="345"/>
      <c r="GI212" s="345"/>
      <c r="GJ212" s="345"/>
      <c r="GK212" s="345"/>
      <c r="GL212" s="345"/>
      <c r="GM212" s="345"/>
      <c r="GN212" s="345"/>
      <c r="GO212" s="345"/>
      <c r="GP212" s="345"/>
      <c r="GQ212" s="345"/>
      <c r="GR212" s="345"/>
      <c r="GS212" s="345"/>
      <c r="GT212" s="345"/>
      <c r="GU212" s="345"/>
    </row>
    <row r="213" spans="23:203">
      <c r="W213" s="345"/>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c r="AS213" s="345"/>
      <c r="AT213" s="345"/>
      <c r="AU213" s="345"/>
      <c r="AV213" s="345"/>
      <c r="AW213" s="345"/>
      <c r="AX213" s="345"/>
      <c r="AY213" s="345"/>
      <c r="AZ213" s="345"/>
      <c r="BA213" s="345"/>
      <c r="BB213" s="345"/>
      <c r="BC213" s="345"/>
      <c r="BD213" s="345"/>
      <c r="BE213" s="345"/>
      <c r="BF213" s="345"/>
      <c r="BG213" s="345"/>
      <c r="BH213" s="345"/>
      <c r="BI213" s="345"/>
      <c r="BJ213" s="345"/>
      <c r="BK213" s="345"/>
      <c r="BL213" s="345"/>
      <c r="BM213" s="345"/>
      <c r="BN213" s="345"/>
      <c r="BO213" s="345"/>
      <c r="BP213" s="345"/>
      <c r="BQ213" s="345"/>
      <c r="BR213" s="345"/>
      <c r="BS213" s="345"/>
      <c r="BT213" s="345"/>
      <c r="BU213" s="345"/>
      <c r="BV213" s="345"/>
      <c r="BW213" s="345"/>
      <c r="BX213" s="345"/>
      <c r="BY213" s="345"/>
      <c r="BZ213" s="345"/>
      <c r="CA213" s="345"/>
      <c r="CB213" s="345"/>
      <c r="CC213" s="345"/>
      <c r="CD213" s="345"/>
      <c r="CE213" s="345"/>
      <c r="CF213" s="345"/>
      <c r="CG213" s="345"/>
      <c r="CH213" s="345"/>
      <c r="CI213" s="345"/>
      <c r="CJ213" s="345"/>
      <c r="CK213" s="345"/>
      <c r="CL213" s="345"/>
      <c r="CM213" s="345"/>
      <c r="CN213" s="345"/>
      <c r="CO213" s="345"/>
      <c r="CP213" s="345"/>
      <c r="CQ213" s="345"/>
      <c r="CR213" s="345"/>
      <c r="CS213" s="345"/>
      <c r="CT213" s="345"/>
      <c r="CU213" s="345"/>
      <c r="CV213" s="345"/>
      <c r="CW213" s="345"/>
      <c r="CX213" s="345"/>
      <c r="CY213" s="345"/>
      <c r="CZ213" s="345"/>
      <c r="DA213" s="345"/>
      <c r="DB213" s="345"/>
      <c r="DC213" s="345"/>
      <c r="DD213" s="345"/>
      <c r="DE213" s="345"/>
      <c r="DF213" s="345"/>
      <c r="DG213" s="345"/>
      <c r="DH213" s="345"/>
      <c r="DI213" s="345"/>
      <c r="DJ213" s="345"/>
      <c r="DK213" s="345"/>
      <c r="DL213" s="345"/>
      <c r="DM213" s="345"/>
      <c r="DN213" s="345"/>
      <c r="DO213" s="345"/>
      <c r="DP213" s="345"/>
      <c r="DQ213" s="345"/>
      <c r="DR213" s="345"/>
      <c r="DS213" s="345"/>
      <c r="DT213" s="345"/>
      <c r="DU213" s="345"/>
      <c r="DV213" s="345"/>
      <c r="DW213" s="345"/>
      <c r="DX213" s="345"/>
      <c r="DY213" s="345"/>
      <c r="DZ213" s="345"/>
      <c r="EA213" s="345"/>
      <c r="EB213" s="345"/>
      <c r="EC213" s="345"/>
      <c r="ED213" s="345"/>
      <c r="EE213" s="345"/>
      <c r="EF213" s="345"/>
      <c r="EG213" s="345"/>
      <c r="EH213" s="345"/>
      <c r="EI213" s="345"/>
      <c r="EJ213" s="345"/>
      <c r="EK213" s="345"/>
      <c r="EL213" s="345"/>
      <c r="EM213" s="345"/>
      <c r="EN213" s="345"/>
      <c r="EO213" s="345"/>
      <c r="EP213" s="345"/>
      <c r="EQ213" s="345"/>
      <c r="ER213" s="345"/>
      <c r="ES213" s="345"/>
      <c r="ET213" s="345"/>
      <c r="EU213" s="345"/>
      <c r="EV213" s="345"/>
      <c r="EW213" s="345"/>
      <c r="EX213" s="345"/>
      <c r="EY213" s="345"/>
      <c r="EZ213" s="345"/>
      <c r="FA213" s="345"/>
      <c r="FB213" s="345"/>
      <c r="FC213" s="345"/>
      <c r="FD213" s="345"/>
      <c r="FE213" s="345"/>
      <c r="FF213" s="345"/>
      <c r="FG213" s="345"/>
      <c r="FH213" s="345"/>
      <c r="FI213" s="345"/>
      <c r="FJ213" s="345"/>
      <c r="FK213" s="345"/>
      <c r="FL213" s="345"/>
      <c r="FM213" s="345"/>
      <c r="FN213" s="345"/>
      <c r="FO213" s="345"/>
      <c r="FP213" s="345"/>
      <c r="FQ213" s="345"/>
      <c r="FR213" s="345"/>
      <c r="FS213" s="345"/>
      <c r="FT213" s="345"/>
      <c r="FU213" s="345"/>
      <c r="FV213" s="345"/>
      <c r="FW213" s="345"/>
      <c r="FX213" s="345"/>
      <c r="FY213" s="345"/>
      <c r="FZ213" s="345"/>
      <c r="GA213" s="345"/>
      <c r="GB213" s="345"/>
      <c r="GC213" s="345"/>
      <c r="GD213" s="345"/>
      <c r="GE213" s="345"/>
      <c r="GF213" s="345"/>
      <c r="GG213" s="345"/>
      <c r="GH213" s="345"/>
      <c r="GI213" s="345"/>
      <c r="GJ213" s="345"/>
      <c r="GK213" s="345"/>
      <c r="GL213" s="345"/>
      <c r="GM213" s="345"/>
      <c r="GN213" s="345"/>
      <c r="GO213" s="345"/>
      <c r="GP213" s="345"/>
      <c r="GQ213" s="345"/>
      <c r="GR213" s="345"/>
      <c r="GS213" s="345"/>
      <c r="GT213" s="345"/>
      <c r="GU213" s="345"/>
    </row>
    <row r="214" spans="23:203">
      <c r="W214" s="345"/>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c r="AS214" s="345"/>
      <c r="AT214" s="345"/>
      <c r="AU214" s="345"/>
      <c r="AV214" s="345"/>
      <c r="AW214" s="345"/>
      <c r="AX214" s="345"/>
      <c r="AY214" s="345"/>
      <c r="AZ214" s="345"/>
      <c r="BA214" s="345"/>
      <c r="BB214" s="345"/>
      <c r="BC214" s="345"/>
      <c r="BD214" s="345"/>
      <c r="BE214" s="345"/>
      <c r="BF214" s="345"/>
      <c r="BG214" s="345"/>
      <c r="BH214" s="345"/>
      <c r="BI214" s="345"/>
      <c r="BJ214" s="345"/>
      <c r="BK214" s="345"/>
      <c r="BL214" s="345"/>
      <c r="BM214" s="345"/>
      <c r="BN214" s="345"/>
      <c r="BO214" s="345"/>
      <c r="BP214" s="345"/>
      <c r="BQ214" s="345"/>
      <c r="BR214" s="345"/>
      <c r="BS214" s="345"/>
      <c r="BT214" s="345"/>
      <c r="BU214" s="345"/>
      <c r="BV214" s="345"/>
      <c r="BW214" s="345"/>
      <c r="BX214" s="345"/>
      <c r="BY214" s="345"/>
      <c r="BZ214" s="345"/>
      <c r="CA214" s="345"/>
      <c r="CB214" s="345"/>
      <c r="CC214" s="345"/>
      <c r="CD214" s="345"/>
      <c r="CE214" s="345"/>
      <c r="CF214" s="345"/>
      <c r="CG214" s="345"/>
      <c r="CH214" s="345"/>
      <c r="CI214" s="345"/>
      <c r="CJ214" s="345"/>
      <c r="CK214" s="345"/>
      <c r="CL214" s="345"/>
      <c r="CM214" s="345"/>
      <c r="CN214" s="345"/>
      <c r="CO214" s="345"/>
      <c r="CP214" s="345"/>
      <c r="CQ214" s="345"/>
      <c r="CR214" s="345"/>
      <c r="CS214" s="345"/>
      <c r="CT214" s="345"/>
      <c r="CU214" s="345"/>
      <c r="CV214" s="345"/>
      <c r="CW214" s="345"/>
      <c r="CX214" s="345"/>
      <c r="CY214" s="345"/>
      <c r="CZ214" s="345"/>
      <c r="DA214" s="345"/>
      <c r="DB214" s="345"/>
      <c r="DC214" s="345"/>
      <c r="DD214" s="345"/>
      <c r="DE214" s="345"/>
      <c r="DF214" s="345"/>
      <c r="DG214" s="345"/>
      <c r="DH214" s="345"/>
      <c r="DI214" s="345"/>
      <c r="DJ214" s="345"/>
      <c r="DK214" s="345"/>
      <c r="DL214" s="345"/>
      <c r="DM214" s="345"/>
      <c r="DN214" s="345"/>
      <c r="DO214" s="345"/>
      <c r="DP214" s="345"/>
      <c r="DQ214" s="345"/>
      <c r="DR214" s="345"/>
      <c r="DS214" s="345"/>
      <c r="DT214" s="345"/>
      <c r="DU214" s="345"/>
      <c r="DV214" s="345"/>
      <c r="DW214" s="345"/>
      <c r="DX214" s="345"/>
      <c r="DY214" s="345"/>
      <c r="DZ214" s="345"/>
      <c r="EA214" s="345"/>
      <c r="EB214" s="345"/>
      <c r="EC214" s="345"/>
      <c r="ED214" s="345"/>
      <c r="EE214" s="345"/>
      <c r="EF214" s="345"/>
      <c r="EG214" s="345"/>
      <c r="EH214" s="345"/>
      <c r="EI214" s="345"/>
      <c r="EJ214" s="345"/>
      <c r="EK214" s="345"/>
      <c r="EL214" s="345"/>
      <c r="EM214" s="345"/>
      <c r="EN214" s="345"/>
      <c r="EO214" s="345"/>
      <c r="EP214" s="345"/>
      <c r="EQ214" s="345"/>
      <c r="ER214" s="345"/>
      <c r="ES214" s="345"/>
      <c r="ET214" s="345"/>
      <c r="EU214" s="345"/>
      <c r="EV214" s="345"/>
      <c r="EW214" s="345"/>
      <c r="EX214" s="345"/>
      <c r="EY214" s="345"/>
      <c r="EZ214" s="345"/>
      <c r="FA214" s="345"/>
      <c r="FB214" s="345"/>
      <c r="FC214" s="345"/>
      <c r="FD214" s="345"/>
      <c r="FE214" s="345"/>
      <c r="FF214" s="345"/>
      <c r="FG214" s="345"/>
      <c r="FH214" s="345"/>
      <c r="FI214" s="345"/>
      <c r="FJ214" s="345"/>
      <c r="FK214" s="345"/>
      <c r="FL214" s="345"/>
      <c r="FM214" s="345"/>
      <c r="FN214" s="345"/>
      <c r="FO214" s="345"/>
      <c r="FP214" s="345"/>
      <c r="FQ214" s="345"/>
      <c r="FR214" s="345"/>
      <c r="FS214" s="345"/>
      <c r="FT214" s="345"/>
      <c r="FU214" s="345"/>
      <c r="FV214" s="345"/>
      <c r="FW214" s="345"/>
      <c r="FX214" s="345"/>
      <c r="FY214" s="345"/>
      <c r="FZ214" s="345"/>
      <c r="GA214" s="345"/>
      <c r="GB214" s="345"/>
      <c r="GC214" s="345"/>
      <c r="GD214" s="345"/>
      <c r="GE214" s="345"/>
      <c r="GF214" s="345"/>
      <c r="GG214" s="345"/>
      <c r="GH214" s="345"/>
      <c r="GI214" s="345"/>
      <c r="GJ214" s="345"/>
      <c r="GK214" s="345"/>
      <c r="GL214" s="345"/>
      <c r="GM214" s="345"/>
      <c r="GN214" s="345"/>
      <c r="GO214" s="345"/>
      <c r="GP214" s="345"/>
      <c r="GQ214" s="345"/>
      <c r="GR214" s="345"/>
      <c r="GS214" s="345"/>
      <c r="GT214" s="345"/>
      <c r="GU214" s="345"/>
    </row>
    <row r="215" spans="23:203">
      <c r="W215" s="345"/>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c r="AS215" s="345"/>
      <c r="AT215" s="345"/>
      <c r="AU215" s="345"/>
      <c r="AV215" s="345"/>
      <c r="AW215" s="345"/>
      <c r="AX215" s="345"/>
      <c r="AY215" s="345"/>
      <c r="AZ215" s="345"/>
      <c r="BA215" s="345"/>
      <c r="BB215" s="345"/>
      <c r="BC215" s="345"/>
      <c r="BD215" s="345"/>
      <c r="BE215" s="345"/>
      <c r="BF215" s="345"/>
      <c r="BG215" s="345"/>
      <c r="BH215" s="345"/>
      <c r="BI215" s="345"/>
      <c r="BJ215" s="345"/>
      <c r="BK215" s="345"/>
      <c r="BL215" s="345"/>
      <c r="BM215" s="345"/>
      <c r="BN215" s="345"/>
      <c r="BO215" s="345"/>
      <c r="BP215" s="345"/>
      <c r="BQ215" s="345"/>
      <c r="BR215" s="345"/>
      <c r="BS215" s="345"/>
      <c r="BT215" s="345"/>
      <c r="BU215" s="345"/>
      <c r="BV215" s="345"/>
      <c r="BW215" s="345"/>
      <c r="BX215" s="345"/>
      <c r="BY215" s="345"/>
      <c r="BZ215" s="345"/>
      <c r="CA215" s="345"/>
      <c r="CB215" s="345"/>
      <c r="CC215" s="345"/>
      <c r="CD215" s="345"/>
      <c r="CE215" s="345"/>
      <c r="CF215" s="345"/>
      <c r="CG215" s="345"/>
      <c r="CH215" s="345"/>
      <c r="CI215" s="345"/>
      <c r="CJ215" s="345"/>
      <c r="CK215" s="345"/>
      <c r="CL215" s="345"/>
      <c r="CM215" s="345"/>
      <c r="CN215" s="345"/>
      <c r="CO215" s="345"/>
      <c r="CP215" s="345"/>
      <c r="CQ215" s="345"/>
      <c r="CR215" s="345"/>
      <c r="CS215" s="345"/>
      <c r="CT215" s="345"/>
      <c r="CU215" s="345"/>
      <c r="CV215" s="345"/>
      <c r="CW215" s="345"/>
      <c r="CX215" s="345"/>
      <c r="CY215" s="345"/>
      <c r="CZ215" s="345"/>
      <c r="DA215" s="345"/>
      <c r="DB215" s="345"/>
      <c r="DC215" s="345"/>
      <c r="DD215" s="345"/>
      <c r="DE215" s="345"/>
      <c r="DF215" s="345"/>
      <c r="DG215" s="345"/>
      <c r="DH215" s="345"/>
      <c r="DI215" s="345"/>
      <c r="DJ215" s="345"/>
      <c r="DK215" s="345"/>
      <c r="DL215" s="345"/>
      <c r="DM215" s="345"/>
      <c r="DN215" s="345"/>
      <c r="DO215" s="345"/>
      <c r="DP215" s="345"/>
      <c r="DQ215" s="345"/>
      <c r="DR215" s="345"/>
      <c r="DS215" s="345"/>
      <c r="DT215" s="345"/>
      <c r="DU215" s="345"/>
      <c r="DV215" s="345"/>
      <c r="DW215" s="345"/>
      <c r="DX215" s="345"/>
      <c r="DY215" s="345"/>
      <c r="DZ215" s="345"/>
      <c r="EA215" s="345"/>
      <c r="EB215" s="345"/>
      <c r="EC215" s="345"/>
      <c r="ED215" s="345"/>
      <c r="EE215" s="345"/>
      <c r="EF215" s="345"/>
      <c r="EG215" s="345"/>
      <c r="EH215" s="345"/>
      <c r="EI215" s="345"/>
      <c r="EJ215" s="345"/>
      <c r="EK215" s="345"/>
      <c r="EL215" s="345"/>
      <c r="EM215" s="345"/>
      <c r="EN215" s="345"/>
      <c r="EO215" s="345"/>
      <c r="EP215" s="345"/>
      <c r="EQ215" s="345"/>
      <c r="ER215" s="345"/>
      <c r="ES215" s="345"/>
      <c r="ET215" s="345"/>
      <c r="EU215" s="345"/>
      <c r="EV215" s="345"/>
      <c r="EW215" s="345"/>
      <c r="EX215" s="345"/>
      <c r="EY215" s="345"/>
      <c r="EZ215" s="345"/>
      <c r="FA215" s="345"/>
      <c r="FB215" s="345"/>
      <c r="FC215" s="345"/>
      <c r="FD215" s="345"/>
      <c r="FE215" s="345"/>
      <c r="FF215" s="345"/>
      <c r="FG215" s="345"/>
      <c r="FH215" s="345"/>
      <c r="FI215" s="345"/>
      <c r="FJ215" s="345"/>
      <c r="FK215" s="345"/>
      <c r="FL215" s="345"/>
      <c r="FM215" s="345"/>
      <c r="FN215" s="345"/>
      <c r="FO215" s="345"/>
      <c r="FP215" s="345"/>
      <c r="FQ215" s="345"/>
      <c r="FR215" s="345"/>
      <c r="FS215" s="345"/>
      <c r="FT215" s="345"/>
      <c r="FU215" s="345"/>
      <c r="FV215" s="345"/>
      <c r="FW215" s="345"/>
      <c r="FX215" s="345"/>
      <c r="FY215" s="345"/>
      <c r="FZ215" s="345"/>
      <c r="GA215" s="345"/>
      <c r="GB215" s="345"/>
      <c r="GC215" s="345"/>
      <c r="GD215" s="345"/>
      <c r="GE215" s="345"/>
      <c r="GF215" s="345"/>
      <c r="GG215" s="345"/>
      <c r="GH215" s="345"/>
      <c r="GI215" s="345"/>
      <c r="GJ215" s="345"/>
      <c r="GK215" s="345"/>
      <c r="GL215" s="345"/>
      <c r="GM215" s="345"/>
      <c r="GN215" s="345"/>
      <c r="GO215" s="345"/>
      <c r="GP215" s="345"/>
      <c r="GQ215" s="345"/>
      <c r="GR215" s="345"/>
      <c r="GS215" s="345"/>
      <c r="GT215" s="345"/>
      <c r="GU215" s="345"/>
    </row>
    <row r="216" spans="23:203">
      <c r="W216" s="345"/>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c r="AS216" s="345"/>
      <c r="AT216" s="345"/>
      <c r="AU216" s="345"/>
      <c r="AV216" s="345"/>
      <c r="AW216" s="345"/>
      <c r="AX216" s="345"/>
      <c r="AY216" s="345"/>
      <c r="AZ216" s="345"/>
      <c r="BA216" s="345"/>
      <c r="BB216" s="345"/>
      <c r="BC216" s="345"/>
      <c r="BD216" s="345"/>
      <c r="BE216" s="345"/>
      <c r="BF216" s="345"/>
      <c r="BG216" s="345"/>
      <c r="BH216" s="345"/>
      <c r="BI216" s="345"/>
      <c r="BJ216" s="345"/>
      <c r="BK216" s="345"/>
      <c r="BL216" s="345"/>
      <c r="BM216" s="345"/>
      <c r="BN216" s="345"/>
      <c r="BO216" s="345"/>
      <c r="BP216" s="345"/>
      <c r="BQ216" s="345"/>
      <c r="BR216" s="345"/>
      <c r="BS216" s="345"/>
      <c r="BT216" s="345"/>
      <c r="BU216" s="345"/>
      <c r="BV216" s="345"/>
      <c r="BW216" s="345"/>
      <c r="BX216" s="345"/>
      <c r="BY216" s="345"/>
      <c r="BZ216" s="345"/>
      <c r="CA216" s="345"/>
      <c r="CB216" s="345"/>
      <c r="CC216" s="345"/>
      <c r="CD216" s="345"/>
      <c r="CE216" s="345"/>
      <c r="CF216" s="345"/>
      <c r="CG216" s="345"/>
      <c r="CH216" s="345"/>
      <c r="CI216" s="345"/>
      <c r="CJ216" s="345"/>
      <c r="CK216" s="345"/>
      <c r="CL216" s="345"/>
      <c r="CM216" s="345"/>
      <c r="CN216" s="345"/>
      <c r="CO216" s="345"/>
      <c r="CP216" s="345"/>
      <c r="CQ216" s="345"/>
      <c r="CR216" s="345"/>
      <c r="CS216" s="345"/>
      <c r="CT216" s="345"/>
      <c r="CU216" s="345"/>
      <c r="CV216" s="345"/>
      <c r="CW216" s="345"/>
      <c r="CX216" s="345"/>
      <c r="CY216" s="345"/>
      <c r="CZ216" s="345"/>
      <c r="DA216" s="345"/>
      <c r="DB216" s="345"/>
      <c r="DC216" s="345"/>
      <c r="DD216" s="345"/>
      <c r="DE216" s="345"/>
      <c r="DF216" s="345"/>
      <c r="DG216" s="345"/>
      <c r="DH216" s="345"/>
      <c r="DI216" s="345"/>
      <c r="DJ216" s="345"/>
      <c r="DK216" s="345"/>
      <c r="DL216" s="345"/>
      <c r="DM216" s="345"/>
      <c r="DN216" s="345"/>
      <c r="DO216" s="345"/>
      <c r="DP216" s="345"/>
      <c r="DQ216" s="345"/>
      <c r="DR216" s="345"/>
      <c r="DS216" s="345"/>
      <c r="DT216" s="345"/>
      <c r="DU216" s="345"/>
      <c r="DV216" s="345"/>
      <c r="DW216" s="345"/>
      <c r="DX216" s="345"/>
      <c r="DY216" s="345"/>
      <c r="DZ216" s="345"/>
      <c r="EA216" s="345"/>
      <c r="EB216" s="345"/>
      <c r="EC216" s="345"/>
      <c r="ED216" s="345"/>
      <c r="EE216" s="345"/>
      <c r="EF216" s="345"/>
      <c r="EG216" s="345"/>
      <c r="EH216" s="345"/>
      <c r="EI216" s="345"/>
      <c r="EJ216" s="345"/>
      <c r="EK216" s="345"/>
      <c r="EL216" s="345"/>
      <c r="EM216" s="345"/>
      <c r="EN216" s="345"/>
      <c r="EO216" s="345"/>
      <c r="EP216" s="345"/>
      <c r="EQ216" s="345"/>
      <c r="ER216" s="345"/>
      <c r="ES216" s="345"/>
      <c r="ET216" s="345"/>
      <c r="EU216" s="345"/>
      <c r="EV216" s="345"/>
      <c r="EW216" s="345"/>
      <c r="EX216" s="345"/>
      <c r="EY216" s="345"/>
      <c r="EZ216" s="345"/>
      <c r="FA216" s="345"/>
      <c r="FB216" s="345"/>
      <c r="FC216" s="345"/>
      <c r="FD216" s="345"/>
      <c r="FE216" s="345"/>
      <c r="FF216" s="345"/>
      <c r="FG216" s="345"/>
      <c r="FH216" s="345"/>
      <c r="FI216" s="345"/>
      <c r="FJ216" s="345"/>
      <c r="FK216" s="345"/>
      <c r="FL216" s="345"/>
      <c r="FM216" s="345"/>
      <c r="FN216" s="345"/>
      <c r="FO216" s="345"/>
      <c r="FP216" s="345"/>
      <c r="FQ216" s="345"/>
      <c r="FR216" s="345"/>
      <c r="FS216" s="345"/>
      <c r="FT216" s="345"/>
      <c r="FU216" s="345"/>
      <c r="FV216" s="345"/>
      <c r="FW216" s="345"/>
      <c r="FX216" s="345"/>
      <c r="FY216" s="345"/>
      <c r="FZ216" s="345"/>
      <c r="GA216" s="345"/>
      <c r="GB216" s="345"/>
      <c r="GC216" s="345"/>
      <c r="GD216" s="345"/>
      <c r="GE216" s="345"/>
      <c r="GF216" s="345"/>
      <c r="GG216" s="345"/>
      <c r="GH216" s="345"/>
      <c r="GI216" s="345"/>
      <c r="GJ216" s="345"/>
      <c r="GK216" s="345"/>
      <c r="GL216" s="345"/>
      <c r="GM216" s="345"/>
      <c r="GN216" s="345"/>
      <c r="GO216" s="345"/>
      <c r="GP216" s="345"/>
      <c r="GQ216" s="345"/>
      <c r="GR216" s="345"/>
      <c r="GS216" s="345"/>
      <c r="GT216" s="345"/>
      <c r="GU216" s="345"/>
    </row>
    <row r="217" spans="23:203">
      <c r="W217" s="345"/>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c r="AS217" s="345"/>
      <c r="AT217" s="345"/>
      <c r="AU217" s="345"/>
      <c r="AV217" s="345"/>
      <c r="AW217" s="345"/>
      <c r="AX217" s="345"/>
      <c r="AY217" s="345"/>
      <c r="AZ217" s="345"/>
      <c r="BA217" s="345"/>
      <c r="BB217" s="345"/>
      <c r="BC217" s="345"/>
      <c r="BD217" s="345"/>
      <c r="BE217" s="345"/>
      <c r="BF217" s="345"/>
      <c r="BG217" s="345"/>
      <c r="BH217" s="345"/>
      <c r="BI217" s="345"/>
      <c r="BJ217" s="345"/>
      <c r="BK217" s="345"/>
      <c r="BL217" s="345"/>
      <c r="BM217" s="345"/>
      <c r="BN217" s="345"/>
      <c r="BO217" s="345"/>
      <c r="BP217" s="345"/>
      <c r="BQ217" s="345"/>
      <c r="BR217" s="345"/>
      <c r="BS217" s="345"/>
      <c r="BT217" s="345"/>
      <c r="BU217" s="345"/>
      <c r="BV217" s="345"/>
      <c r="BW217" s="345"/>
      <c r="BX217" s="345"/>
      <c r="BY217" s="345"/>
      <c r="BZ217" s="345"/>
      <c r="CA217" s="345"/>
      <c r="CB217" s="345"/>
      <c r="CC217" s="345"/>
      <c r="CD217" s="345"/>
      <c r="CE217" s="345"/>
      <c r="CF217" s="345"/>
      <c r="CG217" s="345"/>
      <c r="CH217" s="345"/>
      <c r="CI217" s="345"/>
      <c r="CJ217" s="345"/>
      <c r="CK217" s="345"/>
      <c r="CL217" s="345"/>
      <c r="CM217" s="345"/>
      <c r="CN217" s="345"/>
      <c r="CO217" s="345"/>
      <c r="CP217" s="345"/>
      <c r="CQ217" s="345"/>
      <c r="CR217" s="345"/>
      <c r="CS217" s="345"/>
      <c r="CT217" s="345"/>
      <c r="CU217" s="345"/>
      <c r="CV217" s="345"/>
      <c r="CW217" s="345"/>
      <c r="CX217" s="345"/>
      <c r="CY217" s="345"/>
      <c r="CZ217" s="345"/>
      <c r="DA217" s="345"/>
      <c r="DB217" s="345"/>
      <c r="DC217" s="345"/>
      <c r="DD217" s="345"/>
      <c r="DE217" s="345"/>
      <c r="DF217" s="345"/>
      <c r="DG217" s="345"/>
      <c r="DH217" s="345"/>
      <c r="DI217" s="345"/>
      <c r="DJ217" s="345"/>
      <c r="DK217" s="345"/>
      <c r="DL217" s="345"/>
      <c r="DM217" s="345"/>
      <c r="DN217" s="345"/>
      <c r="DO217" s="345"/>
      <c r="DP217" s="345"/>
      <c r="DQ217" s="345"/>
      <c r="DR217" s="345"/>
      <c r="DS217" s="345"/>
      <c r="DT217" s="345"/>
      <c r="DU217" s="345"/>
      <c r="DV217" s="345"/>
      <c r="DW217" s="345"/>
      <c r="DX217" s="345"/>
      <c r="DY217" s="345"/>
      <c r="DZ217" s="345"/>
      <c r="EA217" s="345"/>
      <c r="EB217" s="345"/>
      <c r="EC217" s="345"/>
      <c r="ED217" s="345"/>
      <c r="EE217" s="345"/>
      <c r="EF217" s="345"/>
      <c r="EG217" s="345"/>
      <c r="EH217" s="345"/>
      <c r="EI217" s="345"/>
      <c r="EJ217" s="345"/>
      <c r="EK217" s="345"/>
      <c r="EL217" s="345"/>
      <c r="EM217" s="345"/>
      <c r="EN217" s="345"/>
      <c r="EO217" s="345"/>
      <c r="EP217" s="345"/>
      <c r="EQ217" s="345"/>
      <c r="ER217" s="345"/>
      <c r="ES217" s="345"/>
      <c r="ET217" s="345"/>
      <c r="EU217" s="345"/>
      <c r="EV217" s="345"/>
      <c r="EW217" s="345"/>
      <c r="EX217" s="345"/>
      <c r="EY217" s="345"/>
      <c r="EZ217" s="345"/>
      <c r="FA217" s="345"/>
      <c r="FB217" s="345"/>
      <c r="FC217" s="345"/>
      <c r="FD217" s="345"/>
      <c r="FE217" s="345"/>
      <c r="FF217" s="345"/>
      <c r="FG217" s="345"/>
      <c r="FH217" s="345"/>
      <c r="FI217" s="345"/>
      <c r="FJ217" s="345"/>
      <c r="FK217" s="345"/>
      <c r="FL217" s="345"/>
      <c r="FM217" s="345"/>
      <c r="FN217" s="345"/>
      <c r="FO217" s="345"/>
      <c r="FP217" s="345"/>
      <c r="FQ217" s="345"/>
      <c r="FR217" s="345"/>
      <c r="FS217" s="345"/>
      <c r="FT217" s="345"/>
      <c r="FU217" s="345"/>
      <c r="FV217" s="345"/>
      <c r="FW217" s="345"/>
      <c r="FX217" s="345"/>
      <c r="FY217" s="345"/>
      <c r="FZ217" s="345"/>
      <c r="GA217" s="345"/>
      <c r="GB217" s="345"/>
      <c r="GC217" s="345"/>
      <c r="GD217" s="345"/>
      <c r="GE217" s="345"/>
      <c r="GF217" s="345"/>
      <c r="GG217" s="345"/>
      <c r="GH217" s="345"/>
      <c r="GI217" s="345"/>
      <c r="GJ217" s="345"/>
      <c r="GK217" s="345"/>
      <c r="GL217" s="345"/>
      <c r="GM217" s="345"/>
      <c r="GN217" s="345"/>
      <c r="GO217" s="345"/>
      <c r="GP217" s="345"/>
      <c r="GQ217" s="345"/>
      <c r="GR217" s="345"/>
      <c r="GS217" s="345"/>
      <c r="GT217" s="345"/>
      <c r="GU217" s="345"/>
    </row>
    <row r="218" spans="23:203">
      <c r="W218" s="345"/>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c r="AS218" s="345"/>
      <c r="AT218" s="345"/>
      <c r="AU218" s="345"/>
      <c r="AV218" s="345"/>
      <c r="AW218" s="345"/>
      <c r="AX218" s="345"/>
      <c r="AY218" s="345"/>
      <c r="AZ218" s="345"/>
      <c r="BA218" s="345"/>
      <c r="BB218" s="345"/>
      <c r="BC218" s="345"/>
      <c r="BD218" s="345"/>
      <c r="BE218" s="345"/>
      <c r="BF218" s="345"/>
      <c r="BG218" s="345"/>
      <c r="BH218" s="345"/>
      <c r="BI218" s="345"/>
      <c r="BJ218" s="345"/>
      <c r="BK218" s="345"/>
      <c r="BL218" s="345"/>
      <c r="BM218" s="345"/>
      <c r="BN218" s="345"/>
      <c r="BO218" s="345"/>
      <c r="BP218" s="345"/>
      <c r="BQ218" s="345"/>
      <c r="BR218" s="345"/>
      <c r="BS218" s="345"/>
      <c r="BT218" s="345"/>
      <c r="BU218" s="345"/>
      <c r="BV218" s="345"/>
      <c r="BW218" s="345"/>
      <c r="BX218" s="345"/>
      <c r="BY218" s="345"/>
      <c r="BZ218" s="345"/>
      <c r="CA218" s="345"/>
      <c r="CB218" s="345"/>
      <c r="CC218" s="345"/>
      <c r="CD218" s="345"/>
      <c r="CE218" s="345"/>
      <c r="CF218" s="345"/>
      <c r="CG218" s="345"/>
      <c r="CH218" s="345"/>
      <c r="CI218" s="345"/>
      <c r="CJ218" s="345"/>
      <c r="CK218" s="345"/>
      <c r="CL218" s="345"/>
      <c r="CM218" s="345"/>
      <c r="CN218" s="345"/>
      <c r="CO218" s="345"/>
      <c r="CP218" s="345"/>
      <c r="CQ218" s="345"/>
      <c r="CR218" s="345"/>
      <c r="CS218" s="345"/>
      <c r="CT218" s="345"/>
      <c r="CU218" s="345"/>
      <c r="CV218" s="345"/>
      <c r="CW218" s="345"/>
      <c r="CX218" s="345"/>
      <c r="CY218" s="345"/>
      <c r="CZ218" s="345"/>
      <c r="DA218" s="345"/>
      <c r="DB218" s="345"/>
      <c r="DC218" s="345"/>
      <c r="DD218" s="345"/>
      <c r="DE218" s="345"/>
      <c r="DF218" s="345"/>
      <c r="DG218" s="345"/>
      <c r="DH218" s="345"/>
      <c r="DI218" s="345"/>
      <c r="DJ218" s="345"/>
      <c r="DK218" s="345"/>
      <c r="DL218" s="345"/>
      <c r="DM218" s="345"/>
      <c r="DN218" s="345"/>
      <c r="DO218" s="345"/>
      <c r="DP218" s="345"/>
      <c r="DQ218" s="345"/>
      <c r="DR218" s="345"/>
      <c r="DS218" s="345"/>
      <c r="DT218" s="345"/>
      <c r="DU218" s="345"/>
      <c r="DV218" s="345"/>
      <c r="DW218" s="345"/>
      <c r="DX218" s="345"/>
      <c r="DY218" s="345"/>
      <c r="DZ218" s="345"/>
      <c r="EA218" s="345"/>
      <c r="EB218" s="345"/>
      <c r="EC218" s="345"/>
      <c r="ED218" s="345"/>
      <c r="EE218" s="345"/>
      <c r="EF218" s="345"/>
      <c r="EG218" s="345"/>
      <c r="EH218" s="345"/>
      <c r="EI218" s="345"/>
      <c r="EJ218" s="345"/>
      <c r="EK218" s="345"/>
      <c r="EL218" s="345"/>
      <c r="EM218" s="345"/>
      <c r="EN218" s="345"/>
      <c r="EO218" s="345"/>
      <c r="EP218" s="345"/>
      <c r="EQ218" s="345"/>
      <c r="ER218" s="345"/>
      <c r="ES218" s="345"/>
      <c r="ET218" s="345"/>
      <c r="EU218" s="345"/>
      <c r="EV218" s="345"/>
      <c r="EW218" s="345"/>
      <c r="EX218" s="345"/>
      <c r="EY218" s="345"/>
      <c r="EZ218" s="345"/>
      <c r="FA218" s="345"/>
      <c r="FB218" s="345"/>
      <c r="FC218" s="345"/>
      <c r="FD218" s="345"/>
      <c r="FE218" s="345"/>
      <c r="FF218" s="345"/>
      <c r="FG218" s="345"/>
      <c r="FH218" s="345"/>
      <c r="FI218" s="345"/>
      <c r="FJ218" s="345"/>
      <c r="FK218" s="345"/>
      <c r="FL218" s="345"/>
      <c r="FM218" s="345"/>
      <c r="FN218" s="345"/>
      <c r="FO218" s="345"/>
      <c r="FP218" s="345"/>
      <c r="FQ218" s="345"/>
      <c r="FR218" s="345"/>
      <c r="FS218" s="345"/>
      <c r="FT218" s="345"/>
      <c r="FU218" s="345"/>
      <c r="FV218" s="345"/>
      <c r="FW218" s="345"/>
      <c r="FX218" s="345"/>
      <c r="FY218" s="345"/>
      <c r="FZ218" s="345"/>
      <c r="GA218" s="345"/>
      <c r="GB218" s="345"/>
      <c r="GC218" s="345"/>
      <c r="GD218" s="345"/>
      <c r="GE218" s="345"/>
      <c r="GF218" s="345"/>
      <c r="GG218" s="345"/>
      <c r="GH218" s="345"/>
      <c r="GI218" s="345"/>
      <c r="GJ218" s="345"/>
      <c r="GK218" s="345"/>
      <c r="GL218" s="345"/>
      <c r="GM218" s="345"/>
      <c r="GN218" s="345"/>
      <c r="GO218" s="345"/>
      <c r="GP218" s="345"/>
      <c r="GQ218" s="345"/>
      <c r="GR218" s="345"/>
      <c r="GS218" s="345"/>
      <c r="GT218" s="345"/>
      <c r="GU218" s="345"/>
    </row>
    <row r="219" spans="23:203">
      <c r="W219" s="345"/>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c r="AS219" s="345"/>
      <c r="AT219" s="345"/>
      <c r="AU219" s="345"/>
      <c r="AV219" s="345"/>
      <c r="AW219" s="345"/>
      <c r="AX219" s="345"/>
      <c r="AY219" s="345"/>
      <c r="AZ219" s="345"/>
      <c r="BA219" s="345"/>
      <c r="BB219" s="345"/>
      <c r="BC219" s="345"/>
      <c r="BD219" s="345"/>
      <c r="BE219" s="345"/>
      <c r="BF219" s="345"/>
      <c r="BG219" s="345"/>
      <c r="BH219" s="345"/>
      <c r="BI219" s="345"/>
      <c r="BJ219" s="345"/>
      <c r="BK219" s="345"/>
      <c r="BL219" s="345"/>
      <c r="BM219" s="345"/>
      <c r="BN219" s="345"/>
      <c r="BO219" s="345"/>
      <c r="BP219" s="345"/>
      <c r="BQ219" s="345"/>
      <c r="BR219" s="345"/>
      <c r="BS219" s="345"/>
      <c r="BT219" s="345"/>
      <c r="BU219" s="345"/>
      <c r="BV219" s="345"/>
      <c r="BW219" s="345"/>
      <c r="BX219" s="345"/>
      <c r="BY219" s="345"/>
      <c r="BZ219" s="345"/>
      <c r="CA219" s="345"/>
      <c r="CB219" s="345"/>
      <c r="CC219" s="345"/>
      <c r="CD219" s="345"/>
      <c r="CE219" s="345"/>
      <c r="CF219" s="345"/>
      <c r="CG219" s="345"/>
      <c r="CH219" s="345"/>
      <c r="CI219" s="345"/>
      <c r="CJ219" s="345"/>
      <c r="CK219" s="345"/>
      <c r="CL219" s="345"/>
      <c r="CM219" s="345"/>
      <c r="CN219" s="345"/>
      <c r="CO219" s="345"/>
      <c r="CP219" s="345"/>
      <c r="CQ219" s="345"/>
      <c r="CR219" s="345"/>
      <c r="CS219" s="345"/>
      <c r="CT219" s="345"/>
      <c r="CU219" s="345"/>
      <c r="CV219" s="345"/>
      <c r="CW219" s="345"/>
      <c r="CX219" s="345"/>
      <c r="CY219" s="345"/>
      <c r="CZ219" s="345"/>
      <c r="DA219" s="345"/>
      <c r="DB219" s="345"/>
      <c r="DC219" s="345"/>
      <c r="DD219" s="345"/>
      <c r="DE219" s="345"/>
      <c r="DF219" s="345"/>
      <c r="DG219" s="345"/>
      <c r="DH219" s="345"/>
      <c r="DI219" s="345"/>
      <c r="DJ219" s="345"/>
      <c r="DK219" s="345"/>
      <c r="DL219" s="345"/>
      <c r="DM219" s="345"/>
      <c r="DN219" s="345"/>
      <c r="DO219" s="345"/>
      <c r="DP219" s="345"/>
      <c r="DQ219" s="345"/>
      <c r="DR219" s="345"/>
      <c r="DS219" s="345"/>
      <c r="DT219" s="345"/>
      <c r="DU219" s="345"/>
      <c r="DV219" s="345"/>
      <c r="DW219" s="345"/>
      <c r="DX219" s="345"/>
      <c r="DY219" s="345"/>
      <c r="DZ219" s="345"/>
      <c r="EA219" s="345"/>
      <c r="EB219" s="345"/>
      <c r="EC219" s="345"/>
      <c r="ED219" s="345"/>
      <c r="EE219" s="345"/>
      <c r="EF219" s="345"/>
      <c r="EG219" s="345"/>
      <c r="EH219" s="345"/>
      <c r="EI219" s="345"/>
      <c r="EJ219" s="345"/>
      <c r="EK219" s="345"/>
      <c r="EL219" s="345"/>
      <c r="EM219" s="345"/>
      <c r="EN219" s="345"/>
      <c r="EO219" s="345"/>
      <c r="EP219" s="345"/>
      <c r="EQ219" s="345"/>
      <c r="ER219" s="345"/>
      <c r="ES219" s="345"/>
      <c r="ET219" s="345"/>
      <c r="EU219" s="345"/>
      <c r="EV219" s="345"/>
      <c r="EW219" s="345"/>
      <c r="EX219" s="345"/>
      <c r="EY219" s="345"/>
      <c r="EZ219" s="345"/>
      <c r="FA219" s="345"/>
      <c r="FB219" s="345"/>
      <c r="FC219" s="345"/>
      <c r="FD219" s="345"/>
      <c r="FE219" s="345"/>
      <c r="FF219" s="345"/>
      <c r="FG219" s="345"/>
      <c r="FH219" s="345"/>
      <c r="FI219" s="345"/>
      <c r="FJ219" s="345"/>
      <c r="FK219" s="345"/>
      <c r="FL219" s="345"/>
      <c r="FM219" s="345"/>
      <c r="FN219" s="345"/>
      <c r="FO219" s="345"/>
      <c r="FP219" s="345"/>
      <c r="FQ219" s="345"/>
      <c r="FR219" s="345"/>
      <c r="FS219" s="345"/>
      <c r="FT219" s="345"/>
      <c r="FU219" s="345"/>
      <c r="FV219" s="345"/>
      <c r="FW219" s="345"/>
      <c r="FX219" s="345"/>
      <c r="FY219" s="345"/>
      <c r="FZ219" s="345"/>
      <c r="GA219" s="345"/>
      <c r="GB219" s="345"/>
      <c r="GC219" s="345"/>
      <c r="GD219" s="345"/>
      <c r="GE219" s="345"/>
      <c r="GF219" s="345"/>
      <c r="GG219" s="345"/>
      <c r="GH219" s="345"/>
      <c r="GI219" s="345"/>
      <c r="GJ219" s="345"/>
      <c r="GK219" s="345"/>
      <c r="GL219" s="345"/>
      <c r="GM219" s="345"/>
      <c r="GN219" s="345"/>
      <c r="GO219" s="345"/>
      <c r="GP219" s="345"/>
      <c r="GQ219" s="345"/>
      <c r="GR219" s="345"/>
      <c r="GS219" s="345"/>
      <c r="GT219" s="345"/>
      <c r="GU219" s="345"/>
    </row>
    <row r="220" spans="23:203">
      <c r="W220" s="345"/>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c r="BJ220" s="345"/>
      <c r="BK220" s="345"/>
      <c r="BL220" s="345"/>
      <c r="BM220" s="345"/>
      <c r="BN220" s="345"/>
      <c r="BO220" s="345"/>
      <c r="BP220" s="345"/>
      <c r="BQ220" s="345"/>
      <c r="BR220" s="345"/>
      <c r="BS220" s="345"/>
      <c r="BT220" s="345"/>
      <c r="BU220" s="345"/>
      <c r="BV220" s="345"/>
      <c r="BW220" s="345"/>
      <c r="BX220" s="345"/>
      <c r="BY220" s="345"/>
      <c r="BZ220" s="345"/>
      <c r="CA220" s="345"/>
      <c r="CB220" s="345"/>
      <c r="CC220" s="345"/>
      <c r="CD220" s="345"/>
      <c r="CE220" s="345"/>
      <c r="CF220" s="345"/>
      <c r="CG220" s="345"/>
      <c r="CH220" s="345"/>
      <c r="CI220" s="345"/>
      <c r="CJ220" s="345"/>
      <c r="CK220" s="345"/>
      <c r="CL220" s="345"/>
      <c r="CM220" s="345"/>
      <c r="CN220" s="345"/>
      <c r="CO220" s="345"/>
      <c r="CP220" s="345"/>
      <c r="CQ220" s="345"/>
      <c r="CR220" s="345"/>
      <c r="CS220" s="345"/>
      <c r="CT220" s="345"/>
      <c r="CU220" s="345"/>
      <c r="CV220" s="345"/>
      <c r="CW220" s="345"/>
      <c r="CX220" s="345"/>
      <c r="CY220" s="345"/>
      <c r="CZ220" s="345"/>
      <c r="DA220" s="345"/>
      <c r="DB220" s="345"/>
      <c r="DC220" s="345"/>
      <c r="DD220" s="345"/>
      <c r="DE220" s="345"/>
      <c r="DF220" s="345"/>
      <c r="DG220" s="345"/>
      <c r="DH220" s="345"/>
      <c r="DI220" s="345"/>
      <c r="DJ220" s="345"/>
      <c r="DK220" s="345"/>
      <c r="DL220" s="345"/>
      <c r="DM220" s="345"/>
      <c r="DN220" s="345"/>
      <c r="DO220" s="345"/>
      <c r="DP220" s="345"/>
      <c r="DQ220" s="345"/>
      <c r="DR220" s="345"/>
      <c r="DS220" s="345"/>
      <c r="DT220" s="345"/>
      <c r="DU220" s="345"/>
      <c r="DV220" s="345"/>
      <c r="DW220" s="345"/>
      <c r="DX220" s="345"/>
      <c r="DY220" s="345"/>
      <c r="DZ220" s="345"/>
      <c r="EA220" s="345"/>
      <c r="EB220" s="345"/>
      <c r="EC220" s="345"/>
      <c r="ED220" s="345"/>
      <c r="EE220" s="345"/>
      <c r="EF220" s="345"/>
      <c r="EG220" s="345"/>
      <c r="EH220" s="345"/>
      <c r="EI220" s="345"/>
      <c r="EJ220" s="345"/>
      <c r="EK220" s="345"/>
      <c r="EL220" s="345"/>
      <c r="EM220" s="345"/>
      <c r="EN220" s="345"/>
      <c r="EO220" s="345"/>
      <c r="EP220" s="345"/>
      <c r="EQ220" s="345"/>
      <c r="ER220" s="345"/>
      <c r="ES220" s="345"/>
      <c r="ET220" s="345"/>
      <c r="EU220" s="345"/>
      <c r="EV220" s="345"/>
      <c r="EW220" s="345"/>
      <c r="EX220" s="345"/>
      <c r="EY220" s="345"/>
      <c r="EZ220" s="345"/>
      <c r="FA220" s="345"/>
      <c r="FB220" s="345"/>
      <c r="FC220" s="345"/>
      <c r="FD220" s="345"/>
      <c r="FE220" s="345"/>
      <c r="FF220" s="345"/>
      <c r="FG220" s="345"/>
      <c r="FH220" s="345"/>
      <c r="FI220" s="345"/>
      <c r="FJ220" s="345"/>
      <c r="FK220" s="345"/>
      <c r="FL220" s="345"/>
      <c r="FM220" s="345"/>
      <c r="FN220" s="345"/>
      <c r="FO220" s="345"/>
      <c r="FP220" s="345"/>
      <c r="FQ220" s="345"/>
      <c r="FR220" s="345"/>
      <c r="FS220" s="345"/>
      <c r="FT220" s="345"/>
      <c r="FU220" s="345"/>
      <c r="FV220" s="345"/>
      <c r="FW220" s="345"/>
      <c r="FX220" s="345"/>
      <c r="FY220" s="345"/>
      <c r="FZ220" s="345"/>
      <c r="GA220" s="345"/>
      <c r="GB220" s="345"/>
      <c r="GC220" s="345"/>
      <c r="GD220" s="345"/>
      <c r="GE220" s="345"/>
      <c r="GF220" s="345"/>
      <c r="GG220" s="345"/>
      <c r="GH220" s="345"/>
      <c r="GI220" s="345"/>
      <c r="GJ220" s="345"/>
      <c r="GK220" s="345"/>
      <c r="GL220" s="345"/>
      <c r="GM220" s="345"/>
      <c r="GN220" s="345"/>
      <c r="GO220" s="345"/>
      <c r="GP220" s="345"/>
      <c r="GQ220" s="345"/>
      <c r="GR220" s="345"/>
      <c r="GS220" s="345"/>
      <c r="GT220" s="345"/>
      <c r="GU220" s="345"/>
    </row>
    <row r="221" spans="23:203">
      <c r="W221" s="345"/>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c r="AS221" s="345"/>
      <c r="AT221" s="345"/>
      <c r="AU221" s="345"/>
      <c r="AV221" s="345"/>
      <c r="AW221" s="345"/>
      <c r="AX221" s="345"/>
      <c r="AY221" s="345"/>
      <c r="AZ221" s="345"/>
      <c r="BA221" s="345"/>
      <c r="BB221" s="345"/>
      <c r="BC221" s="345"/>
      <c r="BD221" s="345"/>
      <c r="BE221" s="345"/>
      <c r="BF221" s="345"/>
      <c r="BG221" s="345"/>
      <c r="BH221" s="345"/>
      <c r="BI221" s="345"/>
      <c r="BJ221" s="345"/>
      <c r="BK221" s="345"/>
      <c r="BL221" s="345"/>
      <c r="BM221" s="345"/>
      <c r="BN221" s="345"/>
      <c r="BO221" s="345"/>
      <c r="BP221" s="345"/>
      <c r="BQ221" s="345"/>
      <c r="BR221" s="345"/>
      <c r="BS221" s="345"/>
      <c r="BT221" s="345"/>
      <c r="BU221" s="345"/>
      <c r="BV221" s="345"/>
      <c r="BW221" s="345"/>
      <c r="BX221" s="345"/>
      <c r="BY221" s="345"/>
      <c r="BZ221" s="345"/>
      <c r="CA221" s="345"/>
      <c r="CB221" s="345"/>
      <c r="CC221" s="345"/>
      <c r="CD221" s="345"/>
      <c r="CE221" s="345"/>
      <c r="CF221" s="345"/>
      <c r="CG221" s="345"/>
      <c r="CH221" s="345"/>
      <c r="CI221" s="345"/>
      <c r="CJ221" s="345"/>
      <c r="CK221" s="345"/>
      <c r="CL221" s="345"/>
      <c r="CM221" s="345"/>
      <c r="CN221" s="345"/>
      <c r="CO221" s="345"/>
      <c r="CP221" s="345"/>
      <c r="CQ221" s="345"/>
      <c r="CR221" s="345"/>
      <c r="CS221" s="345"/>
      <c r="CT221" s="345"/>
      <c r="CU221" s="345"/>
      <c r="CV221" s="345"/>
      <c r="CW221" s="345"/>
      <c r="CX221" s="345"/>
      <c r="CY221" s="345"/>
      <c r="CZ221" s="345"/>
      <c r="DA221" s="345"/>
      <c r="DB221" s="345"/>
      <c r="DC221" s="345"/>
      <c r="DD221" s="345"/>
      <c r="DE221" s="345"/>
      <c r="DF221" s="345"/>
      <c r="DG221" s="345"/>
      <c r="DH221" s="345"/>
      <c r="DI221" s="345"/>
      <c r="DJ221" s="345"/>
      <c r="DK221" s="345"/>
      <c r="DL221" s="345"/>
      <c r="DM221" s="345"/>
      <c r="DN221" s="345"/>
      <c r="DO221" s="345"/>
      <c r="DP221" s="345"/>
      <c r="DQ221" s="345"/>
      <c r="DR221" s="345"/>
      <c r="DS221" s="345"/>
      <c r="DT221" s="345"/>
      <c r="DU221" s="345"/>
      <c r="DV221" s="345"/>
      <c r="DW221" s="345"/>
      <c r="DX221" s="345"/>
      <c r="DY221" s="345"/>
      <c r="DZ221" s="345"/>
      <c r="EA221" s="345"/>
      <c r="EB221" s="345"/>
      <c r="EC221" s="345"/>
      <c r="ED221" s="345"/>
      <c r="EE221" s="345"/>
      <c r="EF221" s="345"/>
      <c r="EG221" s="345"/>
      <c r="EH221" s="345"/>
      <c r="EI221" s="345"/>
      <c r="EJ221" s="345"/>
      <c r="EK221" s="345"/>
      <c r="EL221" s="345"/>
      <c r="EM221" s="345"/>
      <c r="EN221" s="345"/>
      <c r="EO221" s="345"/>
      <c r="EP221" s="345"/>
      <c r="EQ221" s="345"/>
      <c r="ER221" s="345"/>
      <c r="ES221" s="345"/>
      <c r="ET221" s="345"/>
      <c r="EU221" s="345"/>
      <c r="EV221" s="345"/>
      <c r="EW221" s="345"/>
      <c r="EX221" s="345"/>
      <c r="EY221" s="345"/>
      <c r="EZ221" s="345"/>
      <c r="FA221" s="345"/>
      <c r="FB221" s="345"/>
      <c r="FC221" s="345"/>
      <c r="FD221" s="345"/>
      <c r="FE221" s="345"/>
      <c r="FF221" s="345"/>
      <c r="FG221" s="345"/>
      <c r="FH221" s="345"/>
      <c r="FI221" s="345"/>
      <c r="FJ221" s="345"/>
      <c r="FK221" s="345"/>
      <c r="FL221" s="345"/>
      <c r="FM221" s="345"/>
      <c r="FN221" s="345"/>
      <c r="FO221" s="345"/>
      <c r="FP221" s="345"/>
      <c r="FQ221" s="345"/>
      <c r="FR221" s="345"/>
      <c r="FS221" s="345"/>
      <c r="FT221" s="345"/>
      <c r="FU221" s="345"/>
      <c r="FV221" s="345"/>
      <c r="FW221" s="345"/>
      <c r="FX221" s="345"/>
      <c r="FY221" s="345"/>
      <c r="FZ221" s="345"/>
      <c r="GA221" s="345"/>
      <c r="GB221" s="345"/>
      <c r="GC221" s="345"/>
      <c r="GD221" s="345"/>
      <c r="GE221" s="345"/>
      <c r="GF221" s="345"/>
      <c r="GG221" s="345"/>
      <c r="GH221" s="345"/>
      <c r="GI221" s="345"/>
      <c r="GJ221" s="345"/>
      <c r="GK221" s="345"/>
      <c r="GL221" s="345"/>
      <c r="GM221" s="345"/>
      <c r="GN221" s="345"/>
      <c r="GO221" s="345"/>
      <c r="GP221" s="345"/>
      <c r="GQ221" s="345"/>
      <c r="GR221" s="345"/>
      <c r="GS221" s="345"/>
      <c r="GT221" s="345"/>
      <c r="GU221" s="345"/>
    </row>
    <row r="222" spans="23:203">
      <c r="W222" s="345"/>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c r="BJ222" s="345"/>
      <c r="BK222" s="345"/>
      <c r="BL222" s="345"/>
      <c r="BM222" s="345"/>
      <c r="BN222" s="345"/>
      <c r="BO222" s="345"/>
      <c r="BP222" s="345"/>
      <c r="BQ222" s="345"/>
      <c r="BR222" s="345"/>
      <c r="BS222" s="345"/>
      <c r="BT222" s="345"/>
      <c r="BU222" s="345"/>
      <c r="BV222" s="345"/>
      <c r="BW222" s="345"/>
      <c r="BX222" s="345"/>
      <c r="BY222" s="345"/>
      <c r="BZ222" s="345"/>
      <c r="CA222" s="345"/>
      <c r="CB222" s="345"/>
      <c r="CC222" s="345"/>
      <c r="CD222" s="345"/>
      <c r="CE222" s="345"/>
      <c r="CF222" s="345"/>
      <c r="CG222" s="345"/>
      <c r="CH222" s="345"/>
      <c r="CI222" s="345"/>
      <c r="CJ222" s="345"/>
      <c r="CK222" s="345"/>
      <c r="CL222" s="345"/>
      <c r="CM222" s="345"/>
      <c r="CN222" s="345"/>
      <c r="CO222" s="345"/>
      <c r="CP222" s="345"/>
      <c r="CQ222" s="345"/>
      <c r="CR222" s="345"/>
      <c r="CS222" s="345"/>
      <c r="CT222" s="345"/>
      <c r="CU222" s="345"/>
      <c r="CV222" s="345"/>
      <c r="CW222" s="345"/>
      <c r="CX222" s="345"/>
      <c r="CY222" s="345"/>
      <c r="CZ222" s="345"/>
      <c r="DA222" s="345"/>
      <c r="DB222" s="345"/>
      <c r="DC222" s="345"/>
      <c r="DD222" s="345"/>
      <c r="DE222" s="345"/>
      <c r="DF222" s="345"/>
      <c r="DG222" s="345"/>
      <c r="DH222" s="345"/>
      <c r="DI222" s="345"/>
      <c r="DJ222" s="345"/>
      <c r="DK222" s="345"/>
      <c r="DL222" s="345"/>
      <c r="DM222" s="345"/>
      <c r="DN222" s="345"/>
      <c r="DO222" s="345"/>
      <c r="DP222" s="345"/>
      <c r="DQ222" s="345"/>
      <c r="DR222" s="345"/>
      <c r="DS222" s="345"/>
      <c r="DT222" s="345"/>
      <c r="DU222" s="345"/>
      <c r="DV222" s="345"/>
      <c r="DW222" s="345"/>
      <c r="DX222" s="345"/>
      <c r="DY222" s="345"/>
      <c r="DZ222" s="345"/>
      <c r="EA222" s="345"/>
      <c r="EB222" s="345"/>
      <c r="EC222" s="345"/>
      <c r="ED222" s="345"/>
      <c r="EE222" s="345"/>
      <c r="EF222" s="345"/>
      <c r="EG222" s="345"/>
      <c r="EH222" s="345"/>
      <c r="EI222" s="345"/>
      <c r="EJ222" s="345"/>
      <c r="EK222" s="345"/>
      <c r="EL222" s="345"/>
      <c r="EM222" s="345"/>
      <c r="EN222" s="345"/>
      <c r="EO222" s="345"/>
      <c r="EP222" s="345"/>
      <c r="EQ222" s="345"/>
      <c r="ER222" s="345"/>
      <c r="ES222" s="345"/>
      <c r="ET222" s="345"/>
      <c r="EU222" s="345"/>
      <c r="EV222" s="345"/>
      <c r="EW222" s="345"/>
      <c r="EX222" s="345"/>
      <c r="EY222" s="345"/>
      <c r="EZ222" s="345"/>
      <c r="FA222" s="345"/>
      <c r="FB222" s="345"/>
      <c r="FC222" s="345"/>
      <c r="FD222" s="345"/>
      <c r="FE222" s="345"/>
      <c r="FF222" s="345"/>
      <c r="FG222" s="345"/>
      <c r="FH222" s="345"/>
      <c r="FI222" s="345"/>
      <c r="FJ222" s="345"/>
      <c r="FK222" s="345"/>
      <c r="FL222" s="345"/>
      <c r="FM222" s="345"/>
      <c r="FN222" s="345"/>
      <c r="FO222" s="345"/>
      <c r="FP222" s="345"/>
      <c r="FQ222" s="345"/>
      <c r="FR222" s="345"/>
      <c r="FS222" s="345"/>
      <c r="FT222" s="345"/>
      <c r="FU222" s="345"/>
      <c r="FV222" s="345"/>
      <c r="FW222" s="345"/>
      <c r="FX222" s="345"/>
      <c r="FY222" s="345"/>
      <c r="FZ222" s="345"/>
      <c r="GA222" s="345"/>
      <c r="GB222" s="345"/>
      <c r="GC222" s="345"/>
      <c r="GD222" s="345"/>
      <c r="GE222" s="345"/>
      <c r="GF222" s="345"/>
      <c r="GG222" s="345"/>
      <c r="GH222" s="345"/>
      <c r="GI222" s="345"/>
      <c r="GJ222" s="345"/>
      <c r="GK222" s="345"/>
      <c r="GL222" s="345"/>
      <c r="GM222" s="345"/>
      <c r="GN222" s="345"/>
      <c r="GO222" s="345"/>
      <c r="GP222" s="345"/>
      <c r="GQ222" s="345"/>
      <c r="GR222" s="345"/>
      <c r="GS222" s="345"/>
      <c r="GT222" s="345"/>
      <c r="GU222" s="345"/>
    </row>
    <row r="223" spans="23:203">
      <c r="W223" s="345"/>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c r="BJ223" s="345"/>
      <c r="BK223" s="345"/>
      <c r="BL223" s="345"/>
      <c r="BM223" s="345"/>
      <c r="BN223" s="345"/>
      <c r="BO223" s="345"/>
      <c r="BP223" s="345"/>
      <c r="BQ223" s="345"/>
      <c r="BR223" s="345"/>
      <c r="BS223" s="345"/>
      <c r="BT223" s="345"/>
      <c r="BU223" s="345"/>
      <c r="BV223" s="345"/>
      <c r="BW223" s="345"/>
      <c r="BX223" s="345"/>
      <c r="BY223" s="345"/>
      <c r="BZ223" s="345"/>
      <c r="CA223" s="345"/>
      <c r="CB223" s="345"/>
      <c r="CC223" s="345"/>
      <c r="CD223" s="345"/>
      <c r="CE223" s="345"/>
      <c r="CF223" s="345"/>
      <c r="CG223" s="345"/>
      <c r="CH223" s="345"/>
      <c r="CI223" s="345"/>
      <c r="CJ223" s="345"/>
      <c r="CK223" s="345"/>
      <c r="CL223" s="345"/>
      <c r="CM223" s="345"/>
      <c r="CN223" s="345"/>
      <c r="CO223" s="345"/>
      <c r="CP223" s="345"/>
      <c r="CQ223" s="345"/>
      <c r="CR223" s="345"/>
      <c r="CS223" s="345"/>
      <c r="CT223" s="345"/>
      <c r="CU223" s="345"/>
      <c r="CV223" s="345"/>
      <c r="CW223" s="345"/>
      <c r="CX223" s="345"/>
      <c r="CY223" s="345"/>
      <c r="CZ223" s="345"/>
      <c r="DA223" s="345"/>
      <c r="DB223" s="345"/>
      <c r="DC223" s="345"/>
      <c r="DD223" s="345"/>
      <c r="DE223" s="345"/>
      <c r="DF223" s="345"/>
      <c r="DG223" s="345"/>
      <c r="DH223" s="345"/>
      <c r="DI223" s="345"/>
      <c r="DJ223" s="345"/>
      <c r="DK223" s="345"/>
      <c r="DL223" s="345"/>
      <c r="DM223" s="345"/>
      <c r="DN223" s="345"/>
      <c r="DO223" s="345"/>
      <c r="DP223" s="345"/>
      <c r="DQ223" s="345"/>
      <c r="DR223" s="345"/>
      <c r="DS223" s="345"/>
      <c r="DT223" s="345"/>
      <c r="DU223" s="345"/>
      <c r="DV223" s="345"/>
      <c r="DW223" s="345"/>
      <c r="DX223" s="345"/>
      <c r="DY223" s="345"/>
      <c r="DZ223" s="345"/>
      <c r="EA223" s="345"/>
      <c r="EB223" s="345"/>
      <c r="EC223" s="345"/>
      <c r="ED223" s="345"/>
      <c r="EE223" s="345"/>
      <c r="EF223" s="345"/>
      <c r="EG223" s="345"/>
      <c r="EH223" s="345"/>
      <c r="EI223" s="345"/>
      <c r="EJ223" s="345"/>
      <c r="EK223" s="345"/>
      <c r="EL223" s="345"/>
      <c r="EM223" s="345"/>
      <c r="EN223" s="345"/>
      <c r="EO223" s="345"/>
      <c r="EP223" s="345"/>
      <c r="EQ223" s="345"/>
      <c r="ER223" s="345"/>
      <c r="ES223" s="345"/>
      <c r="ET223" s="345"/>
      <c r="EU223" s="345"/>
      <c r="EV223" s="345"/>
      <c r="EW223" s="345"/>
      <c r="EX223" s="345"/>
      <c r="EY223" s="345"/>
      <c r="EZ223" s="345"/>
      <c r="FA223" s="345"/>
      <c r="FB223" s="345"/>
      <c r="FC223" s="345"/>
      <c r="FD223" s="345"/>
      <c r="FE223" s="345"/>
      <c r="FF223" s="345"/>
      <c r="FG223" s="345"/>
      <c r="FH223" s="345"/>
      <c r="FI223" s="345"/>
      <c r="FJ223" s="345"/>
      <c r="FK223" s="345"/>
      <c r="FL223" s="345"/>
      <c r="FM223" s="345"/>
      <c r="FN223" s="345"/>
      <c r="FO223" s="345"/>
      <c r="FP223" s="345"/>
      <c r="FQ223" s="345"/>
      <c r="FR223" s="345"/>
      <c r="FS223" s="345"/>
      <c r="FT223" s="345"/>
      <c r="FU223" s="345"/>
      <c r="FV223" s="345"/>
      <c r="FW223" s="345"/>
      <c r="FX223" s="345"/>
      <c r="FY223" s="345"/>
      <c r="FZ223" s="345"/>
      <c r="GA223" s="345"/>
      <c r="GB223" s="345"/>
      <c r="GC223" s="345"/>
      <c r="GD223" s="345"/>
      <c r="GE223" s="345"/>
      <c r="GF223" s="345"/>
      <c r="GG223" s="345"/>
      <c r="GH223" s="345"/>
      <c r="GI223" s="345"/>
      <c r="GJ223" s="345"/>
      <c r="GK223" s="345"/>
      <c r="GL223" s="345"/>
      <c r="GM223" s="345"/>
      <c r="GN223" s="345"/>
      <c r="GO223" s="345"/>
      <c r="GP223" s="345"/>
      <c r="GQ223" s="345"/>
      <c r="GR223" s="345"/>
      <c r="GS223" s="345"/>
      <c r="GT223" s="345"/>
      <c r="GU223" s="345"/>
    </row>
    <row r="224" spans="23:203">
      <c r="W224" s="345"/>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c r="AS224" s="345"/>
      <c r="AT224" s="345"/>
      <c r="AU224" s="345"/>
      <c r="AV224" s="345"/>
      <c r="AW224" s="345"/>
      <c r="AX224" s="345"/>
      <c r="AY224" s="345"/>
      <c r="AZ224" s="345"/>
      <c r="BA224" s="345"/>
      <c r="BB224" s="345"/>
      <c r="BC224" s="345"/>
      <c r="BD224" s="345"/>
      <c r="BE224" s="345"/>
      <c r="BF224" s="345"/>
      <c r="BG224" s="345"/>
      <c r="BH224" s="345"/>
      <c r="BI224" s="345"/>
      <c r="BJ224" s="345"/>
      <c r="BK224" s="345"/>
      <c r="BL224" s="345"/>
      <c r="BM224" s="345"/>
      <c r="BN224" s="345"/>
      <c r="BO224" s="345"/>
      <c r="BP224" s="345"/>
      <c r="BQ224" s="345"/>
      <c r="BR224" s="345"/>
      <c r="BS224" s="345"/>
      <c r="BT224" s="345"/>
      <c r="BU224" s="345"/>
      <c r="BV224" s="345"/>
      <c r="BW224" s="345"/>
      <c r="BX224" s="345"/>
      <c r="BY224" s="345"/>
      <c r="BZ224" s="345"/>
      <c r="CA224" s="345"/>
      <c r="CB224" s="345"/>
      <c r="CC224" s="345"/>
      <c r="CD224" s="345"/>
      <c r="CE224" s="345"/>
      <c r="CF224" s="345"/>
      <c r="CG224" s="345"/>
      <c r="CH224" s="345"/>
      <c r="CI224" s="345"/>
      <c r="CJ224" s="345"/>
      <c r="CK224" s="345"/>
      <c r="CL224" s="345"/>
      <c r="CM224" s="345"/>
      <c r="CN224" s="345"/>
      <c r="CO224" s="345"/>
      <c r="CP224" s="345"/>
      <c r="CQ224" s="345"/>
      <c r="CR224" s="345"/>
      <c r="CS224" s="345"/>
      <c r="CT224" s="345"/>
      <c r="CU224" s="345"/>
      <c r="CV224" s="345"/>
      <c r="CW224" s="345"/>
      <c r="CX224" s="345"/>
      <c r="CY224" s="345"/>
      <c r="CZ224" s="345"/>
      <c r="DA224" s="345"/>
      <c r="DB224" s="345"/>
      <c r="DC224" s="345"/>
      <c r="DD224" s="345"/>
      <c r="DE224" s="345"/>
      <c r="DF224" s="345"/>
      <c r="DG224" s="345"/>
      <c r="DH224" s="345"/>
      <c r="DI224" s="345"/>
      <c r="DJ224" s="345"/>
      <c r="DK224" s="345"/>
      <c r="DL224" s="345"/>
      <c r="DM224" s="345"/>
      <c r="DN224" s="345"/>
      <c r="DO224" s="345"/>
      <c r="DP224" s="345"/>
      <c r="DQ224" s="345"/>
      <c r="DR224" s="345"/>
      <c r="DS224" s="345"/>
      <c r="DT224" s="345"/>
      <c r="DU224" s="345"/>
      <c r="DV224" s="345"/>
      <c r="DW224" s="345"/>
      <c r="DX224" s="345"/>
      <c r="DY224" s="345"/>
      <c r="DZ224" s="345"/>
      <c r="EA224" s="345"/>
      <c r="EB224" s="345"/>
      <c r="EC224" s="345"/>
      <c r="ED224" s="345"/>
      <c r="EE224" s="345"/>
      <c r="EF224" s="345"/>
      <c r="EG224" s="345"/>
      <c r="EH224" s="345"/>
      <c r="EI224" s="345"/>
      <c r="EJ224" s="345"/>
      <c r="EK224" s="345"/>
      <c r="EL224" s="345"/>
      <c r="EM224" s="345"/>
      <c r="EN224" s="345"/>
      <c r="EO224" s="345"/>
      <c r="EP224" s="345"/>
      <c r="EQ224" s="345"/>
      <c r="ER224" s="345"/>
      <c r="ES224" s="345"/>
      <c r="ET224" s="345"/>
      <c r="EU224" s="345"/>
      <c r="EV224" s="345"/>
      <c r="EW224" s="345"/>
      <c r="EX224" s="345"/>
      <c r="EY224" s="345"/>
      <c r="EZ224" s="345"/>
      <c r="FA224" s="345"/>
      <c r="FB224" s="345"/>
      <c r="FC224" s="345"/>
      <c r="FD224" s="345"/>
      <c r="FE224" s="345"/>
      <c r="FF224" s="345"/>
      <c r="FG224" s="345"/>
      <c r="FH224" s="345"/>
      <c r="FI224" s="345"/>
      <c r="FJ224" s="345"/>
      <c r="FK224" s="345"/>
      <c r="FL224" s="345"/>
      <c r="FM224" s="345"/>
      <c r="FN224" s="345"/>
      <c r="FO224" s="345"/>
      <c r="FP224" s="345"/>
      <c r="FQ224" s="345"/>
      <c r="FR224" s="345"/>
      <c r="FS224" s="345"/>
      <c r="FT224" s="345"/>
      <c r="FU224" s="345"/>
      <c r="FV224" s="345"/>
      <c r="FW224" s="345"/>
      <c r="FX224" s="345"/>
      <c r="FY224" s="345"/>
      <c r="FZ224" s="345"/>
      <c r="GA224" s="345"/>
      <c r="GB224" s="345"/>
      <c r="GC224" s="345"/>
      <c r="GD224" s="345"/>
      <c r="GE224" s="345"/>
      <c r="GF224" s="345"/>
      <c r="GG224" s="345"/>
      <c r="GH224" s="345"/>
      <c r="GI224" s="345"/>
      <c r="GJ224" s="345"/>
      <c r="GK224" s="345"/>
      <c r="GL224" s="345"/>
      <c r="GM224" s="345"/>
      <c r="GN224" s="345"/>
      <c r="GO224" s="345"/>
      <c r="GP224" s="345"/>
      <c r="GQ224" s="345"/>
      <c r="GR224" s="345"/>
      <c r="GS224" s="345"/>
      <c r="GT224" s="345"/>
      <c r="GU224" s="345"/>
    </row>
    <row r="225" spans="23:203">
      <c r="W225" s="345"/>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c r="AS225" s="345"/>
      <c r="AT225" s="345"/>
      <c r="AU225" s="345"/>
      <c r="AV225" s="345"/>
      <c r="AW225" s="345"/>
      <c r="AX225" s="345"/>
      <c r="AY225" s="345"/>
      <c r="AZ225" s="345"/>
      <c r="BA225" s="345"/>
      <c r="BB225" s="345"/>
      <c r="BC225" s="345"/>
      <c r="BD225" s="345"/>
      <c r="BE225" s="345"/>
      <c r="BF225" s="345"/>
      <c r="BG225" s="345"/>
      <c r="BH225" s="345"/>
      <c r="BI225" s="345"/>
      <c r="BJ225" s="345"/>
      <c r="BK225" s="345"/>
      <c r="BL225" s="345"/>
      <c r="BM225" s="345"/>
      <c r="BN225" s="345"/>
      <c r="BO225" s="345"/>
      <c r="BP225" s="345"/>
      <c r="BQ225" s="345"/>
      <c r="BR225" s="345"/>
      <c r="BS225" s="345"/>
      <c r="BT225" s="345"/>
      <c r="BU225" s="345"/>
      <c r="BV225" s="345"/>
      <c r="BW225" s="345"/>
      <c r="BX225" s="345"/>
      <c r="BY225" s="345"/>
      <c r="BZ225" s="345"/>
      <c r="CA225" s="345"/>
      <c r="CB225" s="345"/>
      <c r="CC225" s="345"/>
      <c r="CD225" s="345"/>
      <c r="CE225" s="345"/>
      <c r="CF225" s="345"/>
      <c r="CG225" s="345"/>
      <c r="CH225" s="345"/>
      <c r="CI225" s="345"/>
      <c r="CJ225" s="345"/>
      <c r="CK225" s="345"/>
      <c r="CL225" s="345"/>
      <c r="CM225" s="345"/>
      <c r="CN225" s="345"/>
      <c r="CO225" s="345"/>
      <c r="CP225" s="345"/>
      <c r="CQ225" s="345"/>
      <c r="CR225" s="345"/>
      <c r="CS225" s="345"/>
      <c r="CT225" s="345"/>
      <c r="CU225" s="345"/>
      <c r="CV225" s="345"/>
      <c r="CW225" s="345"/>
      <c r="CX225" s="345"/>
      <c r="CY225" s="345"/>
      <c r="CZ225" s="345"/>
      <c r="DA225" s="345"/>
      <c r="DB225" s="345"/>
      <c r="DC225" s="345"/>
      <c r="DD225" s="345"/>
      <c r="DE225" s="345"/>
      <c r="DF225" s="345"/>
      <c r="DG225" s="345"/>
      <c r="DH225" s="345"/>
      <c r="DI225" s="345"/>
      <c r="DJ225" s="345"/>
      <c r="DK225" s="345"/>
      <c r="DL225" s="345"/>
      <c r="DM225" s="345"/>
      <c r="DN225" s="345"/>
      <c r="DO225" s="345"/>
      <c r="DP225" s="345"/>
      <c r="DQ225" s="345"/>
      <c r="DR225" s="345"/>
      <c r="DS225" s="345"/>
      <c r="DT225" s="345"/>
      <c r="DU225" s="345"/>
      <c r="DV225" s="345"/>
      <c r="DW225" s="345"/>
      <c r="DX225" s="345"/>
      <c r="DY225" s="345"/>
      <c r="DZ225" s="345"/>
      <c r="EA225" s="345"/>
      <c r="EB225" s="345"/>
      <c r="EC225" s="345"/>
      <c r="ED225" s="345"/>
      <c r="EE225" s="345"/>
      <c r="EF225" s="345"/>
      <c r="EG225" s="345"/>
      <c r="EH225" s="345"/>
      <c r="EI225" s="345"/>
      <c r="EJ225" s="345"/>
      <c r="EK225" s="345"/>
      <c r="EL225" s="345"/>
      <c r="EM225" s="345"/>
      <c r="EN225" s="345"/>
      <c r="EO225" s="345"/>
      <c r="EP225" s="345"/>
      <c r="EQ225" s="345"/>
      <c r="ER225" s="345"/>
      <c r="ES225" s="345"/>
      <c r="ET225" s="345"/>
      <c r="EU225" s="345"/>
      <c r="EV225" s="345"/>
      <c r="EW225" s="345"/>
      <c r="EX225" s="345"/>
      <c r="EY225" s="345"/>
      <c r="EZ225" s="345"/>
      <c r="FA225" s="345"/>
      <c r="FB225" s="345"/>
      <c r="FC225" s="345"/>
      <c r="FD225" s="345"/>
      <c r="FE225" s="345"/>
      <c r="FF225" s="345"/>
      <c r="FG225" s="345"/>
      <c r="FH225" s="345"/>
      <c r="FI225" s="345"/>
      <c r="FJ225" s="345"/>
      <c r="FK225" s="345"/>
      <c r="FL225" s="345"/>
      <c r="FM225" s="345"/>
      <c r="FN225" s="345"/>
      <c r="FO225" s="345"/>
      <c r="FP225" s="345"/>
      <c r="FQ225" s="345"/>
      <c r="FR225" s="345"/>
      <c r="FS225" s="345"/>
      <c r="FT225" s="345"/>
      <c r="FU225" s="345"/>
      <c r="FV225" s="345"/>
      <c r="FW225" s="345"/>
      <c r="FX225" s="345"/>
      <c r="FY225" s="345"/>
      <c r="FZ225" s="345"/>
      <c r="GA225" s="345"/>
      <c r="GB225" s="345"/>
      <c r="GC225" s="345"/>
      <c r="GD225" s="345"/>
      <c r="GE225" s="345"/>
      <c r="GF225" s="345"/>
      <c r="GG225" s="345"/>
      <c r="GH225" s="345"/>
      <c r="GI225" s="345"/>
      <c r="GJ225" s="345"/>
      <c r="GK225" s="345"/>
      <c r="GL225" s="345"/>
      <c r="GM225" s="345"/>
      <c r="GN225" s="345"/>
      <c r="GO225" s="345"/>
      <c r="GP225" s="345"/>
      <c r="GQ225" s="345"/>
      <c r="GR225" s="345"/>
      <c r="GS225" s="345"/>
      <c r="GT225" s="345"/>
      <c r="GU225" s="345"/>
    </row>
    <row r="226" spans="23:203">
      <c r="W226" s="345"/>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c r="AS226" s="345"/>
      <c r="AT226" s="345"/>
      <c r="AU226" s="345"/>
      <c r="AV226" s="345"/>
      <c r="AW226" s="345"/>
      <c r="AX226" s="345"/>
      <c r="AY226" s="345"/>
      <c r="AZ226" s="345"/>
      <c r="BA226" s="345"/>
      <c r="BB226" s="345"/>
      <c r="BC226" s="345"/>
      <c r="BD226" s="345"/>
      <c r="BE226" s="345"/>
      <c r="BF226" s="345"/>
      <c r="BG226" s="345"/>
      <c r="BH226" s="345"/>
      <c r="BI226" s="345"/>
      <c r="BJ226" s="345"/>
      <c r="BK226" s="345"/>
      <c r="BL226" s="345"/>
      <c r="BM226" s="345"/>
      <c r="BN226" s="345"/>
      <c r="BO226" s="345"/>
      <c r="BP226" s="345"/>
      <c r="BQ226" s="345"/>
      <c r="BR226" s="345"/>
      <c r="BS226" s="345"/>
      <c r="BT226" s="345"/>
      <c r="BU226" s="345"/>
      <c r="BV226" s="345"/>
      <c r="BW226" s="345"/>
      <c r="BX226" s="345"/>
      <c r="BY226" s="345"/>
      <c r="BZ226" s="345"/>
      <c r="CA226" s="345"/>
      <c r="CB226" s="345"/>
      <c r="CC226" s="345"/>
      <c r="CD226" s="345"/>
      <c r="CE226" s="345"/>
      <c r="CF226" s="345"/>
      <c r="CG226" s="345"/>
      <c r="CH226" s="345"/>
      <c r="CI226" s="345"/>
      <c r="CJ226" s="345"/>
      <c r="CK226" s="345"/>
      <c r="CL226" s="345"/>
      <c r="CM226" s="345"/>
      <c r="CN226" s="345"/>
      <c r="CO226" s="345"/>
      <c r="CP226" s="345"/>
      <c r="CQ226" s="345"/>
      <c r="CR226" s="345"/>
      <c r="CS226" s="345"/>
      <c r="CT226" s="345"/>
      <c r="CU226" s="345"/>
      <c r="CV226" s="345"/>
      <c r="CW226" s="345"/>
      <c r="CX226" s="345"/>
      <c r="CY226" s="345"/>
      <c r="CZ226" s="345"/>
      <c r="DA226" s="345"/>
      <c r="DB226" s="345"/>
      <c r="DC226" s="345"/>
      <c r="DD226" s="345"/>
      <c r="DE226" s="345"/>
      <c r="DF226" s="345"/>
      <c r="DG226" s="345"/>
      <c r="DH226" s="345"/>
      <c r="DI226" s="345"/>
      <c r="DJ226" s="345"/>
      <c r="DK226" s="345"/>
      <c r="DL226" s="345"/>
      <c r="DM226" s="345"/>
      <c r="DN226" s="345"/>
      <c r="DO226" s="345"/>
      <c r="DP226" s="345"/>
      <c r="DQ226" s="345"/>
      <c r="DR226" s="345"/>
      <c r="DS226" s="345"/>
      <c r="DT226" s="345"/>
      <c r="DU226" s="345"/>
      <c r="DV226" s="345"/>
      <c r="DW226" s="345"/>
      <c r="DX226" s="345"/>
      <c r="DY226" s="345"/>
      <c r="DZ226" s="345"/>
      <c r="EA226" s="345"/>
      <c r="EB226" s="345"/>
      <c r="EC226" s="345"/>
      <c r="ED226" s="345"/>
      <c r="EE226" s="345"/>
      <c r="EF226" s="345"/>
      <c r="EG226" s="345"/>
      <c r="EH226" s="345"/>
      <c r="EI226" s="345"/>
      <c r="EJ226" s="345"/>
      <c r="EK226" s="345"/>
      <c r="EL226" s="345"/>
      <c r="EM226" s="345"/>
      <c r="EN226" s="345"/>
      <c r="EO226" s="345"/>
      <c r="EP226" s="345"/>
      <c r="EQ226" s="345"/>
      <c r="ER226" s="345"/>
      <c r="ES226" s="345"/>
      <c r="ET226" s="345"/>
      <c r="EU226" s="345"/>
      <c r="EV226" s="345"/>
      <c r="EW226" s="345"/>
      <c r="EX226" s="345"/>
      <c r="EY226" s="345"/>
      <c r="EZ226" s="345"/>
      <c r="FA226" s="345"/>
      <c r="FB226" s="345"/>
      <c r="FC226" s="345"/>
      <c r="FD226" s="345"/>
      <c r="FE226" s="345"/>
      <c r="FF226" s="345"/>
      <c r="FG226" s="345"/>
      <c r="FH226" s="345"/>
      <c r="FI226" s="345"/>
      <c r="FJ226" s="345"/>
      <c r="FK226" s="345"/>
      <c r="FL226" s="345"/>
      <c r="FM226" s="345"/>
      <c r="FN226" s="345"/>
      <c r="FO226" s="345"/>
      <c r="FP226" s="345"/>
      <c r="FQ226" s="345"/>
      <c r="FR226" s="345"/>
      <c r="FS226" s="345"/>
      <c r="FT226" s="345"/>
      <c r="FU226" s="345"/>
      <c r="FV226" s="345"/>
      <c r="FW226" s="345"/>
      <c r="FX226" s="345"/>
      <c r="FY226" s="345"/>
      <c r="FZ226" s="345"/>
      <c r="GA226" s="345"/>
      <c r="GB226" s="345"/>
      <c r="GC226" s="345"/>
      <c r="GD226" s="345"/>
      <c r="GE226" s="345"/>
      <c r="GF226" s="345"/>
      <c r="GG226" s="345"/>
      <c r="GH226" s="345"/>
      <c r="GI226" s="345"/>
      <c r="GJ226" s="345"/>
      <c r="GK226" s="345"/>
      <c r="GL226" s="345"/>
      <c r="GM226" s="345"/>
      <c r="GN226" s="345"/>
      <c r="GO226" s="345"/>
      <c r="GP226" s="345"/>
      <c r="GQ226" s="345"/>
      <c r="GR226" s="345"/>
      <c r="GS226" s="345"/>
      <c r="GT226" s="345"/>
      <c r="GU226" s="345"/>
    </row>
    <row r="227" spans="23:203">
      <c r="W227" s="345"/>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c r="BQ227" s="345"/>
      <c r="BR227" s="345"/>
      <c r="BS227" s="345"/>
      <c r="BT227" s="345"/>
      <c r="BU227" s="345"/>
      <c r="BV227" s="345"/>
      <c r="BW227" s="345"/>
      <c r="BX227" s="345"/>
      <c r="BY227" s="345"/>
      <c r="BZ227" s="345"/>
      <c r="CA227" s="345"/>
      <c r="CB227" s="345"/>
      <c r="CC227" s="345"/>
      <c r="CD227" s="345"/>
      <c r="CE227" s="345"/>
      <c r="CF227" s="345"/>
      <c r="CG227" s="345"/>
      <c r="CH227" s="345"/>
      <c r="CI227" s="345"/>
      <c r="CJ227" s="345"/>
      <c r="CK227" s="345"/>
      <c r="CL227" s="345"/>
      <c r="CM227" s="345"/>
      <c r="CN227" s="345"/>
      <c r="CO227" s="345"/>
      <c r="CP227" s="345"/>
      <c r="CQ227" s="345"/>
      <c r="CR227" s="345"/>
      <c r="CS227" s="345"/>
      <c r="CT227" s="345"/>
      <c r="CU227" s="345"/>
      <c r="CV227" s="345"/>
      <c r="CW227" s="345"/>
      <c r="CX227" s="345"/>
      <c r="CY227" s="345"/>
      <c r="CZ227" s="345"/>
      <c r="DA227" s="345"/>
      <c r="DB227" s="345"/>
      <c r="DC227" s="345"/>
      <c r="DD227" s="345"/>
      <c r="DE227" s="345"/>
      <c r="DF227" s="345"/>
      <c r="DG227" s="345"/>
      <c r="DH227" s="345"/>
      <c r="DI227" s="345"/>
      <c r="DJ227" s="345"/>
      <c r="DK227" s="345"/>
      <c r="DL227" s="345"/>
      <c r="DM227" s="345"/>
      <c r="DN227" s="345"/>
      <c r="DO227" s="345"/>
      <c r="DP227" s="345"/>
      <c r="DQ227" s="345"/>
      <c r="DR227" s="345"/>
      <c r="DS227" s="345"/>
      <c r="DT227" s="345"/>
      <c r="DU227" s="345"/>
      <c r="DV227" s="345"/>
      <c r="DW227" s="345"/>
      <c r="DX227" s="345"/>
      <c r="DY227" s="345"/>
      <c r="DZ227" s="345"/>
      <c r="EA227" s="345"/>
      <c r="EB227" s="345"/>
      <c r="EC227" s="345"/>
      <c r="ED227" s="345"/>
      <c r="EE227" s="345"/>
      <c r="EF227" s="345"/>
      <c r="EG227" s="345"/>
      <c r="EH227" s="345"/>
      <c r="EI227" s="345"/>
      <c r="EJ227" s="345"/>
      <c r="EK227" s="345"/>
      <c r="EL227" s="345"/>
      <c r="EM227" s="345"/>
      <c r="EN227" s="345"/>
      <c r="EO227" s="345"/>
      <c r="EP227" s="345"/>
      <c r="EQ227" s="345"/>
      <c r="ER227" s="345"/>
      <c r="ES227" s="345"/>
      <c r="ET227" s="345"/>
      <c r="EU227" s="345"/>
      <c r="EV227" s="345"/>
      <c r="EW227" s="345"/>
      <c r="EX227" s="345"/>
      <c r="EY227" s="345"/>
      <c r="EZ227" s="345"/>
      <c r="FA227" s="345"/>
      <c r="FB227" s="345"/>
      <c r="FC227" s="345"/>
      <c r="FD227" s="345"/>
      <c r="FE227" s="345"/>
      <c r="FF227" s="345"/>
      <c r="FG227" s="345"/>
      <c r="FH227" s="345"/>
      <c r="FI227" s="345"/>
      <c r="FJ227" s="345"/>
      <c r="FK227" s="345"/>
      <c r="FL227" s="345"/>
      <c r="FM227" s="345"/>
      <c r="FN227" s="345"/>
      <c r="FO227" s="345"/>
      <c r="FP227" s="345"/>
      <c r="FQ227" s="345"/>
      <c r="FR227" s="345"/>
      <c r="FS227" s="345"/>
      <c r="FT227" s="345"/>
      <c r="FU227" s="345"/>
      <c r="FV227" s="345"/>
      <c r="FW227" s="345"/>
      <c r="FX227" s="345"/>
      <c r="FY227" s="345"/>
      <c r="FZ227" s="345"/>
      <c r="GA227" s="345"/>
      <c r="GB227" s="345"/>
      <c r="GC227" s="345"/>
      <c r="GD227" s="345"/>
      <c r="GE227" s="345"/>
      <c r="GF227" s="345"/>
      <c r="GG227" s="345"/>
      <c r="GH227" s="345"/>
      <c r="GI227" s="345"/>
      <c r="GJ227" s="345"/>
      <c r="GK227" s="345"/>
      <c r="GL227" s="345"/>
      <c r="GM227" s="345"/>
      <c r="GN227" s="345"/>
      <c r="GO227" s="345"/>
      <c r="GP227" s="345"/>
      <c r="GQ227" s="345"/>
      <c r="GR227" s="345"/>
      <c r="GS227" s="345"/>
      <c r="GT227" s="345"/>
      <c r="GU227" s="345"/>
    </row>
    <row r="228" spans="23:203">
      <c r="W228" s="345"/>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c r="AS228" s="345"/>
      <c r="AT228" s="345"/>
      <c r="AU228" s="345"/>
      <c r="AV228" s="345"/>
      <c r="AW228" s="345"/>
      <c r="AX228" s="345"/>
      <c r="AY228" s="345"/>
      <c r="AZ228" s="345"/>
      <c r="BA228" s="345"/>
      <c r="BB228" s="345"/>
      <c r="BC228" s="345"/>
      <c r="BD228" s="345"/>
      <c r="BE228" s="345"/>
      <c r="BF228" s="345"/>
      <c r="BG228" s="345"/>
      <c r="BH228" s="345"/>
      <c r="BI228" s="345"/>
      <c r="BJ228" s="345"/>
      <c r="BK228" s="345"/>
      <c r="BL228" s="345"/>
      <c r="BM228" s="345"/>
      <c r="BN228" s="345"/>
      <c r="BO228" s="345"/>
      <c r="BP228" s="345"/>
      <c r="BQ228" s="345"/>
      <c r="BR228" s="345"/>
      <c r="BS228" s="345"/>
      <c r="BT228" s="345"/>
      <c r="BU228" s="345"/>
      <c r="BV228" s="345"/>
      <c r="BW228" s="345"/>
      <c r="BX228" s="345"/>
      <c r="BY228" s="345"/>
      <c r="BZ228" s="345"/>
      <c r="CA228" s="345"/>
      <c r="CB228" s="345"/>
      <c r="CC228" s="345"/>
      <c r="CD228" s="345"/>
      <c r="CE228" s="345"/>
      <c r="CF228" s="345"/>
      <c r="CG228" s="345"/>
      <c r="CH228" s="345"/>
      <c r="CI228" s="345"/>
      <c r="CJ228" s="345"/>
      <c r="CK228" s="345"/>
      <c r="CL228" s="345"/>
      <c r="CM228" s="345"/>
      <c r="CN228" s="345"/>
      <c r="CO228" s="345"/>
      <c r="CP228" s="345"/>
      <c r="CQ228" s="345"/>
      <c r="CR228" s="345"/>
      <c r="CS228" s="345"/>
      <c r="CT228" s="345"/>
      <c r="CU228" s="345"/>
      <c r="CV228" s="345"/>
      <c r="CW228" s="345"/>
      <c r="CX228" s="345"/>
      <c r="CY228" s="345"/>
      <c r="CZ228" s="345"/>
      <c r="DA228" s="345"/>
      <c r="DB228" s="345"/>
      <c r="DC228" s="345"/>
      <c r="DD228" s="345"/>
      <c r="DE228" s="345"/>
      <c r="DF228" s="345"/>
      <c r="DG228" s="345"/>
      <c r="DH228" s="345"/>
      <c r="DI228" s="345"/>
      <c r="DJ228" s="345"/>
      <c r="DK228" s="345"/>
      <c r="DL228" s="345"/>
      <c r="DM228" s="345"/>
      <c r="DN228" s="345"/>
      <c r="DO228" s="345"/>
      <c r="DP228" s="345"/>
      <c r="DQ228" s="345"/>
      <c r="DR228" s="345"/>
      <c r="DS228" s="345"/>
      <c r="DT228" s="345"/>
      <c r="DU228" s="345"/>
      <c r="DV228" s="345"/>
      <c r="DW228" s="345"/>
      <c r="DX228" s="345"/>
      <c r="DY228" s="345"/>
      <c r="DZ228" s="345"/>
      <c r="EA228" s="345"/>
      <c r="EB228" s="345"/>
      <c r="EC228" s="345"/>
      <c r="ED228" s="345"/>
      <c r="EE228" s="345"/>
      <c r="EF228" s="345"/>
      <c r="EG228" s="345"/>
      <c r="EH228" s="345"/>
      <c r="EI228" s="345"/>
      <c r="EJ228" s="345"/>
      <c r="EK228" s="345"/>
      <c r="EL228" s="345"/>
      <c r="EM228" s="345"/>
      <c r="EN228" s="345"/>
      <c r="EO228" s="345"/>
      <c r="EP228" s="345"/>
      <c r="EQ228" s="345"/>
      <c r="ER228" s="345"/>
      <c r="ES228" s="345"/>
      <c r="ET228" s="345"/>
      <c r="EU228" s="345"/>
      <c r="EV228" s="345"/>
      <c r="EW228" s="345"/>
      <c r="EX228" s="345"/>
      <c r="EY228" s="345"/>
      <c r="EZ228" s="345"/>
      <c r="FA228" s="345"/>
      <c r="FB228" s="345"/>
      <c r="FC228" s="345"/>
      <c r="FD228" s="345"/>
      <c r="FE228" s="345"/>
      <c r="FF228" s="345"/>
      <c r="FG228" s="345"/>
      <c r="FH228" s="345"/>
      <c r="FI228" s="345"/>
      <c r="FJ228" s="345"/>
      <c r="FK228" s="345"/>
      <c r="FL228" s="345"/>
      <c r="FM228" s="345"/>
      <c r="FN228" s="345"/>
      <c r="FO228" s="345"/>
      <c r="FP228" s="345"/>
      <c r="FQ228" s="345"/>
      <c r="FR228" s="345"/>
      <c r="FS228" s="345"/>
      <c r="FT228" s="345"/>
      <c r="FU228" s="345"/>
      <c r="FV228" s="345"/>
      <c r="FW228" s="345"/>
      <c r="FX228" s="345"/>
      <c r="FY228" s="345"/>
      <c r="FZ228" s="345"/>
      <c r="GA228" s="345"/>
      <c r="GB228" s="345"/>
      <c r="GC228" s="345"/>
      <c r="GD228" s="345"/>
      <c r="GE228" s="345"/>
      <c r="GF228" s="345"/>
      <c r="GG228" s="345"/>
      <c r="GH228" s="345"/>
      <c r="GI228" s="345"/>
      <c r="GJ228" s="345"/>
      <c r="GK228" s="345"/>
      <c r="GL228" s="345"/>
      <c r="GM228" s="345"/>
      <c r="GN228" s="345"/>
      <c r="GO228" s="345"/>
      <c r="GP228" s="345"/>
      <c r="GQ228" s="345"/>
      <c r="GR228" s="345"/>
      <c r="GS228" s="345"/>
      <c r="GT228" s="345"/>
      <c r="GU228" s="345"/>
    </row>
    <row r="229" spans="23:203">
      <c r="W229" s="345"/>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c r="AS229" s="345"/>
      <c r="AT229" s="345"/>
      <c r="AU229" s="345"/>
      <c r="AV229" s="345"/>
      <c r="AW229" s="345"/>
      <c r="AX229" s="345"/>
      <c r="AY229" s="345"/>
      <c r="AZ229" s="345"/>
      <c r="BA229" s="345"/>
      <c r="BB229" s="345"/>
      <c r="BC229" s="345"/>
      <c r="BD229" s="345"/>
      <c r="BE229" s="345"/>
      <c r="BF229" s="345"/>
      <c r="BG229" s="345"/>
      <c r="BH229" s="345"/>
      <c r="BI229" s="345"/>
      <c r="BJ229" s="345"/>
      <c r="BK229" s="345"/>
      <c r="BL229" s="345"/>
      <c r="BM229" s="345"/>
      <c r="BN229" s="345"/>
      <c r="BO229" s="345"/>
      <c r="BP229" s="345"/>
      <c r="BQ229" s="345"/>
      <c r="BR229" s="345"/>
      <c r="BS229" s="345"/>
      <c r="BT229" s="345"/>
      <c r="BU229" s="345"/>
      <c r="BV229" s="345"/>
      <c r="BW229" s="345"/>
      <c r="BX229" s="345"/>
      <c r="BY229" s="345"/>
      <c r="BZ229" s="345"/>
      <c r="CA229" s="345"/>
      <c r="CB229" s="345"/>
      <c r="CC229" s="345"/>
      <c r="CD229" s="345"/>
      <c r="CE229" s="345"/>
      <c r="CF229" s="345"/>
      <c r="CG229" s="345"/>
      <c r="CH229" s="345"/>
      <c r="CI229" s="345"/>
      <c r="CJ229" s="345"/>
      <c r="CK229" s="345"/>
      <c r="CL229" s="345"/>
      <c r="CM229" s="345"/>
      <c r="CN229" s="345"/>
      <c r="CO229" s="345"/>
      <c r="CP229" s="345"/>
      <c r="CQ229" s="345"/>
      <c r="CR229" s="345"/>
      <c r="CS229" s="345"/>
      <c r="CT229" s="345"/>
      <c r="CU229" s="345"/>
      <c r="CV229" s="345"/>
      <c r="CW229" s="345"/>
      <c r="CX229" s="345"/>
      <c r="CY229" s="345"/>
      <c r="CZ229" s="345"/>
      <c r="DA229" s="345"/>
      <c r="DB229" s="345"/>
      <c r="DC229" s="345"/>
      <c r="DD229" s="345"/>
      <c r="DE229" s="345"/>
      <c r="DF229" s="345"/>
      <c r="DG229" s="345"/>
      <c r="DH229" s="345"/>
      <c r="DI229" s="345"/>
      <c r="DJ229" s="345"/>
      <c r="DK229" s="345"/>
      <c r="DL229" s="345"/>
      <c r="DM229" s="345"/>
      <c r="DN229" s="345"/>
      <c r="DO229" s="345"/>
      <c r="DP229" s="345"/>
      <c r="DQ229" s="345"/>
      <c r="DR229" s="345"/>
      <c r="DS229" s="345"/>
      <c r="DT229" s="345"/>
      <c r="DU229" s="345"/>
      <c r="DV229" s="345"/>
      <c r="DW229" s="345"/>
      <c r="DX229" s="345"/>
      <c r="DY229" s="345"/>
      <c r="DZ229" s="345"/>
      <c r="EA229" s="345"/>
      <c r="EB229" s="345"/>
      <c r="EC229" s="345"/>
      <c r="ED229" s="345"/>
      <c r="EE229" s="345"/>
      <c r="EF229" s="345"/>
      <c r="EG229" s="345"/>
      <c r="EH229" s="345"/>
      <c r="EI229" s="345"/>
      <c r="EJ229" s="345"/>
      <c r="EK229" s="345"/>
      <c r="EL229" s="345"/>
      <c r="EM229" s="345"/>
      <c r="EN229" s="345"/>
      <c r="EO229" s="345"/>
      <c r="EP229" s="345"/>
      <c r="EQ229" s="345"/>
      <c r="ER229" s="345"/>
      <c r="ES229" s="345"/>
      <c r="ET229" s="345"/>
      <c r="EU229" s="345"/>
      <c r="EV229" s="345"/>
      <c r="EW229" s="345"/>
      <c r="EX229" s="345"/>
      <c r="EY229" s="345"/>
      <c r="EZ229" s="345"/>
      <c r="FA229" s="345"/>
      <c r="FB229" s="345"/>
      <c r="FC229" s="345"/>
      <c r="FD229" s="345"/>
      <c r="FE229" s="345"/>
      <c r="FF229" s="345"/>
      <c r="FG229" s="345"/>
      <c r="FH229" s="345"/>
      <c r="FI229" s="345"/>
      <c r="FJ229" s="345"/>
      <c r="FK229" s="345"/>
      <c r="FL229" s="345"/>
      <c r="FM229" s="345"/>
      <c r="FN229" s="345"/>
      <c r="FO229" s="345"/>
      <c r="FP229" s="345"/>
      <c r="FQ229" s="345"/>
      <c r="FR229" s="345"/>
      <c r="FS229" s="345"/>
      <c r="FT229" s="345"/>
      <c r="FU229" s="345"/>
      <c r="FV229" s="345"/>
      <c r="FW229" s="345"/>
      <c r="FX229" s="345"/>
      <c r="FY229" s="345"/>
      <c r="FZ229" s="345"/>
      <c r="GA229" s="345"/>
      <c r="GB229" s="345"/>
      <c r="GC229" s="345"/>
      <c r="GD229" s="345"/>
      <c r="GE229" s="345"/>
      <c r="GF229" s="345"/>
      <c r="GG229" s="345"/>
      <c r="GH229" s="345"/>
      <c r="GI229" s="345"/>
      <c r="GJ229" s="345"/>
      <c r="GK229" s="345"/>
      <c r="GL229" s="345"/>
      <c r="GM229" s="345"/>
      <c r="GN229" s="345"/>
      <c r="GO229" s="345"/>
      <c r="GP229" s="345"/>
      <c r="GQ229" s="345"/>
      <c r="GR229" s="345"/>
      <c r="GS229" s="345"/>
      <c r="GT229" s="345"/>
      <c r="GU229" s="345"/>
    </row>
    <row r="230" spans="23:203">
      <c r="W230" s="345"/>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c r="BQ230" s="345"/>
      <c r="BR230" s="345"/>
      <c r="BS230" s="345"/>
      <c r="BT230" s="345"/>
      <c r="BU230" s="345"/>
      <c r="BV230" s="345"/>
      <c r="BW230" s="345"/>
      <c r="BX230" s="345"/>
      <c r="BY230" s="345"/>
      <c r="BZ230" s="345"/>
      <c r="CA230" s="345"/>
      <c r="CB230" s="345"/>
      <c r="CC230" s="345"/>
      <c r="CD230" s="345"/>
      <c r="CE230" s="345"/>
      <c r="CF230" s="345"/>
      <c r="CG230" s="345"/>
      <c r="CH230" s="345"/>
      <c r="CI230" s="345"/>
      <c r="CJ230" s="345"/>
      <c r="CK230" s="345"/>
      <c r="CL230" s="345"/>
      <c r="CM230" s="345"/>
      <c r="CN230" s="345"/>
      <c r="CO230" s="345"/>
      <c r="CP230" s="345"/>
      <c r="CQ230" s="345"/>
      <c r="CR230" s="345"/>
      <c r="CS230" s="345"/>
      <c r="CT230" s="345"/>
      <c r="CU230" s="345"/>
      <c r="CV230" s="345"/>
      <c r="CW230" s="345"/>
      <c r="CX230" s="345"/>
      <c r="CY230" s="345"/>
      <c r="CZ230" s="345"/>
      <c r="DA230" s="345"/>
      <c r="DB230" s="345"/>
      <c r="DC230" s="345"/>
      <c r="DD230" s="345"/>
      <c r="DE230" s="345"/>
      <c r="DF230" s="345"/>
      <c r="DG230" s="345"/>
      <c r="DH230" s="345"/>
      <c r="DI230" s="345"/>
      <c r="DJ230" s="345"/>
      <c r="DK230" s="345"/>
      <c r="DL230" s="345"/>
      <c r="DM230" s="345"/>
      <c r="DN230" s="345"/>
      <c r="DO230" s="345"/>
      <c r="DP230" s="345"/>
      <c r="DQ230" s="345"/>
      <c r="DR230" s="345"/>
      <c r="DS230" s="345"/>
      <c r="DT230" s="345"/>
      <c r="DU230" s="345"/>
      <c r="DV230" s="345"/>
      <c r="DW230" s="345"/>
      <c r="DX230" s="345"/>
      <c r="DY230" s="345"/>
      <c r="DZ230" s="345"/>
      <c r="EA230" s="345"/>
      <c r="EB230" s="345"/>
      <c r="EC230" s="345"/>
      <c r="ED230" s="345"/>
      <c r="EE230" s="345"/>
      <c r="EF230" s="345"/>
      <c r="EG230" s="345"/>
      <c r="EH230" s="345"/>
      <c r="EI230" s="345"/>
      <c r="EJ230" s="345"/>
      <c r="EK230" s="345"/>
      <c r="EL230" s="345"/>
      <c r="EM230" s="345"/>
      <c r="EN230" s="345"/>
      <c r="EO230" s="345"/>
      <c r="EP230" s="345"/>
      <c r="EQ230" s="345"/>
      <c r="ER230" s="345"/>
      <c r="ES230" s="345"/>
      <c r="ET230" s="345"/>
      <c r="EU230" s="345"/>
      <c r="EV230" s="345"/>
      <c r="EW230" s="345"/>
      <c r="EX230" s="345"/>
      <c r="EY230" s="345"/>
      <c r="EZ230" s="345"/>
      <c r="FA230" s="345"/>
      <c r="FB230" s="345"/>
      <c r="FC230" s="345"/>
      <c r="FD230" s="345"/>
      <c r="FE230" s="345"/>
      <c r="FF230" s="345"/>
      <c r="FG230" s="345"/>
      <c r="FH230" s="345"/>
      <c r="FI230" s="345"/>
      <c r="FJ230" s="345"/>
      <c r="FK230" s="345"/>
      <c r="FL230" s="345"/>
      <c r="FM230" s="345"/>
      <c r="FN230" s="345"/>
      <c r="FO230" s="345"/>
      <c r="FP230" s="345"/>
      <c r="FQ230" s="345"/>
      <c r="FR230" s="345"/>
      <c r="FS230" s="345"/>
      <c r="FT230" s="345"/>
      <c r="FU230" s="345"/>
      <c r="FV230" s="345"/>
      <c r="FW230" s="345"/>
      <c r="FX230" s="345"/>
      <c r="FY230" s="345"/>
      <c r="FZ230" s="345"/>
      <c r="GA230" s="345"/>
      <c r="GB230" s="345"/>
      <c r="GC230" s="345"/>
      <c r="GD230" s="345"/>
      <c r="GE230" s="345"/>
      <c r="GF230" s="345"/>
      <c r="GG230" s="345"/>
      <c r="GH230" s="345"/>
      <c r="GI230" s="345"/>
      <c r="GJ230" s="345"/>
      <c r="GK230" s="345"/>
      <c r="GL230" s="345"/>
      <c r="GM230" s="345"/>
      <c r="GN230" s="345"/>
      <c r="GO230" s="345"/>
      <c r="GP230" s="345"/>
      <c r="GQ230" s="345"/>
      <c r="GR230" s="345"/>
      <c r="GS230" s="345"/>
      <c r="GT230" s="345"/>
      <c r="GU230" s="345"/>
    </row>
    <row r="231" spans="23:203">
      <c r="W231" s="345"/>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c r="BJ231" s="345"/>
      <c r="BK231" s="345"/>
      <c r="BL231" s="345"/>
      <c r="BM231" s="345"/>
      <c r="BN231" s="345"/>
      <c r="BO231" s="345"/>
      <c r="BP231" s="345"/>
      <c r="BQ231" s="345"/>
      <c r="BR231" s="345"/>
      <c r="BS231" s="345"/>
      <c r="BT231" s="345"/>
      <c r="BU231" s="345"/>
      <c r="BV231" s="345"/>
      <c r="BW231" s="345"/>
      <c r="BX231" s="345"/>
      <c r="BY231" s="345"/>
      <c r="BZ231" s="345"/>
      <c r="CA231" s="345"/>
      <c r="CB231" s="345"/>
      <c r="CC231" s="345"/>
      <c r="CD231" s="345"/>
      <c r="CE231" s="345"/>
      <c r="CF231" s="345"/>
      <c r="CG231" s="345"/>
      <c r="CH231" s="345"/>
      <c r="CI231" s="345"/>
      <c r="CJ231" s="345"/>
      <c r="CK231" s="345"/>
      <c r="CL231" s="345"/>
      <c r="CM231" s="345"/>
      <c r="CN231" s="345"/>
      <c r="CO231" s="345"/>
      <c r="CP231" s="345"/>
      <c r="CQ231" s="345"/>
      <c r="CR231" s="345"/>
      <c r="CS231" s="345"/>
      <c r="CT231" s="345"/>
      <c r="CU231" s="345"/>
      <c r="CV231" s="345"/>
      <c r="CW231" s="345"/>
      <c r="CX231" s="345"/>
      <c r="CY231" s="345"/>
      <c r="CZ231" s="345"/>
      <c r="DA231" s="345"/>
      <c r="DB231" s="345"/>
      <c r="DC231" s="345"/>
      <c r="DD231" s="345"/>
      <c r="DE231" s="345"/>
      <c r="DF231" s="345"/>
      <c r="DG231" s="345"/>
      <c r="DH231" s="345"/>
      <c r="DI231" s="345"/>
      <c r="DJ231" s="345"/>
      <c r="DK231" s="345"/>
      <c r="DL231" s="345"/>
      <c r="DM231" s="345"/>
      <c r="DN231" s="345"/>
      <c r="DO231" s="345"/>
      <c r="DP231" s="345"/>
      <c r="DQ231" s="345"/>
      <c r="DR231" s="345"/>
      <c r="DS231" s="345"/>
      <c r="DT231" s="345"/>
      <c r="DU231" s="345"/>
      <c r="DV231" s="345"/>
      <c r="DW231" s="345"/>
      <c r="DX231" s="345"/>
      <c r="DY231" s="345"/>
      <c r="DZ231" s="345"/>
      <c r="EA231" s="345"/>
      <c r="EB231" s="345"/>
      <c r="EC231" s="345"/>
      <c r="ED231" s="345"/>
      <c r="EE231" s="345"/>
      <c r="EF231" s="345"/>
      <c r="EG231" s="345"/>
      <c r="EH231" s="345"/>
      <c r="EI231" s="345"/>
      <c r="EJ231" s="345"/>
      <c r="EK231" s="345"/>
      <c r="EL231" s="345"/>
      <c r="EM231" s="345"/>
      <c r="EN231" s="345"/>
      <c r="EO231" s="345"/>
      <c r="EP231" s="345"/>
      <c r="EQ231" s="345"/>
      <c r="ER231" s="345"/>
      <c r="ES231" s="345"/>
      <c r="ET231" s="345"/>
      <c r="EU231" s="345"/>
      <c r="EV231" s="345"/>
      <c r="EW231" s="345"/>
      <c r="EX231" s="345"/>
      <c r="EY231" s="345"/>
      <c r="EZ231" s="345"/>
      <c r="FA231" s="345"/>
      <c r="FB231" s="345"/>
      <c r="FC231" s="345"/>
      <c r="FD231" s="345"/>
      <c r="FE231" s="345"/>
      <c r="FF231" s="345"/>
      <c r="FG231" s="345"/>
      <c r="FH231" s="345"/>
      <c r="FI231" s="345"/>
      <c r="FJ231" s="345"/>
      <c r="FK231" s="345"/>
      <c r="FL231" s="345"/>
      <c r="FM231" s="345"/>
      <c r="FN231" s="345"/>
      <c r="FO231" s="345"/>
      <c r="FP231" s="345"/>
      <c r="FQ231" s="345"/>
      <c r="FR231" s="345"/>
      <c r="FS231" s="345"/>
      <c r="FT231" s="345"/>
      <c r="FU231" s="345"/>
      <c r="FV231" s="345"/>
      <c r="FW231" s="345"/>
      <c r="FX231" s="345"/>
      <c r="FY231" s="345"/>
      <c r="FZ231" s="345"/>
      <c r="GA231" s="345"/>
      <c r="GB231" s="345"/>
      <c r="GC231" s="345"/>
      <c r="GD231" s="345"/>
      <c r="GE231" s="345"/>
      <c r="GF231" s="345"/>
      <c r="GG231" s="345"/>
      <c r="GH231" s="345"/>
      <c r="GI231" s="345"/>
      <c r="GJ231" s="345"/>
      <c r="GK231" s="345"/>
      <c r="GL231" s="345"/>
      <c r="GM231" s="345"/>
      <c r="GN231" s="345"/>
      <c r="GO231" s="345"/>
      <c r="GP231" s="345"/>
      <c r="GQ231" s="345"/>
      <c r="GR231" s="345"/>
      <c r="GS231" s="345"/>
      <c r="GT231" s="345"/>
      <c r="GU231" s="345"/>
    </row>
    <row r="232" spans="23:203">
      <c r="W232" s="345"/>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c r="CW232" s="345"/>
      <c r="CX232" s="345"/>
      <c r="CY232" s="345"/>
      <c r="CZ232" s="345"/>
      <c r="DA232" s="345"/>
      <c r="DB232" s="345"/>
      <c r="DC232" s="345"/>
      <c r="DD232" s="345"/>
      <c r="DE232" s="345"/>
      <c r="DF232" s="345"/>
      <c r="DG232" s="345"/>
      <c r="DH232" s="345"/>
      <c r="DI232" s="345"/>
      <c r="DJ232" s="345"/>
      <c r="DK232" s="345"/>
      <c r="DL232" s="345"/>
      <c r="DM232" s="345"/>
      <c r="DN232" s="345"/>
      <c r="DO232" s="345"/>
      <c r="DP232" s="345"/>
      <c r="DQ232" s="345"/>
      <c r="DR232" s="345"/>
      <c r="DS232" s="345"/>
      <c r="DT232" s="345"/>
      <c r="DU232" s="345"/>
      <c r="DV232" s="345"/>
      <c r="DW232" s="345"/>
      <c r="DX232" s="345"/>
      <c r="DY232" s="345"/>
      <c r="DZ232" s="345"/>
      <c r="EA232" s="345"/>
      <c r="EB232" s="345"/>
      <c r="EC232" s="345"/>
      <c r="ED232" s="345"/>
      <c r="EE232" s="345"/>
      <c r="EF232" s="345"/>
      <c r="EG232" s="345"/>
      <c r="EH232" s="345"/>
      <c r="EI232" s="345"/>
      <c r="EJ232" s="345"/>
      <c r="EK232" s="345"/>
      <c r="EL232" s="345"/>
      <c r="EM232" s="345"/>
      <c r="EN232" s="345"/>
      <c r="EO232" s="345"/>
      <c r="EP232" s="345"/>
      <c r="EQ232" s="345"/>
      <c r="ER232" s="345"/>
      <c r="ES232" s="345"/>
      <c r="ET232" s="345"/>
      <c r="EU232" s="345"/>
      <c r="EV232" s="345"/>
      <c r="EW232" s="345"/>
      <c r="EX232" s="345"/>
      <c r="EY232" s="345"/>
      <c r="EZ232" s="345"/>
      <c r="FA232" s="345"/>
      <c r="FB232" s="345"/>
      <c r="FC232" s="345"/>
      <c r="FD232" s="345"/>
      <c r="FE232" s="345"/>
      <c r="FF232" s="345"/>
      <c r="FG232" s="345"/>
      <c r="FH232" s="345"/>
      <c r="FI232" s="345"/>
      <c r="FJ232" s="345"/>
      <c r="FK232" s="345"/>
      <c r="FL232" s="345"/>
      <c r="FM232" s="345"/>
      <c r="FN232" s="345"/>
      <c r="FO232" s="345"/>
      <c r="FP232" s="345"/>
      <c r="FQ232" s="345"/>
      <c r="FR232" s="345"/>
      <c r="FS232" s="345"/>
      <c r="FT232" s="345"/>
      <c r="FU232" s="345"/>
      <c r="FV232" s="345"/>
      <c r="FW232" s="345"/>
      <c r="FX232" s="345"/>
      <c r="FY232" s="345"/>
      <c r="FZ232" s="345"/>
      <c r="GA232" s="345"/>
      <c r="GB232" s="345"/>
      <c r="GC232" s="345"/>
      <c r="GD232" s="345"/>
      <c r="GE232" s="345"/>
      <c r="GF232" s="345"/>
      <c r="GG232" s="345"/>
      <c r="GH232" s="345"/>
      <c r="GI232" s="345"/>
      <c r="GJ232" s="345"/>
      <c r="GK232" s="345"/>
      <c r="GL232" s="345"/>
      <c r="GM232" s="345"/>
      <c r="GN232" s="345"/>
      <c r="GO232" s="345"/>
      <c r="GP232" s="345"/>
      <c r="GQ232" s="345"/>
      <c r="GR232" s="345"/>
      <c r="GS232" s="345"/>
      <c r="GT232" s="345"/>
      <c r="GU232" s="345"/>
    </row>
    <row r="233" spans="23:203">
      <c r="W233" s="345"/>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c r="BJ233" s="345"/>
      <c r="BK233" s="345"/>
      <c r="BL233" s="345"/>
      <c r="BM233" s="345"/>
      <c r="BN233" s="345"/>
      <c r="BO233" s="345"/>
      <c r="BP233" s="345"/>
      <c r="BQ233" s="345"/>
      <c r="BR233" s="345"/>
      <c r="BS233" s="345"/>
      <c r="BT233" s="345"/>
      <c r="BU233" s="345"/>
      <c r="BV233" s="345"/>
      <c r="BW233" s="345"/>
      <c r="BX233" s="345"/>
      <c r="BY233" s="345"/>
      <c r="BZ233" s="345"/>
      <c r="CA233" s="345"/>
      <c r="CB233" s="345"/>
      <c r="CC233" s="345"/>
      <c r="CD233" s="345"/>
      <c r="CE233" s="345"/>
      <c r="CF233" s="345"/>
      <c r="CG233" s="345"/>
      <c r="CH233" s="345"/>
      <c r="CI233" s="345"/>
      <c r="CJ233" s="345"/>
      <c r="CK233" s="345"/>
      <c r="CL233" s="345"/>
      <c r="CM233" s="345"/>
      <c r="CN233" s="345"/>
      <c r="CO233" s="345"/>
      <c r="CP233" s="345"/>
      <c r="CQ233" s="345"/>
      <c r="CR233" s="345"/>
      <c r="CS233" s="345"/>
      <c r="CT233" s="345"/>
      <c r="CU233" s="345"/>
      <c r="CV233" s="345"/>
      <c r="CW233" s="345"/>
      <c r="CX233" s="345"/>
      <c r="CY233" s="345"/>
      <c r="CZ233" s="345"/>
      <c r="DA233" s="345"/>
      <c r="DB233" s="345"/>
      <c r="DC233" s="345"/>
      <c r="DD233" s="345"/>
      <c r="DE233" s="345"/>
      <c r="DF233" s="345"/>
      <c r="DG233" s="345"/>
      <c r="DH233" s="345"/>
      <c r="DI233" s="345"/>
      <c r="DJ233" s="345"/>
      <c r="DK233" s="345"/>
      <c r="DL233" s="345"/>
      <c r="DM233" s="345"/>
      <c r="DN233" s="345"/>
      <c r="DO233" s="345"/>
      <c r="DP233" s="345"/>
      <c r="DQ233" s="345"/>
      <c r="DR233" s="345"/>
      <c r="DS233" s="345"/>
      <c r="DT233" s="345"/>
      <c r="DU233" s="345"/>
      <c r="DV233" s="345"/>
      <c r="DW233" s="345"/>
      <c r="DX233" s="345"/>
      <c r="DY233" s="345"/>
      <c r="DZ233" s="345"/>
      <c r="EA233" s="345"/>
      <c r="EB233" s="345"/>
      <c r="EC233" s="345"/>
      <c r="ED233" s="345"/>
      <c r="EE233" s="345"/>
      <c r="EF233" s="345"/>
      <c r="EG233" s="345"/>
      <c r="EH233" s="345"/>
      <c r="EI233" s="345"/>
      <c r="EJ233" s="345"/>
      <c r="EK233" s="345"/>
      <c r="EL233" s="345"/>
      <c r="EM233" s="345"/>
      <c r="EN233" s="345"/>
      <c r="EO233" s="345"/>
      <c r="EP233" s="345"/>
      <c r="EQ233" s="345"/>
      <c r="ER233" s="345"/>
      <c r="ES233" s="345"/>
      <c r="ET233" s="345"/>
      <c r="EU233" s="345"/>
      <c r="EV233" s="345"/>
      <c r="EW233" s="345"/>
      <c r="EX233" s="345"/>
      <c r="EY233" s="345"/>
      <c r="EZ233" s="345"/>
      <c r="FA233" s="345"/>
      <c r="FB233" s="345"/>
      <c r="FC233" s="345"/>
      <c r="FD233" s="345"/>
      <c r="FE233" s="345"/>
      <c r="FF233" s="345"/>
      <c r="FG233" s="345"/>
      <c r="FH233" s="345"/>
      <c r="FI233" s="345"/>
      <c r="FJ233" s="345"/>
      <c r="FK233" s="345"/>
      <c r="FL233" s="345"/>
      <c r="FM233" s="345"/>
      <c r="FN233" s="345"/>
      <c r="FO233" s="345"/>
      <c r="FP233" s="345"/>
      <c r="FQ233" s="345"/>
      <c r="FR233" s="345"/>
      <c r="FS233" s="345"/>
      <c r="FT233" s="345"/>
      <c r="FU233" s="345"/>
      <c r="FV233" s="345"/>
      <c r="FW233" s="345"/>
      <c r="FX233" s="345"/>
      <c r="FY233" s="345"/>
      <c r="FZ233" s="345"/>
      <c r="GA233" s="345"/>
      <c r="GB233" s="345"/>
      <c r="GC233" s="345"/>
      <c r="GD233" s="345"/>
      <c r="GE233" s="345"/>
      <c r="GF233" s="345"/>
      <c r="GG233" s="345"/>
      <c r="GH233" s="345"/>
      <c r="GI233" s="345"/>
      <c r="GJ233" s="345"/>
      <c r="GK233" s="345"/>
      <c r="GL233" s="345"/>
      <c r="GM233" s="345"/>
      <c r="GN233" s="345"/>
      <c r="GO233" s="345"/>
      <c r="GP233" s="345"/>
      <c r="GQ233" s="345"/>
      <c r="GR233" s="345"/>
      <c r="GS233" s="345"/>
      <c r="GT233" s="345"/>
      <c r="GU233" s="345"/>
    </row>
    <row r="234" spans="23:203">
      <c r="W234" s="345"/>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5"/>
      <c r="BP234" s="345"/>
      <c r="BQ234" s="345"/>
      <c r="BR234" s="345"/>
      <c r="BS234" s="345"/>
      <c r="BT234" s="345"/>
      <c r="BU234" s="345"/>
      <c r="BV234" s="345"/>
      <c r="BW234" s="345"/>
      <c r="BX234" s="345"/>
      <c r="BY234" s="345"/>
      <c r="BZ234" s="345"/>
      <c r="CA234" s="345"/>
      <c r="CB234" s="345"/>
      <c r="CC234" s="345"/>
      <c r="CD234" s="345"/>
      <c r="CE234" s="345"/>
      <c r="CF234" s="345"/>
      <c r="CG234" s="345"/>
      <c r="CH234" s="345"/>
      <c r="CI234" s="345"/>
      <c r="CJ234" s="345"/>
      <c r="CK234" s="345"/>
      <c r="CL234" s="345"/>
      <c r="CM234" s="345"/>
      <c r="CN234" s="345"/>
      <c r="CO234" s="345"/>
      <c r="CP234" s="345"/>
      <c r="CQ234" s="345"/>
      <c r="CR234" s="345"/>
      <c r="CS234" s="345"/>
      <c r="CT234" s="345"/>
      <c r="CU234" s="345"/>
      <c r="CV234" s="345"/>
      <c r="CW234" s="345"/>
      <c r="CX234" s="345"/>
      <c r="CY234" s="345"/>
      <c r="CZ234" s="345"/>
      <c r="DA234" s="345"/>
      <c r="DB234" s="345"/>
      <c r="DC234" s="345"/>
      <c r="DD234" s="345"/>
      <c r="DE234" s="345"/>
      <c r="DF234" s="345"/>
      <c r="DG234" s="345"/>
      <c r="DH234" s="345"/>
      <c r="DI234" s="345"/>
      <c r="DJ234" s="345"/>
      <c r="DK234" s="345"/>
      <c r="DL234" s="345"/>
      <c r="DM234" s="345"/>
      <c r="DN234" s="345"/>
      <c r="DO234" s="345"/>
      <c r="DP234" s="345"/>
      <c r="DQ234" s="345"/>
      <c r="DR234" s="345"/>
      <c r="DS234" s="345"/>
      <c r="DT234" s="345"/>
      <c r="DU234" s="345"/>
      <c r="DV234" s="345"/>
      <c r="DW234" s="345"/>
      <c r="DX234" s="345"/>
      <c r="DY234" s="345"/>
      <c r="DZ234" s="345"/>
      <c r="EA234" s="345"/>
      <c r="EB234" s="345"/>
      <c r="EC234" s="345"/>
      <c r="ED234" s="345"/>
      <c r="EE234" s="345"/>
      <c r="EF234" s="345"/>
      <c r="EG234" s="345"/>
      <c r="EH234" s="345"/>
      <c r="EI234" s="345"/>
      <c r="EJ234" s="345"/>
      <c r="EK234" s="345"/>
      <c r="EL234" s="345"/>
      <c r="EM234" s="345"/>
      <c r="EN234" s="345"/>
      <c r="EO234" s="345"/>
      <c r="EP234" s="345"/>
      <c r="EQ234" s="345"/>
      <c r="ER234" s="345"/>
      <c r="ES234" s="345"/>
      <c r="ET234" s="345"/>
      <c r="EU234" s="345"/>
      <c r="EV234" s="345"/>
      <c r="EW234" s="345"/>
      <c r="EX234" s="345"/>
      <c r="EY234" s="345"/>
      <c r="EZ234" s="345"/>
      <c r="FA234" s="345"/>
      <c r="FB234" s="345"/>
      <c r="FC234" s="345"/>
      <c r="FD234" s="345"/>
      <c r="FE234" s="345"/>
      <c r="FF234" s="345"/>
      <c r="FG234" s="345"/>
      <c r="FH234" s="345"/>
      <c r="FI234" s="345"/>
      <c r="FJ234" s="345"/>
      <c r="FK234" s="345"/>
      <c r="FL234" s="345"/>
      <c r="FM234" s="345"/>
      <c r="FN234" s="345"/>
      <c r="FO234" s="345"/>
      <c r="FP234" s="345"/>
      <c r="FQ234" s="345"/>
      <c r="FR234" s="345"/>
      <c r="FS234" s="345"/>
      <c r="FT234" s="345"/>
      <c r="FU234" s="345"/>
      <c r="FV234" s="345"/>
      <c r="FW234" s="345"/>
      <c r="FX234" s="345"/>
      <c r="FY234" s="345"/>
      <c r="FZ234" s="345"/>
      <c r="GA234" s="345"/>
      <c r="GB234" s="345"/>
      <c r="GC234" s="345"/>
      <c r="GD234" s="345"/>
      <c r="GE234" s="345"/>
      <c r="GF234" s="345"/>
      <c r="GG234" s="345"/>
      <c r="GH234" s="345"/>
      <c r="GI234" s="345"/>
      <c r="GJ234" s="345"/>
      <c r="GK234" s="345"/>
      <c r="GL234" s="345"/>
      <c r="GM234" s="345"/>
      <c r="GN234" s="345"/>
      <c r="GO234" s="345"/>
      <c r="GP234" s="345"/>
      <c r="GQ234" s="345"/>
      <c r="GR234" s="345"/>
      <c r="GS234" s="345"/>
      <c r="GT234" s="345"/>
      <c r="GU234" s="345"/>
    </row>
    <row r="235" spans="23:203">
      <c r="W235" s="345"/>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c r="BJ235" s="345"/>
      <c r="BK235" s="345"/>
      <c r="BL235" s="345"/>
      <c r="BM235" s="345"/>
      <c r="BN235" s="345"/>
      <c r="BO235" s="345"/>
      <c r="BP235" s="345"/>
      <c r="BQ235" s="345"/>
      <c r="BR235" s="345"/>
      <c r="BS235" s="345"/>
      <c r="BT235" s="345"/>
      <c r="BU235" s="345"/>
      <c r="BV235" s="345"/>
      <c r="BW235" s="345"/>
      <c r="BX235" s="345"/>
      <c r="BY235" s="345"/>
      <c r="BZ235" s="345"/>
      <c r="CA235" s="345"/>
      <c r="CB235" s="345"/>
      <c r="CC235" s="345"/>
      <c r="CD235" s="345"/>
      <c r="CE235" s="345"/>
      <c r="CF235" s="345"/>
      <c r="CG235" s="345"/>
      <c r="CH235" s="345"/>
      <c r="CI235" s="345"/>
      <c r="CJ235" s="345"/>
      <c r="CK235" s="345"/>
      <c r="CL235" s="345"/>
      <c r="CM235" s="345"/>
      <c r="CN235" s="345"/>
      <c r="CO235" s="345"/>
      <c r="CP235" s="345"/>
      <c r="CQ235" s="345"/>
      <c r="CR235" s="345"/>
      <c r="CS235" s="345"/>
      <c r="CT235" s="345"/>
      <c r="CU235" s="345"/>
      <c r="CV235" s="345"/>
      <c r="CW235" s="345"/>
      <c r="CX235" s="345"/>
      <c r="CY235" s="345"/>
      <c r="CZ235" s="345"/>
      <c r="DA235" s="345"/>
      <c r="DB235" s="345"/>
      <c r="DC235" s="345"/>
      <c r="DD235" s="345"/>
      <c r="DE235" s="345"/>
      <c r="DF235" s="345"/>
      <c r="DG235" s="345"/>
      <c r="DH235" s="345"/>
      <c r="DI235" s="345"/>
      <c r="DJ235" s="345"/>
      <c r="DK235" s="345"/>
      <c r="DL235" s="345"/>
      <c r="DM235" s="345"/>
      <c r="DN235" s="345"/>
      <c r="DO235" s="345"/>
      <c r="DP235" s="345"/>
      <c r="DQ235" s="345"/>
      <c r="DR235" s="345"/>
      <c r="DS235" s="345"/>
      <c r="DT235" s="345"/>
      <c r="DU235" s="345"/>
      <c r="DV235" s="345"/>
      <c r="DW235" s="345"/>
      <c r="DX235" s="345"/>
      <c r="DY235" s="345"/>
      <c r="DZ235" s="345"/>
      <c r="EA235" s="345"/>
      <c r="EB235" s="345"/>
      <c r="EC235" s="345"/>
      <c r="ED235" s="345"/>
      <c r="EE235" s="345"/>
      <c r="EF235" s="345"/>
      <c r="EG235" s="345"/>
      <c r="EH235" s="345"/>
      <c r="EI235" s="345"/>
      <c r="EJ235" s="345"/>
      <c r="EK235" s="345"/>
      <c r="EL235" s="345"/>
      <c r="EM235" s="345"/>
      <c r="EN235" s="345"/>
      <c r="EO235" s="345"/>
      <c r="EP235" s="345"/>
      <c r="EQ235" s="345"/>
      <c r="ER235" s="345"/>
      <c r="ES235" s="345"/>
      <c r="ET235" s="345"/>
      <c r="EU235" s="345"/>
      <c r="EV235" s="345"/>
      <c r="EW235" s="345"/>
      <c r="EX235" s="345"/>
      <c r="EY235" s="345"/>
      <c r="EZ235" s="345"/>
      <c r="FA235" s="345"/>
      <c r="FB235" s="345"/>
      <c r="FC235" s="345"/>
      <c r="FD235" s="345"/>
      <c r="FE235" s="345"/>
      <c r="FF235" s="345"/>
      <c r="FG235" s="345"/>
      <c r="FH235" s="345"/>
      <c r="FI235" s="345"/>
      <c r="FJ235" s="345"/>
      <c r="FK235" s="345"/>
      <c r="FL235" s="345"/>
      <c r="FM235" s="345"/>
      <c r="FN235" s="345"/>
      <c r="FO235" s="345"/>
      <c r="FP235" s="345"/>
      <c r="FQ235" s="345"/>
      <c r="FR235" s="345"/>
      <c r="FS235" s="345"/>
      <c r="FT235" s="345"/>
      <c r="FU235" s="345"/>
      <c r="FV235" s="345"/>
      <c r="FW235" s="345"/>
      <c r="FX235" s="345"/>
      <c r="FY235" s="345"/>
      <c r="FZ235" s="345"/>
      <c r="GA235" s="345"/>
      <c r="GB235" s="345"/>
      <c r="GC235" s="345"/>
      <c r="GD235" s="345"/>
      <c r="GE235" s="345"/>
      <c r="GF235" s="345"/>
      <c r="GG235" s="345"/>
      <c r="GH235" s="345"/>
      <c r="GI235" s="345"/>
      <c r="GJ235" s="345"/>
      <c r="GK235" s="345"/>
      <c r="GL235" s="345"/>
      <c r="GM235" s="345"/>
      <c r="GN235" s="345"/>
      <c r="GO235" s="345"/>
      <c r="GP235" s="345"/>
      <c r="GQ235" s="345"/>
      <c r="GR235" s="345"/>
      <c r="GS235" s="345"/>
      <c r="GT235" s="345"/>
      <c r="GU235" s="345"/>
    </row>
    <row r="236" spans="23:203">
      <c r="W236" s="345"/>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c r="BJ236" s="345"/>
      <c r="BK236" s="345"/>
      <c r="BL236" s="345"/>
      <c r="BM236" s="345"/>
      <c r="BN236" s="345"/>
      <c r="BO236" s="345"/>
      <c r="BP236" s="345"/>
      <c r="BQ236" s="345"/>
      <c r="BR236" s="345"/>
      <c r="BS236" s="345"/>
      <c r="BT236" s="345"/>
      <c r="BU236" s="345"/>
      <c r="BV236" s="345"/>
      <c r="BW236" s="345"/>
      <c r="BX236" s="345"/>
      <c r="BY236" s="345"/>
      <c r="BZ236" s="345"/>
      <c r="CA236" s="345"/>
      <c r="CB236" s="345"/>
      <c r="CC236" s="345"/>
      <c r="CD236" s="345"/>
      <c r="CE236" s="345"/>
      <c r="CF236" s="345"/>
      <c r="CG236" s="345"/>
      <c r="CH236" s="345"/>
      <c r="CI236" s="345"/>
      <c r="CJ236" s="345"/>
      <c r="CK236" s="345"/>
      <c r="CL236" s="345"/>
      <c r="CM236" s="345"/>
      <c r="CN236" s="345"/>
      <c r="CO236" s="345"/>
      <c r="CP236" s="345"/>
      <c r="CQ236" s="345"/>
      <c r="CR236" s="345"/>
      <c r="CS236" s="345"/>
      <c r="CT236" s="345"/>
      <c r="CU236" s="345"/>
      <c r="CV236" s="345"/>
      <c r="CW236" s="345"/>
      <c r="CX236" s="345"/>
      <c r="CY236" s="345"/>
      <c r="CZ236" s="345"/>
      <c r="DA236" s="345"/>
      <c r="DB236" s="345"/>
      <c r="DC236" s="345"/>
      <c r="DD236" s="345"/>
      <c r="DE236" s="345"/>
      <c r="DF236" s="345"/>
      <c r="DG236" s="345"/>
      <c r="DH236" s="345"/>
      <c r="DI236" s="345"/>
      <c r="DJ236" s="345"/>
      <c r="DK236" s="345"/>
      <c r="DL236" s="345"/>
      <c r="DM236" s="345"/>
      <c r="DN236" s="345"/>
      <c r="DO236" s="345"/>
      <c r="DP236" s="345"/>
      <c r="DQ236" s="345"/>
      <c r="DR236" s="345"/>
      <c r="DS236" s="345"/>
      <c r="DT236" s="345"/>
      <c r="DU236" s="345"/>
      <c r="DV236" s="345"/>
      <c r="DW236" s="345"/>
      <c r="DX236" s="345"/>
      <c r="DY236" s="345"/>
      <c r="DZ236" s="345"/>
      <c r="EA236" s="345"/>
      <c r="EB236" s="345"/>
      <c r="EC236" s="345"/>
      <c r="ED236" s="345"/>
      <c r="EE236" s="345"/>
      <c r="EF236" s="345"/>
      <c r="EG236" s="345"/>
      <c r="EH236" s="345"/>
      <c r="EI236" s="345"/>
      <c r="EJ236" s="345"/>
      <c r="EK236" s="345"/>
      <c r="EL236" s="345"/>
      <c r="EM236" s="345"/>
      <c r="EN236" s="345"/>
      <c r="EO236" s="345"/>
      <c r="EP236" s="345"/>
      <c r="EQ236" s="345"/>
      <c r="ER236" s="345"/>
      <c r="ES236" s="345"/>
      <c r="ET236" s="345"/>
      <c r="EU236" s="345"/>
      <c r="EV236" s="345"/>
      <c r="EW236" s="345"/>
      <c r="EX236" s="345"/>
      <c r="EY236" s="345"/>
      <c r="EZ236" s="345"/>
      <c r="FA236" s="345"/>
      <c r="FB236" s="345"/>
      <c r="FC236" s="345"/>
      <c r="FD236" s="345"/>
      <c r="FE236" s="345"/>
      <c r="FF236" s="345"/>
      <c r="FG236" s="345"/>
      <c r="FH236" s="345"/>
      <c r="FI236" s="345"/>
      <c r="FJ236" s="345"/>
      <c r="FK236" s="345"/>
      <c r="FL236" s="345"/>
      <c r="FM236" s="345"/>
      <c r="FN236" s="345"/>
      <c r="FO236" s="345"/>
      <c r="FP236" s="345"/>
      <c r="FQ236" s="345"/>
      <c r="FR236" s="345"/>
      <c r="FS236" s="345"/>
      <c r="FT236" s="345"/>
      <c r="FU236" s="345"/>
      <c r="FV236" s="345"/>
      <c r="FW236" s="345"/>
      <c r="FX236" s="345"/>
      <c r="FY236" s="345"/>
      <c r="FZ236" s="345"/>
      <c r="GA236" s="345"/>
      <c r="GB236" s="345"/>
      <c r="GC236" s="345"/>
      <c r="GD236" s="345"/>
      <c r="GE236" s="345"/>
      <c r="GF236" s="345"/>
      <c r="GG236" s="345"/>
      <c r="GH236" s="345"/>
      <c r="GI236" s="345"/>
      <c r="GJ236" s="345"/>
      <c r="GK236" s="345"/>
      <c r="GL236" s="345"/>
      <c r="GM236" s="345"/>
      <c r="GN236" s="345"/>
      <c r="GO236" s="345"/>
      <c r="GP236" s="345"/>
      <c r="GQ236" s="345"/>
      <c r="GR236" s="345"/>
      <c r="GS236" s="345"/>
      <c r="GT236" s="345"/>
      <c r="GU236" s="345"/>
    </row>
    <row r="237" spans="23:203">
      <c r="W237" s="345"/>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c r="AS237" s="345"/>
      <c r="AT237" s="345"/>
      <c r="AU237" s="345"/>
      <c r="AV237" s="345"/>
      <c r="AW237" s="345"/>
      <c r="AX237" s="345"/>
      <c r="AY237" s="345"/>
      <c r="AZ237" s="345"/>
      <c r="BA237" s="345"/>
      <c r="BB237" s="345"/>
      <c r="BC237" s="345"/>
      <c r="BD237" s="345"/>
      <c r="BE237" s="345"/>
      <c r="BF237" s="345"/>
      <c r="BG237" s="345"/>
      <c r="BH237" s="345"/>
      <c r="BI237" s="345"/>
      <c r="BJ237" s="345"/>
      <c r="BK237" s="345"/>
      <c r="BL237" s="345"/>
      <c r="BM237" s="345"/>
      <c r="BN237" s="345"/>
      <c r="BO237" s="345"/>
      <c r="BP237" s="345"/>
      <c r="BQ237" s="345"/>
      <c r="BR237" s="345"/>
      <c r="BS237" s="345"/>
      <c r="BT237" s="345"/>
      <c r="BU237" s="345"/>
      <c r="BV237" s="345"/>
      <c r="BW237" s="345"/>
      <c r="BX237" s="345"/>
      <c r="BY237" s="345"/>
      <c r="BZ237" s="345"/>
      <c r="CA237" s="345"/>
      <c r="CB237" s="345"/>
      <c r="CC237" s="345"/>
      <c r="CD237" s="345"/>
      <c r="CE237" s="345"/>
      <c r="CF237" s="345"/>
      <c r="CG237" s="345"/>
      <c r="CH237" s="345"/>
      <c r="CI237" s="345"/>
      <c r="CJ237" s="345"/>
      <c r="CK237" s="345"/>
      <c r="CL237" s="345"/>
      <c r="CM237" s="345"/>
      <c r="CN237" s="345"/>
      <c r="CO237" s="345"/>
      <c r="CP237" s="345"/>
      <c r="CQ237" s="345"/>
      <c r="CR237" s="345"/>
      <c r="CS237" s="345"/>
      <c r="CT237" s="345"/>
      <c r="CU237" s="345"/>
      <c r="CV237" s="345"/>
      <c r="CW237" s="345"/>
      <c r="CX237" s="345"/>
      <c r="CY237" s="345"/>
      <c r="CZ237" s="345"/>
      <c r="DA237" s="345"/>
      <c r="DB237" s="345"/>
      <c r="DC237" s="345"/>
      <c r="DD237" s="345"/>
      <c r="DE237" s="345"/>
      <c r="DF237" s="345"/>
      <c r="DG237" s="345"/>
      <c r="DH237" s="345"/>
      <c r="DI237" s="345"/>
      <c r="DJ237" s="345"/>
      <c r="DK237" s="345"/>
      <c r="DL237" s="345"/>
      <c r="DM237" s="345"/>
      <c r="DN237" s="345"/>
      <c r="DO237" s="345"/>
      <c r="DP237" s="345"/>
      <c r="DQ237" s="345"/>
      <c r="DR237" s="345"/>
      <c r="DS237" s="345"/>
      <c r="DT237" s="345"/>
      <c r="DU237" s="345"/>
      <c r="DV237" s="345"/>
      <c r="DW237" s="345"/>
      <c r="DX237" s="345"/>
      <c r="DY237" s="345"/>
      <c r="DZ237" s="345"/>
      <c r="EA237" s="345"/>
      <c r="EB237" s="345"/>
      <c r="EC237" s="345"/>
      <c r="ED237" s="345"/>
      <c r="EE237" s="345"/>
      <c r="EF237" s="345"/>
      <c r="EG237" s="345"/>
      <c r="EH237" s="345"/>
      <c r="EI237" s="345"/>
      <c r="EJ237" s="345"/>
      <c r="EK237" s="345"/>
      <c r="EL237" s="345"/>
      <c r="EM237" s="345"/>
      <c r="EN237" s="345"/>
      <c r="EO237" s="345"/>
      <c r="EP237" s="345"/>
      <c r="EQ237" s="345"/>
      <c r="ER237" s="345"/>
      <c r="ES237" s="345"/>
      <c r="ET237" s="345"/>
      <c r="EU237" s="345"/>
      <c r="EV237" s="345"/>
      <c r="EW237" s="345"/>
      <c r="EX237" s="345"/>
      <c r="EY237" s="345"/>
      <c r="EZ237" s="345"/>
      <c r="FA237" s="345"/>
      <c r="FB237" s="345"/>
      <c r="FC237" s="345"/>
      <c r="FD237" s="345"/>
      <c r="FE237" s="345"/>
      <c r="FF237" s="345"/>
      <c r="FG237" s="345"/>
      <c r="FH237" s="345"/>
      <c r="FI237" s="345"/>
      <c r="FJ237" s="345"/>
      <c r="FK237" s="345"/>
      <c r="FL237" s="345"/>
      <c r="FM237" s="345"/>
      <c r="FN237" s="345"/>
      <c r="FO237" s="345"/>
      <c r="FP237" s="345"/>
      <c r="FQ237" s="345"/>
      <c r="FR237" s="345"/>
      <c r="FS237" s="345"/>
      <c r="FT237" s="345"/>
      <c r="FU237" s="345"/>
      <c r="FV237" s="345"/>
      <c r="FW237" s="345"/>
      <c r="FX237" s="345"/>
      <c r="FY237" s="345"/>
      <c r="FZ237" s="345"/>
      <c r="GA237" s="345"/>
      <c r="GB237" s="345"/>
      <c r="GC237" s="345"/>
      <c r="GD237" s="345"/>
      <c r="GE237" s="345"/>
      <c r="GF237" s="345"/>
      <c r="GG237" s="345"/>
      <c r="GH237" s="345"/>
      <c r="GI237" s="345"/>
      <c r="GJ237" s="345"/>
      <c r="GK237" s="345"/>
      <c r="GL237" s="345"/>
      <c r="GM237" s="345"/>
      <c r="GN237" s="345"/>
      <c r="GO237" s="345"/>
      <c r="GP237" s="345"/>
      <c r="GQ237" s="345"/>
      <c r="GR237" s="345"/>
      <c r="GS237" s="345"/>
      <c r="GT237" s="345"/>
      <c r="GU237" s="345"/>
    </row>
    <row r="238" spans="23:203">
      <c r="W238" s="345"/>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c r="BJ238" s="345"/>
      <c r="BK238" s="345"/>
      <c r="BL238" s="345"/>
      <c r="BM238" s="345"/>
      <c r="BN238" s="345"/>
      <c r="BO238" s="345"/>
      <c r="BP238" s="345"/>
      <c r="BQ238" s="345"/>
      <c r="BR238" s="345"/>
      <c r="BS238" s="345"/>
      <c r="BT238" s="345"/>
      <c r="BU238" s="345"/>
      <c r="BV238" s="345"/>
      <c r="BW238" s="345"/>
      <c r="BX238" s="345"/>
      <c r="BY238" s="345"/>
      <c r="BZ238" s="345"/>
      <c r="CA238" s="345"/>
      <c r="CB238" s="345"/>
      <c r="CC238" s="345"/>
      <c r="CD238" s="345"/>
      <c r="CE238" s="345"/>
      <c r="CF238" s="345"/>
      <c r="CG238" s="345"/>
      <c r="CH238" s="345"/>
      <c r="CI238" s="345"/>
      <c r="CJ238" s="345"/>
      <c r="CK238" s="345"/>
      <c r="CL238" s="345"/>
      <c r="CM238" s="345"/>
      <c r="CN238" s="345"/>
      <c r="CO238" s="345"/>
      <c r="CP238" s="345"/>
      <c r="CQ238" s="345"/>
      <c r="CR238" s="345"/>
      <c r="CS238" s="345"/>
      <c r="CT238" s="345"/>
      <c r="CU238" s="345"/>
      <c r="CV238" s="345"/>
      <c r="CW238" s="345"/>
      <c r="CX238" s="345"/>
      <c r="CY238" s="345"/>
      <c r="CZ238" s="345"/>
      <c r="DA238" s="345"/>
      <c r="DB238" s="345"/>
      <c r="DC238" s="345"/>
      <c r="DD238" s="345"/>
      <c r="DE238" s="345"/>
      <c r="DF238" s="345"/>
      <c r="DG238" s="345"/>
      <c r="DH238" s="345"/>
      <c r="DI238" s="345"/>
      <c r="DJ238" s="345"/>
      <c r="DK238" s="345"/>
      <c r="DL238" s="345"/>
      <c r="DM238" s="345"/>
      <c r="DN238" s="345"/>
      <c r="DO238" s="345"/>
      <c r="DP238" s="345"/>
      <c r="DQ238" s="345"/>
      <c r="DR238" s="345"/>
      <c r="DS238" s="345"/>
      <c r="DT238" s="345"/>
      <c r="DU238" s="345"/>
      <c r="DV238" s="345"/>
      <c r="DW238" s="345"/>
      <c r="DX238" s="345"/>
      <c r="DY238" s="345"/>
      <c r="DZ238" s="345"/>
      <c r="EA238" s="345"/>
      <c r="EB238" s="345"/>
      <c r="EC238" s="345"/>
      <c r="ED238" s="345"/>
      <c r="EE238" s="345"/>
      <c r="EF238" s="345"/>
      <c r="EG238" s="345"/>
      <c r="EH238" s="345"/>
      <c r="EI238" s="345"/>
      <c r="EJ238" s="345"/>
      <c r="EK238" s="345"/>
      <c r="EL238" s="345"/>
      <c r="EM238" s="345"/>
      <c r="EN238" s="345"/>
      <c r="EO238" s="345"/>
      <c r="EP238" s="345"/>
      <c r="EQ238" s="345"/>
      <c r="ER238" s="345"/>
      <c r="ES238" s="345"/>
      <c r="ET238" s="345"/>
      <c r="EU238" s="345"/>
      <c r="EV238" s="345"/>
      <c r="EW238" s="345"/>
      <c r="EX238" s="345"/>
      <c r="EY238" s="345"/>
      <c r="EZ238" s="345"/>
      <c r="FA238" s="345"/>
      <c r="FB238" s="345"/>
      <c r="FC238" s="345"/>
      <c r="FD238" s="345"/>
      <c r="FE238" s="345"/>
      <c r="FF238" s="345"/>
      <c r="FG238" s="345"/>
      <c r="FH238" s="345"/>
      <c r="FI238" s="345"/>
      <c r="FJ238" s="345"/>
      <c r="FK238" s="345"/>
      <c r="FL238" s="345"/>
      <c r="FM238" s="345"/>
      <c r="FN238" s="345"/>
      <c r="FO238" s="345"/>
      <c r="FP238" s="345"/>
      <c r="FQ238" s="345"/>
      <c r="FR238" s="345"/>
      <c r="FS238" s="345"/>
      <c r="FT238" s="345"/>
      <c r="FU238" s="345"/>
      <c r="FV238" s="345"/>
      <c r="FW238" s="345"/>
      <c r="FX238" s="345"/>
      <c r="FY238" s="345"/>
      <c r="FZ238" s="345"/>
      <c r="GA238" s="345"/>
      <c r="GB238" s="345"/>
      <c r="GC238" s="345"/>
      <c r="GD238" s="345"/>
      <c r="GE238" s="345"/>
      <c r="GF238" s="345"/>
      <c r="GG238" s="345"/>
      <c r="GH238" s="345"/>
      <c r="GI238" s="345"/>
      <c r="GJ238" s="345"/>
      <c r="GK238" s="345"/>
      <c r="GL238" s="345"/>
      <c r="GM238" s="345"/>
      <c r="GN238" s="345"/>
      <c r="GO238" s="345"/>
      <c r="GP238" s="345"/>
      <c r="GQ238" s="345"/>
      <c r="GR238" s="345"/>
      <c r="GS238" s="345"/>
      <c r="GT238" s="345"/>
      <c r="GU238" s="345"/>
    </row>
    <row r="239" spans="23:203">
      <c r="W239" s="345"/>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c r="BJ239" s="345"/>
      <c r="BK239" s="345"/>
      <c r="BL239" s="345"/>
      <c r="BM239" s="345"/>
      <c r="BN239" s="345"/>
      <c r="BO239" s="345"/>
      <c r="BP239" s="345"/>
      <c r="BQ239" s="345"/>
      <c r="BR239" s="345"/>
      <c r="BS239" s="345"/>
      <c r="BT239" s="345"/>
      <c r="BU239" s="345"/>
      <c r="BV239" s="345"/>
      <c r="BW239" s="345"/>
      <c r="BX239" s="345"/>
      <c r="BY239" s="345"/>
      <c r="BZ239" s="345"/>
      <c r="CA239" s="345"/>
      <c r="CB239" s="345"/>
      <c r="CC239" s="345"/>
      <c r="CD239" s="345"/>
      <c r="CE239" s="345"/>
      <c r="CF239" s="345"/>
      <c r="CG239" s="345"/>
      <c r="CH239" s="345"/>
      <c r="CI239" s="345"/>
      <c r="CJ239" s="345"/>
      <c r="CK239" s="345"/>
      <c r="CL239" s="345"/>
      <c r="CM239" s="345"/>
      <c r="CN239" s="345"/>
      <c r="CO239" s="345"/>
      <c r="CP239" s="345"/>
      <c r="CQ239" s="345"/>
      <c r="CR239" s="345"/>
      <c r="CS239" s="345"/>
      <c r="CT239" s="345"/>
      <c r="CU239" s="345"/>
      <c r="CV239" s="345"/>
      <c r="CW239" s="345"/>
      <c r="CX239" s="345"/>
      <c r="CY239" s="345"/>
      <c r="CZ239" s="345"/>
      <c r="DA239" s="345"/>
      <c r="DB239" s="345"/>
      <c r="DC239" s="345"/>
      <c r="DD239" s="345"/>
      <c r="DE239" s="345"/>
      <c r="DF239" s="345"/>
      <c r="DG239" s="345"/>
      <c r="DH239" s="345"/>
      <c r="DI239" s="345"/>
      <c r="DJ239" s="345"/>
      <c r="DK239" s="345"/>
      <c r="DL239" s="345"/>
      <c r="DM239" s="345"/>
      <c r="DN239" s="345"/>
      <c r="DO239" s="345"/>
      <c r="DP239" s="345"/>
      <c r="DQ239" s="345"/>
      <c r="DR239" s="345"/>
      <c r="DS239" s="345"/>
      <c r="DT239" s="345"/>
      <c r="DU239" s="345"/>
      <c r="DV239" s="345"/>
      <c r="DW239" s="345"/>
      <c r="DX239" s="345"/>
      <c r="DY239" s="345"/>
      <c r="DZ239" s="345"/>
      <c r="EA239" s="345"/>
      <c r="EB239" s="345"/>
      <c r="EC239" s="345"/>
      <c r="ED239" s="345"/>
      <c r="EE239" s="345"/>
      <c r="EF239" s="345"/>
      <c r="EG239" s="345"/>
      <c r="EH239" s="345"/>
      <c r="EI239" s="345"/>
      <c r="EJ239" s="345"/>
      <c r="EK239" s="345"/>
      <c r="EL239" s="345"/>
      <c r="EM239" s="345"/>
      <c r="EN239" s="345"/>
      <c r="EO239" s="345"/>
      <c r="EP239" s="345"/>
      <c r="EQ239" s="345"/>
      <c r="ER239" s="345"/>
      <c r="ES239" s="345"/>
      <c r="ET239" s="345"/>
      <c r="EU239" s="345"/>
      <c r="EV239" s="345"/>
      <c r="EW239" s="345"/>
      <c r="EX239" s="345"/>
      <c r="EY239" s="345"/>
      <c r="EZ239" s="345"/>
      <c r="FA239" s="345"/>
      <c r="FB239" s="345"/>
      <c r="FC239" s="345"/>
      <c r="FD239" s="345"/>
      <c r="FE239" s="345"/>
      <c r="FF239" s="345"/>
      <c r="FG239" s="345"/>
      <c r="FH239" s="345"/>
      <c r="FI239" s="345"/>
      <c r="FJ239" s="345"/>
      <c r="FK239" s="345"/>
      <c r="FL239" s="345"/>
      <c r="FM239" s="345"/>
      <c r="FN239" s="345"/>
      <c r="FO239" s="345"/>
      <c r="FP239" s="345"/>
      <c r="FQ239" s="345"/>
      <c r="FR239" s="345"/>
      <c r="FS239" s="345"/>
      <c r="FT239" s="345"/>
      <c r="FU239" s="345"/>
      <c r="FV239" s="345"/>
      <c r="FW239" s="345"/>
      <c r="FX239" s="345"/>
      <c r="FY239" s="345"/>
      <c r="FZ239" s="345"/>
      <c r="GA239" s="345"/>
      <c r="GB239" s="345"/>
      <c r="GC239" s="345"/>
      <c r="GD239" s="345"/>
      <c r="GE239" s="345"/>
      <c r="GF239" s="345"/>
      <c r="GG239" s="345"/>
      <c r="GH239" s="345"/>
      <c r="GI239" s="345"/>
      <c r="GJ239" s="345"/>
      <c r="GK239" s="345"/>
      <c r="GL239" s="345"/>
      <c r="GM239" s="345"/>
      <c r="GN239" s="345"/>
      <c r="GO239" s="345"/>
      <c r="GP239" s="345"/>
      <c r="GQ239" s="345"/>
      <c r="GR239" s="345"/>
      <c r="GS239" s="345"/>
      <c r="GT239" s="345"/>
      <c r="GU239" s="345"/>
    </row>
    <row r="240" spans="23:203">
      <c r="W240" s="345"/>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c r="AS240" s="345"/>
      <c r="AT240" s="345"/>
      <c r="AU240" s="345"/>
      <c r="AV240" s="345"/>
      <c r="AW240" s="345"/>
      <c r="AX240" s="345"/>
      <c r="AY240" s="345"/>
      <c r="AZ240" s="345"/>
      <c r="BA240" s="345"/>
      <c r="BB240" s="345"/>
      <c r="BC240" s="345"/>
      <c r="BD240" s="345"/>
      <c r="BE240" s="345"/>
      <c r="BF240" s="345"/>
      <c r="BG240" s="345"/>
      <c r="BH240" s="345"/>
      <c r="BI240" s="345"/>
      <c r="BJ240" s="345"/>
      <c r="BK240" s="345"/>
      <c r="BL240" s="345"/>
      <c r="BM240" s="345"/>
      <c r="BN240" s="345"/>
      <c r="BO240" s="345"/>
      <c r="BP240" s="345"/>
      <c r="BQ240" s="345"/>
      <c r="BR240" s="345"/>
      <c r="BS240" s="345"/>
      <c r="BT240" s="345"/>
      <c r="BU240" s="345"/>
      <c r="BV240" s="345"/>
      <c r="BW240" s="345"/>
      <c r="BX240" s="345"/>
      <c r="BY240" s="345"/>
      <c r="BZ240" s="345"/>
      <c r="CA240" s="345"/>
      <c r="CB240" s="345"/>
      <c r="CC240" s="345"/>
      <c r="CD240" s="345"/>
      <c r="CE240" s="345"/>
      <c r="CF240" s="345"/>
      <c r="CG240" s="345"/>
      <c r="CH240" s="345"/>
      <c r="CI240" s="345"/>
      <c r="CJ240" s="345"/>
      <c r="CK240" s="345"/>
      <c r="CL240" s="345"/>
      <c r="CM240" s="345"/>
      <c r="CN240" s="345"/>
      <c r="CO240" s="345"/>
      <c r="CP240" s="345"/>
      <c r="CQ240" s="345"/>
      <c r="CR240" s="345"/>
      <c r="CS240" s="345"/>
      <c r="CT240" s="345"/>
      <c r="CU240" s="345"/>
      <c r="CV240" s="345"/>
      <c r="CW240" s="345"/>
      <c r="CX240" s="345"/>
      <c r="CY240" s="345"/>
      <c r="CZ240" s="345"/>
      <c r="DA240" s="345"/>
      <c r="DB240" s="345"/>
      <c r="DC240" s="345"/>
      <c r="DD240" s="345"/>
      <c r="DE240" s="345"/>
      <c r="DF240" s="345"/>
      <c r="DG240" s="345"/>
      <c r="DH240" s="345"/>
      <c r="DI240" s="345"/>
      <c r="DJ240" s="345"/>
      <c r="DK240" s="345"/>
      <c r="DL240" s="345"/>
      <c r="DM240" s="345"/>
      <c r="DN240" s="345"/>
      <c r="DO240" s="345"/>
      <c r="DP240" s="345"/>
      <c r="DQ240" s="345"/>
      <c r="DR240" s="345"/>
      <c r="DS240" s="345"/>
      <c r="DT240" s="345"/>
      <c r="DU240" s="345"/>
      <c r="DV240" s="345"/>
      <c r="DW240" s="345"/>
      <c r="DX240" s="345"/>
      <c r="DY240" s="345"/>
      <c r="DZ240" s="345"/>
      <c r="EA240" s="345"/>
      <c r="EB240" s="345"/>
      <c r="EC240" s="345"/>
      <c r="ED240" s="345"/>
      <c r="EE240" s="345"/>
      <c r="EF240" s="345"/>
      <c r="EG240" s="345"/>
      <c r="EH240" s="345"/>
      <c r="EI240" s="345"/>
      <c r="EJ240" s="345"/>
      <c r="EK240" s="345"/>
      <c r="EL240" s="345"/>
      <c r="EM240" s="345"/>
      <c r="EN240" s="345"/>
      <c r="EO240" s="345"/>
      <c r="EP240" s="345"/>
      <c r="EQ240" s="345"/>
      <c r="ER240" s="345"/>
      <c r="ES240" s="345"/>
      <c r="ET240" s="345"/>
      <c r="EU240" s="345"/>
      <c r="EV240" s="345"/>
      <c r="EW240" s="345"/>
      <c r="EX240" s="345"/>
      <c r="EY240" s="345"/>
      <c r="EZ240" s="345"/>
      <c r="FA240" s="345"/>
      <c r="FB240" s="345"/>
      <c r="FC240" s="345"/>
      <c r="FD240" s="345"/>
      <c r="FE240" s="345"/>
      <c r="FF240" s="345"/>
      <c r="FG240" s="345"/>
      <c r="FH240" s="345"/>
      <c r="FI240" s="345"/>
      <c r="FJ240" s="345"/>
      <c r="FK240" s="345"/>
      <c r="FL240" s="345"/>
      <c r="FM240" s="345"/>
      <c r="FN240" s="345"/>
      <c r="FO240" s="345"/>
      <c r="FP240" s="345"/>
      <c r="FQ240" s="345"/>
      <c r="FR240" s="345"/>
      <c r="FS240" s="345"/>
      <c r="FT240" s="345"/>
      <c r="FU240" s="345"/>
      <c r="FV240" s="345"/>
      <c r="FW240" s="345"/>
      <c r="FX240" s="345"/>
      <c r="FY240" s="345"/>
      <c r="FZ240" s="345"/>
      <c r="GA240" s="345"/>
      <c r="GB240" s="345"/>
      <c r="GC240" s="345"/>
      <c r="GD240" s="345"/>
      <c r="GE240" s="345"/>
      <c r="GF240" s="345"/>
      <c r="GG240" s="345"/>
      <c r="GH240" s="345"/>
      <c r="GI240" s="345"/>
      <c r="GJ240" s="345"/>
      <c r="GK240" s="345"/>
      <c r="GL240" s="345"/>
      <c r="GM240" s="345"/>
      <c r="GN240" s="345"/>
      <c r="GO240" s="345"/>
      <c r="GP240" s="345"/>
      <c r="GQ240" s="345"/>
      <c r="GR240" s="345"/>
      <c r="GS240" s="345"/>
      <c r="GT240" s="345"/>
      <c r="GU240" s="345"/>
    </row>
    <row r="241" spans="23:203">
      <c r="W241" s="345"/>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c r="BJ241" s="345"/>
      <c r="BK241" s="345"/>
      <c r="BL241" s="345"/>
      <c r="BM241" s="345"/>
      <c r="BN241" s="345"/>
      <c r="BO241" s="345"/>
      <c r="BP241" s="345"/>
      <c r="BQ241" s="345"/>
      <c r="BR241" s="345"/>
      <c r="BS241" s="345"/>
      <c r="BT241" s="345"/>
      <c r="BU241" s="345"/>
      <c r="BV241" s="345"/>
      <c r="BW241" s="345"/>
      <c r="BX241" s="345"/>
      <c r="BY241" s="345"/>
      <c r="BZ241" s="345"/>
      <c r="CA241" s="345"/>
      <c r="CB241" s="345"/>
      <c r="CC241" s="345"/>
      <c r="CD241" s="345"/>
      <c r="CE241" s="345"/>
      <c r="CF241" s="345"/>
      <c r="CG241" s="345"/>
      <c r="CH241" s="345"/>
      <c r="CI241" s="345"/>
      <c r="CJ241" s="345"/>
      <c r="CK241" s="345"/>
      <c r="CL241" s="345"/>
      <c r="CM241" s="345"/>
      <c r="CN241" s="345"/>
      <c r="CO241" s="345"/>
      <c r="CP241" s="345"/>
      <c r="CQ241" s="345"/>
      <c r="CR241" s="345"/>
      <c r="CS241" s="345"/>
      <c r="CT241" s="345"/>
      <c r="CU241" s="345"/>
      <c r="CV241" s="345"/>
      <c r="CW241" s="345"/>
      <c r="CX241" s="345"/>
      <c r="CY241" s="345"/>
      <c r="CZ241" s="345"/>
      <c r="DA241" s="345"/>
      <c r="DB241" s="345"/>
      <c r="DC241" s="345"/>
      <c r="DD241" s="345"/>
      <c r="DE241" s="345"/>
      <c r="DF241" s="345"/>
      <c r="DG241" s="345"/>
      <c r="DH241" s="345"/>
      <c r="DI241" s="345"/>
      <c r="DJ241" s="345"/>
      <c r="DK241" s="345"/>
      <c r="DL241" s="345"/>
      <c r="DM241" s="345"/>
      <c r="DN241" s="345"/>
      <c r="DO241" s="345"/>
      <c r="DP241" s="345"/>
      <c r="DQ241" s="345"/>
      <c r="DR241" s="345"/>
      <c r="DS241" s="345"/>
      <c r="DT241" s="345"/>
      <c r="DU241" s="345"/>
      <c r="DV241" s="345"/>
      <c r="DW241" s="345"/>
      <c r="DX241" s="345"/>
      <c r="DY241" s="345"/>
      <c r="DZ241" s="345"/>
      <c r="EA241" s="345"/>
      <c r="EB241" s="345"/>
      <c r="EC241" s="345"/>
      <c r="ED241" s="345"/>
      <c r="EE241" s="345"/>
      <c r="EF241" s="345"/>
      <c r="EG241" s="345"/>
      <c r="EH241" s="345"/>
      <c r="EI241" s="345"/>
      <c r="EJ241" s="345"/>
      <c r="EK241" s="345"/>
      <c r="EL241" s="345"/>
      <c r="EM241" s="345"/>
      <c r="EN241" s="345"/>
      <c r="EO241" s="345"/>
      <c r="EP241" s="345"/>
      <c r="EQ241" s="345"/>
      <c r="ER241" s="345"/>
      <c r="ES241" s="345"/>
      <c r="ET241" s="345"/>
      <c r="EU241" s="345"/>
      <c r="EV241" s="345"/>
      <c r="EW241" s="345"/>
      <c r="EX241" s="345"/>
      <c r="EY241" s="345"/>
      <c r="EZ241" s="345"/>
      <c r="FA241" s="345"/>
      <c r="FB241" s="345"/>
      <c r="FC241" s="345"/>
      <c r="FD241" s="345"/>
      <c r="FE241" s="345"/>
      <c r="FF241" s="345"/>
      <c r="FG241" s="345"/>
      <c r="FH241" s="345"/>
      <c r="FI241" s="345"/>
      <c r="FJ241" s="345"/>
      <c r="FK241" s="345"/>
      <c r="FL241" s="345"/>
      <c r="FM241" s="345"/>
      <c r="FN241" s="345"/>
      <c r="FO241" s="345"/>
      <c r="FP241" s="345"/>
      <c r="FQ241" s="345"/>
      <c r="FR241" s="345"/>
      <c r="FS241" s="345"/>
      <c r="FT241" s="345"/>
      <c r="FU241" s="345"/>
      <c r="FV241" s="345"/>
      <c r="FW241" s="345"/>
      <c r="FX241" s="345"/>
      <c r="FY241" s="345"/>
      <c r="FZ241" s="345"/>
      <c r="GA241" s="345"/>
      <c r="GB241" s="345"/>
      <c r="GC241" s="345"/>
      <c r="GD241" s="345"/>
      <c r="GE241" s="345"/>
      <c r="GF241" s="345"/>
      <c r="GG241" s="345"/>
      <c r="GH241" s="345"/>
      <c r="GI241" s="345"/>
      <c r="GJ241" s="345"/>
      <c r="GK241" s="345"/>
      <c r="GL241" s="345"/>
      <c r="GM241" s="345"/>
      <c r="GN241" s="345"/>
      <c r="GO241" s="345"/>
      <c r="GP241" s="345"/>
      <c r="GQ241" s="345"/>
      <c r="GR241" s="345"/>
      <c r="GS241" s="345"/>
      <c r="GT241" s="345"/>
      <c r="GU241" s="345"/>
    </row>
    <row r="242" spans="23:203">
      <c r="W242" s="345"/>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c r="BQ242" s="345"/>
      <c r="BR242" s="345"/>
      <c r="BS242" s="345"/>
      <c r="BT242" s="345"/>
      <c r="BU242" s="345"/>
      <c r="BV242" s="345"/>
      <c r="BW242" s="345"/>
      <c r="BX242" s="345"/>
      <c r="BY242" s="345"/>
      <c r="BZ242" s="345"/>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c r="CW242" s="345"/>
      <c r="CX242" s="345"/>
      <c r="CY242" s="345"/>
      <c r="CZ242" s="345"/>
      <c r="DA242" s="345"/>
      <c r="DB242" s="345"/>
      <c r="DC242" s="345"/>
      <c r="DD242" s="345"/>
      <c r="DE242" s="345"/>
      <c r="DF242" s="345"/>
      <c r="DG242" s="345"/>
      <c r="DH242" s="345"/>
      <c r="DI242" s="345"/>
      <c r="DJ242" s="345"/>
      <c r="DK242" s="345"/>
      <c r="DL242" s="345"/>
      <c r="DM242" s="345"/>
      <c r="DN242" s="345"/>
      <c r="DO242" s="345"/>
      <c r="DP242" s="345"/>
      <c r="DQ242" s="345"/>
      <c r="DR242" s="345"/>
      <c r="DS242" s="345"/>
      <c r="DT242" s="345"/>
      <c r="DU242" s="345"/>
      <c r="DV242" s="345"/>
      <c r="DW242" s="345"/>
      <c r="DX242" s="345"/>
      <c r="DY242" s="345"/>
      <c r="DZ242" s="345"/>
      <c r="EA242" s="345"/>
      <c r="EB242" s="345"/>
      <c r="EC242" s="345"/>
      <c r="ED242" s="345"/>
      <c r="EE242" s="345"/>
      <c r="EF242" s="345"/>
      <c r="EG242" s="345"/>
      <c r="EH242" s="345"/>
      <c r="EI242" s="345"/>
      <c r="EJ242" s="345"/>
      <c r="EK242" s="345"/>
      <c r="EL242" s="345"/>
      <c r="EM242" s="345"/>
      <c r="EN242" s="345"/>
      <c r="EO242" s="345"/>
      <c r="EP242" s="345"/>
      <c r="EQ242" s="345"/>
      <c r="ER242" s="345"/>
      <c r="ES242" s="345"/>
      <c r="ET242" s="345"/>
      <c r="EU242" s="345"/>
      <c r="EV242" s="345"/>
      <c r="EW242" s="345"/>
      <c r="EX242" s="345"/>
      <c r="EY242" s="345"/>
      <c r="EZ242" s="345"/>
      <c r="FA242" s="345"/>
      <c r="FB242" s="345"/>
      <c r="FC242" s="345"/>
      <c r="FD242" s="345"/>
      <c r="FE242" s="345"/>
      <c r="FF242" s="345"/>
      <c r="FG242" s="345"/>
      <c r="FH242" s="345"/>
      <c r="FI242" s="345"/>
      <c r="FJ242" s="345"/>
      <c r="FK242" s="345"/>
      <c r="FL242" s="345"/>
      <c r="FM242" s="345"/>
      <c r="FN242" s="345"/>
      <c r="FO242" s="345"/>
      <c r="FP242" s="345"/>
      <c r="FQ242" s="345"/>
      <c r="FR242" s="345"/>
      <c r="FS242" s="345"/>
      <c r="FT242" s="345"/>
      <c r="FU242" s="345"/>
      <c r="FV242" s="345"/>
      <c r="FW242" s="345"/>
      <c r="FX242" s="345"/>
      <c r="FY242" s="345"/>
      <c r="FZ242" s="345"/>
      <c r="GA242" s="345"/>
      <c r="GB242" s="345"/>
      <c r="GC242" s="345"/>
      <c r="GD242" s="345"/>
      <c r="GE242" s="345"/>
      <c r="GF242" s="345"/>
      <c r="GG242" s="345"/>
      <c r="GH242" s="345"/>
      <c r="GI242" s="345"/>
      <c r="GJ242" s="345"/>
      <c r="GK242" s="345"/>
      <c r="GL242" s="345"/>
      <c r="GM242" s="345"/>
      <c r="GN242" s="345"/>
      <c r="GO242" s="345"/>
      <c r="GP242" s="345"/>
      <c r="GQ242" s="345"/>
      <c r="GR242" s="345"/>
      <c r="GS242" s="345"/>
      <c r="GT242" s="345"/>
      <c r="GU242" s="345"/>
    </row>
    <row r="243" spans="23:203">
      <c r="W243" s="345"/>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345"/>
      <c r="BL243" s="345"/>
      <c r="BM243" s="345"/>
      <c r="BN243" s="345"/>
      <c r="BO243" s="345"/>
      <c r="BP243" s="345"/>
      <c r="BQ243" s="345"/>
      <c r="BR243" s="345"/>
      <c r="BS243" s="345"/>
      <c r="BT243" s="345"/>
      <c r="BU243" s="345"/>
      <c r="BV243" s="345"/>
      <c r="BW243" s="345"/>
      <c r="BX243" s="345"/>
      <c r="BY243" s="345"/>
      <c r="BZ243" s="345"/>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c r="CW243" s="345"/>
      <c r="CX243" s="345"/>
      <c r="CY243" s="345"/>
      <c r="CZ243" s="345"/>
      <c r="DA243" s="345"/>
      <c r="DB243" s="345"/>
      <c r="DC243" s="345"/>
      <c r="DD243" s="345"/>
      <c r="DE243" s="345"/>
      <c r="DF243" s="345"/>
      <c r="DG243" s="345"/>
      <c r="DH243" s="345"/>
      <c r="DI243" s="345"/>
      <c r="DJ243" s="345"/>
      <c r="DK243" s="345"/>
      <c r="DL243" s="345"/>
      <c r="DM243" s="345"/>
      <c r="DN243" s="345"/>
      <c r="DO243" s="345"/>
      <c r="DP243" s="345"/>
      <c r="DQ243" s="345"/>
      <c r="DR243" s="345"/>
      <c r="DS243" s="345"/>
      <c r="DT243" s="345"/>
      <c r="DU243" s="345"/>
      <c r="DV243" s="345"/>
      <c r="DW243" s="345"/>
      <c r="DX243" s="345"/>
      <c r="DY243" s="345"/>
      <c r="DZ243" s="345"/>
      <c r="EA243" s="345"/>
      <c r="EB243" s="345"/>
      <c r="EC243" s="345"/>
      <c r="ED243" s="345"/>
      <c r="EE243" s="345"/>
      <c r="EF243" s="345"/>
      <c r="EG243" s="345"/>
      <c r="EH243" s="345"/>
      <c r="EI243" s="345"/>
      <c r="EJ243" s="345"/>
      <c r="EK243" s="345"/>
      <c r="EL243" s="345"/>
      <c r="EM243" s="345"/>
      <c r="EN243" s="345"/>
      <c r="EO243" s="345"/>
      <c r="EP243" s="345"/>
      <c r="EQ243" s="345"/>
      <c r="ER243" s="345"/>
      <c r="ES243" s="345"/>
      <c r="ET243" s="345"/>
      <c r="EU243" s="345"/>
      <c r="EV243" s="345"/>
      <c r="EW243" s="345"/>
      <c r="EX243" s="345"/>
      <c r="EY243" s="345"/>
      <c r="EZ243" s="345"/>
      <c r="FA243" s="345"/>
      <c r="FB243" s="345"/>
      <c r="FC243" s="345"/>
      <c r="FD243" s="345"/>
      <c r="FE243" s="345"/>
      <c r="FF243" s="345"/>
      <c r="FG243" s="345"/>
      <c r="FH243" s="345"/>
      <c r="FI243" s="345"/>
      <c r="FJ243" s="345"/>
      <c r="FK243" s="345"/>
      <c r="FL243" s="345"/>
      <c r="FM243" s="345"/>
      <c r="FN243" s="345"/>
      <c r="FO243" s="345"/>
      <c r="FP243" s="345"/>
      <c r="FQ243" s="345"/>
      <c r="FR243" s="345"/>
      <c r="FS243" s="345"/>
      <c r="FT243" s="345"/>
      <c r="FU243" s="345"/>
      <c r="FV243" s="345"/>
      <c r="FW243" s="345"/>
      <c r="FX243" s="345"/>
      <c r="FY243" s="345"/>
      <c r="FZ243" s="345"/>
      <c r="GA243" s="345"/>
      <c r="GB243" s="345"/>
      <c r="GC243" s="345"/>
      <c r="GD243" s="345"/>
      <c r="GE243" s="345"/>
      <c r="GF243" s="345"/>
      <c r="GG243" s="345"/>
      <c r="GH243" s="345"/>
      <c r="GI243" s="345"/>
      <c r="GJ243" s="345"/>
      <c r="GK243" s="345"/>
      <c r="GL243" s="345"/>
      <c r="GM243" s="345"/>
      <c r="GN243" s="345"/>
      <c r="GO243" s="345"/>
      <c r="GP243" s="345"/>
      <c r="GQ243" s="345"/>
      <c r="GR243" s="345"/>
      <c r="GS243" s="345"/>
      <c r="GT243" s="345"/>
      <c r="GU243" s="345"/>
    </row>
    <row r="244" spans="23:203">
      <c r="W244" s="345"/>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c r="AS244" s="345"/>
      <c r="AT244" s="345"/>
      <c r="AU244" s="345"/>
      <c r="AV244" s="345"/>
      <c r="AW244" s="345"/>
      <c r="AX244" s="345"/>
      <c r="AY244" s="345"/>
      <c r="AZ244" s="345"/>
      <c r="BA244" s="345"/>
      <c r="BB244" s="345"/>
      <c r="BC244" s="345"/>
      <c r="BD244" s="345"/>
      <c r="BE244" s="345"/>
      <c r="BF244" s="345"/>
      <c r="BG244" s="345"/>
      <c r="BH244" s="345"/>
      <c r="BI244" s="345"/>
      <c r="BJ244" s="345"/>
      <c r="BK244" s="345"/>
      <c r="BL244" s="345"/>
      <c r="BM244" s="345"/>
      <c r="BN244" s="345"/>
      <c r="BO244" s="345"/>
      <c r="BP244" s="345"/>
      <c r="BQ244" s="345"/>
      <c r="BR244" s="345"/>
      <c r="BS244" s="345"/>
      <c r="BT244" s="345"/>
      <c r="BU244" s="345"/>
      <c r="BV244" s="345"/>
      <c r="BW244" s="345"/>
      <c r="BX244" s="345"/>
      <c r="BY244" s="345"/>
      <c r="BZ244" s="345"/>
      <c r="CA244" s="345"/>
      <c r="CB244" s="345"/>
      <c r="CC244" s="345"/>
      <c r="CD244" s="345"/>
      <c r="CE244" s="345"/>
      <c r="CF244" s="345"/>
      <c r="CG244" s="345"/>
      <c r="CH244" s="345"/>
      <c r="CI244" s="345"/>
      <c r="CJ244" s="345"/>
      <c r="CK244" s="345"/>
      <c r="CL244" s="345"/>
      <c r="CM244" s="345"/>
      <c r="CN244" s="345"/>
      <c r="CO244" s="345"/>
      <c r="CP244" s="345"/>
      <c r="CQ244" s="345"/>
      <c r="CR244" s="345"/>
      <c r="CS244" s="345"/>
      <c r="CT244" s="345"/>
      <c r="CU244" s="345"/>
      <c r="CV244" s="345"/>
      <c r="CW244" s="345"/>
      <c r="CX244" s="345"/>
      <c r="CY244" s="345"/>
      <c r="CZ244" s="345"/>
      <c r="DA244" s="345"/>
      <c r="DB244" s="345"/>
      <c r="DC244" s="345"/>
      <c r="DD244" s="345"/>
      <c r="DE244" s="345"/>
      <c r="DF244" s="345"/>
      <c r="DG244" s="345"/>
      <c r="DH244" s="345"/>
      <c r="DI244" s="345"/>
      <c r="DJ244" s="345"/>
      <c r="DK244" s="345"/>
      <c r="DL244" s="345"/>
      <c r="DM244" s="345"/>
      <c r="DN244" s="345"/>
      <c r="DO244" s="345"/>
      <c r="DP244" s="345"/>
      <c r="DQ244" s="345"/>
      <c r="DR244" s="345"/>
      <c r="DS244" s="345"/>
      <c r="DT244" s="345"/>
      <c r="DU244" s="345"/>
      <c r="DV244" s="345"/>
      <c r="DW244" s="345"/>
      <c r="DX244" s="345"/>
      <c r="DY244" s="345"/>
      <c r="DZ244" s="345"/>
      <c r="EA244" s="345"/>
      <c r="EB244" s="345"/>
      <c r="EC244" s="345"/>
      <c r="ED244" s="345"/>
      <c r="EE244" s="345"/>
      <c r="EF244" s="345"/>
      <c r="EG244" s="345"/>
      <c r="EH244" s="345"/>
      <c r="EI244" s="345"/>
      <c r="EJ244" s="345"/>
      <c r="EK244" s="345"/>
      <c r="EL244" s="345"/>
      <c r="EM244" s="345"/>
      <c r="EN244" s="345"/>
      <c r="EO244" s="345"/>
      <c r="EP244" s="345"/>
      <c r="EQ244" s="345"/>
      <c r="ER244" s="345"/>
      <c r="ES244" s="345"/>
      <c r="ET244" s="345"/>
      <c r="EU244" s="345"/>
      <c r="EV244" s="345"/>
      <c r="EW244" s="345"/>
      <c r="EX244" s="345"/>
      <c r="EY244" s="345"/>
      <c r="EZ244" s="345"/>
      <c r="FA244" s="345"/>
      <c r="FB244" s="345"/>
      <c r="FC244" s="345"/>
      <c r="FD244" s="345"/>
      <c r="FE244" s="345"/>
      <c r="FF244" s="345"/>
      <c r="FG244" s="345"/>
      <c r="FH244" s="345"/>
      <c r="FI244" s="345"/>
      <c r="FJ244" s="345"/>
      <c r="FK244" s="345"/>
      <c r="FL244" s="345"/>
      <c r="FM244" s="345"/>
      <c r="FN244" s="345"/>
      <c r="FO244" s="345"/>
      <c r="FP244" s="345"/>
      <c r="FQ244" s="345"/>
      <c r="FR244" s="345"/>
      <c r="FS244" s="345"/>
      <c r="FT244" s="345"/>
      <c r="FU244" s="345"/>
      <c r="FV244" s="345"/>
      <c r="FW244" s="345"/>
      <c r="FX244" s="345"/>
      <c r="FY244" s="345"/>
      <c r="FZ244" s="345"/>
      <c r="GA244" s="345"/>
      <c r="GB244" s="345"/>
      <c r="GC244" s="345"/>
      <c r="GD244" s="345"/>
      <c r="GE244" s="345"/>
      <c r="GF244" s="345"/>
      <c r="GG244" s="345"/>
      <c r="GH244" s="345"/>
      <c r="GI244" s="345"/>
      <c r="GJ244" s="345"/>
      <c r="GK244" s="345"/>
      <c r="GL244" s="345"/>
      <c r="GM244" s="345"/>
      <c r="GN244" s="345"/>
      <c r="GO244" s="345"/>
      <c r="GP244" s="345"/>
      <c r="GQ244" s="345"/>
      <c r="GR244" s="345"/>
      <c r="GS244" s="345"/>
      <c r="GT244" s="345"/>
      <c r="GU244" s="345"/>
    </row>
    <row r="245" spans="23:203">
      <c r="W245" s="345"/>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c r="AS245" s="345"/>
      <c r="AT245" s="345"/>
      <c r="AU245" s="345"/>
      <c r="AV245" s="345"/>
      <c r="AW245" s="345"/>
      <c r="AX245" s="345"/>
      <c r="AY245" s="345"/>
      <c r="AZ245" s="345"/>
      <c r="BA245" s="345"/>
      <c r="BB245" s="345"/>
      <c r="BC245" s="345"/>
      <c r="BD245" s="345"/>
      <c r="BE245" s="345"/>
      <c r="BF245" s="345"/>
      <c r="BG245" s="345"/>
      <c r="BH245" s="345"/>
      <c r="BI245" s="345"/>
      <c r="BJ245" s="345"/>
      <c r="BK245" s="345"/>
      <c r="BL245" s="345"/>
      <c r="BM245" s="345"/>
      <c r="BN245" s="345"/>
      <c r="BO245" s="345"/>
      <c r="BP245" s="345"/>
      <c r="BQ245" s="345"/>
      <c r="BR245" s="345"/>
      <c r="BS245" s="345"/>
      <c r="BT245" s="345"/>
      <c r="BU245" s="345"/>
      <c r="BV245" s="345"/>
      <c r="BW245" s="345"/>
      <c r="BX245" s="345"/>
      <c r="BY245" s="345"/>
      <c r="BZ245" s="345"/>
      <c r="CA245" s="345"/>
      <c r="CB245" s="345"/>
      <c r="CC245" s="345"/>
      <c r="CD245" s="345"/>
      <c r="CE245" s="345"/>
      <c r="CF245" s="345"/>
      <c r="CG245" s="345"/>
      <c r="CH245" s="345"/>
      <c r="CI245" s="345"/>
      <c r="CJ245" s="345"/>
      <c r="CK245" s="345"/>
      <c r="CL245" s="345"/>
      <c r="CM245" s="345"/>
      <c r="CN245" s="345"/>
      <c r="CO245" s="345"/>
      <c r="CP245" s="345"/>
      <c r="CQ245" s="345"/>
      <c r="CR245" s="345"/>
      <c r="CS245" s="345"/>
      <c r="CT245" s="345"/>
      <c r="CU245" s="345"/>
      <c r="CV245" s="345"/>
      <c r="CW245" s="345"/>
      <c r="CX245" s="345"/>
      <c r="CY245" s="345"/>
      <c r="CZ245" s="345"/>
      <c r="DA245" s="345"/>
      <c r="DB245" s="345"/>
      <c r="DC245" s="345"/>
      <c r="DD245" s="345"/>
      <c r="DE245" s="345"/>
      <c r="DF245" s="345"/>
      <c r="DG245" s="345"/>
      <c r="DH245" s="345"/>
      <c r="DI245" s="345"/>
      <c r="DJ245" s="345"/>
      <c r="DK245" s="345"/>
      <c r="DL245" s="345"/>
      <c r="DM245" s="345"/>
      <c r="DN245" s="345"/>
      <c r="DO245" s="345"/>
      <c r="DP245" s="345"/>
      <c r="DQ245" s="345"/>
      <c r="DR245" s="345"/>
      <c r="DS245" s="345"/>
      <c r="DT245" s="345"/>
      <c r="DU245" s="345"/>
      <c r="DV245" s="345"/>
      <c r="DW245" s="345"/>
      <c r="DX245" s="345"/>
      <c r="DY245" s="345"/>
      <c r="DZ245" s="345"/>
      <c r="EA245" s="345"/>
      <c r="EB245" s="345"/>
      <c r="EC245" s="345"/>
      <c r="ED245" s="345"/>
      <c r="EE245" s="345"/>
      <c r="EF245" s="345"/>
      <c r="EG245" s="345"/>
      <c r="EH245" s="345"/>
      <c r="EI245" s="345"/>
      <c r="EJ245" s="345"/>
      <c r="EK245" s="345"/>
      <c r="EL245" s="345"/>
      <c r="EM245" s="345"/>
      <c r="EN245" s="345"/>
      <c r="EO245" s="345"/>
      <c r="EP245" s="345"/>
      <c r="EQ245" s="345"/>
      <c r="ER245" s="345"/>
      <c r="ES245" s="345"/>
      <c r="ET245" s="345"/>
      <c r="EU245" s="345"/>
      <c r="EV245" s="345"/>
      <c r="EW245" s="345"/>
      <c r="EX245" s="345"/>
      <c r="EY245" s="345"/>
      <c r="EZ245" s="345"/>
      <c r="FA245" s="345"/>
      <c r="FB245" s="345"/>
      <c r="FC245" s="345"/>
      <c r="FD245" s="345"/>
      <c r="FE245" s="345"/>
      <c r="FF245" s="345"/>
      <c r="FG245" s="345"/>
      <c r="FH245" s="345"/>
      <c r="FI245" s="345"/>
      <c r="FJ245" s="345"/>
      <c r="FK245" s="345"/>
      <c r="FL245" s="345"/>
      <c r="FM245" s="345"/>
      <c r="FN245" s="345"/>
      <c r="FO245" s="345"/>
      <c r="FP245" s="345"/>
      <c r="FQ245" s="345"/>
      <c r="FR245" s="345"/>
      <c r="FS245" s="345"/>
      <c r="FT245" s="345"/>
      <c r="FU245" s="345"/>
      <c r="FV245" s="345"/>
      <c r="FW245" s="345"/>
      <c r="FX245" s="345"/>
      <c r="FY245" s="345"/>
      <c r="FZ245" s="345"/>
      <c r="GA245" s="345"/>
      <c r="GB245" s="345"/>
      <c r="GC245" s="345"/>
      <c r="GD245" s="345"/>
      <c r="GE245" s="345"/>
      <c r="GF245" s="345"/>
      <c r="GG245" s="345"/>
      <c r="GH245" s="345"/>
      <c r="GI245" s="345"/>
      <c r="GJ245" s="345"/>
      <c r="GK245" s="345"/>
      <c r="GL245" s="345"/>
      <c r="GM245" s="345"/>
      <c r="GN245" s="345"/>
      <c r="GO245" s="345"/>
      <c r="GP245" s="345"/>
      <c r="GQ245" s="345"/>
      <c r="GR245" s="345"/>
      <c r="GS245" s="345"/>
      <c r="GT245" s="345"/>
      <c r="GU245" s="345"/>
    </row>
    <row r="246" spans="23:203">
      <c r="W246" s="345"/>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c r="AS246" s="345"/>
      <c r="AT246" s="345"/>
      <c r="AU246" s="345"/>
      <c r="AV246" s="345"/>
      <c r="AW246" s="345"/>
      <c r="AX246" s="345"/>
      <c r="AY246" s="345"/>
      <c r="AZ246" s="345"/>
      <c r="BA246" s="345"/>
      <c r="BB246" s="345"/>
      <c r="BC246" s="345"/>
      <c r="BD246" s="345"/>
      <c r="BE246" s="345"/>
      <c r="BF246" s="345"/>
      <c r="BG246" s="345"/>
      <c r="BH246" s="345"/>
      <c r="BI246" s="345"/>
      <c r="BJ246" s="345"/>
      <c r="BK246" s="345"/>
      <c r="BL246" s="345"/>
      <c r="BM246" s="345"/>
      <c r="BN246" s="345"/>
      <c r="BO246" s="345"/>
      <c r="BP246" s="345"/>
      <c r="BQ246" s="345"/>
      <c r="BR246" s="345"/>
      <c r="BS246" s="345"/>
      <c r="BT246" s="345"/>
      <c r="BU246" s="345"/>
      <c r="BV246" s="345"/>
      <c r="BW246" s="345"/>
      <c r="BX246" s="345"/>
      <c r="BY246" s="345"/>
      <c r="BZ246" s="345"/>
      <c r="CA246" s="345"/>
      <c r="CB246" s="345"/>
      <c r="CC246" s="345"/>
      <c r="CD246" s="345"/>
      <c r="CE246" s="345"/>
      <c r="CF246" s="345"/>
      <c r="CG246" s="345"/>
      <c r="CH246" s="345"/>
      <c r="CI246" s="345"/>
      <c r="CJ246" s="345"/>
      <c r="CK246" s="345"/>
      <c r="CL246" s="345"/>
      <c r="CM246" s="345"/>
      <c r="CN246" s="345"/>
      <c r="CO246" s="345"/>
      <c r="CP246" s="345"/>
      <c r="CQ246" s="345"/>
      <c r="CR246" s="345"/>
      <c r="CS246" s="345"/>
      <c r="CT246" s="345"/>
      <c r="CU246" s="345"/>
      <c r="CV246" s="345"/>
      <c r="CW246" s="345"/>
      <c r="CX246" s="345"/>
      <c r="CY246" s="345"/>
      <c r="CZ246" s="345"/>
      <c r="DA246" s="345"/>
      <c r="DB246" s="345"/>
      <c r="DC246" s="345"/>
      <c r="DD246" s="345"/>
      <c r="DE246" s="345"/>
      <c r="DF246" s="345"/>
      <c r="DG246" s="345"/>
      <c r="DH246" s="345"/>
      <c r="DI246" s="345"/>
      <c r="DJ246" s="345"/>
      <c r="DK246" s="345"/>
      <c r="DL246" s="345"/>
      <c r="DM246" s="345"/>
      <c r="DN246" s="345"/>
      <c r="DO246" s="345"/>
      <c r="DP246" s="345"/>
      <c r="DQ246" s="345"/>
      <c r="DR246" s="345"/>
      <c r="DS246" s="345"/>
      <c r="DT246" s="345"/>
      <c r="DU246" s="345"/>
      <c r="DV246" s="345"/>
      <c r="DW246" s="345"/>
      <c r="DX246" s="345"/>
      <c r="DY246" s="345"/>
      <c r="DZ246" s="345"/>
      <c r="EA246" s="345"/>
      <c r="EB246" s="345"/>
      <c r="EC246" s="345"/>
      <c r="ED246" s="345"/>
      <c r="EE246" s="345"/>
      <c r="EF246" s="345"/>
      <c r="EG246" s="345"/>
      <c r="EH246" s="345"/>
      <c r="EI246" s="345"/>
      <c r="EJ246" s="345"/>
      <c r="EK246" s="345"/>
      <c r="EL246" s="345"/>
      <c r="EM246" s="345"/>
      <c r="EN246" s="345"/>
      <c r="EO246" s="345"/>
      <c r="EP246" s="345"/>
      <c r="EQ246" s="345"/>
      <c r="ER246" s="345"/>
      <c r="ES246" s="345"/>
      <c r="ET246" s="345"/>
      <c r="EU246" s="345"/>
      <c r="EV246" s="345"/>
      <c r="EW246" s="345"/>
      <c r="EX246" s="345"/>
      <c r="EY246" s="345"/>
      <c r="EZ246" s="345"/>
      <c r="FA246" s="345"/>
      <c r="FB246" s="345"/>
      <c r="FC246" s="345"/>
      <c r="FD246" s="345"/>
      <c r="FE246" s="345"/>
      <c r="FF246" s="345"/>
      <c r="FG246" s="345"/>
      <c r="FH246" s="345"/>
      <c r="FI246" s="345"/>
      <c r="FJ246" s="345"/>
      <c r="FK246" s="345"/>
      <c r="FL246" s="345"/>
      <c r="FM246" s="345"/>
      <c r="FN246" s="345"/>
      <c r="FO246" s="345"/>
      <c r="FP246" s="345"/>
      <c r="FQ246" s="345"/>
      <c r="FR246" s="345"/>
      <c r="FS246" s="345"/>
      <c r="FT246" s="345"/>
      <c r="FU246" s="345"/>
      <c r="FV246" s="345"/>
      <c r="FW246" s="345"/>
      <c r="FX246" s="345"/>
      <c r="FY246" s="345"/>
      <c r="FZ246" s="345"/>
      <c r="GA246" s="345"/>
      <c r="GB246" s="345"/>
      <c r="GC246" s="345"/>
      <c r="GD246" s="345"/>
      <c r="GE246" s="345"/>
      <c r="GF246" s="345"/>
      <c r="GG246" s="345"/>
      <c r="GH246" s="345"/>
      <c r="GI246" s="345"/>
      <c r="GJ246" s="345"/>
      <c r="GK246" s="345"/>
      <c r="GL246" s="345"/>
      <c r="GM246" s="345"/>
      <c r="GN246" s="345"/>
      <c r="GO246" s="345"/>
      <c r="GP246" s="345"/>
      <c r="GQ246" s="345"/>
      <c r="GR246" s="345"/>
      <c r="GS246" s="345"/>
      <c r="GT246" s="345"/>
      <c r="GU246" s="345"/>
    </row>
    <row r="247" spans="23:203">
      <c r="W247" s="345"/>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c r="BJ247" s="345"/>
      <c r="BK247" s="345"/>
      <c r="BL247" s="345"/>
      <c r="BM247" s="345"/>
      <c r="BN247" s="345"/>
      <c r="BO247" s="345"/>
      <c r="BP247" s="345"/>
      <c r="BQ247" s="345"/>
      <c r="BR247" s="345"/>
      <c r="BS247" s="345"/>
      <c r="BT247" s="345"/>
      <c r="BU247" s="345"/>
      <c r="BV247" s="345"/>
      <c r="BW247" s="345"/>
      <c r="BX247" s="345"/>
      <c r="BY247" s="345"/>
      <c r="BZ247" s="345"/>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c r="CW247" s="345"/>
      <c r="CX247" s="345"/>
      <c r="CY247" s="345"/>
      <c r="CZ247" s="345"/>
      <c r="DA247" s="345"/>
      <c r="DB247" s="345"/>
      <c r="DC247" s="345"/>
      <c r="DD247" s="345"/>
      <c r="DE247" s="345"/>
      <c r="DF247" s="345"/>
      <c r="DG247" s="345"/>
      <c r="DH247" s="345"/>
      <c r="DI247" s="345"/>
      <c r="DJ247" s="345"/>
      <c r="DK247" s="345"/>
      <c r="DL247" s="345"/>
      <c r="DM247" s="345"/>
      <c r="DN247" s="345"/>
      <c r="DO247" s="345"/>
      <c r="DP247" s="345"/>
      <c r="DQ247" s="345"/>
      <c r="DR247" s="345"/>
      <c r="DS247" s="345"/>
      <c r="DT247" s="345"/>
      <c r="DU247" s="345"/>
      <c r="DV247" s="345"/>
      <c r="DW247" s="345"/>
      <c r="DX247" s="345"/>
      <c r="DY247" s="345"/>
      <c r="DZ247" s="345"/>
      <c r="EA247" s="345"/>
      <c r="EB247" s="345"/>
      <c r="EC247" s="345"/>
      <c r="ED247" s="345"/>
      <c r="EE247" s="345"/>
      <c r="EF247" s="345"/>
      <c r="EG247" s="345"/>
      <c r="EH247" s="345"/>
      <c r="EI247" s="345"/>
      <c r="EJ247" s="345"/>
      <c r="EK247" s="345"/>
      <c r="EL247" s="345"/>
      <c r="EM247" s="345"/>
      <c r="EN247" s="345"/>
      <c r="EO247" s="345"/>
      <c r="EP247" s="345"/>
      <c r="EQ247" s="345"/>
      <c r="ER247" s="345"/>
      <c r="ES247" s="345"/>
      <c r="ET247" s="345"/>
      <c r="EU247" s="345"/>
      <c r="EV247" s="345"/>
      <c r="EW247" s="345"/>
      <c r="EX247" s="345"/>
      <c r="EY247" s="345"/>
      <c r="EZ247" s="345"/>
      <c r="FA247" s="345"/>
      <c r="FB247" s="345"/>
      <c r="FC247" s="345"/>
      <c r="FD247" s="345"/>
      <c r="FE247" s="345"/>
      <c r="FF247" s="345"/>
      <c r="FG247" s="345"/>
      <c r="FH247" s="345"/>
      <c r="FI247" s="345"/>
      <c r="FJ247" s="345"/>
      <c r="FK247" s="345"/>
      <c r="FL247" s="345"/>
      <c r="FM247" s="345"/>
      <c r="FN247" s="345"/>
      <c r="FO247" s="345"/>
      <c r="FP247" s="345"/>
      <c r="FQ247" s="345"/>
      <c r="FR247" s="345"/>
      <c r="FS247" s="345"/>
      <c r="FT247" s="345"/>
      <c r="FU247" s="345"/>
      <c r="FV247" s="345"/>
      <c r="FW247" s="345"/>
      <c r="FX247" s="345"/>
      <c r="FY247" s="345"/>
      <c r="FZ247" s="345"/>
      <c r="GA247" s="345"/>
      <c r="GB247" s="345"/>
      <c r="GC247" s="345"/>
      <c r="GD247" s="345"/>
      <c r="GE247" s="345"/>
      <c r="GF247" s="345"/>
      <c r="GG247" s="345"/>
      <c r="GH247" s="345"/>
      <c r="GI247" s="345"/>
      <c r="GJ247" s="345"/>
      <c r="GK247" s="345"/>
      <c r="GL247" s="345"/>
      <c r="GM247" s="345"/>
      <c r="GN247" s="345"/>
      <c r="GO247" s="345"/>
      <c r="GP247" s="345"/>
      <c r="GQ247" s="345"/>
      <c r="GR247" s="345"/>
      <c r="GS247" s="345"/>
      <c r="GT247" s="345"/>
      <c r="GU247" s="345"/>
    </row>
    <row r="248" spans="23:203">
      <c r="W248" s="345"/>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c r="AS248" s="345"/>
      <c r="AT248" s="345"/>
      <c r="AU248" s="345"/>
      <c r="AV248" s="345"/>
      <c r="AW248" s="345"/>
      <c r="AX248" s="345"/>
      <c r="AY248" s="345"/>
      <c r="AZ248" s="345"/>
      <c r="BA248" s="345"/>
      <c r="BB248" s="345"/>
      <c r="BC248" s="345"/>
      <c r="BD248" s="345"/>
      <c r="BE248" s="345"/>
      <c r="BF248" s="345"/>
      <c r="BG248" s="345"/>
      <c r="BH248" s="345"/>
      <c r="BI248" s="345"/>
      <c r="BJ248" s="345"/>
      <c r="BK248" s="345"/>
      <c r="BL248" s="345"/>
      <c r="BM248" s="345"/>
      <c r="BN248" s="345"/>
      <c r="BO248" s="345"/>
      <c r="BP248" s="345"/>
      <c r="BQ248" s="345"/>
      <c r="BR248" s="345"/>
      <c r="BS248" s="345"/>
      <c r="BT248" s="345"/>
      <c r="BU248" s="345"/>
      <c r="BV248" s="345"/>
      <c r="BW248" s="345"/>
      <c r="BX248" s="345"/>
      <c r="BY248" s="345"/>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345"/>
      <c r="CX248" s="345"/>
      <c r="CY248" s="345"/>
      <c r="CZ248" s="345"/>
      <c r="DA248" s="345"/>
      <c r="DB248" s="345"/>
      <c r="DC248" s="345"/>
      <c r="DD248" s="345"/>
      <c r="DE248" s="345"/>
      <c r="DF248" s="345"/>
      <c r="DG248" s="345"/>
      <c r="DH248" s="345"/>
      <c r="DI248" s="345"/>
      <c r="DJ248" s="345"/>
      <c r="DK248" s="345"/>
      <c r="DL248" s="345"/>
      <c r="DM248" s="345"/>
      <c r="DN248" s="345"/>
      <c r="DO248" s="345"/>
      <c r="DP248" s="345"/>
      <c r="DQ248" s="345"/>
      <c r="DR248" s="345"/>
      <c r="DS248" s="345"/>
      <c r="DT248" s="345"/>
      <c r="DU248" s="345"/>
      <c r="DV248" s="345"/>
      <c r="DW248" s="345"/>
      <c r="DX248" s="345"/>
      <c r="DY248" s="345"/>
      <c r="DZ248" s="345"/>
      <c r="EA248" s="345"/>
      <c r="EB248" s="345"/>
      <c r="EC248" s="345"/>
      <c r="ED248" s="345"/>
      <c r="EE248" s="345"/>
      <c r="EF248" s="345"/>
      <c r="EG248" s="345"/>
      <c r="EH248" s="345"/>
      <c r="EI248" s="345"/>
      <c r="EJ248" s="345"/>
      <c r="EK248" s="345"/>
      <c r="EL248" s="345"/>
      <c r="EM248" s="345"/>
      <c r="EN248" s="345"/>
      <c r="EO248" s="345"/>
      <c r="EP248" s="345"/>
      <c r="EQ248" s="345"/>
      <c r="ER248" s="345"/>
      <c r="ES248" s="345"/>
      <c r="ET248" s="345"/>
      <c r="EU248" s="345"/>
      <c r="EV248" s="345"/>
      <c r="EW248" s="345"/>
      <c r="EX248" s="345"/>
      <c r="EY248" s="345"/>
      <c r="EZ248" s="345"/>
      <c r="FA248" s="345"/>
      <c r="FB248" s="345"/>
      <c r="FC248" s="345"/>
      <c r="FD248" s="345"/>
      <c r="FE248" s="345"/>
      <c r="FF248" s="345"/>
      <c r="FG248" s="345"/>
      <c r="FH248" s="345"/>
      <c r="FI248" s="345"/>
      <c r="FJ248" s="345"/>
      <c r="FK248" s="345"/>
      <c r="FL248" s="345"/>
      <c r="FM248" s="345"/>
      <c r="FN248" s="345"/>
      <c r="FO248" s="345"/>
      <c r="FP248" s="345"/>
      <c r="FQ248" s="345"/>
      <c r="FR248" s="345"/>
      <c r="FS248" s="345"/>
      <c r="FT248" s="345"/>
      <c r="FU248" s="345"/>
      <c r="FV248" s="345"/>
      <c r="FW248" s="345"/>
      <c r="FX248" s="345"/>
      <c r="FY248" s="345"/>
      <c r="FZ248" s="345"/>
      <c r="GA248" s="345"/>
      <c r="GB248" s="345"/>
      <c r="GC248" s="345"/>
      <c r="GD248" s="345"/>
      <c r="GE248" s="345"/>
      <c r="GF248" s="345"/>
      <c r="GG248" s="345"/>
      <c r="GH248" s="345"/>
      <c r="GI248" s="345"/>
      <c r="GJ248" s="345"/>
      <c r="GK248" s="345"/>
      <c r="GL248" s="345"/>
      <c r="GM248" s="345"/>
      <c r="GN248" s="345"/>
      <c r="GO248" s="345"/>
      <c r="GP248" s="345"/>
      <c r="GQ248" s="345"/>
      <c r="GR248" s="345"/>
      <c r="GS248" s="345"/>
      <c r="GT248" s="345"/>
      <c r="GU248" s="345"/>
    </row>
    <row r="249" spans="23:203">
      <c r="W249" s="345"/>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c r="AS249" s="345"/>
      <c r="AT249" s="345"/>
      <c r="AU249" s="345"/>
      <c r="AV249" s="345"/>
      <c r="AW249" s="345"/>
      <c r="AX249" s="345"/>
      <c r="AY249" s="345"/>
      <c r="AZ249" s="345"/>
      <c r="BA249" s="345"/>
      <c r="BB249" s="345"/>
      <c r="BC249" s="345"/>
      <c r="BD249" s="345"/>
      <c r="BE249" s="345"/>
      <c r="BF249" s="345"/>
      <c r="BG249" s="345"/>
      <c r="BH249" s="345"/>
      <c r="BI249" s="345"/>
      <c r="BJ249" s="345"/>
      <c r="BK249" s="345"/>
      <c r="BL249" s="345"/>
      <c r="BM249" s="345"/>
      <c r="BN249" s="345"/>
      <c r="BO249" s="345"/>
      <c r="BP249" s="345"/>
      <c r="BQ249" s="345"/>
      <c r="BR249" s="345"/>
      <c r="BS249" s="345"/>
      <c r="BT249" s="345"/>
      <c r="BU249" s="345"/>
      <c r="BV249" s="345"/>
      <c r="BW249" s="345"/>
      <c r="BX249" s="345"/>
      <c r="BY249" s="345"/>
      <c r="BZ249" s="345"/>
      <c r="CA249" s="345"/>
      <c r="CB249" s="345"/>
      <c r="CC249" s="345"/>
      <c r="CD249" s="345"/>
      <c r="CE249" s="345"/>
      <c r="CF249" s="345"/>
      <c r="CG249" s="345"/>
      <c r="CH249" s="345"/>
      <c r="CI249" s="345"/>
      <c r="CJ249" s="345"/>
      <c r="CK249" s="345"/>
      <c r="CL249" s="345"/>
      <c r="CM249" s="345"/>
      <c r="CN249" s="345"/>
      <c r="CO249" s="345"/>
      <c r="CP249" s="345"/>
      <c r="CQ249" s="345"/>
      <c r="CR249" s="345"/>
      <c r="CS249" s="345"/>
      <c r="CT249" s="345"/>
      <c r="CU249" s="345"/>
      <c r="CV249" s="345"/>
      <c r="CW249" s="345"/>
      <c r="CX249" s="345"/>
      <c r="CY249" s="345"/>
      <c r="CZ249" s="345"/>
      <c r="DA249" s="345"/>
      <c r="DB249" s="345"/>
      <c r="DC249" s="345"/>
      <c r="DD249" s="345"/>
      <c r="DE249" s="345"/>
      <c r="DF249" s="345"/>
      <c r="DG249" s="345"/>
      <c r="DH249" s="345"/>
      <c r="DI249" s="345"/>
      <c r="DJ249" s="345"/>
      <c r="DK249" s="345"/>
      <c r="DL249" s="345"/>
      <c r="DM249" s="345"/>
      <c r="DN249" s="345"/>
      <c r="DO249" s="345"/>
      <c r="DP249" s="345"/>
      <c r="DQ249" s="345"/>
      <c r="DR249" s="345"/>
      <c r="DS249" s="345"/>
      <c r="DT249" s="345"/>
      <c r="DU249" s="345"/>
      <c r="DV249" s="345"/>
      <c r="DW249" s="345"/>
      <c r="DX249" s="345"/>
      <c r="DY249" s="345"/>
      <c r="DZ249" s="345"/>
      <c r="EA249" s="345"/>
      <c r="EB249" s="345"/>
      <c r="EC249" s="345"/>
      <c r="ED249" s="345"/>
      <c r="EE249" s="345"/>
      <c r="EF249" s="345"/>
      <c r="EG249" s="345"/>
      <c r="EH249" s="345"/>
      <c r="EI249" s="345"/>
      <c r="EJ249" s="345"/>
      <c r="EK249" s="345"/>
      <c r="EL249" s="345"/>
      <c r="EM249" s="345"/>
      <c r="EN249" s="345"/>
      <c r="EO249" s="345"/>
      <c r="EP249" s="345"/>
      <c r="EQ249" s="345"/>
      <c r="ER249" s="345"/>
      <c r="ES249" s="345"/>
      <c r="ET249" s="345"/>
      <c r="EU249" s="345"/>
      <c r="EV249" s="345"/>
      <c r="EW249" s="345"/>
      <c r="EX249" s="345"/>
      <c r="EY249" s="345"/>
      <c r="EZ249" s="345"/>
      <c r="FA249" s="345"/>
      <c r="FB249" s="345"/>
      <c r="FC249" s="345"/>
      <c r="FD249" s="345"/>
      <c r="FE249" s="345"/>
      <c r="FF249" s="345"/>
      <c r="FG249" s="345"/>
      <c r="FH249" s="345"/>
      <c r="FI249" s="345"/>
      <c r="FJ249" s="345"/>
      <c r="FK249" s="345"/>
      <c r="FL249" s="345"/>
      <c r="FM249" s="345"/>
      <c r="FN249" s="345"/>
      <c r="FO249" s="345"/>
      <c r="FP249" s="345"/>
      <c r="FQ249" s="345"/>
      <c r="FR249" s="345"/>
      <c r="FS249" s="345"/>
      <c r="FT249" s="345"/>
      <c r="FU249" s="345"/>
      <c r="FV249" s="345"/>
      <c r="FW249" s="345"/>
      <c r="FX249" s="345"/>
      <c r="FY249" s="345"/>
      <c r="FZ249" s="345"/>
      <c r="GA249" s="345"/>
      <c r="GB249" s="345"/>
      <c r="GC249" s="345"/>
      <c r="GD249" s="345"/>
      <c r="GE249" s="345"/>
      <c r="GF249" s="345"/>
      <c r="GG249" s="345"/>
      <c r="GH249" s="345"/>
      <c r="GI249" s="345"/>
      <c r="GJ249" s="345"/>
      <c r="GK249" s="345"/>
      <c r="GL249" s="345"/>
      <c r="GM249" s="345"/>
      <c r="GN249" s="345"/>
      <c r="GO249" s="345"/>
      <c r="GP249" s="345"/>
      <c r="GQ249" s="345"/>
      <c r="GR249" s="345"/>
      <c r="GS249" s="345"/>
      <c r="GT249" s="345"/>
      <c r="GU249" s="345"/>
    </row>
    <row r="250" spans="23:203">
      <c r="W250" s="345"/>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c r="BJ250" s="345"/>
      <c r="BK250" s="345"/>
      <c r="BL250" s="345"/>
      <c r="BM250" s="345"/>
      <c r="BN250" s="345"/>
      <c r="BO250" s="345"/>
      <c r="BP250" s="345"/>
      <c r="BQ250" s="345"/>
      <c r="BR250" s="345"/>
      <c r="BS250" s="345"/>
      <c r="BT250" s="345"/>
      <c r="BU250" s="345"/>
      <c r="BV250" s="345"/>
      <c r="BW250" s="345"/>
      <c r="BX250" s="345"/>
      <c r="BY250" s="345"/>
      <c r="BZ250" s="345"/>
      <c r="CA250" s="345"/>
      <c r="CB250" s="345"/>
      <c r="CC250" s="345"/>
      <c r="CD250" s="345"/>
      <c r="CE250" s="345"/>
      <c r="CF250" s="345"/>
      <c r="CG250" s="345"/>
      <c r="CH250" s="345"/>
      <c r="CI250" s="345"/>
      <c r="CJ250" s="345"/>
      <c r="CK250" s="345"/>
      <c r="CL250" s="345"/>
      <c r="CM250" s="345"/>
      <c r="CN250" s="345"/>
      <c r="CO250" s="345"/>
      <c r="CP250" s="345"/>
      <c r="CQ250" s="345"/>
      <c r="CR250" s="345"/>
      <c r="CS250" s="345"/>
      <c r="CT250" s="345"/>
      <c r="CU250" s="345"/>
      <c r="CV250" s="345"/>
      <c r="CW250" s="345"/>
      <c r="CX250" s="345"/>
      <c r="CY250" s="345"/>
      <c r="CZ250" s="345"/>
      <c r="DA250" s="345"/>
      <c r="DB250" s="345"/>
      <c r="DC250" s="345"/>
      <c r="DD250" s="345"/>
      <c r="DE250" s="345"/>
      <c r="DF250" s="345"/>
      <c r="DG250" s="345"/>
      <c r="DH250" s="345"/>
      <c r="DI250" s="345"/>
      <c r="DJ250" s="345"/>
      <c r="DK250" s="345"/>
      <c r="DL250" s="345"/>
      <c r="DM250" s="345"/>
      <c r="DN250" s="345"/>
      <c r="DO250" s="345"/>
      <c r="DP250" s="345"/>
      <c r="DQ250" s="345"/>
      <c r="DR250" s="345"/>
      <c r="DS250" s="345"/>
      <c r="DT250" s="345"/>
      <c r="DU250" s="345"/>
      <c r="DV250" s="345"/>
      <c r="DW250" s="345"/>
      <c r="DX250" s="345"/>
      <c r="DY250" s="345"/>
      <c r="DZ250" s="345"/>
      <c r="EA250" s="345"/>
      <c r="EB250" s="345"/>
      <c r="EC250" s="345"/>
      <c r="ED250" s="345"/>
      <c r="EE250" s="345"/>
      <c r="EF250" s="345"/>
      <c r="EG250" s="345"/>
      <c r="EH250" s="345"/>
      <c r="EI250" s="345"/>
      <c r="EJ250" s="345"/>
      <c r="EK250" s="345"/>
      <c r="EL250" s="345"/>
      <c r="EM250" s="345"/>
      <c r="EN250" s="345"/>
      <c r="EO250" s="345"/>
      <c r="EP250" s="345"/>
      <c r="EQ250" s="345"/>
      <c r="ER250" s="345"/>
      <c r="ES250" s="345"/>
      <c r="ET250" s="345"/>
      <c r="EU250" s="345"/>
      <c r="EV250" s="345"/>
      <c r="EW250" s="345"/>
      <c r="EX250" s="345"/>
      <c r="EY250" s="345"/>
      <c r="EZ250" s="345"/>
      <c r="FA250" s="345"/>
      <c r="FB250" s="345"/>
      <c r="FC250" s="345"/>
      <c r="FD250" s="345"/>
      <c r="FE250" s="345"/>
      <c r="FF250" s="345"/>
      <c r="FG250" s="345"/>
      <c r="FH250" s="345"/>
      <c r="FI250" s="345"/>
      <c r="FJ250" s="345"/>
      <c r="FK250" s="345"/>
      <c r="FL250" s="345"/>
      <c r="FM250" s="345"/>
      <c r="FN250" s="345"/>
      <c r="FO250" s="345"/>
      <c r="FP250" s="345"/>
      <c r="FQ250" s="345"/>
      <c r="FR250" s="345"/>
      <c r="FS250" s="345"/>
      <c r="FT250" s="345"/>
      <c r="FU250" s="345"/>
      <c r="FV250" s="345"/>
      <c r="FW250" s="345"/>
      <c r="FX250" s="345"/>
      <c r="FY250" s="345"/>
      <c r="FZ250" s="345"/>
      <c r="GA250" s="345"/>
      <c r="GB250" s="345"/>
      <c r="GC250" s="345"/>
      <c r="GD250" s="345"/>
      <c r="GE250" s="345"/>
      <c r="GF250" s="345"/>
      <c r="GG250" s="345"/>
      <c r="GH250" s="345"/>
      <c r="GI250" s="345"/>
      <c r="GJ250" s="345"/>
      <c r="GK250" s="345"/>
      <c r="GL250" s="345"/>
      <c r="GM250" s="345"/>
      <c r="GN250" s="345"/>
      <c r="GO250" s="345"/>
      <c r="GP250" s="345"/>
      <c r="GQ250" s="345"/>
      <c r="GR250" s="345"/>
      <c r="GS250" s="345"/>
      <c r="GT250" s="345"/>
      <c r="GU250" s="345"/>
    </row>
    <row r="251" spans="23:203">
      <c r="W251" s="345"/>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c r="AS251" s="345"/>
      <c r="AT251" s="345"/>
      <c r="AU251" s="345"/>
      <c r="AV251" s="345"/>
      <c r="AW251" s="345"/>
      <c r="AX251" s="345"/>
      <c r="AY251" s="345"/>
      <c r="AZ251" s="345"/>
      <c r="BA251" s="345"/>
      <c r="BB251" s="345"/>
      <c r="BC251" s="345"/>
      <c r="BD251" s="345"/>
      <c r="BE251" s="345"/>
      <c r="BF251" s="345"/>
      <c r="BG251" s="345"/>
      <c r="BH251" s="345"/>
      <c r="BI251" s="345"/>
      <c r="BJ251" s="345"/>
      <c r="BK251" s="345"/>
      <c r="BL251" s="345"/>
      <c r="BM251" s="345"/>
      <c r="BN251" s="345"/>
      <c r="BO251" s="345"/>
      <c r="BP251" s="345"/>
      <c r="BQ251" s="345"/>
      <c r="BR251" s="345"/>
      <c r="BS251" s="345"/>
      <c r="BT251" s="345"/>
      <c r="BU251" s="345"/>
      <c r="BV251" s="345"/>
      <c r="BW251" s="345"/>
      <c r="BX251" s="345"/>
      <c r="BY251" s="345"/>
      <c r="BZ251" s="345"/>
      <c r="CA251" s="345"/>
      <c r="CB251" s="345"/>
      <c r="CC251" s="345"/>
      <c r="CD251" s="345"/>
      <c r="CE251" s="345"/>
      <c r="CF251" s="345"/>
      <c r="CG251" s="345"/>
      <c r="CH251" s="345"/>
      <c r="CI251" s="345"/>
      <c r="CJ251" s="345"/>
      <c r="CK251" s="345"/>
      <c r="CL251" s="345"/>
      <c r="CM251" s="345"/>
      <c r="CN251" s="345"/>
      <c r="CO251" s="345"/>
      <c r="CP251" s="345"/>
      <c r="CQ251" s="345"/>
      <c r="CR251" s="345"/>
      <c r="CS251" s="345"/>
      <c r="CT251" s="345"/>
      <c r="CU251" s="345"/>
      <c r="CV251" s="345"/>
      <c r="CW251" s="345"/>
      <c r="CX251" s="345"/>
      <c r="CY251" s="345"/>
      <c r="CZ251" s="345"/>
      <c r="DA251" s="345"/>
      <c r="DB251" s="345"/>
      <c r="DC251" s="345"/>
      <c r="DD251" s="345"/>
      <c r="DE251" s="345"/>
      <c r="DF251" s="345"/>
      <c r="DG251" s="345"/>
      <c r="DH251" s="345"/>
      <c r="DI251" s="345"/>
      <c r="DJ251" s="345"/>
      <c r="DK251" s="345"/>
      <c r="DL251" s="345"/>
      <c r="DM251" s="345"/>
      <c r="DN251" s="345"/>
      <c r="DO251" s="345"/>
      <c r="DP251" s="345"/>
      <c r="DQ251" s="345"/>
      <c r="DR251" s="345"/>
      <c r="DS251" s="345"/>
      <c r="DT251" s="345"/>
      <c r="DU251" s="345"/>
      <c r="DV251" s="345"/>
      <c r="DW251" s="345"/>
      <c r="DX251" s="345"/>
      <c r="DY251" s="345"/>
      <c r="DZ251" s="345"/>
      <c r="EA251" s="345"/>
      <c r="EB251" s="345"/>
      <c r="EC251" s="345"/>
      <c r="ED251" s="345"/>
      <c r="EE251" s="345"/>
      <c r="EF251" s="345"/>
      <c r="EG251" s="345"/>
      <c r="EH251" s="345"/>
      <c r="EI251" s="345"/>
      <c r="EJ251" s="345"/>
      <c r="EK251" s="345"/>
      <c r="EL251" s="345"/>
      <c r="EM251" s="345"/>
      <c r="EN251" s="345"/>
      <c r="EO251" s="345"/>
      <c r="EP251" s="345"/>
      <c r="EQ251" s="345"/>
      <c r="ER251" s="345"/>
      <c r="ES251" s="345"/>
      <c r="ET251" s="345"/>
      <c r="EU251" s="345"/>
      <c r="EV251" s="345"/>
      <c r="EW251" s="345"/>
      <c r="EX251" s="345"/>
      <c r="EY251" s="345"/>
      <c r="EZ251" s="345"/>
      <c r="FA251" s="345"/>
      <c r="FB251" s="345"/>
      <c r="FC251" s="345"/>
      <c r="FD251" s="345"/>
      <c r="FE251" s="345"/>
      <c r="FF251" s="345"/>
      <c r="FG251" s="345"/>
      <c r="FH251" s="345"/>
      <c r="FI251" s="345"/>
      <c r="FJ251" s="345"/>
      <c r="FK251" s="345"/>
      <c r="FL251" s="345"/>
      <c r="FM251" s="345"/>
      <c r="FN251" s="345"/>
      <c r="FO251" s="345"/>
      <c r="FP251" s="345"/>
      <c r="FQ251" s="345"/>
      <c r="FR251" s="345"/>
      <c r="FS251" s="345"/>
      <c r="FT251" s="345"/>
      <c r="FU251" s="345"/>
      <c r="FV251" s="345"/>
      <c r="FW251" s="345"/>
      <c r="FX251" s="345"/>
      <c r="FY251" s="345"/>
      <c r="FZ251" s="345"/>
      <c r="GA251" s="345"/>
      <c r="GB251" s="345"/>
      <c r="GC251" s="345"/>
      <c r="GD251" s="345"/>
      <c r="GE251" s="345"/>
      <c r="GF251" s="345"/>
      <c r="GG251" s="345"/>
      <c r="GH251" s="345"/>
      <c r="GI251" s="345"/>
      <c r="GJ251" s="345"/>
      <c r="GK251" s="345"/>
      <c r="GL251" s="345"/>
      <c r="GM251" s="345"/>
      <c r="GN251" s="345"/>
      <c r="GO251" s="345"/>
      <c r="GP251" s="345"/>
      <c r="GQ251" s="345"/>
      <c r="GR251" s="345"/>
      <c r="GS251" s="345"/>
      <c r="GT251" s="345"/>
      <c r="GU251" s="345"/>
    </row>
    <row r="252" spans="23:203">
      <c r="W252" s="345"/>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c r="AS252" s="345"/>
      <c r="AT252" s="345"/>
      <c r="AU252" s="345"/>
      <c r="AV252" s="345"/>
      <c r="AW252" s="345"/>
      <c r="AX252" s="345"/>
      <c r="AY252" s="345"/>
      <c r="AZ252" s="345"/>
      <c r="BA252" s="345"/>
      <c r="BB252" s="345"/>
      <c r="BC252" s="345"/>
      <c r="BD252" s="345"/>
      <c r="BE252" s="345"/>
      <c r="BF252" s="345"/>
      <c r="BG252" s="345"/>
      <c r="BH252" s="345"/>
      <c r="BI252" s="345"/>
      <c r="BJ252" s="345"/>
      <c r="BK252" s="345"/>
      <c r="BL252" s="345"/>
      <c r="BM252" s="345"/>
      <c r="BN252" s="345"/>
      <c r="BO252" s="345"/>
      <c r="BP252" s="345"/>
      <c r="BQ252" s="345"/>
      <c r="BR252" s="345"/>
      <c r="BS252" s="345"/>
      <c r="BT252" s="345"/>
      <c r="BU252" s="345"/>
      <c r="BV252" s="345"/>
      <c r="BW252" s="345"/>
      <c r="BX252" s="345"/>
      <c r="BY252" s="345"/>
      <c r="BZ252" s="345"/>
      <c r="CA252" s="345"/>
      <c r="CB252" s="345"/>
      <c r="CC252" s="345"/>
      <c r="CD252" s="345"/>
      <c r="CE252" s="345"/>
      <c r="CF252" s="345"/>
      <c r="CG252" s="345"/>
      <c r="CH252" s="345"/>
      <c r="CI252" s="345"/>
      <c r="CJ252" s="345"/>
      <c r="CK252" s="345"/>
      <c r="CL252" s="345"/>
      <c r="CM252" s="345"/>
      <c r="CN252" s="345"/>
      <c r="CO252" s="345"/>
      <c r="CP252" s="345"/>
      <c r="CQ252" s="345"/>
      <c r="CR252" s="345"/>
      <c r="CS252" s="345"/>
      <c r="CT252" s="345"/>
      <c r="CU252" s="345"/>
      <c r="CV252" s="345"/>
      <c r="CW252" s="345"/>
      <c r="CX252" s="345"/>
      <c r="CY252" s="345"/>
      <c r="CZ252" s="345"/>
      <c r="DA252" s="345"/>
      <c r="DB252" s="345"/>
      <c r="DC252" s="345"/>
      <c r="DD252" s="345"/>
      <c r="DE252" s="345"/>
      <c r="DF252" s="345"/>
      <c r="DG252" s="345"/>
      <c r="DH252" s="345"/>
      <c r="DI252" s="345"/>
      <c r="DJ252" s="345"/>
      <c r="DK252" s="345"/>
      <c r="DL252" s="345"/>
      <c r="DM252" s="345"/>
      <c r="DN252" s="345"/>
      <c r="DO252" s="345"/>
      <c r="DP252" s="345"/>
      <c r="DQ252" s="345"/>
      <c r="DR252" s="345"/>
      <c r="DS252" s="345"/>
      <c r="DT252" s="345"/>
      <c r="DU252" s="345"/>
      <c r="DV252" s="345"/>
      <c r="DW252" s="345"/>
      <c r="DX252" s="345"/>
      <c r="DY252" s="345"/>
      <c r="DZ252" s="345"/>
      <c r="EA252" s="345"/>
      <c r="EB252" s="345"/>
      <c r="EC252" s="345"/>
      <c r="ED252" s="345"/>
      <c r="EE252" s="345"/>
      <c r="EF252" s="345"/>
      <c r="EG252" s="345"/>
      <c r="EH252" s="345"/>
      <c r="EI252" s="345"/>
      <c r="EJ252" s="345"/>
      <c r="EK252" s="345"/>
      <c r="EL252" s="345"/>
      <c r="EM252" s="345"/>
      <c r="EN252" s="345"/>
      <c r="EO252" s="345"/>
      <c r="EP252" s="345"/>
      <c r="EQ252" s="345"/>
      <c r="ER252" s="345"/>
      <c r="ES252" s="345"/>
      <c r="ET252" s="345"/>
      <c r="EU252" s="345"/>
      <c r="EV252" s="345"/>
      <c r="EW252" s="345"/>
      <c r="EX252" s="345"/>
      <c r="EY252" s="345"/>
      <c r="EZ252" s="345"/>
      <c r="FA252" s="345"/>
      <c r="FB252" s="345"/>
      <c r="FC252" s="345"/>
      <c r="FD252" s="345"/>
      <c r="FE252" s="345"/>
      <c r="FF252" s="345"/>
      <c r="FG252" s="345"/>
      <c r="FH252" s="345"/>
      <c r="FI252" s="345"/>
      <c r="FJ252" s="345"/>
      <c r="FK252" s="345"/>
      <c r="FL252" s="345"/>
      <c r="FM252" s="345"/>
      <c r="FN252" s="345"/>
      <c r="FO252" s="345"/>
      <c r="FP252" s="345"/>
      <c r="FQ252" s="345"/>
      <c r="FR252" s="345"/>
      <c r="FS252" s="345"/>
      <c r="FT252" s="345"/>
      <c r="FU252" s="345"/>
      <c r="FV252" s="345"/>
      <c r="FW252" s="345"/>
      <c r="FX252" s="345"/>
      <c r="FY252" s="345"/>
      <c r="FZ252" s="345"/>
      <c r="GA252" s="345"/>
      <c r="GB252" s="345"/>
      <c r="GC252" s="345"/>
      <c r="GD252" s="345"/>
      <c r="GE252" s="345"/>
      <c r="GF252" s="345"/>
      <c r="GG252" s="345"/>
      <c r="GH252" s="345"/>
      <c r="GI252" s="345"/>
      <c r="GJ252" s="345"/>
      <c r="GK252" s="345"/>
      <c r="GL252" s="345"/>
      <c r="GM252" s="345"/>
      <c r="GN252" s="345"/>
      <c r="GO252" s="345"/>
      <c r="GP252" s="345"/>
      <c r="GQ252" s="345"/>
      <c r="GR252" s="345"/>
      <c r="GS252" s="345"/>
      <c r="GT252" s="345"/>
      <c r="GU252" s="345"/>
    </row>
    <row r="253" spans="23:203">
      <c r="W253" s="345"/>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c r="AS253" s="345"/>
      <c r="AT253" s="345"/>
      <c r="AU253" s="345"/>
      <c r="AV253" s="345"/>
      <c r="AW253" s="345"/>
      <c r="AX253" s="345"/>
      <c r="AY253" s="345"/>
      <c r="AZ253" s="345"/>
      <c r="BA253" s="345"/>
      <c r="BB253" s="345"/>
      <c r="BC253" s="345"/>
      <c r="BD253" s="345"/>
      <c r="BE253" s="345"/>
      <c r="BF253" s="345"/>
      <c r="BG253" s="345"/>
      <c r="BH253" s="345"/>
      <c r="BI253" s="345"/>
      <c r="BJ253" s="345"/>
      <c r="BK253" s="345"/>
      <c r="BL253" s="345"/>
      <c r="BM253" s="345"/>
      <c r="BN253" s="345"/>
      <c r="BO253" s="345"/>
      <c r="BP253" s="345"/>
      <c r="BQ253" s="345"/>
      <c r="BR253" s="345"/>
      <c r="BS253" s="345"/>
      <c r="BT253" s="345"/>
      <c r="BU253" s="345"/>
      <c r="BV253" s="345"/>
      <c r="BW253" s="345"/>
      <c r="BX253" s="345"/>
      <c r="BY253" s="345"/>
      <c r="BZ253" s="345"/>
      <c r="CA253" s="345"/>
      <c r="CB253" s="345"/>
      <c r="CC253" s="345"/>
      <c r="CD253" s="345"/>
      <c r="CE253" s="345"/>
      <c r="CF253" s="345"/>
      <c r="CG253" s="345"/>
      <c r="CH253" s="345"/>
      <c r="CI253" s="345"/>
      <c r="CJ253" s="345"/>
      <c r="CK253" s="345"/>
      <c r="CL253" s="345"/>
      <c r="CM253" s="345"/>
      <c r="CN253" s="345"/>
      <c r="CO253" s="345"/>
      <c r="CP253" s="345"/>
      <c r="CQ253" s="345"/>
      <c r="CR253" s="345"/>
      <c r="CS253" s="345"/>
      <c r="CT253" s="345"/>
      <c r="CU253" s="345"/>
      <c r="CV253" s="345"/>
      <c r="CW253" s="345"/>
      <c r="CX253" s="345"/>
      <c r="CY253" s="345"/>
      <c r="CZ253" s="345"/>
      <c r="DA253" s="345"/>
      <c r="DB253" s="345"/>
      <c r="DC253" s="345"/>
      <c r="DD253" s="345"/>
      <c r="DE253" s="345"/>
      <c r="DF253" s="345"/>
      <c r="DG253" s="345"/>
      <c r="DH253" s="345"/>
      <c r="DI253" s="345"/>
      <c r="DJ253" s="345"/>
      <c r="DK253" s="345"/>
      <c r="DL253" s="345"/>
      <c r="DM253" s="345"/>
      <c r="DN253" s="345"/>
      <c r="DO253" s="345"/>
      <c r="DP253" s="345"/>
      <c r="DQ253" s="345"/>
      <c r="DR253" s="345"/>
      <c r="DS253" s="345"/>
      <c r="DT253" s="345"/>
      <c r="DU253" s="345"/>
      <c r="DV253" s="345"/>
      <c r="DW253" s="345"/>
      <c r="DX253" s="345"/>
      <c r="DY253" s="345"/>
      <c r="DZ253" s="345"/>
      <c r="EA253" s="345"/>
      <c r="EB253" s="345"/>
      <c r="EC253" s="345"/>
      <c r="ED253" s="345"/>
      <c r="EE253" s="345"/>
      <c r="EF253" s="345"/>
      <c r="EG253" s="345"/>
      <c r="EH253" s="345"/>
      <c r="EI253" s="345"/>
      <c r="EJ253" s="345"/>
      <c r="EK253" s="345"/>
      <c r="EL253" s="345"/>
      <c r="EM253" s="345"/>
      <c r="EN253" s="345"/>
      <c r="EO253" s="345"/>
      <c r="EP253" s="345"/>
      <c r="EQ253" s="345"/>
      <c r="ER253" s="345"/>
      <c r="ES253" s="345"/>
      <c r="ET253" s="345"/>
      <c r="EU253" s="345"/>
      <c r="EV253" s="345"/>
      <c r="EW253" s="345"/>
      <c r="EX253" s="345"/>
      <c r="EY253" s="345"/>
      <c r="EZ253" s="345"/>
      <c r="FA253" s="345"/>
      <c r="FB253" s="345"/>
      <c r="FC253" s="345"/>
      <c r="FD253" s="345"/>
      <c r="FE253" s="345"/>
      <c r="FF253" s="345"/>
      <c r="FG253" s="345"/>
      <c r="FH253" s="345"/>
      <c r="FI253" s="345"/>
      <c r="FJ253" s="345"/>
      <c r="FK253" s="345"/>
      <c r="FL253" s="345"/>
      <c r="FM253" s="345"/>
      <c r="FN253" s="345"/>
      <c r="FO253" s="345"/>
      <c r="FP253" s="345"/>
      <c r="FQ253" s="345"/>
      <c r="FR253" s="345"/>
      <c r="FS253" s="345"/>
      <c r="FT253" s="345"/>
      <c r="FU253" s="345"/>
      <c r="FV253" s="345"/>
      <c r="FW253" s="345"/>
      <c r="FX253" s="345"/>
      <c r="FY253" s="345"/>
      <c r="FZ253" s="345"/>
      <c r="GA253" s="345"/>
      <c r="GB253" s="345"/>
      <c r="GC253" s="345"/>
      <c r="GD253" s="345"/>
      <c r="GE253" s="345"/>
      <c r="GF253" s="345"/>
      <c r="GG253" s="345"/>
      <c r="GH253" s="345"/>
      <c r="GI253" s="345"/>
      <c r="GJ253" s="345"/>
      <c r="GK253" s="345"/>
      <c r="GL253" s="345"/>
      <c r="GM253" s="345"/>
      <c r="GN253" s="345"/>
      <c r="GO253" s="345"/>
      <c r="GP253" s="345"/>
      <c r="GQ253" s="345"/>
      <c r="GR253" s="345"/>
      <c r="GS253" s="345"/>
      <c r="GT253" s="345"/>
      <c r="GU253" s="345"/>
    </row>
    <row r="254" spans="23:203">
      <c r="W254" s="345"/>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c r="AS254" s="345"/>
      <c r="AT254" s="345"/>
      <c r="AU254" s="345"/>
      <c r="AV254" s="345"/>
      <c r="AW254" s="345"/>
      <c r="AX254" s="345"/>
      <c r="AY254" s="345"/>
      <c r="AZ254" s="345"/>
      <c r="BA254" s="345"/>
      <c r="BB254" s="345"/>
      <c r="BC254" s="345"/>
      <c r="BD254" s="345"/>
      <c r="BE254" s="345"/>
      <c r="BF254" s="345"/>
      <c r="BG254" s="345"/>
      <c r="BH254" s="345"/>
      <c r="BI254" s="345"/>
      <c r="BJ254" s="345"/>
      <c r="BK254" s="345"/>
      <c r="BL254" s="345"/>
      <c r="BM254" s="345"/>
      <c r="BN254" s="345"/>
      <c r="BO254" s="345"/>
      <c r="BP254" s="345"/>
      <c r="BQ254" s="345"/>
      <c r="BR254" s="345"/>
      <c r="BS254" s="345"/>
      <c r="BT254" s="345"/>
      <c r="BU254" s="345"/>
      <c r="BV254" s="345"/>
      <c r="BW254" s="345"/>
      <c r="BX254" s="345"/>
      <c r="BY254" s="345"/>
      <c r="BZ254" s="345"/>
      <c r="CA254" s="345"/>
      <c r="CB254" s="345"/>
      <c r="CC254" s="345"/>
      <c r="CD254" s="345"/>
      <c r="CE254" s="345"/>
      <c r="CF254" s="345"/>
      <c r="CG254" s="345"/>
      <c r="CH254" s="345"/>
      <c r="CI254" s="345"/>
      <c r="CJ254" s="345"/>
      <c r="CK254" s="345"/>
      <c r="CL254" s="345"/>
      <c r="CM254" s="345"/>
      <c r="CN254" s="345"/>
      <c r="CO254" s="345"/>
      <c r="CP254" s="345"/>
      <c r="CQ254" s="345"/>
      <c r="CR254" s="345"/>
      <c r="CS254" s="345"/>
      <c r="CT254" s="345"/>
      <c r="CU254" s="345"/>
      <c r="CV254" s="345"/>
      <c r="CW254" s="345"/>
      <c r="CX254" s="345"/>
      <c r="CY254" s="345"/>
      <c r="CZ254" s="345"/>
      <c r="DA254" s="345"/>
      <c r="DB254" s="345"/>
      <c r="DC254" s="345"/>
      <c r="DD254" s="345"/>
      <c r="DE254" s="345"/>
      <c r="DF254" s="345"/>
      <c r="DG254" s="345"/>
      <c r="DH254" s="345"/>
      <c r="DI254" s="345"/>
      <c r="DJ254" s="345"/>
      <c r="DK254" s="345"/>
      <c r="DL254" s="345"/>
      <c r="DM254" s="345"/>
      <c r="DN254" s="345"/>
      <c r="DO254" s="345"/>
      <c r="DP254" s="345"/>
      <c r="DQ254" s="345"/>
      <c r="DR254" s="345"/>
      <c r="DS254" s="345"/>
      <c r="DT254" s="345"/>
      <c r="DU254" s="345"/>
      <c r="DV254" s="345"/>
      <c r="DW254" s="345"/>
      <c r="DX254" s="345"/>
      <c r="DY254" s="345"/>
      <c r="DZ254" s="345"/>
      <c r="EA254" s="345"/>
      <c r="EB254" s="345"/>
      <c r="EC254" s="345"/>
      <c r="ED254" s="345"/>
      <c r="EE254" s="345"/>
      <c r="EF254" s="345"/>
      <c r="EG254" s="345"/>
      <c r="EH254" s="345"/>
      <c r="EI254" s="345"/>
      <c r="EJ254" s="345"/>
      <c r="EK254" s="345"/>
      <c r="EL254" s="345"/>
      <c r="EM254" s="345"/>
      <c r="EN254" s="345"/>
      <c r="EO254" s="345"/>
      <c r="EP254" s="345"/>
      <c r="EQ254" s="345"/>
      <c r="ER254" s="345"/>
      <c r="ES254" s="345"/>
      <c r="ET254" s="345"/>
      <c r="EU254" s="345"/>
      <c r="EV254" s="345"/>
      <c r="EW254" s="345"/>
      <c r="EX254" s="345"/>
      <c r="EY254" s="345"/>
      <c r="EZ254" s="345"/>
      <c r="FA254" s="345"/>
      <c r="FB254" s="345"/>
      <c r="FC254" s="345"/>
      <c r="FD254" s="345"/>
      <c r="FE254" s="345"/>
      <c r="FF254" s="345"/>
      <c r="FG254" s="345"/>
      <c r="FH254" s="345"/>
      <c r="FI254" s="345"/>
      <c r="FJ254" s="345"/>
      <c r="FK254" s="345"/>
      <c r="FL254" s="345"/>
      <c r="FM254" s="345"/>
      <c r="FN254" s="345"/>
      <c r="FO254" s="345"/>
      <c r="FP254" s="345"/>
      <c r="FQ254" s="345"/>
      <c r="FR254" s="345"/>
      <c r="FS254" s="345"/>
      <c r="FT254" s="345"/>
      <c r="FU254" s="345"/>
      <c r="FV254" s="345"/>
      <c r="FW254" s="345"/>
      <c r="FX254" s="345"/>
      <c r="FY254" s="345"/>
      <c r="FZ254" s="345"/>
      <c r="GA254" s="345"/>
      <c r="GB254" s="345"/>
      <c r="GC254" s="345"/>
      <c r="GD254" s="345"/>
      <c r="GE254" s="345"/>
      <c r="GF254" s="345"/>
      <c r="GG254" s="345"/>
      <c r="GH254" s="345"/>
      <c r="GI254" s="345"/>
      <c r="GJ254" s="345"/>
      <c r="GK254" s="345"/>
      <c r="GL254" s="345"/>
      <c r="GM254" s="345"/>
      <c r="GN254" s="345"/>
      <c r="GO254" s="345"/>
      <c r="GP254" s="345"/>
      <c r="GQ254" s="345"/>
      <c r="GR254" s="345"/>
      <c r="GS254" s="345"/>
      <c r="GT254" s="345"/>
      <c r="GU254" s="345"/>
    </row>
    <row r="255" spans="23:203">
      <c r="W255" s="345"/>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c r="AS255" s="345"/>
      <c r="AT255" s="345"/>
      <c r="AU255" s="345"/>
      <c r="AV255" s="345"/>
      <c r="AW255" s="345"/>
      <c r="AX255" s="345"/>
      <c r="AY255" s="345"/>
      <c r="AZ255" s="345"/>
      <c r="BA255" s="345"/>
      <c r="BB255" s="345"/>
      <c r="BC255" s="345"/>
      <c r="BD255" s="345"/>
      <c r="BE255" s="345"/>
      <c r="BF255" s="345"/>
      <c r="BG255" s="345"/>
      <c r="BH255" s="345"/>
      <c r="BI255" s="345"/>
      <c r="BJ255" s="345"/>
      <c r="BK255" s="345"/>
      <c r="BL255" s="345"/>
      <c r="BM255" s="345"/>
      <c r="BN255" s="345"/>
      <c r="BO255" s="345"/>
      <c r="BP255" s="345"/>
      <c r="BQ255" s="345"/>
      <c r="BR255" s="345"/>
      <c r="BS255" s="345"/>
      <c r="BT255" s="345"/>
      <c r="BU255" s="345"/>
      <c r="BV255" s="345"/>
      <c r="BW255" s="345"/>
      <c r="BX255" s="345"/>
      <c r="BY255" s="345"/>
      <c r="BZ255" s="345"/>
      <c r="CA255" s="345"/>
      <c r="CB255" s="345"/>
      <c r="CC255" s="345"/>
      <c r="CD255" s="345"/>
      <c r="CE255" s="345"/>
      <c r="CF255" s="345"/>
      <c r="CG255" s="345"/>
      <c r="CH255" s="345"/>
      <c r="CI255" s="345"/>
      <c r="CJ255" s="345"/>
      <c r="CK255" s="345"/>
      <c r="CL255" s="345"/>
      <c r="CM255" s="345"/>
      <c r="CN255" s="345"/>
      <c r="CO255" s="345"/>
      <c r="CP255" s="345"/>
      <c r="CQ255" s="345"/>
      <c r="CR255" s="345"/>
      <c r="CS255" s="345"/>
      <c r="CT255" s="345"/>
      <c r="CU255" s="345"/>
      <c r="CV255" s="345"/>
      <c r="CW255" s="345"/>
      <c r="CX255" s="345"/>
      <c r="CY255" s="345"/>
      <c r="CZ255" s="345"/>
      <c r="DA255" s="345"/>
      <c r="DB255" s="345"/>
      <c r="DC255" s="345"/>
      <c r="DD255" s="345"/>
      <c r="DE255" s="345"/>
      <c r="DF255" s="345"/>
      <c r="DG255" s="345"/>
      <c r="DH255" s="345"/>
      <c r="DI255" s="345"/>
      <c r="DJ255" s="345"/>
      <c r="DK255" s="345"/>
      <c r="DL255" s="345"/>
      <c r="DM255" s="345"/>
      <c r="DN255" s="345"/>
      <c r="DO255" s="345"/>
      <c r="DP255" s="345"/>
      <c r="DQ255" s="345"/>
      <c r="DR255" s="345"/>
      <c r="DS255" s="345"/>
      <c r="DT255" s="345"/>
      <c r="DU255" s="345"/>
      <c r="DV255" s="345"/>
      <c r="DW255" s="345"/>
      <c r="DX255" s="345"/>
      <c r="DY255" s="345"/>
      <c r="DZ255" s="345"/>
      <c r="EA255" s="345"/>
      <c r="EB255" s="345"/>
      <c r="EC255" s="345"/>
      <c r="ED255" s="345"/>
      <c r="EE255" s="345"/>
      <c r="EF255" s="345"/>
      <c r="EG255" s="345"/>
      <c r="EH255" s="345"/>
      <c r="EI255" s="345"/>
      <c r="EJ255" s="345"/>
      <c r="EK255" s="345"/>
      <c r="EL255" s="345"/>
      <c r="EM255" s="345"/>
      <c r="EN255" s="345"/>
      <c r="EO255" s="345"/>
      <c r="EP255" s="345"/>
      <c r="EQ255" s="345"/>
      <c r="ER255" s="345"/>
      <c r="ES255" s="345"/>
      <c r="ET255" s="345"/>
      <c r="EU255" s="345"/>
      <c r="EV255" s="345"/>
      <c r="EW255" s="345"/>
      <c r="EX255" s="345"/>
      <c r="EY255" s="345"/>
      <c r="EZ255" s="345"/>
      <c r="FA255" s="345"/>
      <c r="FB255" s="345"/>
      <c r="FC255" s="345"/>
      <c r="FD255" s="345"/>
      <c r="FE255" s="345"/>
      <c r="FF255" s="345"/>
      <c r="FG255" s="345"/>
      <c r="FH255" s="345"/>
      <c r="FI255" s="345"/>
      <c r="FJ255" s="345"/>
      <c r="FK255" s="345"/>
      <c r="FL255" s="345"/>
      <c r="FM255" s="345"/>
      <c r="FN255" s="345"/>
      <c r="FO255" s="345"/>
      <c r="FP255" s="345"/>
      <c r="FQ255" s="345"/>
      <c r="FR255" s="345"/>
      <c r="FS255" s="345"/>
      <c r="FT255" s="345"/>
      <c r="FU255" s="345"/>
      <c r="FV255" s="345"/>
      <c r="FW255" s="345"/>
      <c r="FX255" s="345"/>
      <c r="FY255" s="345"/>
      <c r="FZ255" s="345"/>
      <c r="GA255" s="345"/>
      <c r="GB255" s="345"/>
      <c r="GC255" s="345"/>
      <c r="GD255" s="345"/>
      <c r="GE255" s="345"/>
      <c r="GF255" s="345"/>
      <c r="GG255" s="345"/>
      <c r="GH255" s="345"/>
      <c r="GI255" s="345"/>
      <c r="GJ255" s="345"/>
      <c r="GK255" s="345"/>
      <c r="GL255" s="345"/>
      <c r="GM255" s="345"/>
      <c r="GN255" s="345"/>
      <c r="GO255" s="345"/>
      <c r="GP255" s="345"/>
      <c r="GQ255" s="345"/>
      <c r="GR255" s="345"/>
      <c r="GS255" s="345"/>
      <c r="GT255" s="345"/>
      <c r="GU255" s="345"/>
    </row>
    <row r="256" spans="23:203">
      <c r="W256" s="345"/>
      <c r="X256" s="345"/>
      <c r="Y256" s="345"/>
      <c r="Z256" s="345"/>
      <c r="AA256" s="345"/>
      <c r="AB256" s="345"/>
      <c r="AC256" s="345"/>
      <c r="AD256" s="345"/>
      <c r="AE256" s="345"/>
      <c r="AF256" s="345"/>
      <c r="AG256" s="345"/>
      <c r="AH256" s="345"/>
      <c r="AI256" s="345"/>
      <c r="AJ256" s="345"/>
      <c r="AK256" s="345"/>
      <c r="AL256" s="345"/>
      <c r="AM256" s="345"/>
      <c r="AN256" s="345"/>
      <c r="AO256" s="345"/>
      <c r="AP256" s="345"/>
      <c r="AQ256" s="345"/>
      <c r="AR256" s="345"/>
      <c r="AS256" s="345"/>
      <c r="AT256" s="345"/>
      <c r="AU256" s="345"/>
      <c r="AV256" s="345"/>
      <c r="AW256" s="345"/>
      <c r="AX256" s="345"/>
      <c r="AY256" s="345"/>
      <c r="AZ256" s="345"/>
      <c r="BA256" s="345"/>
      <c r="BB256" s="345"/>
      <c r="BC256" s="345"/>
      <c r="BD256" s="345"/>
      <c r="BE256" s="345"/>
      <c r="BF256" s="345"/>
      <c r="BG256" s="345"/>
      <c r="BH256" s="345"/>
      <c r="BI256" s="345"/>
      <c r="BJ256" s="345"/>
      <c r="BK256" s="345"/>
      <c r="BL256" s="345"/>
      <c r="BM256" s="345"/>
      <c r="BN256" s="345"/>
      <c r="BO256" s="345"/>
      <c r="BP256" s="345"/>
      <c r="BQ256" s="345"/>
      <c r="BR256" s="345"/>
      <c r="BS256" s="345"/>
      <c r="BT256" s="345"/>
      <c r="BU256" s="345"/>
      <c r="BV256" s="345"/>
      <c r="BW256" s="345"/>
      <c r="BX256" s="345"/>
      <c r="BY256" s="345"/>
      <c r="BZ256" s="345"/>
      <c r="CA256" s="345"/>
      <c r="CB256" s="345"/>
      <c r="CC256" s="345"/>
      <c r="CD256" s="345"/>
      <c r="CE256" s="345"/>
      <c r="CF256" s="345"/>
      <c r="CG256" s="345"/>
      <c r="CH256" s="345"/>
      <c r="CI256" s="345"/>
      <c r="CJ256" s="345"/>
      <c r="CK256" s="345"/>
      <c r="CL256" s="345"/>
      <c r="CM256" s="345"/>
      <c r="CN256" s="345"/>
      <c r="CO256" s="345"/>
      <c r="CP256" s="345"/>
      <c r="CQ256" s="345"/>
      <c r="CR256" s="345"/>
      <c r="CS256" s="345"/>
      <c r="CT256" s="345"/>
      <c r="CU256" s="345"/>
      <c r="CV256" s="345"/>
      <c r="CW256" s="345"/>
      <c r="CX256" s="345"/>
      <c r="CY256" s="345"/>
      <c r="CZ256" s="345"/>
      <c r="DA256" s="345"/>
      <c r="DB256" s="345"/>
      <c r="DC256" s="345"/>
      <c r="DD256" s="345"/>
      <c r="DE256" s="345"/>
      <c r="DF256" s="345"/>
      <c r="DG256" s="345"/>
      <c r="DH256" s="345"/>
      <c r="DI256" s="345"/>
      <c r="DJ256" s="345"/>
      <c r="DK256" s="345"/>
      <c r="DL256" s="345"/>
      <c r="DM256" s="345"/>
      <c r="DN256" s="345"/>
      <c r="DO256" s="345"/>
      <c r="DP256" s="345"/>
      <c r="DQ256" s="345"/>
      <c r="DR256" s="345"/>
      <c r="DS256" s="345"/>
      <c r="DT256" s="345"/>
      <c r="DU256" s="345"/>
      <c r="DV256" s="345"/>
      <c r="DW256" s="345"/>
      <c r="DX256" s="345"/>
      <c r="DY256" s="345"/>
      <c r="DZ256" s="345"/>
      <c r="EA256" s="345"/>
      <c r="EB256" s="345"/>
      <c r="EC256" s="345"/>
      <c r="ED256" s="345"/>
      <c r="EE256" s="345"/>
      <c r="EF256" s="345"/>
      <c r="EG256" s="345"/>
      <c r="EH256" s="345"/>
      <c r="EI256" s="345"/>
      <c r="EJ256" s="345"/>
      <c r="EK256" s="345"/>
      <c r="EL256" s="345"/>
      <c r="EM256" s="345"/>
      <c r="EN256" s="345"/>
      <c r="EO256" s="345"/>
      <c r="EP256" s="345"/>
      <c r="EQ256" s="345"/>
      <c r="ER256" s="345"/>
      <c r="ES256" s="345"/>
      <c r="ET256" s="345"/>
      <c r="EU256" s="345"/>
      <c r="EV256" s="345"/>
      <c r="EW256" s="345"/>
      <c r="EX256" s="345"/>
      <c r="EY256" s="345"/>
      <c r="EZ256" s="345"/>
      <c r="FA256" s="345"/>
      <c r="FB256" s="345"/>
      <c r="FC256" s="345"/>
      <c r="FD256" s="345"/>
      <c r="FE256" s="345"/>
      <c r="FF256" s="345"/>
      <c r="FG256" s="345"/>
      <c r="FH256" s="345"/>
      <c r="FI256" s="345"/>
      <c r="FJ256" s="345"/>
      <c r="FK256" s="345"/>
      <c r="FL256" s="345"/>
      <c r="FM256" s="345"/>
      <c r="FN256" s="345"/>
      <c r="FO256" s="345"/>
      <c r="FP256" s="345"/>
      <c r="FQ256" s="345"/>
      <c r="FR256" s="345"/>
      <c r="FS256" s="345"/>
      <c r="FT256" s="345"/>
      <c r="FU256" s="345"/>
      <c r="FV256" s="345"/>
      <c r="FW256" s="345"/>
      <c r="FX256" s="345"/>
      <c r="FY256" s="345"/>
      <c r="FZ256" s="345"/>
      <c r="GA256" s="345"/>
      <c r="GB256" s="345"/>
      <c r="GC256" s="345"/>
      <c r="GD256" s="345"/>
      <c r="GE256" s="345"/>
      <c r="GF256" s="345"/>
      <c r="GG256" s="345"/>
      <c r="GH256" s="345"/>
      <c r="GI256" s="345"/>
      <c r="GJ256" s="345"/>
      <c r="GK256" s="345"/>
      <c r="GL256" s="345"/>
      <c r="GM256" s="345"/>
      <c r="GN256" s="345"/>
      <c r="GO256" s="345"/>
      <c r="GP256" s="345"/>
      <c r="GQ256" s="345"/>
      <c r="GR256" s="345"/>
      <c r="GS256" s="345"/>
      <c r="GT256" s="345"/>
      <c r="GU256" s="345"/>
    </row>
    <row r="257" spans="23:203">
      <c r="W257" s="345"/>
      <c r="X257" s="345"/>
      <c r="Y257" s="345"/>
      <c r="Z257" s="345"/>
      <c r="AA257" s="345"/>
      <c r="AB257" s="345"/>
      <c r="AC257" s="345"/>
      <c r="AD257" s="345"/>
      <c r="AE257" s="345"/>
      <c r="AF257" s="345"/>
      <c r="AG257" s="345"/>
      <c r="AH257" s="345"/>
      <c r="AI257" s="345"/>
      <c r="AJ257" s="345"/>
      <c r="AK257" s="345"/>
      <c r="AL257" s="345"/>
      <c r="AM257" s="345"/>
      <c r="AN257" s="345"/>
      <c r="AO257" s="345"/>
      <c r="AP257" s="345"/>
      <c r="AQ257" s="345"/>
      <c r="AR257" s="345"/>
      <c r="AS257" s="345"/>
      <c r="AT257" s="345"/>
      <c r="AU257" s="345"/>
      <c r="AV257" s="345"/>
      <c r="AW257" s="345"/>
      <c r="AX257" s="345"/>
      <c r="AY257" s="345"/>
      <c r="AZ257" s="345"/>
      <c r="BA257" s="345"/>
      <c r="BB257" s="345"/>
      <c r="BC257" s="345"/>
      <c r="BD257" s="345"/>
      <c r="BE257" s="345"/>
      <c r="BF257" s="345"/>
      <c r="BG257" s="345"/>
      <c r="BH257" s="345"/>
      <c r="BI257" s="345"/>
      <c r="BJ257" s="345"/>
      <c r="BK257" s="345"/>
      <c r="BL257" s="345"/>
      <c r="BM257" s="345"/>
      <c r="BN257" s="345"/>
      <c r="BO257" s="345"/>
      <c r="BP257" s="345"/>
      <c r="BQ257" s="345"/>
      <c r="BR257" s="345"/>
      <c r="BS257" s="345"/>
      <c r="BT257" s="345"/>
      <c r="BU257" s="345"/>
      <c r="BV257" s="345"/>
      <c r="BW257" s="345"/>
      <c r="BX257" s="345"/>
      <c r="BY257" s="345"/>
      <c r="BZ257" s="345"/>
      <c r="CA257" s="345"/>
      <c r="CB257" s="345"/>
      <c r="CC257" s="345"/>
      <c r="CD257" s="345"/>
      <c r="CE257" s="345"/>
      <c r="CF257" s="345"/>
      <c r="CG257" s="345"/>
      <c r="CH257" s="345"/>
      <c r="CI257" s="345"/>
      <c r="CJ257" s="345"/>
      <c r="CK257" s="345"/>
      <c r="CL257" s="345"/>
      <c r="CM257" s="345"/>
      <c r="CN257" s="345"/>
      <c r="CO257" s="345"/>
      <c r="CP257" s="345"/>
      <c r="CQ257" s="345"/>
      <c r="CR257" s="345"/>
      <c r="CS257" s="345"/>
      <c r="CT257" s="345"/>
      <c r="CU257" s="345"/>
      <c r="CV257" s="345"/>
      <c r="CW257" s="345"/>
      <c r="CX257" s="345"/>
      <c r="CY257" s="345"/>
      <c r="CZ257" s="345"/>
      <c r="DA257" s="345"/>
      <c r="DB257" s="345"/>
      <c r="DC257" s="345"/>
      <c r="DD257" s="345"/>
      <c r="DE257" s="345"/>
      <c r="DF257" s="345"/>
      <c r="DG257" s="345"/>
      <c r="DH257" s="345"/>
      <c r="DI257" s="345"/>
      <c r="DJ257" s="345"/>
      <c r="DK257" s="345"/>
      <c r="DL257" s="345"/>
      <c r="DM257" s="345"/>
      <c r="DN257" s="345"/>
      <c r="DO257" s="345"/>
      <c r="DP257" s="345"/>
      <c r="DQ257" s="345"/>
      <c r="DR257" s="345"/>
      <c r="DS257" s="345"/>
      <c r="DT257" s="345"/>
      <c r="DU257" s="345"/>
      <c r="DV257" s="345"/>
      <c r="DW257" s="345"/>
      <c r="DX257" s="345"/>
      <c r="DY257" s="345"/>
      <c r="DZ257" s="345"/>
      <c r="EA257" s="345"/>
      <c r="EB257" s="345"/>
      <c r="EC257" s="345"/>
      <c r="ED257" s="345"/>
      <c r="EE257" s="345"/>
      <c r="EF257" s="345"/>
      <c r="EG257" s="345"/>
      <c r="EH257" s="345"/>
      <c r="EI257" s="345"/>
      <c r="EJ257" s="345"/>
      <c r="EK257" s="345"/>
      <c r="EL257" s="345"/>
      <c r="EM257" s="345"/>
      <c r="EN257" s="345"/>
      <c r="EO257" s="345"/>
      <c r="EP257" s="345"/>
      <c r="EQ257" s="345"/>
      <c r="ER257" s="345"/>
      <c r="ES257" s="345"/>
      <c r="ET257" s="345"/>
      <c r="EU257" s="345"/>
      <c r="EV257" s="345"/>
      <c r="EW257" s="345"/>
      <c r="EX257" s="345"/>
      <c r="EY257" s="345"/>
      <c r="EZ257" s="345"/>
      <c r="FA257" s="345"/>
      <c r="FB257" s="345"/>
      <c r="FC257" s="345"/>
      <c r="FD257" s="345"/>
      <c r="FE257" s="345"/>
      <c r="FF257" s="345"/>
      <c r="FG257" s="345"/>
      <c r="FH257" s="345"/>
      <c r="FI257" s="345"/>
      <c r="FJ257" s="345"/>
      <c r="FK257" s="345"/>
      <c r="FL257" s="345"/>
      <c r="FM257" s="345"/>
      <c r="FN257" s="345"/>
      <c r="FO257" s="345"/>
      <c r="FP257" s="345"/>
      <c r="FQ257" s="345"/>
      <c r="FR257" s="345"/>
      <c r="FS257" s="345"/>
      <c r="FT257" s="345"/>
      <c r="FU257" s="345"/>
      <c r="FV257" s="345"/>
      <c r="FW257" s="345"/>
      <c r="FX257" s="345"/>
      <c r="FY257" s="345"/>
      <c r="FZ257" s="345"/>
      <c r="GA257" s="345"/>
      <c r="GB257" s="345"/>
      <c r="GC257" s="345"/>
      <c r="GD257" s="345"/>
      <c r="GE257" s="345"/>
      <c r="GF257" s="345"/>
      <c r="GG257" s="345"/>
      <c r="GH257" s="345"/>
      <c r="GI257" s="345"/>
      <c r="GJ257" s="345"/>
      <c r="GK257" s="345"/>
      <c r="GL257" s="345"/>
      <c r="GM257" s="345"/>
      <c r="GN257" s="345"/>
      <c r="GO257" s="345"/>
      <c r="GP257" s="345"/>
      <c r="GQ257" s="345"/>
      <c r="GR257" s="345"/>
      <c r="GS257" s="345"/>
      <c r="GT257" s="345"/>
      <c r="GU257" s="345"/>
    </row>
    <row r="258" spans="23:203">
      <c r="W258" s="345"/>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c r="AS258" s="345"/>
      <c r="AT258" s="345"/>
      <c r="AU258" s="345"/>
      <c r="AV258" s="345"/>
      <c r="AW258" s="345"/>
      <c r="AX258" s="345"/>
      <c r="AY258" s="345"/>
      <c r="AZ258" s="345"/>
      <c r="BA258" s="345"/>
      <c r="BB258" s="345"/>
      <c r="BC258" s="345"/>
      <c r="BD258" s="345"/>
      <c r="BE258" s="345"/>
      <c r="BF258" s="345"/>
      <c r="BG258" s="345"/>
      <c r="BH258" s="345"/>
      <c r="BI258" s="345"/>
      <c r="BJ258" s="345"/>
      <c r="BK258" s="345"/>
      <c r="BL258" s="345"/>
      <c r="BM258" s="345"/>
      <c r="BN258" s="345"/>
      <c r="BO258" s="345"/>
      <c r="BP258" s="345"/>
      <c r="BQ258" s="345"/>
      <c r="BR258" s="345"/>
      <c r="BS258" s="345"/>
      <c r="BT258" s="345"/>
      <c r="BU258" s="345"/>
      <c r="BV258" s="345"/>
      <c r="BW258" s="345"/>
      <c r="BX258" s="345"/>
      <c r="BY258" s="345"/>
      <c r="BZ258" s="345"/>
      <c r="CA258" s="345"/>
      <c r="CB258" s="345"/>
      <c r="CC258" s="345"/>
      <c r="CD258" s="345"/>
      <c r="CE258" s="345"/>
      <c r="CF258" s="345"/>
      <c r="CG258" s="345"/>
      <c r="CH258" s="345"/>
      <c r="CI258" s="345"/>
      <c r="CJ258" s="345"/>
      <c r="CK258" s="345"/>
      <c r="CL258" s="345"/>
      <c r="CM258" s="345"/>
      <c r="CN258" s="345"/>
      <c r="CO258" s="345"/>
      <c r="CP258" s="345"/>
      <c r="CQ258" s="345"/>
      <c r="CR258" s="345"/>
      <c r="CS258" s="345"/>
      <c r="CT258" s="345"/>
      <c r="CU258" s="345"/>
      <c r="CV258" s="345"/>
      <c r="CW258" s="345"/>
      <c r="CX258" s="345"/>
      <c r="CY258" s="345"/>
      <c r="CZ258" s="345"/>
      <c r="DA258" s="345"/>
      <c r="DB258" s="345"/>
      <c r="DC258" s="345"/>
      <c r="DD258" s="345"/>
      <c r="DE258" s="345"/>
      <c r="DF258" s="345"/>
      <c r="DG258" s="345"/>
      <c r="DH258" s="345"/>
      <c r="DI258" s="345"/>
      <c r="DJ258" s="345"/>
      <c r="DK258" s="345"/>
      <c r="DL258" s="345"/>
      <c r="DM258" s="345"/>
      <c r="DN258" s="345"/>
      <c r="DO258" s="345"/>
      <c r="DP258" s="345"/>
      <c r="DQ258" s="345"/>
      <c r="DR258" s="345"/>
      <c r="DS258" s="345"/>
      <c r="DT258" s="345"/>
      <c r="DU258" s="345"/>
      <c r="DV258" s="345"/>
      <c r="DW258" s="345"/>
      <c r="DX258" s="345"/>
      <c r="DY258" s="345"/>
      <c r="DZ258" s="345"/>
      <c r="EA258" s="345"/>
      <c r="EB258" s="345"/>
      <c r="EC258" s="345"/>
      <c r="ED258" s="345"/>
      <c r="EE258" s="345"/>
      <c r="EF258" s="345"/>
      <c r="EG258" s="345"/>
      <c r="EH258" s="345"/>
      <c r="EI258" s="345"/>
      <c r="EJ258" s="345"/>
      <c r="EK258" s="345"/>
      <c r="EL258" s="345"/>
      <c r="EM258" s="345"/>
      <c r="EN258" s="345"/>
      <c r="EO258" s="345"/>
      <c r="EP258" s="345"/>
      <c r="EQ258" s="345"/>
      <c r="ER258" s="345"/>
      <c r="ES258" s="345"/>
      <c r="ET258" s="345"/>
      <c r="EU258" s="345"/>
      <c r="EV258" s="345"/>
      <c r="EW258" s="345"/>
      <c r="EX258" s="345"/>
      <c r="EY258" s="345"/>
      <c r="EZ258" s="345"/>
      <c r="FA258" s="345"/>
      <c r="FB258" s="345"/>
      <c r="FC258" s="345"/>
      <c r="FD258" s="345"/>
      <c r="FE258" s="345"/>
      <c r="FF258" s="345"/>
      <c r="FG258" s="345"/>
      <c r="FH258" s="345"/>
      <c r="FI258" s="345"/>
      <c r="FJ258" s="345"/>
      <c r="FK258" s="345"/>
      <c r="FL258" s="345"/>
      <c r="FM258" s="345"/>
      <c r="FN258" s="345"/>
      <c r="FO258" s="345"/>
      <c r="FP258" s="345"/>
      <c r="FQ258" s="345"/>
      <c r="FR258" s="345"/>
      <c r="FS258" s="345"/>
      <c r="FT258" s="345"/>
      <c r="FU258" s="345"/>
      <c r="FV258" s="345"/>
      <c r="FW258" s="345"/>
      <c r="FX258" s="345"/>
      <c r="FY258" s="345"/>
      <c r="FZ258" s="345"/>
      <c r="GA258" s="345"/>
      <c r="GB258" s="345"/>
      <c r="GC258" s="345"/>
      <c r="GD258" s="345"/>
      <c r="GE258" s="345"/>
      <c r="GF258" s="345"/>
      <c r="GG258" s="345"/>
      <c r="GH258" s="345"/>
      <c r="GI258" s="345"/>
      <c r="GJ258" s="345"/>
      <c r="GK258" s="345"/>
      <c r="GL258" s="345"/>
      <c r="GM258" s="345"/>
      <c r="GN258" s="345"/>
      <c r="GO258" s="345"/>
      <c r="GP258" s="345"/>
      <c r="GQ258" s="345"/>
      <c r="GR258" s="345"/>
      <c r="GS258" s="345"/>
      <c r="GT258" s="345"/>
      <c r="GU258" s="345"/>
    </row>
    <row r="259" spans="23:203">
      <c r="W259" s="345"/>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c r="AS259" s="345"/>
      <c r="AT259" s="345"/>
      <c r="AU259" s="345"/>
      <c r="AV259" s="345"/>
      <c r="AW259" s="345"/>
      <c r="AX259" s="345"/>
      <c r="AY259" s="345"/>
      <c r="AZ259" s="345"/>
      <c r="BA259" s="345"/>
      <c r="BB259" s="345"/>
      <c r="BC259" s="345"/>
      <c r="BD259" s="345"/>
      <c r="BE259" s="345"/>
      <c r="BF259" s="345"/>
      <c r="BG259" s="345"/>
      <c r="BH259" s="345"/>
      <c r="BI259" s="345"/>
      <c r="BJ259" s="345"/>
      <c r="BK259" s="345"/>
      <c r="BL259" s="345"/>
      <c r="BM259" s="345"/>
      <c r="BN259" s="345"/>
      <c r="BO259" s="345"/>
      <c r="BP259" s="345"/>
      <c r="BQ259" s="345"/>
      <c r="BR259" s="345"/>
      <c r="BS259" s="345"/>
      <c r="BT259" s="345"/>
      <c r="BU259" s="345"/>
      <c r="BV259" s="345"/>
      <c r="BW259" s="345"/>
      <c r="BX259" s="345"/>
      <c r="BY259" s="345"/>
      <c r="BZ259" s="345"/>
      <c r="CA259" s="345"/>
      <c r="CB259" s="345"/>
      <c r="CC259" s="345"/>
      <c r="CD259" s="345"/>
      <c r="CE259" s="345"/>
      <c r="CF259" s="345"/>
      <c r="CG259" s="345"/>
      <c r="CH259" s="345"/>
      <c r="CI259" s="345"/>
      <c r="CJ259" s="345"/>
      <c r="CK259" s="345"/>
      <c r="CL259" s="345"/>
      <c r="CM259" s="345"/>
      <c r="CN259" s="345"/>
      <c r="CO259" s="345"/>
      <c r="CP259" s="345"/>
      <c r="CQ259" s="345"/>
      <c r="CR259" s="345"/>
      <c r="CS259" s="345"/>
      <c r="CT259" s="345"/>
      <c r="CU259" s="345"/>
      <c r="CV259" s="345"/>
      <c r="CW259" s="345"/>
      <c r="CX259" s="345"/>
      <c r="CY259" s="345"/>
      <c r="CZ259" s="345"/>
      <c r="DA259" s="345"/>
      <c r="DB259" s="345"/>
      <c r="DC259" s="345"/>
      <c r="DD259" s="345"/>
      <c r="DE259" s="345"/>
      <c r="DF259" s="345"/>
      <c r="DG259" s="345"/>
      <c r="DH259" s="345"/>
      <c r="DI259" s="345"/>
      <c r="DJ259" s="345"/>
      <c r="DK259" s="345"/>
      <c r="DL259" s="345"/>
      <c r="DM259" s="345"/>
      <c r="DN259" s="345"/>
      <c r="DO259" s="345"/>
      <c r="DP259" s="345"/>
      <c r="DQ259" s="345"/>
      <c r="DR259" s="345"/>
      <c r="DS259" s="345"/>
      <c r="DT259" s="345"/>
      <c r="DU259" s="345"/>
      <c r="DV259" s="345"/>
      <c r="DW259" s="345"/>
      <c r="DX259" s="345"/>
      <c r="DY259" s="345"/>
      <c r="DZ259" s="345"/>
      <c r="EA259" s="345"/>
      <c r="EB259" s="345"/>
      <c r="EC259" s="345"/>
      <c r="ED259" s="345"/>
      <c r="EE259" s="345"/>
      <c r="EF259" s="345"/>
      <c r="EG259" s="345"/>
      <c r="EH259" s="345"/>
      <c r="EI259" s="345"/>
      <c r="EJ259" s="345"/>
      <c r="EK259" s="345"/>
      <c r="EL259" s="345"/>
      <c r="EM259" s="345"/>
      <c r="EN259" s="345"/>
      <c r="EO259" s="345"/>
      <c r="EP259" s="345"/>
      <c r="EQ259" s="345"/>
      <c r="ER259" s="345"/>
      <c r="ES259" s="345"/>
      <c r="ET259" s="345"/>
      <c r="EU259" s="345"/>
      <c r="EV259" s="345"/>
      <c r="EW259" s="345"/>
      <c r="EX259" s="345"/>
      <c r="EY259" s="345"/>
      <c r="EZ259" s="345"/>
      <c r="FA259" s="345"/>
      <c r="FB259" s="345"/>
      <c r="FC259" s="345"/>
      <c r="FD259" s="345"/>
      <c r="FE259" s="345"/>
      <c r="FF259" s="345"/>
      <c r="FG259" s="345"/>
      <c r="FH259" s="345"/>
      <c r="FI259" s="345"/>
      <c r="FJ259" s="345"/>
      <c r="FK259" s="345"/>
      <c r="FL259" s="345"/>
      <c r="FM259" s="345"/>
      <c r="FN259" s="345"/>
      <c r="FO259" s="345"/>
      <c r="FP259" s="345"/>
      <c r="FQ259" s="345"/>
      <c r="FR259" s="345"/>
      <c r="FS259" s="345"/>
      <c r="FT259" s="345"/>
      <c r="FU259" s="345"/>
      <c r="FV259" s="345"/>
      <c r="FW259" s="345"/>
      <c r="FX259" s="345"/>
      <c r="FY259" s="345"/>
      <c r="FZ259" s="345"/>
      <c r="GA259" s="345"/>
      <c r="GB259" s="345"/>
      <c r="GC259" s="345"/>
      <c r="GD259" s="345"/>
      <c r="GE259" s="345"/>
      <c r="GF259" s="345"/>
      <c r="GG259" s="345"/>
      <c r="GH259" s="345"/>
      <c r="GI259" s="345"/>
      <c r="GJ259" s="345"/>
      <c r="GK259" s="345"/>
      <c r="GL259" s="345"/>
      <c r="GM259" s="345"/>
      <c r="GN259" s="345"/>
      <c r="GO259" s="345"/>
      <c r="GP259" s="345"/>
      <c r="GQ259" s="345"/>
      <c r="GR259" s="345"/>
      <c r="GS259" s="345"/>
      <c r="GT259" s="345"/>
      <c r="GU259" s="345"/>
    </row>
    <row r="260" spans="23:203">
      <c r="W260" s="345"/>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c r="AS260" s="345"/>
      <c r="AT260" s="345"/>
      <c r="AU260" s="345"/>
      <c r="AV260" s="345"/>
      <c r="AW260" s="345"/>
      <c r="AX260" s="345"/>
      <c r="AY260" s="345"/>
      <c r="AZ260" s="345"/>
      <c r="BA260" s="345"/>
      <c r="BB260" s="345"/>
      <c r="BC260" s="345"/>
      <c r="BD260" s="345"/>
      <c r="BE260" s="345"/>
      <c r="BF260" s="345"/>
      <c r="BG260" s="345"/>
      <c r="BH260" s="345"/>
      <c r="BI260" s="345"/>
      <c r="BJ260" s="345"/>
      <c r="BK260" s="345"/>
      <c r="BL260" s="345"/>
      <c r="BM260" s="345"/>
      <c r="BN260" s="345"/>
      <c r="BO260" s="345"/>
      <c r="BP260" s="345"/>
      <c r="BQ260" s="345"/>
      <c r="BR260" s="345"/>
      <c r="BS260" s="345"/>
      <c r="BT260" s="345"/>
      <c r="BU260" s="345"/>
      <c r="BV260" s="345"/>
      <c r="BW260" s="345"/>
      <c r="BX260" s="345"/>
      <c r="BY260" s="345"/>
      <c r="BZ260" s="345"/>
      <c r="CA260" s="345"/>
      <c r="CB260" s="345"/>
      <c r="CC260" s="345"/>
      <c r="CD260" s="345"/>
      <c r="CE260" s="345"/>
      <c r="CF260" s="345"/>
      <c r="CG260" s="345"/>
      <c r="CH260" s="345"/>
      <c r="CI260" s="345"/>
      <c r="CJ260" s="345"/>
      <c r="CK260" s="345"/>
      <c r="CL260" s="345"/>
      <c r="CM260" s="345"/>
      <c r="CN260" s="345"/>
      <c r="CO260" s="345"/>
      <c r="CP260" s="345"/>
      <c r="CQ260" s="345"/>
      <c r="CR260" s="345"/>
      <c r="CS260" s="345"/>
      <c r="CT260" s="345"/>
      <c r="CU260" s="345"/>
      <c r="CV260" s="345"/>
      <c r="CW260" s="345"/>
      <c r="CX260" s="345"/>
      <c r="CY260" s="345"/>
      <c r="CZ260" s="345"/>
      <c r="DA260" s="345"/>
      <c r="DB260" s="345"/>
      <c r="DC260" s="345"/>
      <c r="DD260" s="345"/>
      <c r="DE260" s="345"/>
      <c r="DF260" s="345"/>
      <c r="DG260" s="345"/>
      <c r="DH260" s="345"/>
      <c r="DI260" s="345"/>
      <c r="DJ260" s="345"/>
      <c r="DK260" s="345"/>
      <c r="DL260" s="345"/>
      <c r="DM260" s="345"/>
      <c r="DN260" s="345"/>
      <c r="DO260" s="345"/>
      <c r="DP260" s="345"/>
      <c r="DQ260" s="345"/>
      <c r="DR260" s="345"/>
      <c r="DS260" s="345"/>
      <c r="DT260" s="345"/>
      <c r="DU260" s="345"/>
      <c r="DV260" s="345"/>
      <c r="DW260" s="345"/>
      <c r="DX260" s="345"/>
      <c r="DY260" s="345"/>
      <c r="DZ260" s="345"/>
      <c r="EA260" s="345"/>
      <c r="EB260" s="345"/>
      <c r="EC260" s="345"/>
      <c r="ED260" s="345"/>
      <c r="EE260" s="345"/>
      <c r="EF260" s="345"/>
      <c r="EG260" s="345"/>
      <c r="EH260" s="345"/>
      <c r="EI260" s="345"/>
      <c r="EJ260" s="345"/>
      <c r="EK260" s="345"/>
      <c r="EL260" s="345"/>
      <c r="EM260" s="345"/>
      <c r="EN260" s="345"/>
      <c r="EO260" s="345"/>
      <c r="EP260" s="345"/>
      <c r="EQ260" s="345"/>
      <c r="ER260" s="345"/>
      <c r="ES260" s="345"/>
      <c r="ET260" s="345"/>
      <c r="EU260" s="345"/>
      <c r="EV260" s="345"/>
      <c r="EW260" s="345"/>
      <c r="EX260" s="345"/>
      <c r="EY260" s="345"/>
      <c r="EZ260" s="345"/>
      <c r="FA260" s="345"/>
      <c r="FB260" s="345"/>
      <c r="FC260" s="345"/>
      <c r="FD260" s="345"/>
      <c r="FE260" s="345"/>
      <c r="FF260" s="345"/>
      <c r="FG260" s="345"/>
      <c r="FH260" s="345"/>
      <c r="FI260" s="345"/>
      <c r="FJ260" s="345"/>
      <c r="FK260" s="345"/>
      <c r="FL260" s="345"/>
      <c r="FM260" s="345"/>
      <c r="FN260" s="345"/>
      <c r="FO260" s="345"/>
      <c r="FP260" s="345"/>
      <c r="FQ260" s="345"/>
      <c r="FR260" s="345"/>
      <c r="FS260" s="345"/>
      <c r="FT260" s="345"/>
      <c r="FU260" s="345"/>
      <c r="FV260" s="345"/>
      <c r="FW260" s="345"/>
      <c r="FX260" s="345"/>
      <c r="FY260" s="345"/>
      <c r="FZ260" s="345"/>
      <c r="GA260" s="345"/>
      <c r="GB260" s="345"/>
      <c r="GC260" s="345"/>
      <c r="GD260" s="345"/>
      <c r="GE260" s="345"/>
      <c r="GF260" s="345"/>
      <c r="GG260" s="345"/>
      <c r="GH260" s="345"/>
      <c r="GI260" s="345"/>
      <c r="GJ260" s="345"/>
      <c r="GK260" s="345"/>
      <c r="GL260" s="345"/>
      <c r="GM260" s="345"/>
      <c r="GN260" s="345"/>
      <c r="GO260" s="345"/>
      <c r="GP260" s="345"/>
      <c r="GQ260" s="345"/>
      <c r="GR260" s="345"/>
      <c r="GS260" s="345"/>
      <c r="GT260" s="345"/>
      <c r="GU260" s="345"/>
    </row>
    <row r="261" spans="23:203">
      <c r="W261" s="345"/>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c r="AS261" s="345"/>
      <c r="AT261" s="345"/>
      <c r="AU261" s="345"/>
      <c r="AV261" s="345"/>
      <c r="AW261" s="345"/>
      <c r="AX261" s="345"/>
      <c r="AY261" s="345"/>
      <c r="AZ261" s="345"/>
      <c r="BA261" s="345"/>
      <c r="BB261" s="345"/>
      <c r="BC261" s="345"/>
      <c r="BD261" s="345"/>
      <c r="BE261" s="345"/>
      <c r="BF261" s="345"/>
      <c r="BG261" s="345"/>
      <c r="BH261" s="345"/>
      <c r="BI261" s="345"/>
      <c r="BJ261" s="345"/>
      <c r="BK261" s="345"/>
      <c r="BL261" s="345"/>
      <c r="BM261" s="345"/>
      <c r="BN261" s="345"/>
      <c r="BO261" s="345"/>
      <c r="BP261" s="345"/>
      <c r="BQ261" s="345"/>
      <c r="BR261" s="345"/>
      <c r="BS261" s="345"/>
      <c r="BT261" s="345"/>
      <c r="BU261" s="345"/>
      <c r="BV261" s="345"/>
      <c r="BW261" s="345"/>
      <c r="BX261" s="345"/>
      <c r="BY261" s="345"/>
      <c r="BZ261" s="345"/>
      <c r="CA261" s="345"/>
      <c r="CB261" s="345"/>
      <c r="CC261" s="345"/>
      <c r="CD261" s="345"/>
      <c r="CE261" s="345"/>
      <c r="CF261" s="345"/>
      <c r="CG261" s="345"/>
      <c r="CH261" s="345"/>
      <c r="CI261" s="345"/>
      <c r="CJ261" s="345"/>
      <c r="CK261" s="345"/>
      <c r="CL261" s="345"/>
      <c r="CM261" s="345"/>
      <c r="CN261" s="345"/>
      <c r="CO261" s="345"/>
      <c r="CP261" s="345"/>
      <c r="CQ261" s="345"/>
      <c r="CR261" s="345"/>
      <c r="CS261" s="345"/>
      <c r="CT261" s="345"/>
      <c r="CU261" s="345"/>
      <c r="CV261" s="345"/>
      <c r="CW261" s="345"/>
      <c r="CX261" s="345"/>
      <c r="CY261" s="345"/>
      <c r="CZ261" s="345"/>
      <c r="DA261" s="345"/>
      <c r="DB261" s="345"/>
      <c r="DC261" s="345"/>
      <c r="DD261" s="345"/>
      <c r="DE261" s="345"/>
      <c r="DF261" s="345"/>
      <c r="DG261" s="345"/>
      <c r="DH261" s="345"/>
      <c r="DI261" s="345"/>
      <c r="DJ261" s="345"/>
      <c r="DK261" s="345"/>
      <c r="DL261" s="345"/>
      <c r="DM261" s="345"/>
      <c r="DN261" s="345"/>
      <c r="DO261" s="345"/>
      <c r="DP261" s="345"/>
      <c r="DQ261" s="345"/>
      <c r="DR261" s="345"/>
      <c r="DS261" s="345"/>
      <c r="DT261" s="345"/>
      <c r="DU261" s="345"/>
      <c r="DV261" s="345"/>
      <c r="DW261" s="345"/>
      <c r="DX261" s="345"/>
      <c r="DY261" s="345"/>
      <c r="DZ261" s="345"/>
      <c r="EA261" s="345"/>
      <c r="EB261" s="345"/>
      <c r="EC261" s="345"/>
      <c r="ED261" s="345"/>
      <c r="EE261" s="345"/>
      <c r="EF261" s="345"/>
      <c r="EG261" s="345"/>
      <c r="EH261" s="345"/>
      <c r="EI261" s="345"/>
      <c r="EJ261" s="345"/>
      <c r="EK261" s="345"/>
      <c r="EL261" s="345"/>
      <c r="EM261" s="345"/>
      <c r="EN261" s="345"/>
      <c r="EO261" s="345"/>
      <c r="EP261" s="345"/>
      <c r="EQ261" s="345"/>
      <c r="ER261" s="345"/>
      <c r="ES261" s="345"/>
      <c r="ET261" s="345"/>
      <c r="EU261" s="345"/>
      <c r="EV261" s="345"/>
      <c r="EW261" s="345"/>
      <c r="EX261" s="345"/>
      <c r="EY261" s="345"/>
      <c r="EZ261" s="345"/>
      <c r="FA261" s="345"/>
      <c r="FB261" s="345"/>
      <c r="FC261" s="345"/>
      <c r="FD261" s="345"/>
      <c r="FE261" s="345"/>
      <c r="FF261" s="345"/>
      <c r="FG261" s="345"/>
      <c r="FH261" s="345"/>
      <c r="FI261" s="345"/>
      <c r="FJ261" s="345"/>
      <c r="FK261" s="345"/>
      <c r="FL261" s="345"/>
      <c r="FM261" s="345"/>
      <c r="FN261" s="345"/>
      <c r="FO261" s="345"/>
      <c r="FP261" s="345"/>
      <c r="FQ261" s="345"/>
      <c r="FR261" s="345"/>
      <c r="FS261" s="345"/>
      <c r="FT261" s="345"/>
      <c r="FU261" s="345"/>
      <c r="FV261" s="345"/>
      <c r="FW261" s="345"/>
      <c r="FX261" s="345"/>
      <c r="FY261" s="345"/>
      <c r="FZ261" s="345"/>
      <c r="GA261" s="345"/>
      <c r="GB261" s="345"/>
      <c r="GC261" s="345"/>
      <c r="GD261" s="345"/>
      <c r="GE261" s="345"/>
      <c r="GF261" s="345"/>
      <c r="GG261" s="345"/>
      <c r="GH261" s="345"/>
      <c r="GI261" s="345"/>
      <c r="GJ261" s="345"/>
      <c r="GK261" s="345"/>
      <c r="GL261" s="345"/>
      <c r="GM261" s="345"/>
      <c r="GN261" s="345"/>
      <c r="GO261" s="345"/>
      <c r="GP261" s="345"/>
      <c r="GQ261" s="345"/>
      <c r="GR261" s="345"/>
      <c r="GS261" s="345"/>
      <c r="GT261" s="345"/>
      <c r="GU261" s="345"/>
    </row>
    <row r="262" spans="23:203">
      <c r="W262" s="345"/>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c r="AS262" s="345"/>
      <c r="AT262" s="345"/>
      <c r="AU262" s="345"/>
      <c r="AV262" s="345"/>
      <c r="AW262" s="345"/>
      <c r="AX262" s="345"/>
      <c r="AY262" s="345"/>
      <c r="AZ262" s="345"/>
      <c r="BA262" s="345"/>
      <c r="BB262" s="345"/>
      <c r="BC262" s="345"/>
      <c r="BD262" s="345"/>
      <c r="BE262" s="345"/>
      <c r="BF262" s="345"/>
      <c r="BG262" s="345"/>
      <c r="BH262" s="345"/>
      <c r="BI262" s="345"/>
      <c r="BJ262" s="345"/>
      <c r="BK262" s="345"/>
      <c r="BL262" s="345"/>
      <c r="BM262" s="345"/>
      <c r="BN262" s="345"/>
      <c r="BO262" s="345"/>
      <c r="BP262" s="345"/>
      <c r="BQ262" s="345"/>
      <c r="BR262" s="345"/>
      <c r="BS262" s="345"/>
      <c r="BT262" s="345"/>
      <c r="BU262" s="345"/>
      <c r="BV262" s="345"/>
      <c r="BW262" s="345"/>
      <c r="BX262" s="345"/>
      <c r="BY262" s="345"/>
      <c r="BZ262" s="345"/>
      <c r="CA262" s="345"/>
      <c r="CB262" s="345"/>
      <c r="CC262" s="345"/>
      <c r="CD262" s="345"/>
      <c r="CE262" s="345"/>
      <c r="CF262" s="345"/>
      <c r="CG262" s="345"/>
      <c r="CH262" s="345"/>
      <c r="CI262" s="345"/>
      <c r="CJ262" s="345"/>
      <c r="CK262" s="345"/>
      <c r="CL262" s="345"/>
      <c r="CM262" s="345"/>
      <c r="CN262" s="345"/>
      <c r="CO262" s="345"/>
      <c r="CP262" s="345"/>
      <c r="CQ262" s="345"/>
      <c r="CR262" s="345"/>
      <c r="CS262" s="345"/>
      <c r="CT262" s="345"/>
      <c r="CU262" s="345"/>
      <c r="CV262" s="345"/>
      <c r="CW262" s="345"/>
      <c r="CX262" s="345"/>
      <c r="CY262" s="345"/>
      <c r="CZ262" s="345"/>
      <c r="DA262" s="345"/>
      <c r="DB262" s="345"/>
      <c r="DC262" s="345"/>
      <c r="DD262" s="345"/>
      <c r="DE262" s="345"/>
      <c r="DF262" s="345"/>
      <c r="DG262" s="345"/>
      <c r="DH262" s="345"/>
      <c r="DI262" s="345"/>
      <c r="DJ262" s="345"/>
      <c r="DK262" s="345"/>
      <c r="DL262" s="345"/>
      <c r="DM262" s="345"/>
      <c r="DN262" s="345"/>
      <c r="DO262" s="345"/>
      <c r="DP262" s="345"/>
      <c r="DQ262" s="345"/>
      <c r="DR262" s="345"/>
      <c r="DS262" s="345"/>
      <c r="DT262" s="345"/>
      <c r="DU262" s="345"/>
      <c r="DV262" s="345"/>
      <c r="DW262" s="345"/>
      <c r="DX262" s="345"/>
      <c r="DY262" s="345"/>
      <c r="DZ262" s="345"/>
      <c r="EA262" s="345"/>
      <c r="EB262" s="345"/>
      <c r="EC262" s="345"/>
      <c r="ED262" s="345"/>
      <c r="EE262" s="345"/>
      <c r="EF262" s="345"/>
      <c r="EG262" s="345"/>
      <c r="EH262" s="345"/>
      <c r="EI262" s="345"/>
      <c r="EJ262" s="345"/>
      <c r="EK262" s="345"/>
      <c r="EL262" s="345"/>
      <c r="EM262" s="345"/>
      <c r="EN262" s="345"/>
      <c r="EO262" s="345"/>
      <c r="EP262" s="345"/>
      <c r="EQ262" s="345"/>
      <c r="ER262" s="345"/>
      <c r="ES262" s="345"/>
      <c r="ET262" s="345"/>
      <c r="EU262" s="345"/>
      <c r="EV262" s="345"/>
      <c r="EW262" s="345"/>
      <c r="EX262" s="345"/>
      <c r="EY262" s="345"/>
      <c r="EZ262" s="345"/>
      <c r="FA262" s="345"/>
      <c r="FB262" s="345"/>
      <c r="FC262" s="345"/>
      <c r="FD262" s="345"/>
      <c r="FE262" s="345"/>
      <c r="FF262" s="345"/>
      <c r="FG262" s="345"/>
      <c r="FH262" s="345"/>
      <c r="FI262" s="345"/>
      <c r="FJ262" s="345"/>
      <c r="FK262" s="345"/>
      <c r="FL262" s="345"/>
      <c r="FM262" s="345"/>
      <c r="FN262" s="345"/>
      <c r="FO262" s="345"/>
      <c r="FP262" s="345"/>
      <c r="FQ262" s="345"/>
      <c r="FR262" s="345"/>
      <c r="FS262" s="345"/>
      <c r="FT262" s="345"/>
      <c r="FU262" s="345"/>
      <c r="FV262" s="345"/>
      <c r="FW262" s="345"/>
      <c r="FX262" s="345"/>
      <c r="FY262" s="345"/>
      <c r="FZ262" s="345"/>
      <c r="GA262" s="345"/>
      <c r="GB262" s="345"/>
      <c r="GC262" s="345"/>
      <c r="GD262" s="345"/>
      <c r="GE262" s="345"/>
      <c r="GF262" s="345"/>
      <c r="GG262" s="345"/>
      <c r="GH262" s="345"/>
      <c r="GI262" s="345"/>
      <c r="GJ262" s="345"/>
      <c r="GK262" s="345"/>
      <c r="GL262" s="345"/>
      <c r="GM262" s="345"/>
      <c r="GN262" s="345"/>
      <c r="GO262" s="345"/>
      <c r="GP262" s="345"/>
      <c r="GQ262" s="345"/>
      <c r="GR262" s="345"/>
      <c r="GS262" s="345"/>
      <c r="GT262" s="345"/>
      <c r="GU262" s="345"/>
    </row>
    <row r="263" spans="23:203">
      <c r="W263" s="345"/>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c r="AS263" s="345"/>
      <c r="AT263" s="345"/>
      <c r="AU263" s="345"/>
      <c r="AV263" s="345"/>
      <c r="AW263" s="345"/>
      <c r="AX263" s="345"/>
      <c r="AY263" s="345"/>
      <c r="AZ263" s="345"/>
      <c r="BA263" s="345"/>
      <c r="BB263" s="345"/>
      <c r="BC263" s="345"/>
      <c r="BD263" s="345"/>
      <c r="BE263" s="345"/>
      <c r="BF263" s="345"/>
      <c r="BG263" s="345"/>
      <c r="BH263" s="345"/>
      <c r="BI263" s="345"/>
      <c r="BJ263" s="345"/>
      <c r="BK263" s="345"/>
      <c r="BL263" s="345"/>
      <c r="BM263" s="345"/>
      <c r="BN263" s="345"/>
      <c r="BO263" s="345"/>
      <c r="BP263" s="345"/>
      <c r="BQ263" s="345"/>
      <c r="BR263" s="345"/>
      <c r="BS263" s="345"/>
      <c r="BT263" s="345"/>
      <c r="BU263" s="345"/>
      <c r="BV263" s="345"/>
      <c r="BW263" s="345"/>
      <c r="BX263" s="345"/>
      <c r="BY263" s="345"/>
      <c r="BZ263" s="345"/>
      <c r="CA263" s="345"/>
      <c r="CB263" s="345"/>
      <c r="CC263" s="345"/>
      <c r="CD263" s="345"/>
      <c r="CE263" s="345"/>
      <c r="CF263" s="345"/>
      <c r="CG263" s="345"/>
      <c r="CH263" s="345"/>
      <c r="CI263" s="345"/>
      <c r="CJ263" s="345"/>
      <c r="CK263" s="345"/>
      <c r="CL263" s="345"/>
      <c r="CM263" s="345"/>
      <c r="CN263" s="345"/>
      <c r="CO263" s="345"/>
      <c r="CP263" s="345"/>
      <c r="CQ263" s="345"/>
      <c r="CR263" s="345"/>
      <c r="CS263" s="345"/>
      <c r="CT263" s="345"/>
      <c r="CU263" s="345"/>
      <c r="CV263" s="345"/>
      <c r="CW263" s="345"/>
      <c r="CX263" s="345"/>
      <c r="CY263" s="345"/>
      <c r="CZ263" s="345"/>
      <c r="DA263" s="345"/>
      <c r="DB263" s="345"/>
      <c r="DC263" s="345"/>
      <c r="DD263" s="345"/>
      <c r="DE263" s="345"/>
      <c r="DF263" s="345"/>
      <c r="DG263" s="345"/>
      <c r="DH263" s="345"/>
      <c r="DI263" s="345"/>
      <c r="DJ263" s="345"/>
      <c r="DK263" s="345"/>
      <c r="DL263" s="345"/>
      <c r="DM263" s="345"/>
      <c r="DN263" s="345"/>
      <c r="DO263" s="345"/>
      <c r="DP263" s="345"/>
      <c r="DQ263" s="345"/>
      <c r="DR263" s="345"/>
      <c r="DS263" s="345"/>
      <c r="DT263" s="345"/>
      <c r="DU263" s="345"/>
      <c r="DV263" s="345"/>
      <c r="DW263" s="345"/>
      <c r="DX263" s="345"/>
      <c r="DY263" s="345"/>
      <c r="DZ263" s="345"/>
      <c r="EA263" s="345"/>
      <c r="EB263" s="345"/>
      <c r="EC263" s="345"/>
      <c r="ED263" s="345"/>
      <c r="EE263" s="345"/>
      <c r="EF263" s="345"/>
      <c r="EG263" s="345"/>
      <c r="EH263" s="345"/>
      <c r="EI263" s="345"/>
      <c r="EJ263" s="345"/>
      <c r="EK263" s="345"/>
      <c r="EL263" s="345"/>
      <c r="EM263" s="345"/>
      <c r="EN263" s="345"/>
      <c r="EO263" s="345"/>
      <c r="EP263" s="345"/>
      <c r="EQ263" s="345"/>
      <c r="ER263" s="345"/>
      <c r="ES263" s="345"/>
      <c r="ET263" s="345"/>
      <c r="EU263" s="345"/>
      <c r="EV263" s="345"/>
      <c r="EW263" s="345"/>
      <c r="EX263" s="345"/>
      <c r="EY263" s="345"/>
      <c r="EZ263" s="345"/>
      <c r="FA263" s="345"/>
      <c r="FB263" s="345"/>
      <c r="FC263" s="345"/>
      <c r="FD263" s="345"/>
      <c r="FE263" s="345"/>
      <c r="FF263" s="345"/>
      <c r="FG263" s="345"/>
      <c r="FH263" s="345"/>
      <c r="FI263" s="345"/>
      <c r="FJ263" s="345"/>
      <c r="FK263" s="345"/>
      <c r="FL263" s="345"/>
      <c r="FM263" s="345"/>
      <c r="FN263" s="345"/>
      <c r="FO263" s="345"/>
      <c r="FP263" s="345"/>
      <c r="FQ263" s="345"/>
      <c r="FR263" s="345"/>
      <c r="FS263" s="345"/>
      <c r="FT263" s="345"/>
      <c r="FU263" s="345"/>
      <c r="FV263" s="345"/>
      <c r="FW263" s="345"/>
      <c r="FX263" s="345"/>
      <c r="FY263" s="345"/>
      <c r="FZ263" s="345"/>
      <c r="GA263" s="345"/>
      <c r="GB263" s="345"/>
      <c r="GC263" s="345"/>
      <c r="GD263" s="345"/>
      <c r="GE263" s="345"/>
      <c r="GF263" s="345"/>
      <c r="GG263" s="345"/>
      <c r="GH263" s="345"/>
      <c r="GI263" s="345"/>
      <c r="GJ263" s="345"/>
      <c r="GK263" s="345"/>
      <c r="GL263" s="345"/>
      <c r="GM263" s="345"/>
      <c r="GN263" s="345"/>
      <c r="GO263" s="345"/>
      <c r="GP263" s="345"/>
      <c r="GQ263" s="345"/>
      <c r="GR263" s="345"/>
      <c r="GS263" s="345"/>
      <c r="GT263" s="345"/>
      <c r="GU263" s="345"/>
    </row>
    <row r="264" spans="23:203">
      <c r="W264" s="345"/>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c r="AS264" s="345"/>
      <c r="AT264" s="345"/>
      <c r="AU264" s="345"/>
      <c r="AV264" s="345"/>
      <c r="AW264" s="345"/>
      <c r="AX264" s="345"/>
      <c r="AY264" s="345"/>
      <c r="AZ264" s="345"/>
      <c r="BA264" s="345"/>
      <c r="BB264" s="345"/>
      <c r="BC264" s="345"/>
      <c r="BD264" s="345"/>
      <c r="BE264" s="345"/>
      <c r="BF264" s="345"/>
      <c r="BG264" s="345"/>
      <c r="BH264" s="345"/>
      <c r="BI264" s="345"/>
      <c r="BJ264" s="345"/>
      <c r="BK264" s="345"/>
      <c r="BL264" s="345"/>
      <c r="BM264" s="345"/>
      <c r="BN264" s="345"/>
      <c r="BO264" s="345"/>
      <c r="BP264" s="345"/>
      <c r="BQ264" s="345"/>
      <c r="BR264" s="345"/>
      <c r="BS264" s="345"/>
      <c r="BT264" s="345"/>
      <c r="BU264" s="345"/>
      <c r="BV264" s="345"/>
      <c r="BW264" s="345"/>
      <c r="BX264" s="345"/>
      <c r="BY264" s="345"/>
      <c r="BZ264" s="345"/>
      <c r="CA264" s="345"/>
      <c r="CB264" s="345"/>
      <c r="CC264" s="345"/>
      <c r="CD264" s="345"/>
      <c r="CE264" s="345"/>
      <c r="CF264" s="345"/>
      <c r="CG264" s="345"/>
      <c r="CH264" s="345"/>
      <c r="CI264" s="345"/>
      <c r="CJ264" s="345"/>
      <c r="CK264" s="345"/>
      <c r="CL264" s="345"/>
      <c r="CM264" s="345"/>
      <c r="CN264" s="345"/>
      <c r="CO264" s="345"/>
      <c r="CP264" s="345"/>
      <c r="CQ264" s="345"/>
      <c r="CR264" s="345"/>
      <c r="CS264" s="345"/>
      <c r="CT264" s="345"/>
      <c r="CU264" s="345"/>
      <c r="CV264" s="345"/>
      <c r="CW264" s="345"/>
      <c r="CX264" s="345"/>
      <c r="CY264" s="345"/>
      <c r="CZ264" s="345"/>
      <c r="DA264" s="345"/>
      <c r="DB264" s="345"/>
      <c r="DC264" s="345"/>
      <c r="DD264" s="345"/>
      <c r="DE264" s="345"/>
      <c r="DF264" s="345"/>
      <c r="DG264" s="345"/>
      <c r="DH264" s="345"/>
      <c r="DI264" s="345"/>
      <c r="DJ264" s="345"/>
      <c r="DK264" s="345"/>
      <c r="DL264" s="345"/>
      <c r="DM264" s="345"/>
      <c r="DN264" s="345"/>
      <c r="DO264" s="345"/>
      <c r="DP264" s="345"/>
      <c r="DQ264" s="345"/>
      <c r="DR264" s="345"/>
      <c r="DS264" s="345"/>
      <c r="DT264" s="345"/>
      <c r="DU264" s="345"/>
      <c r="DV264" s="345"/>
      <c r="DW264" s="345"/>
      <c r="DX264" s="345"/>
      <c r="DY264" s="345"/>
      <c r="DZ264" s="345"/>
      <c r="EA264" s="345"/>
      <c r="EB264" s="345"/>
      <c r="EC264" s="345"/>
      <c r="ED264" s="345"/>
      <c r="EE264" s="345"/>
      <c r="EF264" s="345"/>
      <c r="EG264" s="345"/>
      <c r="EH264" s="345"/>
      <c r="EI264" s="345"/>
      <c r="EJ264" s="345"/>
      <c r="EK264" s="345"/>
      <c r="EL264" s="345"/>
      <c r="EM264" s="345"/>
      <c r="EN264" s="345"/>
      <c r="EO264" s="345"/>
      <c r="EP264" s="345"/>
      <c r="EQ264" s="345"/>
      <c r="ER264" s="345"/>
      <c r="ES264" s="345"/>
      <c r="ET264" s="345"/>
      <c r="EU264" s="345"/>
      <c r="EV264" s="345"/>
      <c r="EW264" s="345"/>
      <c r="EX264" s="345"/>
      <c r="EY264" s="345"/>
      <c r="EZ264" s="345"/>
      <c r="FA264" s="345"/>
      <c r="FB264" s="345"/>
      <c r="FC264" s="345"/>
      <c r="FD264" s="345"/>
      <c r="FE264" s="345"/>
      <c r="FF264" s="345"/>
      <c r="FG264" s="345"/>
      <c r="FH264" s="345"/>
      <c r="FI264" s="345"/>
      <c r="FJ264" s="345"/>
      <c r="FK264" s="345"/>
      <c r="FL264" s="345"/>
      <c r="FM264" s="345"/>
      <c r="FN264" s="345"/>
      <c r="FO264" s="345"/>
      <c r="FP264" s="345"/>
      <c r="FQ264" s="345"/>
      <c r="FR264" s="345"/>
      <c r="FS264" s="345"/>
      <c r="FT264" s="345"/>
      <c r="FU264" s="345"/>
      <c r="FV264" s="345"/>
      <c r="FW264" s="345"/>
      <c r="FX264" s="345"/>
      <c r="FY264" s="345"/>
      <c r="FZ264" s="345"/>
      <c r="GA264" s="345"/>
      <c r="GB264" s="345"/>
      <c r="GC264" s="345"/>
      <c r="GD264" s="345"/>
      <c r="GE264" s="345"/>
      <c r="GF264" s="345"/>
      <c r="GG264" s="345"/>
      <c r="GH264" s="345"/>
      <c r="GI264" s="345"/>
      <c r="GJ264" s="345"/>
      <c r="GK264" s="345"/>
      <c r="GL264" s="345"/>
      <c r="GM264" s="345"/>
      <c r="GN264" s="345"/>
      <c r="GO264" s="345"/>
      <c r="GP264" s="345"/>
      <c r="GQ264" s="345"/>
      <c r="GR264" s="345"/>
      <c r="GS264" s="345"/>
      <c r="GT264" s="345"/>
      <c r="GU264" s="345"/>
    </row>
    <row r="265" spans="23:203">
      <c r="W265" s="345"/>
      <c r="X265" s="345"/>
      <c r="Y265" s="345"/>
      <c r="Z265" s="345"/>
      <c r="AA265" s="345"/>
      <c r="AB265" s="345"/>
      <c r="AC265" s="345"/>
      <c r="AD265" s="345"/>
      <c r="AE265" s="345"/>
      <c r="AF265" s="345"/>
      <c r="AG265" s="345"/>
      <c r="AH265" s="345"/>
      <c r="AI265" s="345"/>
      <c r="AJ265" s="345"/>
      <c r="AK265" s="345"/>
      <c r="AL265" s="345"/>
      <c r="AM265" s="345"/>
      <c r="AN265" s="345"/>
      <c r="AO265" s="345"/>
      <c r="AP265" s="345"/>
      <c r="AQ265" s="345"/>
      <c r="AR265" s="345"/>
      <c r="AS265" s="345"/>
      <c r="AT265" s="345"/>
      <c r="AU265" s="345"/>
      <c r="AV265" s="345"/>
      <c r="AW265" s="345"/>
      <c r="AX265" s="345"/>
      <c r="AY265" s="345"/>
      <c r="AZ265" s="345"/>
      <c r="BA265" s="345"/>
      <c r="BB265" s="345"/>
      <c r="BC265" s="345"/>
      <c r="BD265" s="345"/>
      <c r="BE265" s="345"/>
      <c r="BF265" s="345"/>
      <c r="BG265" s="345"/>
      <c r="BH265" s="345"/>
      <c r="BI265" s="345"/>
      <c r="BJ265" s="345"/>
      <c r="BK265" s="345"/>
      <c r="BL265" s="345"/>
      <c r="BM265" s="345"/>
      <c r="BN265" s="345"/>
      <c r="BO265" s="345"/>
      <c r="BP265" s="345"/>
      <c r="BQ265" s="345"/>
      <c r="BR265" s="345"/>
      <c r="BS265" s="345"/>
      <c r="BT265" s="345"/>
      <c r="BU265" s="345"/>
      <c r="BV265" s="345"/>
      <c r="BW265" s="345"/>
      <c r="BX265" s="345"/>
      <c r="BY265" s="345"/>
      <c r="BZ265" s="345"/>
      <c r="CA265" s="345"/>
      <c r="CB265" s="345"/>
      <c r="CC265" s="345"/>
      <c r="CD265" s="345"/>
      <c r="CE265" s="345"/>
      <c r="CF265" s="345"/>
      <c r="CG265" s="345"/>
      <c r="CH265" s="345"/>
      <c r="CI265" s="345"/>
      <c r="CJ265" s="345"/>
      <c r="CK265" s="345"/>
      <c r="CL265" s="345"/>
      <c r="CM265" s="345"/>
      <c r="CN265" s="345"/>
      <c r="CO265" s="345"/>
      <c r="CP265" s="345"/>
      <c r="CQ265" s="345"/>
      <c r="CR265" s="345"/>
      <c r="CS265" s="345"/>
      <c r="CT265" s="345"/>
      <c r="CU265" s="345"/>
      <c r="CV265" s="345"/>
      <c r="CW265" s="345"/>
      <c r="CX265" s="345"/>
      <c r="CY265" s="345"/>
      <c r="CZ265" s="345"/>
      <c r="DA265" s="345"/>
      <c r="DB265" s="345"/>
      <c r="DC265" s="345"/>
      <c r="DD265" s="345"/>
      <c r="DE265" s="345"/>
      <c r="DF265" s="345"/>
      <c r="DG265" s="345"/>
      <c r="DH265" s="345"/>
      <c r="DI265" s="345"/>
      <c r="DJ265" s="345"/>
      <c r="DK265" s="345"/>
      <c r="DL265" s="345"/>
      <c r="DM265" s="345"/>
      <c r="DN265" s="345"/>
      <c r="DO265" s="345"/>
      <c r="DP265" s="345"/>
      <c r="DQ265" s="345"/>
      <c r="DR265" s="345"/>
      <c r="DS265" s="345"/>
      <c r="DT265" s="345"/>
      <c r="DU265" s="345"/>
      <c r="DV265" s="345"/>
      <c r="DW265" s="345"/>
      <c r="DX265" s="345"/>
      <c r="DY265" s="345"/>
      <c r="DZ265" s="345"/>
      <c r="EA265" s="345"/>
      <c r="EB265" s="345"/>
      <c r="EC265" s="345"/>
      <c r="ED265" s="345"/>
      <c r="EE265" s="345"/>
      <c r="EF265" s="345"/>
      <c r="EG265" s="345"/>
      <c r="EH265" s="345"/>
      <c r="EI265" s="345"/>
      <c r="EJ265" s="345"/>
      <c r="EK265" s="345"/>
      <c r="EL265" s="345"/>
      <c r="EM265" s="345"/>
      <c r="EN265" s="345"/>
      <c r="EO265" s="345"/>
      <c r="EP265" s="345"/>
      <c r="EQ265" s="345"/>
      <c r="ER265" s="345"/>
      <c r="ES265" s="345"/>
      <c r="ET265" s="345"/>
      <c r="EU265" s="345"/>
      <c r="EV265" s="345"/>
      <c r="EW265" s="345"/>
      <c r="EX265" s="345"/>
      <c r="EY265" s="345"/>
      <c r="EZ265" s="345"/>
      <c r="FA265" s="345"/>
      <c r="FB265" s="345"/>
      <c r="FC265" s="345"/>
      <c r="FD265" s="345"/>
      <c r="FE265" s="345"/>
      <c r="FF265" s="345"/>
      <c r="FG265" s="345"/>
      <c r="FH265" s="345"/>
      <c r="FI265" s="345"/>
      <c r="FJ265" s="345"/>
      <c r="FK265" s="345"/>
      <c r="FL265" s="345"/>
      <c r="FM265" s="345"/>
      <c r="FN265" s="345"/>
      <c r="FO265" s="345"/>
      <c r="FP265" s="345"/>
      <c r="FQ265" s="345"/>
      <c r="FR265" s="345"/>
      <c r="FS265" s="345"/>
      <c r="FT265" s="345"/>
      <c r="FU265" s="345"/>
      <c r="FV265" s="345"/>
      <c r="FW265" s="345"/>
      <c r="FX265" s="345"/>
      <c r="FY265" s="345"/>
      <c r="FZ265" s="345"/>
      <c r="GA265" s="345"/>
      <c r="GB265" s="345"/>
      <c r="GC265" s="345"/>
      <c r="GD265" s="345"/>
      <c r="GE265" s="345"/>
      <c r="GF265" s="345"/>
      <c r="GG265" s="345"/>
      <c r="GH265" s="345"/>
      <c r="GI265" s="345"/>
      <c r="GJ265" s="345"/>
      <c r="GK265" s="345"/>
      <c r="GL265" s="345"/>
      <c r="GM265" s="345"/>
      <c r="GN265" s="345"/>
      <c r="GO265" s="345"/>
      <c r="GP265" s="345"/>
      <c r="GQ265" s="345"/>
      <c r="GR265" s="345"/>
      <c r="GS265" s="345"/>
      <c r="GT265" s="345"/>
      <c r="GU265" s="345"/>
    </row>
    <row r="266" spans="23:203">
      <c r="W266" s="345"/>
      <c r="X266" s="345"/>
      <c r="Y266" s="345"/>
      <c r="Z266" s="345"/>
      <c r="AA266" s="345"/>
      <c r="AB266" s="345"/>
      <c r="AC266" s="345"/>
      <c r="AD266" s="345"/>
      <c r="AE266" s="345"/>
      <c r="AF266" s="345"/>
      <c r="AG266" s="345"/>
      <c r="AH266" s="345"/>
      <c r="AI266" s="345"/>
      <c r="AJ266" s="345"/>
      <c r="AK266" s="345"/>
      <c r="AL266" s="345"/>
      <c r="AM266" s="345"/>
      <c r="AN266" s="345"/>
      <c r="AO266" s="345"/>
      <c r="AP266" s="345"/>
      <c r="AQ266" s="345"/>
      <c r="AR266" s="345"/>
      <c r="AS266" s="345"/>
      <c r="AT266" s="345"/>
      <c r="AU266" s="345"/>
      <c r="AV266" s="345"/>
      <c r="AW266" s="345"/>
      <c r="AX266" s="345"/>
      <c r="AY266" s="345"/>
      <c r="AZ266" s="345"/>
      <c r="BA266" s="345"/>
      <c r="BB266" s="345"/>
      <c r="BC266" s="345"/>
      <c r="BD266" s="345"/>
      <c r="BE266" s="345"/>
      <c r="BF266" s="345"/>
      <c r="BG266" s="345"/>
      <c r="BH266" s="345"/>
      <c r="BI266" s="345"/>
      <c r="BJ266" s="345"/>
      <c r="BK266" s="345"/>
      <c r="BL266" s="345"/>
      <c r="BM266" s="345"/>
      <c r="BN266" s="345"/>
      <c r="BO266" s="345"/>
      <c r="BP266" s="345"/>
      <c r="BQ266" s="345"/>
      <c r="BR266" s="345"/>
      <c r="BS266" s="345"/>
      <c r="BT266" s="345"/>
      <c r="BU266" s="345"/>
      <c r="BV266" s="345"/>
      <c r="BW266" s="345"/>
      <c r="BX266" s="345"/>
      <c r="BY266" s="345"/>
      <c r="BZ266" s="345"/>
      <c r="CA266" s="345"/>
      <c r="CB266" s="345"/>
      <c r="CC266" s="345"/>
      <c r="CD266" s="345"/>
      <c r="CE266" s="345"/>
      <c r="CF266" s="345"/>
      <c r="CG266" s="345"/>
      <c r="CH266" s="345"/>
      <c r="CI266" s="345"/>
      <c r="CJ266" s="345"/>
      <c r="CK266" s="345"/>
      <c r="CL266" s="345"/>
      <c r="CM266" s="345"/>
      <c r="CN266" s="345"/>
      <c r="CO266" s="345"/>
      <c r="CP266" s="345"/>
      <c r="CQ266" s="345"/>
      <c r="CR266" s="345"/>
      <c r="CS266" s="345"/>
      <c r="CT266" s="345"/>
      <c r="CU266" s="345"/>
      <c r="CV266" s="345"/>
      <c r="CW266" s="345"/>
      <c r="CX266" s="345"/>
      <c r="CY266" s="345"/>
      <c r="CZ266" s="345"/>
      <c r="DA266" s="345"/>
      <c r="DB266" s="345"/>
      <c r="DC266" s="345"/>
      <c r="DD266" s="345"/>
      <c r="DE266" s="345"/>
      <c r="DF266" s="345"/>
      <c r="DG266" s="345"/>
      <c r="DH266" s="345"/>
      <c r="DI266" s="345"/>
      <c r="DJ266" s="345"/>
      <c r="DK266" s="345"/>
      <c r="DL266" s="345"/>
      <c r="DM266" s="345"/>
      <c r="DN266" s="345"/>
      <c r="DO266" s="345"/>
      <c r="DP266" s="345"/>
      <c r="DQ266" s="345"/>
      <c r="DR266" s="345"/>
      <c r="DS266" s="345"/>
      <c r="DT266" s="345"/>
      <c r="DU266" s="345"/>
      <c r="DV266" s="345"/>
      <c r="DW266" s="345"/>
      <c r="DX266" s="345"/>
      <c r="DY266" s="345"/>
      <c r="DZ266" s="345"/>
      <c r="EA266" s="345"/>
      <c r="EB266" s="345"/>
      <c r="EC266" s="345"/>
      <c r="ED266" s="345"/>
      <c r="EE266" s="345"/>
      <c r="EF266" s="345"/>
      <c r="EG266" s="345"/>
      <c r="EH266" s="345"/>
      <c r="EI266" s="345"/>
      <c r="EJ266" s="345"/>
      <c r="EK266" s="345"/>
      <c r="EL266" s="345"/>
      <c r="EM266" s="345"/>
      <c r="EN266" s="345"/>
      <c r="EO266" s="345"/>
      <c r="EP266" s="345"/>
      <c r="EQ266" s="345"/>
      <c r="ER266" s="345"/>
      <c r="ES266" s="345"/>
      <c r="ET266" s="345"/>
      <c r="EU266" s="345"/>
      <c r="EV266" s="345"/>
      <c r="EW266" s="345"/>
      <c r="EX266" s="345"/>
      <c r="EY266" s="345"/>
      <c r="EZ266" s="345"/>
      <c r="FA266" s="345"/>
      <c r="FB266" s="345"/>
      <c r="FC266" s="345"/>
      <c r="FD266" s="345"/>
      <c r="FE266" s="345"/>
      <c r="FF266" s="345"/>
      <c r="FG266" s="345"/>
      <c r="FH266" s="345"/>
      <c r="FI266" s="345"/>
      <c r="FJ266" s="345"/>
      <c r="FK266" s="345"/>
      <c r="FL266" s="345"/>
      <c r="FM266" s="345"/>
      <c r="FN266" s="345"/>
      <c r="FO266" s="345"/>
      <c r="FP266" s="345"/>
      <c r="FQ266" s="345"/>
      <c r="FR266" s="345"/>
      <c r="FS266" s="345"/>
      <c r="FT266" s="345"/>
      <c r="FU266" s="345"/>
      <c r="FV266" s="345"/>
      <c r="FW266" s="345"/>
      <c r="FX266" s="345"/>
      <c r="FY266" s="345"/>
      <c r="FZ266" s="345"/>
      <c r="GA266" s="345"/>
      <c r="GB266" s="345"/>
      <c r="GC266" s="345"/>
      <c r="GD266" s="345"/>
      <c r="GE266" s="345"/>
      <c r="GF266" s="345"/>
      <c r="GG266" s="345"/>
      <c r="GH266" s="345"/>
      <c r="GI266" s="345"/>
      <c r="GJ266" s="345"/>
      <c r="GK266" s="345"/>
      <c r="GL266" s="345"/>
      <c r="GM266" s="345"/>
      <c r="GN266" s="345"/>
      <c r="GO266" s="345"/>
      <c r="GP266" s="345"/>
      <c r="GQ266" s="345"/>
      <c r="GR266" s="345"/>
      <c r="GS266" s="345"/>
      <c r="GT266" s="345"/>
      <c r="GU266" s="345"/>
    </row>
    <row r="267" spans="23:203">
      <c r="W267" s="345"/>
      <c r="X267" s="345"/>
      <c r="Y267" s="345"/>
      <c r="Z267" s="345"/>
      <c r="AA267" s="345"/>
      <c r="AB267" s="345"/>
      <c r="AC267" s="345"/>
      <c r="AD267" s="345"/>
      <c r="AE267" s="345"/>
      <c r="AF267" s="345"/>
      <c r="AG267" s="345"/>
      <c r="AH267" s="345"/>
      <c r="AI267" s="345"/>
      <c r="AJ267" s="345"/>
      <c r="AK267" s="345"/>
      <c r="AL267" s="345"/>
      <c r="AM267" s="345"/>
      <c r="AN267" s="345"/>
      <c r="AO267" s="345"/>
      <c r="AP267" s="345"/>
      <c r="AQ267" s="345"/>
      <c r="AR267" s="345"/>
      <c r="AS267" s="345"/>
      <c r="AT267" s="345"/>
      <c r="AU267" s="345"/>
      <c r="AV267" s="345"/>
      <c r="AW267" s="345"/>
      <c r="AX267" s="345"/>
      <c r="AY267" s="345"/>
      <c r="AZ267" s="345"/>
      <c r="BA267" s="345"/>
      <c r="BB267" s="345"/>
      <c r="BC267" s="345"/>
      <c r="BD267" s="345"/>
      <c r="BE267" s="345"/>
      <c r="BF267" s="345"/>
      <c r="BG267" s="345"/>
      <c r="BH267" s="345"/>
      <c r="BI267" s="345"/>
      <c r="BJ267" s="345"/>
      <c r="BK267" s="345"/>
      <c r="BL267" s="345"/>
      <c r="BM267" s="345"/>
      <c r="BN267" s="345"/>
      <c r="BO267" s="345"/>
      <c r="BP267" s="345"/>
      <c r="BQ267" s="345"/>
      <c r="BR267" s="345"/>
      <c r="BS267" s="345"/>
      <c r="BT267" s="345"/>
      <c r="BU267" s="345"/>
      <c r="BV267" s="345"/>
      <c r="BW267" s="345"/>
      <c r="BX267" s="345"/>
      <c r="BY267" s="345"/>
      <c r="BZ267" s="345"/>
      <c r="CA267" s="345"/>
      <c r="CB267" s="345"/>
      <c r="CC267" s="345"/>
      <c r="CD267" s="345"/>
      <c r="CE267" s="345"/>
      <c r="CF267" s="345"/>
      <c r="CG267" s="345"/>
      <c r="CH267" s="345"/>
      <c r="CI267" s="345"/>
      <c r="CJ267" s="345"/>
      <c r="CK267" s="345"/>
      <c r="CL267" s="345"/>
      <c r="CM267" s="345"/>
      <c r="CN267" s="345"/>
      <c r="CO267" s="345"/>
      <c r="CP267" s="345"/>
      <c r="CQ267" s="345"/>
      <c r="CR267" s="345"/>
      <c r="CS267" s="345"/>
      <c r="CT267" s="345"/>
      <c r="CU267" s="345"/>
      <c r="CV267" s="345"/>
      <c r="CW267" s="345"/>
      <c r="CX267" s="345"/>
      <c r="CY267" s="345"/>
      <c r="CZ267" s="345"/>
      <c r="DA267" s="345"/>
      <c r="DB267" s="345"/>
      <c r="DC267" s="345"/>
      <c r="DD267" s="345"/>
      <c r="DE267" s="345"/>
      <c r="DF267" s="345"/>
      <c r="DG267" s="345"/>
      <c r="DH267" s="345"/>
      <c r="DI267" s="345"/>
      <c r="DJ267" s="345"/>
      <c r="DK267" s="345"/>
      <c r="DL267" s="345"/>
      <c r="DM267" s="345"/>
      <c r="DN267" s="345"/>
      <c r="DO267" s="345"/>
      <c r="DP267" s="345"/>
      <c r="DQ267" s="345"/>
      <c r="DR267" s="345"/>
      <c r="DS267" s="345"/>
      <c r="DT267" s="345"/>
      <c r="DU267" s="345"/>
      <c r="DV267" s="345"/>
      <c r="DW267" s="345"/>
      <c r="DX267" s="345"/>
      <c r="DY267" s="345"/>
      <c r="DZ267" s="345"/>
      <c r="EA267" s="345"/>
      <c r="EB267" s="345"/>
      <c r="EC267" s="345"/>
      <c r="ED267" s="345"/>
      <c r="EE267" s="345"/>
      <c r="EF267" s="345"/>
      <c r="EG267" s="345"/>
      <c r="EH267" s="345"/>
      <c r="EI267" s="345"/>
      <c r="EJ267" s="345"/>
      <c r="EK267" s="345"/>
      <c r="EL267" s="345"/>
      <c r="EM267" s="345"/>
      <c r="EN267" s="345"/>
      <c r="EO267" s="345"/>
      <c r="EP267" s="345"/>
      <c r="EQ267" s="345"/>
      <c r="ER267" s="345"/>
      <c r="ES267" s="345"/>
      <c r="ET267" s="345"/>
      <c r="EU267" s="345"/>
      <c r="EV267" s="345"/>
      <c r="EW267" s="345"/>
      <c r="EX267" s="345"/>
      <c r="EY267" s="345"/>
      <c r="EZ267" s="345"/>
      <c r="FA267" s="345"/>
      <c r="FB267" s="345"/>
      <c r="FC267" s="345"/>
      <c r="FD267" s="345"/>
      <c r="FE267" s="345"/>
      <c r="FF267" s="345"/>
      <c r="FG267" s="345"/>
      <c r="FH267" s="345"/>
      <c r="FI267" s="345"/>
      <c r="FJ267" s="345"/>
      <c r="FK267" s="345"/>
      <c r="FL267" s="345"/>
      <c r="FM267" s="345"/>
      <c r="FN267" s="345"/>
      <c r="FO267" s="345"/>
      <c r="FP267" s="345"/>
      <c r="FQ267" s="345"/>
      <c r="FR267" s="345"/>
      <c r="FS267" s="345"/>
      <c r="FT267" s="345"/>
      <c r="FU267" s="345"/>
      <c r="FV267" s="345"/>
      <c r="FW267" s="345"/>
      <c r="FX267" s="345"/>
      <c r="FY267" s="345"/>
      <c r="FZ267" s="345"/>
      <c r="GA267" s="345"/>
      <c r="GB267" s="345"/>
      <c r="GC267" s="345"/>
      <c r="GD267" s="345"/>
      <c r="GE267" s="345"/>
      <c r="GF267" s="345"/>
      <c r="GG267" s="345"/>
      <c r="GH267" s="345"/>
      <c r="GI267" s="345"/>
      <c r="GJ267" s="345"/>
      <c r="GK267" s="345"/>
      <c r="GL267" s="345"/>
      <c r="GM267" s="345"/>
      <c r="GN267" s="345"/>
      <c r="GO267" s="345"/>
      <c r="GP267" s="345"/>
      <c r="GQ267" s="345"/>
      <c r="GR267" s="345"/>
      <c r="GS267" s="345"/>
      <c r="GT267" s="345"/>
      <c r="GU267" s="345"/>
    </row>
    <row r="268" spans="23:203">
      <c r="W268" s="345"/>
      <c r="X268" s="345"/>
      <c r="Y268" s="345"/>
      <c r="Z268" s="345"/>
      <c r="AA268" s="345"/>
      <c r="AB268" s="345"/>
      <c r="AC268" s="345"/>
      <c r="AD268" s="345"/>
      <c r="AE268" s="345"/>
      <c r="AF268" s="345"/>
      <c r="AG268" s="345"/>
      <c r="AH268" s="345"/>
      <c r="AI268" s="345"/>
      <c r="AJ268" s="345"/>
      <c r="AK268" s="345"/>
      <c r="AL268" s="345"/>
      <c r="AM268" s="345"/>
      <c r="AN268" s="345"/>
      <c r="AO268" s="345"/>
      <c r="AP268" s="345"/>
      <c r="AQ268" s="345"/>
      <c r="AR268" s="345"/>
      <c r="AS268" s="345"/>
      <c r="AT268" s="345"/>
      <c r="AU268" s="345"/>
      <c r="AV268" s="345"/>
      <c r="AW268" s="345"/>
      <c r="AX268" s="345"/>
      <c r="AY268" s="345"/>
      <c r="AZ268" s="345"/>
      <c r="BA268" s="345"/>
      <c r="BB268" s="345"/>
      <c r="BC268" s="345"/>
      <c r="BD268" s="345"/>
      <c r="BE268" s="345"/>
      <c r="BF268" s="345"/>
      <c r="BG268" s="345"/>
      <c r="BH268" s="345"/>
      <c r="BI268" s="345"/>
      <c r="BJ268" s="345"/>
      <c r="BK268" s="345"/>
      <c r="BL268" s="345"/>
      <c r="BM268" s="345"/>
      <c r="BN268" s="345"/>
      <c r="BO268" s="345"/>
      <c r="BP268" s="345"/>
      <c r="BQ268" s="345"/>
      <c r="BR268" s="345"/>
      <c r="BS268" s="345"/>
      <c r="BT268" s="345"/>
      <c r="BU268" s="345"/>
      <c r="BV268" s="345"/>
      <c r="BW268" s="345"/>
      <c r="BX268" s="345"/>
      <c r="BY268" s="345"/>
      <c r="BZ268" s="345"/>
      <c r="CA268" s="345"/>
      <c r="CB268" s="345"/>
      <c r="CC268" s="345"/>
      <c r="CD268" s="345"/>
      <c r="CE268" s="345"/>
      <c r="CF268" s="345"/>
      <c r="CG268" s="345"/>
      <c r="CH268" s="345"/>
      <c r="CI268" s="345"/>
      <c r="CJ268" s="345"/>
      <c r="CK268" s="345"/>
      <c r="CL268" s="345"/>
      <c r="CM268" s="345"/>
      <c r="CN268" s="345"/>
      <c r="CO268" s="345"/>
      <c r="CP268" s="345"/>
      <c r="CQ268" s="345"/>
      <c r="CR268" s="345"/>
      <c r="CS268" s="345"/>
      <c r="CT268" s="345"/>
      <c r="CU268" s="345"/>
      <c r="CV268" s="345"/>
      <c r="CW268" s="345"/>
      <c r="CX268" s="345"/>
      <c r="CY268" s="345"/>
      <c r="CZ268" s="345"/>
      <c r="DA268" s="345"/>
      <c r="DB268" s="345"/>
      <c r="DC268" s="345"/>
      <c r="DD268" s="345"/>
      <c r="DE268" s="345"/>
      <c r="DF268" s="345"/>
      <c r="DG268" s="345"/>
      <c r="DH268" s="345"/>
      <c r="DI268" s="345"/>
      <c r="DJ268" s="345"/>
      <c r="DK268" s="345"/>
      <c r="DL268" s="345"/>
      <c r="DM268" s="345"/>
      <c r="DN268" s="345"/>
      <c r="DO268" s="345"/>
      <c r="DP268" s="345"/>
      <c r="DQ268" s="345"/>
      <c r="DR268" s="345"/>
      <c r="DS268" s="345"/>
      <c r="DT268" s="345"/>
      <c r="DU268" s="345"/>
      <c r="DV268" s="345"/>
      <c r="DW268" s="345"/>
      <c r="DX268" s="345"/>
      <c r="DY268" s="345"/>
      <c r="DZ268" s="345"/>
      <c r="EA268" s="345"/>
      <c r="EB268" s="345"/>
      <c r="EC268" s="345"/>
      <c r="ED268" s="345"/>
      <c r="EE268" s="345"/>
      <c r="EF268" s="345"/>
      <c r="EG268" s="345"/>
      <c r="EH268" s="345"/>
      <c r="EI268" s="345"/>
      <c r="EJ268" s="345"/>
      <c r="EK268" s="345"/>
      <c r="EL268" s="345"/>
      <c r="EM268" s="345"/>
      <c r="EN268" s="345"/>
      <c r="EO268" s="345"/>
      <c r="EP268" s="345"/>
      <c r="EQ268" s="345"/>
      <c r="ER268" s="345"/>
      <c r="ES268" s="345"/>
      <c r="ET268" s="345"/>
      <c r="EU268" s="345"/>
      <c r="EV268" s="345"/>
      <c r="EW268" s="345"/>
      <c r="EX268" s="345"/>
      <c r="EY268" s="345"/>
      <c r="EZ268" s="345"/>
      <c r="FA268" s="345"/>
      <c r="FB268" s="345"/>
      <c r="FC268" s="345"/>
      <c r="FD268" s="345"/>
      <c r="FE268" s="345"/>
      <c r="FF268" s="345"/>
      <c r="FG268" s="345"/>
      <c r="FH268" s="345"/>
      <c r="FI268" s="345"/>
      <c r="FJ268" s="345"/>
      <c r="FK268" s="345"/>
      <c r="FL268" s="345"/>
      <c r="FM268" s="345"/>
      <c r="FN268" s="345"/>
      <c r="FO268" s="345"/>
      <c r="FP268" s="345"/>
      <c r="FQ268" s="345"/>
      <c r="FR268" s="345"/>
      <c r="FS268" s="345"/>
      <c r="FT268" s="345"/>
      <c r="FU268" s="345"/>
      <c r="FV268" s="345"/>
      <c r="FW268" s="345"/>
      <c r="FX268" s="345"/>
      <c r="FY268" s="345"/>
      <c r="FZ268" s="345"/>
      <c r="GA268" s="345"/>
      <c r="GB268" s="345"/>
      <c r="GC268" s="345"/>
      <c r="GD268" s="345"/>
      <c r="GE268" s="345"/>
      <c r="GF268" s="345"/>
      <c r="GG268" s="345"/>
      <c r="GH268" s="345"/>
      <c r="GI268" s="345"/>
      <c r="GJ268" s="345"/>
      <c r="GK268" s="345"/>
      <c r="GL268" s="345"/>
      <c r="GM268" s="345"/>
      <c r="GN268" s="345"/>
      <c r="GO268" s="345"/>
      <c r="GP268" s="345"/>
      <c r="GQ268" s="345"/>
      <c r="GR268" s="345"/>
      <c r="GS268" s="345"/>
      <c r="GT268" s="345"/>
      <c r="GU268" s="345"/>
    </row>
    <row r="269" spans="23:203">
      <c r="W269" s="345"/>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c r="AS269" s="345"/>
      <c r="AT269" s="345"/>
      <c r="AU269" s="345"/>
      <c r="AV269" s="345"/>
      <c r="AW269" s="345"/>
      <c r="AX269" s="345"/>
      <c r="AY269" s="345"/>
      <c r="AZ269" s="345"/>
      <c r="BA269" s="345"/>
      <c r="BB269" s="345"/>
      <c r="BC269" s="345"/>
      <c r="BD269" s="345"/>
      <c r="BE269" s="345"/>
      <c r="BF269" s="345"/>
      <c r="BG269" s="345"/>
      <c r="BH269" s="345"/>
      <c r="BI269" s="345"/>
      <c r="BJ269" s="345"/>
      <c r="BK269" s="345"/>
      <c r="BL269" s="345"/>
      <c r="BM269" s="345"/>
      <c r="BN269" s="345"/>
      <c r="BO269" s="345"/>
      <c r="BP269" s="345"/>
      <c r="BQ269" s="345"/>
      <c r="BR269" s="345"/>
      <c r="BS269" s="345"/>
      <c r="BT269" s="345"/>
      <c r="BU269" s="345"/>
      <c r="BV269" s="345"/>
      <c r="BW269" s="345"/>
      <c r="BX269" s="345"/>
      <c r="BY269" s="345"/>
      <c r="BZ269" s="345"/>
      <c r="CA269" s="345"/>
      <c r="CB269" s="345"/>
      <c r="CC269" s="345"/>
      <c r="CD269" s="345"/>
      <c r="CE269" s="345"/>
      <c r="CF269" s="345"/>
      <c r="CG269" s="345"/>
      <c r="CH269" s="345"/>
      <c r="CI269" s="345"/>
      <c r="CJ269" s="345"/>
      <c r="CK269" s="345"/>
      <c r="CL269" s="345"/>
      <c r="CM269" s="345"/>
      <c r="CN269" s="345"/>
      <c r="CO269" s="345"/>
      <c r="CP269" s="345"/>
      <c r="CQ269" s="345"/>
      <c r="CR269" s="345"/>
      <c r="CS269" s="345"/>
      <c r="CT269" s="345"/>
      <c r="CU269" s="345"/>
      <c r="CV269" s="345"/>
      <c r="CW269" s="345"/>
      <c r="CX269" s="345"/>
      <c r="CY269" s="345"/>
      <c r="CZ269" s="345"/>
      <c r="DA269" s="345"/>
      <c r="DB269" s="345"/>
      <c r="DC269" s="345"/>
      <c r="DD269" s="345"/>
      <c r="DE269" s="345"/>
      <c r="DF269" s="345"/>
      <c r="DG269" s="345"/>
      <c r="DH269" s="345"/>
      <c r="DI269" s="345"/>
      <c r="DJ269" s="345"/>
      <c r="DK269" s="345"/>
      <c r="DL269" s="345"/>
      <c r="DM269" s="345"/>
      <c r="DN269" s="345"/>
      <c r="DO269" s="345"/>
      <c r="DP269" s="345"/>
      <c r="DQ269" s="345"/>
      <c r="DR269" s="345"/>
      <c r="DS269" s="345"/>
      <c r="DT269" s="345"/>
      <c r="DU269" s="345"/>
      <c r="DV269" s="345"/>
      <c r="DW269" s="345"/>
      <c r="DX269" s="345"/>
      <c r="DY269" s="345"/>
      <c r="DZ269" s="345"/>
      <c r="EA269" s="345"/>
      <c r="EB269" s="345"/>
      <c r="EC269" s="345"/>
      <c r="ED269" s="345"/>
      <c r="EE269" s="345"/>
      <c r="EF269" s="345"/>
      <c r="EG269" s="345"/>
      <c r="EH269" s="345"/>
      <c r="EI269" s="345"/>
      <c r="EJ269" s="345"/>
      <c r="EK269" s="345"/>
      <c r="EL269" s="345"/>
      <c r="EM269" s="345"/>
      <c r="EN269" s="345"/>
      <c r="EO269" s="345"/>
      <c r="EP269" s="345"/>
      <c r="EQ269" s="345"/>
      <c r="ER269" s="345"/>
      <c r="ES269" s="345"/>
      <c r="ET269" s="345"/>
      <c r="EU269" s="345"/>
      <c r="EV269" s="345"/>
      <c r="EW269" s="345"/>
      <c r="EX269" s="345"/>
      <c r="EY269" s="345"/>
      <c r="EZ269" s="345"/>
      <c r="FA269" s="345"/>
      <c r="FB269" s="345"/>
      <c r="FC269" s="345"/>
      <c r="FD269" s="345"/>
      <c r="FE269" s="345"/>
      <c r="FF269" s="345"/>
      <c r="FG269" s="345"/>
      <c r="FH269" s="345"/>
      <c r="FI269" s="345"/>
      <c r="FJ269" s="345"/>
      <c r="FK269" s="345"/>
      <c r="FL269" s="345"/>
      <c r="FM269" s="345"/>
      <c r="FN269" s="345"/>
      <c r="FO269" s="345"/>
      <c r="FP269" s="345"/>
      <c r="FQ269" s="345"/>
      <c r="FR269" s="345"/>
      <c r="FS269" s="345"/>
      <c r="FT269" s="345"/>
      <c r="FU269" s="345"/>
      <c r="FV269" s="345"/>
      <c r="FW269" s="345"/>
      <c r="FX269" s="345"/>
      <c r="FY269" s="345"/>
      <c r="FZ269" s="345"/>
      <c r="GA269" s="345"/>
      <c r="GB269" s="345"/>
      <c r="GC269" s="345"/>
      <c r="GD269" s="345"/>
      <c r="GE269" s="345"/>
      <c r="GF269" s="345"/>
      <c r="GG269" s="345"/>
      <c r="GH269" s="345"/>
      <c r="GI269" s="345"/>
      <c r="GJ269" s="345"/>
      <c r="GK269" s="345"/>
      <c r="GL269" s="345"/>
      <c r="GM269" s="345"/>
      <c r="GN269" s="345"/>
      <c r="GO269" s="345"/>
      <c r="GP269" s="345"/>
      <c r="GQ269" s="345"/>
      <c r="GR269" s="345"/>
      <c r="GS269" s="345"/>
      <c r="GT269" s="345"/>
      <c r="GU269" s="345"/>
    </row>
    <row r="270" spans="23:203">
      <c r="W270" s="345"/>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c r="AS270" s="345"/>
      <c r="AT270" s="345"/>
      <c r="AU270" s="345"/>
      <c r="AV270" s="345"/>
      <c r="AW270" s="345"/>
      <c r="AX270" s="345"/>
      <c r="AY270" s="345"/>
      <c r="AZ270" s="345"/>
      <c r="BA270" s="345"/>
      <c r="BB270" s="345"/>
      <c r="BC270" s="345"/>
      <c r="BD270" s="345"/>
      <c r="BE270" s="345"/>
      <c r="BF270" s="345"/>
      <c r="BG270" s="345"/>
      <c r="BH270" s="345"/>
      <c r="BI270" s="345"/>
      <c r="BJ270" s="345"/>
      <c r="BK270" s="345"/>
      <c r="BL270" s="345"/>
      <c r="BM270" s="345"/>
      <c r="BN270" s="345"/>
      <c r="BO270" s="345"/>
      <c r="BP270" s="345"/>
      <c r="BQ270" s="345"/>
      <c r="BR270" s="345"/>
      <c r="BS270" s="345"/>
      <c r="BT270" s="345"/>
      <c r="BU270" s="345"/>
      <c r="BV270" s="345"/>
      <c r="BW270" s="345"/>
      <c r="BX270" s="345"/>
      <c r="BY270" s="345"/>
      <c r="BZ270" s="345"/>
      <c r="CA270" s="345"/>
      <c r="CB270" s="345"/>
      <c r="CC270" s="345"/>
      <c r="CD270" s="345"/>
      <c r="CE270" s="345"/>
      <c r="CF270" s="345"/>
      <c r="CG270" s="345"/>
      <c r="CH270" s="345"/>
      <c r="CI270" s="345"/>
      <c r="CJ270" s="345"/>
      <c r="CK270" s="345"/>
      <c r="CL270" s="345"/>
      <c r="CM270" s="345"/>
      <c r="CN270" s="345"/>
      <c r="CO270" s="345"/>
      <c r="CP270" s="345"/>
      <c r="CQ270" s="345"/>
      <c r="CR270" s="345"/>
      <c r="CS270" s="345"/>
      <c r="CT270" s="345"/>
      <c r="CU270" s="345"/>
      <c r="CV270" s="345"/>
      <c r="CW270" s="345"/>
      <c r="CX270" s="345"/>
      <c r="CY270" s="345"/>
      <c r="CZ270" s="345"/>
      <c r="DA270" s="345"/>
      <c r="DB270" s="345"/>
      <c r="DC270" s="345"/>
      <c r="DD270" s="345"/>
      <c r="DE270" s="345"/>
      <c r="DF270" s="345"/>
      <c r="DG270" s="345"/>
      <c r="DH270" s="345"/>
      <c r="DI270" s="345"/>
      <c r="DJ270" s="345"/>
      <c r="DK270" s="345"/>
      <c r="DL270" s="345"/>
      <c r="DM270" s="345"/>
      <c r="DN270" s="345"/>
      <c r="DO270" s="345"/>
      <c r="DP270" s="345"/>
      <c r="DQ270" s="345"/>
      <c r="DR270" s="345"/>
      <c r="DS270" s="345"/>
      <c r="DT270" s="345"/>
      <c r="DU270" s="345"/>
      <c r="DV270" s="345"/>
      <c r="DW270" s="345"/>
      <c r="DX270" s="345"/>
      <c r="DY270" s="345"/>
      <c r="DZ270" s="345"/>
      <c r="EA270" s="345"/>
      <c r="EB270" s="345"/>
      <c r="EC270" s="345"/>
      <c r="ED270" s="345"/>
      <c r="EE270" s="345"/>
      <c r="EF270" s="345"/>
      <c r="EG270" s="345"/>
      <c r="EH270" s="345"/>
      <c r="EI270" s="345"/>
      <c r="EJ270" s="345"/>
      <c r="EK270" s="345"/>
      <c r="EL270" s="345"/>
      <c r="EM270" s="345"/>
      <c r="EN270" s="345"/>
      <c r="EO270" s="345"/>
      <c r="EP270" s="345"/>
      <c r="EQ270" s="345"/>
      <c r="ER270" s="345"/>
      <c r="ES270" s="345"/>
      <c r="ET270" s="345"/>
      <c r="EU270" s="345"/>
      <c r="EV270" s="345"/>
      <c r="EW270" s="345"/>
      <c r="EX270" s="345"/>
      <c r="EY270" s="345"/>
      <c r="EZ270" s="345"/>
      <c r="FA270" s="345"/>
      <c r="FB270" s="345"/>
      <c r="FC270" s="345"/>
      <c r="FD270" s="345"/>
      <c r="FE270" s="345"/>
      <c r="FF270" s="345"/>
      <c r="FG270" s="345"/>
      <c r="FH270" s="345"/>
      <c r="FI270" s="345"/>
      <c r="FJ270" s="345"/>
      <c r="FK270" s="345"/>
      <c r="FL270" s="345"/>
      <c r="FM270" s="345"/>
      <c r="FN270" s="345"/>
      <c r="FO270" s="345"/>
      <c r="FP270" s="345"/>
      <c r="FQ270" s="345"/>
      <c r="FR270" s="345"/>
      <c r="FS270" s="345"/>
      <c r="FT270" s="345"/>
      <c r="FU270" s="345"/>
      <c r="FV270" s="345"/>
      <c r="FW270" s="345"/>
      <c r="FX270" s="345"/>
      <c r="FY270" s="345"/>
      <c r="FZ270" s="345"/>
      <c r="GA270" s="345"/>
      <c r="GB270" s="345"/>
      <c r="GC270" s="345"/>
      <c r="GD270" s="345"/>
      <c r="GE270" s="345"/>
      <c r="GF270" s="345"/>
      <c r="GG270" s="345"/>
      <c r="GH270" s="345"/>
      <c r="GI270" s="345"/>
      <c r="GJ270" s="345"/>
      <c r="GK270" s="345"/>
      <c r="GL270" s="345"/>
      <c r="GM270" s="345"/>
      <c r="GN270" s="345"/>
      <c r="GO270" s="345"/>
      <c r="GP270" s="345"/>
      <c r="GQ270" s="345"/>
      <c r="GR270" s="345"/>
      <c r="GS270" s="345"/>
      <c r="GT270" s="345"/>
      <c r="GU270" s="345"/>
    </row>
    <row r="271" spans="23:203">
      <c r="W271" s="345"/>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c r="AS271" s="345"/>
      <c r="AT271" s="345"/>
      <c r="AU271" s="345"/>
      <c r="AV271" s="345"/>
      <c r="AW271" s="345"/>
      <c r="AX271" s="345"/>
      <c r="AY271" s="345"/>
      <c r="AZ271" s="345"/>
      <c r="BA271" s="345"/>
      <c r="BB271" s="345"/>
      <c r="BC271" s="345"/>
      <c r="BD271" s="345"/>
      <c r="BE271" s="345"/>
      <c r="BF271" s="345"/>
      <c r="BG271" s="345"/>
      <c r="BH271" s="345"/>
      <c r="BI271" s="345"/>
      <c r="BJ271" s="345"/>
      <c r="BK271" s="345"/>
      <c r="BL271" s="345"/>
      <c r="BM271" s="345"/>
      <c r="BN271" s="345"/>
      <c r="BO271" s="345"/>
      <c r="BP271" s="345"/>
      <c r="BQ271" s="345"/>
      <c r="BR271" s="345"/>
      <c r="BS271" s="345"/>
      <c r="BT271" s="345"/>
      <c r="BU271" s="345"/>
      <c r="BV271" s="345"/>
      <c r="BW271" s="345"/>
      <c r="BX271" s="345"/>
      <c r="BY271" s="345"/>
      <c r="BZ271" s="345"/>
      <c r="CA271" s="345"/>
      <c r="CB271" s="345"/>
      <c r="CC271" s="345"/>
      <c r="CD271" s="345"/>
      <c r="CE271" s="345"/>
      <c r="CF271" s="345"/>
      <c r="CG271" s="345"/>
      <c r="CH271" s="345"/>
      <c r="CI271" s="345"/>
      <c r="CJ271" s="345"/>
      <c r="CK271" s="345"/>
      <c r="CL271" s="345"/>
      <c r="CM271" s="345"/>
      <c r="CN271" s="345"/>
      <c r="CO271" s="345"/>
      <c r="CP271" s="345"/>
      <c r="CQ271" s="345"/>
      <c r="CR271" s="345"/>
      <c r="CS271" s="345"/>
      <c r="CT271" s="345"/>
      <c r="CU271" s="345"/>
      <c r="CV271" s="345"/>
      <c r="CW271" s="345"/>
      <c r="CX271" s="345"/>
      <c r="CY271" s="345"/>
      <c r="CZ271" s="345"/>
      <c r="DA271" s="345"/>
      <c r="DB271" s="345"/>
      <c r="DC271" s="345"/>
      <c r="DD271" s="345"/>
      <c r="DE271" s="345"/>
      <c r="DF271" s="345"/>
      <c r="DG271" s="345"/>
      <c r="DH271" s="345"/>
      <c r="DI271" s="345"/>
      <c r="DJ271" s="345"/>
      <c r="DK271" s="345"/>
      <c r="DL271" s="345"/>
      <c r="DM271" s="345"/>
      <c r="DN271" s="345"/>
      <c r="DO271" s="345"/>
      <c r="DP271" s="345"/>
      <c r="DQ271" s="345"/>
      <c r="DR271" s="345"/>
      <c r="DS271" s="345"/>
      <c r="DT271" s="345"/>
      <c r="DU271" s="345"/>
      <c r="DV271" s="345"/>
      <c r="DW271" s="345"/>
      <c r="DX271" s="345"/>
      <c r="DY271" s="345"/>
      <c r="DZ271" s="345"/>
      <c r="EA271" s="345"/>
      <c r="EB271" s="345"/>
      <c r="EC271" s="345"/>
      <c r="ED271" s="345"/>
      <c r="EE271" s="345"/>
      <c r="EF271" s="345"/>
      <c r="EG271" s="345"/>
      <c r="EH271" s="345"/>
      <c r="EI271" s="345"/>
      <c r="EJ271" s="345"/>
      <c r="EK271" s="345"/>
      <c r="EL271" s="345"/>
      <c r="EM271" s="345"/>
      <c r="EN271" s="345"/>
      <c r="EO271" s="345"/>
      <c r="EP271" s="345"/>
      <c r="EQ271" s="345"/>
      <c r="ER271" s="345"/>
      <c r="ES271" s="345"/>
      <c r="ET271" s="345"/>
      <c r="EU271" s="345"/>
      <c r="EV271" s="345"/>
      <c r="EW271" s="345"/>
      <c r="EX271" s="345"/>
      <c r="EY271" s="345"/>
      <c r="EZ271" s="345"/>
      <c r="FA271" s="345"/>
      <c r="FB271" s="345"/>
      <c r="FC271" s="345"/>
      <c r="FD271" s="345"/>
      <c r="FE271" s="345"/>
      <c r="FF271" s="345"/>
      <c r="FG271" s="345"/>
      <c r="FH271" s="345"/>
      <c r="FI271" s="345"/>
      <c r="FJ271" s="345"/>
      <c r="FK271" s="345"/>
      <c r="FL271" s="345"/>
      <c r="FM271" s="345"/>
      <c r="FN271" s="345"/>
      <c r="FO271" s="345"/>
      <c r="FP271" s="345"/>
      <c r="FQ271" s="345"/>
      <c r="FR271" s="345"/>
      <c r="FS271" s="345"/>
      <c r="FT271" s="345"/>
      <c r="FU271" s="345"/>
      <c r="FV271" s="345"/>
      <c r="FW271" s="345"/>
      <c r="FX271" s="345"/>
      <c r="FY271" s="345"/>
      <c r="FZ271" s="345"/>
      <c r="GA271" s="345"/>
      <c r="GB271" s="345"/>
      <c r="GC271" s="345"/>
      <c r="GD271" s="345"/>
      <c r="GE271" s="345"/>
      <c r="GF271" s="345"/>
      <c r="GG271" s="345"/>
      <c r="GH271" s="345"/>
      <c r="GI271" s="345"/>
      <c r="GJ271" s="345"/>
      <c r="GK271" s="345"/>
      <c r="GL271" s="345"/>
      <c r="GM271" s="345"/>
      <c r="GN271" s="345"/>
      <c r="GO271" s="345"/>
      <c r="GP271" s="345"/>
      <c r="GQ271" s="345"/>
      <c r="GR271" s="345"/>
      <c r="GS271" s="345"/>
      <c r="GT271" s="345"/>
      <c r="GU271" s="345"/>
    </row>
    <row r="272" spans="23:203">
      <c r="W272" s="345"/>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c r="AS272" s="345"/>
      <c r="AT272" s="345"/>
      <c r="AU272" s="345"/>
      <c r="AV272" s="345"/>
      <c r="AW272" s="345"/>
      <c r="AX272" s="345"/>
      <c r="AY272" s="345"/>
      <c r="AZ272" s="345"/>
      <c r="BA272" s="345"/>
      <c r="BB272" s="345"/>
      <c r="BC272" s="345"/>
      <c r="BD272" s="345"/>
      <c r="BE272" s="345"/>
      <c r="BF272" s="345"/>
      <c r="BG272" s="345"/>
      <c r="BH272" s="345"/>
      <c r="BI272" s="345"/>
      <c r="BJ272" s="345"/>
      <c r="BK272" s="345"/>
      <c r="BL272" s="345"/>
      <c r="BM272" s="345"/>
      <c r="BN272" s="345"/>
      <c r="BO272" s="345"/>
      <c r="BP272" s="345"/>
      <c r="BQ272" s="345"/>
      <c r="BR272" s="345"/>
      <c r="BS272" s="345"/>
      <c r="BT272" s="345"/>
      <c r="BU272" s="345"/>
      <c r="BV272" s="345"/>
      <c r="BW272" s="345"/>
      <c r="BX272" s="345"/>
      <c r="BY272" s="345"/>
      <c r="BZ272" s="345"/>
      <c r="CA272" s="345"/>
      <c r="CB272" s="345"/>
      <c r="CC272" s="345"/>
      <c r="CD272" s="345"/>
      <c r="CE272" s="345"/>
      <c r="CF272" s="345"/>
      <c r="CG272" s="345"/>
      <c r="CH272" s="345"/>
      <c r="CI272" s="345"/>
      <c r="CJ272" s="345"/>
      <c r="CK272" s="345"/>
      <c r="CL272" s="345"/>
      <c r="CM272" s="345"/>
      <c r="CN272" s="345"/>
      <c r="CO272" s="345"/>
      <c r="CP272" s="345"/>
      <c r="CQ272" s="345"/>
      <c r="CR272" s="345"/>
      <c r="CS272" s="345"/>
      <c r="CT272" s="345"/>
      <c r="CU272" s="345"/>
      <c r="CV272" s="345"/>
      <c r="CW272" s="345"/>
      <c r="CX272" s="345"/>
      <c r="CY272" s="345"/>
      <c r="CZ272" s="345"/>
      <c r="DA272" s="345"/>
      <c r="DB272" s="345"/>
      <c r="DC272" s="345"/>
      <c r="DD272" s="345"/>
      <c r="DE272" s="345"/>
      <c r="DF272" s="345"/>
      <c r="DG272" s="345"/>
      <c r="DH272" s="345"/>
      <c r="DI272" s="345"/>
      <c r="DJ272" s="345"/>
      <c r="DK272" s="345"/>
      <c r="DL272" s="345"/>
      <c r="DM272" s="345"/>
      <c r="DN272" s="345"/>
      <c r="DO272" s="345"/>
      <c r="DP272" s="345"/>
      <c r="DQ272" s="345"/>
      <c r="DR272" s="345"/>
      <c r="DS272" s="345"/>
      <c r="DT272" s="345"/>
      <c r="DU272" s="345"/>
      <c r="DV272" s="345"/>
      <c r="DW272" s="345"/>
      <c r="DX272" s="345"/>
      <c r="DY272" s="345"/>
      <c r="DZ272" s="345"/>
      <c r="EA272" s="345"/>
      <c r="EB272" s="345"/>
      <c r="EC272" s="345"/>
      <c r="ED272" s="345"/>
      <c r="EE272" s="345"/>
      <c r="EF272" s="345"/>
      <c r="EG272" s="345"/>
      <c r="EH272" s="345"/>
      <c r="EI272" s="345"/>
      <c r="EJ272" s="345"/>
      <c r="EK272" s="345"/>
      <c r="EL272" s="345"/>
      <c r="EM272" s="345"/>
      <c r="EN272" s="345"/>
      <c r="EO272" s="345"/>
      <c r="EP272" s="345"/>
      <c r="EQ272" s="345"/>
      <c r="ER272" s="345"/>
      <c r="ES272" s="345"/>
      <c r="ET272" s="345"/>
      <c r="EU272" s="345"/>
      <c r="EV272" s="345"/>
      <c r="EW272" s="345"/>
      <c r="EX272" s="345"/>
      <c r="EY272" s="345"/>
      <c r="EZ272" s="345"/>
      <c r="FA272" s="345"/>
      <c r="FB272" s="345"/>
      <c r="FC272" s="345"/>
      <c r="FD272" s="345"/>
      <c r="FE272" s="345"/>
      <c r="FF272" s="345"/>
      <c r="FG272" s="345"/>
      <c r="FH272" s="345"/>
      <c r="FI272" s="345"/>
      <c r="FJ272" s="345"/>
      <c r="FK272" s="345"/>
      <c r="FL272" s="345"/>
      <c r="FM272" s="345"/>
      <c r="FN272" s="345"/>
      <c r="FO272" s="345"/>
      <c r="FP272" s="345"/>
      <c r="FQ272" s="345"/>
      <c r="FR272" s="345"/>
      <c r="FS272" s="345"/>
      <c r="FT272" s="345"/>
      <c r="FU272" s="345"/>
      <c r="FV272" s="345"/>
      <c r="FW272" s="345"/>
      <c r="FX272" s="345"/>
      <c r="FY272" s="345"/>
      <c r="FZ272" s="345"/>
      <c r="GA272" s="345"/>
      <c r="GB272" s="345"/>
      <c r="GC272" s="345"/>
      <c r="GD272" s="345"/>
      <c r="GE272" s="345"/>
      <c r="GF272" s="345"/>
      <c r="GG272" s="345"/>
      <c r="GH272" s="345"/>
      <c r="GI272" s="345"/>
      <c r="GJ272" s="345"/>
      <c r="GK272" s="345"/>
      <c r="GL272" s="345"/>
      <c r="GM272" s="345"/>
      <c r="GN272" s="345"/>
      <c r="GO272" s="345"/>
      <c r="GP272" s="345"/>
      <c r="GQ272" s="345"/>
      <c r="GR272" s="345"/>
      <c r="GS272" s="345"/>
      <c r="GT272" s="345"/>
      <c r="GU272" s="345"/>
    </row>
    <row r="273" spans="23:203">
      <c r="W273" s="345"/>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c r="BJ273" s="345"/>
      <c r="BK273" s="345"/>
      <c r="BL273" s="345"/>
      <c r="BM273" s="345"/>
      <c r="BN273" s="345"/>
      <c r="BO273" s="345"/>
      <c r="BP273" s="345"/>
      <c r="BQ273" s="345"/>
      <c r="BR273" s="345"/>
      <c r="BS273" s="345"/>
      <c r="BT273" s="345"/>
      <c r="BU273" s="345"/>
      <c r="BV273" s="345"/>
      <c r="BW273" s="345"/>
      <c r="BX273" s="345"/>
      <c r="BY273" s="345"/>
      <c r="BZ273" s="345"/>
      <c r="CA273" s="345"/>
      <c r="CB273" s="345"/>
      <c r="CC273" s="345"/>
      <c r="CD273" s="345"/>
      <c r="CE273" s="345"/>
      <c r="CF273" s="345"/>
      <c r="CG273" s="345"/>
      <c r="CH273" s="345"/>
      <c r="CI273" s="345"/>
      <c r="CJ273" s="345"/>
      <c r="CK273" s="345"/>
      <c r="CL273" s="345"/>
      <c r="CM273" s="345"/>
      <c r="CN273" s="345"/>
      <c r="CO273" s="345"/>
      <c r="CP273" s="345"/>
      <c r="CQ273" s="345"/>
      <c r="CR273" s="345"/>
      <c r="CS273" s="345"/>
      <c r="CT273" s="345"/>
      <c r="CU273" s="345"/>
      <c r="CV273" s="345"/>
      <c r="CW273" s="345"/>
      <c r="CX273" s="345"/>
      <c r="CY273" s="345"/>
      <c r="CZ273" s="345"/>
      <c r="DA273" s="345"/>
      <c r="DB273" s="345"/>
      <c r="DC273" s="345"/>
      <c r="DD273" s="345"/>
      <c r="DE273" s="345"/>
      <c r="DF273" s="345"/>
      <c r="DG273" s="345"/>
      <c r="DH273" s="345"/>
      <c r="DI273" s="345"/>
      <c r="DJ273" s="345"/>
      <c r="DK273" s="345"/>
      <c r="DL273" s="345"/>
      <c r="DM273" s="345"/>
      <c r="DN273" s="345"/>
      <c r="DO273" s="345"/>
      <c r="DP273" s="345"/>
      <c r="DQ273" s="345"/>
      <c r="DR273" s="345"/>
      <c r="DS273" s="345"/>
      <c r="DT273" s="345"/>
      <c r="DU273" s="345"/>
      <c r="DV273" s="345"/>
      <c r="DW273" s="345"/>
      <c r="DX273" s="345"/>
      <c r="DY273" s="345"/>
      <c r="DZ273" s="345"/>
      <c r="EA273" s="345"/>
      <c r="EB273" s="345"/>
      <c r="EC273" s="345"/>
      <c r="ED273" s="345"/>
      <c r="EE273" s="345"/>
      <c r="EF273" s="345"/>
      <c r="EG273" s="345"/>
      <c r="EH273" s="345"/>
      <c r="EI273" s="345"/>
      <c r="EJ273" s="345"/>
      <c r="EK273" s="345"/>
      <c r="EL273" s="345"/>
      <c r="EM273" s="345"/>
      <c r="EN273" s="345"/>
      <c r="EO273" s="345"/>
      <c r="EP273" s="345"/>
      <c r="EQ273" s="345"/>
      <c r="ER273" s="345"/>
      <c r="ES273" s="345"/>
      <c r="ET273" s="345"/>
      <c r="EU273" s="345"/>
      <c r="EV273" s="345"/>
      <c r="EW273" s="345"/>
      <c r="EX273" s="345"/>
      <c r="EY273" s="345"/>
      <c r="EZ273" s="345"/>
      <c r="FA273" s="345"/>
      <c r="FB273" s="345"/>
      <c r="FC273" s="345"/>
      <c r="FD273" s="345"/>
      <c r="FE273" s="345"/>
      <c r="FF273" s="345"/>
      <c r="FG273" s="345"/>
      <c r="FH273" s="345"/>
      <c r="FI273" s="345"/>
      <c r="FJ273" s="345"/>
      <c r="FK273" s="345"/>
      <c r="FL273" s="345"/>
      <c r="FM273" s="345"/>
      <c r="FN273" s="345"/>
      <c r="FO273" s="345"/>
      <c r="FP273" s="345"/>
      <c r="FQ273" s="345"/>
      <c r="FR273" s="345"/>
      <c r="FS273" s="345"/>
      <c r="FT273" s="345"/>
      <c r="FU273" s="345"/>
      <c r="FV273" s="345"/>
      <c r="FW273" s="345"/>
      <c r="FX273" s="345"/>
      <c r="FY273" s="345"/>
      <c r="FZ273" s="345"/>
      <c r="GA273" s="345"/>
      <c r="GB273" s="345"/>
      <c r="GC273" s="345"/>
      <c r="GD273" s="345"/>
      <c r="GE273" s="345"/>
      <c r="GF273" s="345"/>
      <c r="GG273" s="345"/>
      <c r="GH273" s="345"/>
      <c r="GI273" s="345"/>
      <c r="GJ273" s="345"/>
      <c r="GK273" s="345"/>
      <c r="GL273" s="345"/>
      <c r="GM273" s="345"/>
      <c r="GN273" s="345"/>
      <c r="GO273" s="345"/>
      <c r="GP273" s="345"/>
      <c r="GQ273" s="345"/>
      <c r="GR273" s="345"/>
      <c r="GS273" s="345"/>
      <c r="GT273" s="345"/>
      <c r="GU273" s="345"/>
    </row>
    <row r="274" spans="23:203">
      <c r="W274" s="345"/>
      <c r="X274" s="345"/>
      <c r="Y274" s="345"/>
      <c r="Z274" s="345"/>
      <c r="AA274" s="345"/>
      <c r="AB274" s="345"/>
      <c r="AC274" s="345"/>
      <c r="AD274" s="345"/>
      <c r="AE274" s="345"/>
      <c r="AF274" s="345"/>
      <c r="AG274" s="345"/>
      <c r="AH274" s="345"/>
      <c r="AI274" s="345"/>
      <c r="AJ274" s="345"/>
      <c r="AK274" s="345"/>
      <c r="AL274" s="345"/>
      <c r="AM274" s="345"/>
      <c r="AN274" s="345"/>
      <c r="AO274" s="345"/>
      <c r="AP274" s="345"/>
      <c r="AQ274" s="345"/>
      <c r="AR274" s="345"/>
      <c r="AS274" s="345"/>
      <c r="AT274" s="345"/>
      <c r="AU274" s="345"/>
      <c r="AV274" s="345"/>
      <c r="AW274" s="345"/>
      <c r="AX274" s="345"/>
      <c r="AY274" s="345"/>
      <c r="AZ274" s="345"/>
      <c r="BA274" s="345"/>
      <c r="BB274" s="345"/>
      <c r="BC274" s="345"/>
      <c r="BD274" s="345"/>
      <c r="BE274" s="345"/>
      <c r="BF274" s="345"/>
      <c r="BG274" s="345"/>
      <c r="BH274" s="345"/>
      <c r="BI274" s="345"/>
      <c r="BJ274" s="345"/>
      <c r="BK274" s="345"/>
      <c r="BL274" s="345"/>
      <c r="BM274" s="345"/>
      <c r="BN274" s="345"/>
      <c r="BO274" s="345"/>
      <c r="BP274" s="345"/>
      <c r="BQ274" s="345"/>
      <c r="BR274" s="345"/>
      <c r="BS274" s="345"/>
      <c r="BT274" s="345"/>
      <c r="BU274" s="345"/>
      <c r="BV274" s="345"/>
      <c r="BW274" s="345"/>
      <c r="BX274" s="345"/>
      <c r="BY274" s="345"/>
      <c r="BZ274" s="345"/>
      <c r="CA274" s="345"/>
      <c r="CB274" s="345"/>
      <c r="CC274" s="345"/>
      <c r="CD274" s="345"/>
      <c r="CE274" s="345"/>
      <c r="CF274" s="345"/>
      <c r="CG274" s="345"/>
      <c r="CH274" s="345"/>
      <c r="CI274" s="345"/>
      <c r="CJ274" s="345"/>
      <c r="CK274" s="345"/>
      <c r="CL274" s="345"/>
      <c r="CM274" s="345"/>
      <c r="CN274" s="345"/>
      <c r="CO274" s="345"/>
      <c r="CP274" s="345"/>
      <c r="CQ274" s="345"/>
      <c r="CR274" s="345"/>
      <c r="CS274" s="345"/>
      <c r="CT274" s="345"/>
      <c r="CU274" s="345"/>
      <c r="CV274" s="345"/>
      <c r="CW274" s="345"/>
      <c r="CX274" s="345"/>
      <c r="CY274" s="345"/>
      <c r="CZ274" s="345"/>
      <c r="DA274" s="345"/>
      <c r="DB274" s="345"/>
      <c r="DC274" s="345"/>
      <c r="DD274" s="345"/>
      <c r="DE274" s="345"/>
      <c r="DF274" s="345"/>
      <c r="DG274" s="345"/>
      <c r="DH274" s="345"/>
      <c r="DI274" s="345"/>
      <c r="DJ274" s="345"/>
      <c r="DK274" s="345"/>
      <c r="DL274" s="345"/>
      <c r="DM274" s="345"/>
      <c r="DN274" s="345"/>
      <c r="DO274" s="345"/>
      <c r="DP274" s="345"/>
      <c r="DQ274" s="345"/>
      <c r="DR274" s="345"/>
      <c r="DS274" s="345"/>
      <c r="DT274" s="345"/>
      <c r="DU274" s="345"/>
      <c r="DV274" s="345"/>
      <c r="DW274" s="345"/>
      <c r="DX274" s="345"/>
      <c r="DY274" s="345"/>
      <c r="DZ274" s="345"/>
      <c r="EA274" s="345"/>
      <c r="EB274" s="345"/>
      <c r="EC274" s="345"/>
      <c r="ED274" s="345"/>
      <c r="EE274" s="345"/>
      <c r="EF274" s="345"/>
      <c r="EG274" s="345"/>
      <c r="EH274" s="345"/>
      <c r="EI274" s="345"/>
      <c r="EJ274" s="345"/>
      <c r="EK274" s="345"/>
      <c r="EL274" s="345"/>
      <c r="EM274" s="345"/>
      <c r="EN274" s="345"/>
      <c r="EO274" s="345"/>
      <c r="EP274" s="345"/>
      <c r="EQ274" s="345"/>
      <c r="ER274" s="345"/>
      <c r="ES274" s="345"/>
      <c r="ET274" s="345"/>
      <c r="EU274" s="345"/>
      <c r="EV274" s="345"/>
      <c r="EW274" s="345"/>
      <c r="EX274" s="345"/>
      <c r="EY274" s="345"/>
      <c r="EZ274" s="345"/>
      <c r="FA274" s="345"/>
      <c r="FB274" s="345"/>
      <c r="FC274" s="345"/>
      <c r="FD274" s="345"/>
      <c r="FE274" s="345"/>
      <c r="FF274" s="345"/>
      <c r="FG274" s="345"/>
      <c r="FH274" s="345"/>
      <c r="FI274" s="345"/>
      <c r="FJ274" s="345"/>
      <c r="FK274" s="345"/>
      <c r="FL274" s="345"/>
      <c r="FM274" s="345"/>
      <c r="FN274" s="345"/>
      <c r="FO274" s="345"/>
      <c r="FP274" s="345"/>
      <c r="FQ274" s="345"/>
      <c r="FR274" s="345"/>
      <c r="FS274" s="345"/>
      <c r="FT274" s="345"/>
      <c r="FU274" s="345"/>
      <c r="FV274" s="345"/>
      <c r="FW274" s="345"/>
      <c r="FX274" s="345"/>
      <c r="FY274" s="345"/>
      <c r="FZ274" s="345"/>
      <c r="GA274" s="345"/>
      <c r="GB274" s="345"/>
      <c r="GC274" s="345"/>
      <c r="GD274" s="345"/>
      <c r="GE274" s="345"/>
      <c r="GF274" s="345"/>
      <c r="GG274" s="345"/>
      <c r="GH274" s="345"/>
      <c r="GI274" s="345"/>
      <c r="GJ274" s="345"/>
      <c r="GK274" s="345"/>
      <c r="GL274" s="345"/>
      <c r="GM274" s="345"/>
      <c r="GN274" s="345"/>
      <c r="GO274" s="345"/>
      <c r="GP274" s="345"/>
      <c r="GQ274" s="345"/>
      <c r="GR274" s="345"/>
      <c r="GS274" s="345"/>
      <c r="GT274" s="345"/>
      <c r="GU274" s="345"/>
    </row>
    <row r="275" spans="23:203">
      <c r="W275" s="345"/>
      <c r="X275" s="345"/>
      <c r="Y275" s="345"/>
      <c r="Z275" s="345"/>
      <c r="AA275" s="345"/>
      <c r="AB275" s="345"/>
      <c r="AC275" s="345"/>
      <c r="AD275" s="345"/>
      <c r="AE275" s="345"/>
      <c r="AF275" s="345"/>
      <c r="AG275" s="345"/>
      <c r="AH275" s="345"/>
      <c r="AI275" s="345"/>
      <c r="AJ275" s="345"/>
      <c r="AK275" s="345"/>
      <c r="AL275" s="345"/>
      <c r="AM275" s="345"/>
      <c r="AN275" s="345"/>
      <c r="AO275" s="345"/>
      <c r="AP275" s="345"/>
      <c r="AQ275" s="345"/>
      <c r="AR275" s="345"/>
      <c r="AS275" s="345"/>
      <c r="AT275" s="345"/>
      <c r="AU275" s="345"/>
      <c r="AV275" s="345"/>
      <c r="AW275" s="345"/>
      <c r="AX275" s="345"/>
      <c r="AY275" s="345"/>
      <c r="AZ275" s="345"/>
      <c r="BA275" s="345"/>
      <c r="BB275" s="345"/>
      <c r="BC275" s="345"/>
      <c r="BD275" s="345"/>
      <c r="BE275" s="345"/>
      <c r="BF275" s="345"/>
      <c r="BG275" s="345"/>
      <c r="BH275" s="345"/>
      <c r="BI275" s="345"/>
      <c r="BJ275" s="345"/>
      <c r="BK275" s="345"/>
      <c r="BL275" s="345"/>
      <c r="BM275" s="345"/>
      <c r="BN275" s="345"/>
      <c r="BO275" s="345"/>
      <c r="BP275" s="345"/>
      <c r="BQ275" s="345"/>
      <c r="BR275" s="345"/>
      <c r="BS275" s="345"/>
      <c r="BT275" s="345"/>
      <c r="BU275" s="345"/>
      <c r="BV275" s="345"/>
      <c r="BW275" s="345"/>
      <c r="BX275" s="345"/>
      <c r="BY275" s="345"/>
      <c r="BZ275" s="345"/>
      <c r="CA275" s="345"/>
      <c r="CB275" s="345"/>
      <c r="CC275" s="345"/>
      <c r="CD275" s="345"/>
      <c r="CE275" s="345"/>
      <c r="CF275" s="345"/>
      <c r="CG275" s="345"/>
      <c r="CH275" s="345"/>
      <c r="CI275" s="345"/>
      <c r="CJ275" s="345"/>
      <c r="CK275" s="345"/>
      <c r="CL275" s="345"/>
      <c r="CM275" s="345"/>
      <c r="CN275" s="345"/>
      <c r="CO275" s="345"/>
      <c r="CP275" s="345"/>
      <c r="CQ275" s="345"/>
      <c r="CR275" s="345"/>
      <c r="CS275" s="345"/>
      <c r="CT275" s="345"/>
      <c r="CU275" s="345"/>
      <c r="CV275" s="345"/>
      <c r="CW275" s="345"/>
      <c r="CX275" s="345"/>
      <c r="CY275" s="345"/>
      <c r="CZ275" s="345"/>
      <c r="DA275" s="345"/>
      <c r="DB275" s="345"/>
      <c r="DC275" s="345"/>
      <c r="DD275" s="345"/>
      <c r="DE275" s="345"/>
      <c r="DF275" s="345"/>
      <c r="DG275" s="345"/>
      <c r="DH275" s="345"/>
      <c r="DI275" s="345"/>
      <c r="DJ275" s="345"/>
      <c r="DK275" s="345"/>
      <c r="DL275" s="345"/>
      <c r="DM275" s="345"/>
      <c r="DN275" s="345"/>
      <c r="DO275" s="345"/>
      <c r="DP275" s="345"/>
      <c r="DQ275" s="345"/>
      <c r="DR275" s="345"/>
      <c r="DS275" s="345"/>
      <c r="DT275" s="345"/>
      <c r="DU275" s="345"/>
      <c r="DV275" s="345"/>
      <c r="DW275" s="345"/>
      <c r="DX275" s="345"/>
      <c r="DY275" s="345"/>
      <c r="DZ275" s="345"/>
      <c r="EA275" s="345"/>
      <c r="EB275" s="345"/>
      <c r="EC275" s="345"/>
      <c r="ED275" s="345"/>
      <c r="EE275" s="345"/>
      <c r="EF275" s="345"/>
      <c r="EG275" s="345"/>
      <c r="EH275" s="345"/>
      <c r="EI275" s="345"/>
      <c r="EJ275" s="345"/>
      <c r="EK275" s="345"/>
      <c r="EL275" s="345"/>
      <c r="EM275" s="345"/>
      <c r="EN275" s="345"/>
      <c r="EO275" s="345"/>
      <c r="EP275" s="345"/>
      <c r="EQ275" s="345"/>
      <c r="ER275" s="345"/>
      <c r="ES275" s="345"/>
      <c r="ET275" s="345"/>
      <c r="EU275" s="345"/>
      <c r="EV275" s="345"/>
      <c r="EW275" s="345"/>
      <c r="EX275" s="345"/>
      <c r="EY275" s="345"/>
      <c r="EZ275" s="345"/>
      <c r="FA275" s="345"/>
      <c r="FB275" s="345"/>
      <c r="FC275" s="345"/>
      <c r="FD275" s="345"/>
      <c r="FE275" s="345"/>
      <c r="FF275" s="345"/>
      <c r="FG275" s="345"/>
      <c r="FH275" s="345"/>
      <c r="FI275" s="345"/>
      <c r="FJ275" s="345"/>
      <c r="FK275" s="345"/>
      <c r="FL275" s="345"/>
      <c r="FM275" s="345"/>
      <c r="FN275" s="345"/>
      <c r="FO275" s="345"/>
      <c r="FP275" s="345"/>
      <c r="FQ275" s="345"/>
      <c r="FR275" s="345"/>
      <c r="FS275" s="345"/>
      <c r="FT275" s="345"/>
      <c r="FU275" s="345"/>
      <c r="FV275" s="345"/>
      <c r="FW275" s="345"/>
      <c r="FX275" s="345"/>
      <c r="FY275" s="345"/>
      <c r="FZ275" s="345"/>
      <c r="GA275" s="345"/>
      <c r="GB275" s="345"/>
      <c r="GC275" s="345"/>
      <c r="GD275" s="345"/>
      <c r="GE275" s="345"/>
      <c r="GF275" s="345"/>
      <c r="GG275" s="345"/>
      <c r="GH275" s="345"/>
      <c r="GI275" s="345"/>
      <c r="GJ275" s="345"/>
      <c r="GK275" s="345"/>
      <c r="GL275" s="345"/>
      <c r="GM275" s="345"/>
      <c r="GN275" s="345"/>
      <c r="GO275" s="345"/>
      <c r="GP275" s="345"/>
      <c r="GQ275" s="345"/>
      <c r="GR275" s="345"/>
      <c r="GS275" s="345"/>
      <c r="GT275" s="345"/>
      <c r="GU275" s="345"/>
    </row>
    <row r="276" spans="23:203">
      <c r="W276" s="345"/>
      <c r="X276" s="345"/>
      <c r="Y276" s="345"/>
      <c r="Z276" s="345"/>
      <c r="AA276" s="345"/>
      <c r="AB276" s="345"/>
      <c r="AC276" s="345"/>
      <c r="AD276" s="345"/>
      <c r="AE276" s="345"/>
      <c r="AF276" s="345"/>
      <c r="AG276" s="345"/>
      <c r="AH276" s="345"/>
      <c r="AI276" s="345"/>
      <c r="AJ276" s="345"/>
      <c r="AK276" s="345"/>
      <c r="AL276" s="345"/>
      <c r="AM276" s="345"/>
      <c r="AN276" s="345"/>
      <c r="AO276" s="345"/>
      <c r="AP276" s="345"/>
      <c r="AQ276" s="345"/>
      <c r="AR276" s="345"/>
      <c r="AS276" s="345"/>
      <c r="AT276" s="345"/>
      <c r="AU276" s="345"/>
      <c r="AV276" s="345"/>
      <c r="AW276" s="345"/>
      <c r="AX276" s="345"/>
      <c r="AY276" s="345"/>
      <c r="AZ276" s="345"/>
      <c r="BA276" s="345"/>
      <c r="BB276" s="345"/>
      <c r="BC276" s="345"/>
      <c r="BD276" s="345"/>
      <c r="BE276" s="345"/>
      <c r="BF276" s="345"/>
      <c r="BG276" s="345"/>
      <c r="BH276" s="345"/>
      <c r="BI276" s="345"/>
      <c r="BJ276" s="345"/>
      <c r="BK276" s="345"/>
      <c r="BL276" s="345"/>
      <c r="BM276" s="345"/>
      <c r="BN276" s="345"/>
      <c r="BO276" s="345"/>
      <c r="BP276" s="345"/>
      <c r="BQ276" s="345"/>
      <c r="BR276" s="345"/>
      <c r="BS276" s="345"/>
      <c r="BT276" s="345"/>
      <c r="BU276" s="345"/>
      <c r="BV276" s="345"/>
      <c r="BW276" s="345"/>
      <c r="BX276" s="345"/>
      <c r="BY276" s="345"/>
      <c r="BZ276" s="345"/>
      <c r="CA276" s="345"/>
      <c r="CB276" s="345"/>
      <c r="CC276" s="345"/>
      <c r="CD276" s="345"/>
      <c r="CE276" s="345"/>
      <c r="CF276" s="345"/>
      <c r="CG276" s="345"/>
      <c r="CH276" s="345"/>
      <c r="CI276" s="345"/>
      <c r="CJ276" s="345"/>
      <c r="CK276" s="345"/>
      <c r="CL276" s="345"/>
      <c r="CM276" s="345"/>
      <c r="CN276" s="345"/>
      <c r="CO276" s="345"/>
      <c r="CP276" s="345"/>
      <c r="CQ276" s="345"/>
      <c r="CR276" s="345"/>
      <c r="CS276" s="345"/>
      <c r="CT276" s="345"/>
      <c r="CU276" s="345"/>
      <c r="CV276" s="345"/>
      <c r="CW276" s="345"/>
      <c r="CX276" s="345"/>
      <c r="CY276" s="345"/>
      <c r="CZ276" s="345"/>
      <c r="DA276" s="345"/>
      <c r="DB276" s="345"/>
      <c r="DC276" s="345"/>
      <c r="DD276" s="345"/>
      <c r="DE276" s="345"/>
      <c r="DF276" s="345"/>
      <c r="DG276" s="345"/>
      <c r="DH276" s="345"/>
      <c r="DI276" s="345"/>
      <c r="DJ276" s="345"/>
      <c r="DK276" s="345"/>
      <c r="DL276" s="345"/>
      <c r="DM276" s="345"/>
      <c r="DN276" s="345"/>
      <c r="DO276" s="345"/>
      <c r="DP276" s="345"/>
      <c r="DQ276" s="345"/>
      <c r="DR276" s="345"/>
      <c r="DS276" s="345"/>
      <c r="DT276" s="345"/>
      <c r="DU276" s="345"/>
      <c r="DV276" s="345"/>
      <c r="DW276" s="345"/>
      <c r="DX276" s="345"/>
      <c r="DY276" s="345"/>
      <c r="DZ276" s="345"/>
      <c r="EA276" s="345"/>
      <c r="EB276" s="345"/>
      <c r="EC276" s="345"/>
      <c r="ED276" s="345"/>
      <c r="EE276" s="345"/>
      <c r="EF276" s="345"/>
      <c r="EG276" s="345"/>
      <c r="EH276" s="345"/>
      <c r="EI276" s="345"/>
      <c r="EJ276" s="345"/>
      <c r="EK276" s="345"/>
      <c r="EL276" s="345"/>
      <c r="EM276" s="345"/>
      <c r="EN276" s="345"/>
      <c r="EO276" s="345"/>
      <c r="EP276" s="345"/>
      <c r="EQ276" s="345"/>
      <c r="ER276" s="345"/>
      <c r="ES276" s="345"/>
      <c r="ET276" s="345"/>
      <c r="EU276" s="345"/>
      <c r="EV276" s="345"/>
      <c r="EW276" s="345"/>
      <c r="EX276" s="345"/>
      <c r="EY276" s="345"/>
      <c r="EZ276" s="345"/>
      <c r="FA276" s="345"/>
      <c r="FB276" s="345"/>
      <c r="FC276" s="345"/>
      <c r="FD276" s="345"/>
      <c r="FE276" s="345"/>
      <c r="FF276" s="345"/>
      <c r="FG276" s="345"/>
      <c r="FH276" s="345"/>
      <c r="FI276" s="345"/>
      <c r="FJ276" s="345"/>
      <c r="FK276" s="345"/>
      <c r="FL276" s="345"/>
      <c r="FM276" s="345"/>
      <c r="FN276" s="345"/>
      <c r="FO276" s="345"/>
      <c r="FP276" s="345"/>
      <c r="FQ276" s="345"/>
      <c r="FR276" s="345"/>
      <c r="FS276" s="345"/>
      <c r="FT276" s="345"/>
      <c r="FU276" s="345"/>
      <c r="FV276" s="345"/>
      <c r="FW276" s="345"/>
      <c r="FX276" s="345"/>
      <c r="FY276" s="345"/>
      <c r="FZ276" s="345"/>
      <c r="GA276" s="345"/>
      <c r="GB276" s="345"/>
      <c r="GC276" s="345"/>
      <c r="GD276" s="345"/>
      <c r="GE276" s="345"/>
      <c r="GF276" s="345"/>
      <c r="GG276" s="345"/>
      <c r="GH276" s="345"/>
      <c r="GI276" s="345"/>
      <c r="GJ276" s="345"/>
      <c r="GK276" s="345"/>
      <c r="GL276" s="345"/>
      <c r="GM276" s="345"/>
      <c r="GN276" s="345"/>
      <c r="GO276" s="345"/>
      <c r="GP276" s="345"/>
      <c r="GQ276" s="345"/>
      <c r="GR276" s="345"/>
      <c r="GS276" s="345"/>
      <c r="GT276" s="345"/>
      <c r="GU276" s="345"/>
    </row>
    <row r="277" spans="23:203">
      <c r="W277" s="345"/>
      <c r="X277" s="345"/>
      <c r="Y277" s="345"/>
      <c r="Z277" s="345"/>
      <c r="AA277" s="345"/>
      <c r="AB277" s="345"/>
      <c r="AC277" s="345"/>
      <c r="AD277" s="345"/>
      <c r="AE277" s="345"/>
      <c r="AF277" s="345"/>
      <c r="AG277" s="345"/>
      <c r="AH277" s="345"/>
      <c r="AI277" s="345"/>
      <c r="AJ277" s="345"/>
      <c r="AK277" s="345"/>
      <c r="AL277" s="345"/>
      <c r="AM277" s="345"/>
      <c r="AN277" s="345"/>
      <c r="AO277" s="345"/>
      <c r="AP277" s="345"/>
      <c r="AQ277" s="345"/>
      <c r="AR277" s="345"/>
      <c r="AS277" s="345"/>
      <c r="AT277" s="345"/>
      <c r="AU277" s="345"/>
      <c r="AV277" s="345"/>
      <c r="AW277" s="345"/>
      <c r="AX277" s="345"/>
      <c r="AY277" s="345"/>
      <c r="AZ277" s="345"/>
      <c r="BA277" s="345"/>
      <c r="BB277" s="345"/>
      <c r="BC277" s="345"/>
      <c r="BD277" s="345"/>
      <c r="BE277" s="345"/>
      <c r="BF277" s="345"/>
      <c r="BG277" s="345"/>
      <c r="BH277" s="345"/>
      <c r="BI277" s="345"/>
      <c r="BJ277" s="345"/>
      <c r="BK277" s="345"/>
      <c r="BL277" s="345"/>
      <c r="BM277" s="345"/>
      <c r="BN277" s="345"/>
      <c r="BO277" s="345"/>
      <c r="BP277" s="345"/>
      <c r="BQ277" s="345"/>
      <c r="BR277" s="345"/>
      <c r="BS277" s="345"/>
      <c r="BT277" s="345"/>
      <c r="BU277" s="345"/>
      <c r="BV277" s="345"/>
      <c r="BW277" s="345"/>
      <c r="BX277" s="345"/>
      <c r="BY277" s="345"/>
      <c r="BZ277" s="345"/>
      <c r="CA277" s="345"/>
      <c r="CB277" s="345"/>
      <c r="CC277" s="345"/>
      <c r="CD277" s="345"/>
      <c r="CE277" s="345"/>
      <c r="CF277" s="345"/>
      <c r="CG277" s="345"/>
      <c r="CH277" s="345"/>
      <c r="CI277" s="345"/>
      <c r="CJ277" s="345"/>
      <c r="CK277" s="345"/>
      <c r="CL277" s="345"/>
      <c r="CM277" s="345"/>
      <c r="CN277" s="345"/>
      <c r="CO277" s="345"/>
      <c r="CP277" s="345"/>
      <c r="CQ277" s="345"/>
      <c r="CR277" s="345"/>
      <c r="CS277" s="345"/>
      <c r="CT277" s="345"/>
      <c r="CU277" s="345"/>
      <c r="CV277" s="345"/>
      <c r="CW277" s="345"/>
      <c r="CX277" s="345"/>
      <c r="CY277" s="345"/>
      <c r="CZ277" s="345"/>
      <c r="DA277" s="345"/>
      <c r="DB277" s="345"/>
      <c r="DC277" s="345"/>
      <c r="DD277" s="345"/>
      <c r="DE277" s="345"/>
      <c r="DF277" s="345"/>
      <c r="DG277" s="345"/>
      <c r="DH277" s="345"/>
      <c r="DI277" s="345"/>
      <c r="DJ277" s="345"/>
      <c r="DK277" s="345"/>
      <c r="DL277" s="345"/>
      <c r="DM277" s="345"/>
      <c r="DN277" s="345"/>
      <c r="DO277" s="345"/>
      <c r="DP277" s="345"/>
      <c r="DQ277" s="345"/>
      <c r="DR277" s="345"/>
      <c r="DS277" s="345"/>
      <c r="DT277" s="345"/>
      <c r="DU277" s="345"/>
      <c r="DV277" s="345"/>
      <c r="DW277" s="345"/>
      <c r="DX277" s="345"/>
      <c r="DY277" s="345"/>
      <c r="DZ277" s="345"/>
      <c r="EA277" s="345"/>
      <c r="EB277" s="345"/>
      <c r="EC277" s="345"/>
      <c r="ED277" s="345"/>
      <c r="EE277" s="345"/>
      <c r="EF277" s="345"/>
      <c r="EG277" s="345"/>
      <c r="EH277" s="345"/>
      <c r="EI277" s="345"/>
      <c r="EJ277" s="345"/>
      <c r="EK277" s="345"/>
      <c r="EL277" s="345"/>
      <c r="EM277" s="345"/>
      <c r="EN277" s="345"/>
      <c r="EO277" s="345"/>
      <c r="EP277" s="345"/>
      <c r="EQ277" s="345"/>
      <c r="ER277" s="345"/>
      <c r="ES277" s="345"/>
      <c r="ET277" s="345"/>
      <c r="EU277" s="345"/>
      <c r="EV277" s="345"/>
      <c r="EW277" s="345"/>
      <c r="EX277" s="345"/>
      <c r="EY277" s="345"/>
      <c r="EZ277" s="345"/>
      <c r="FA277" s="345"/>
      <c r="FB277" s="345"/>
      <c r="FC277" s="345"/>
      <c r="FD277" s="345"/>
      <c r="FE277" s="345"/>
      <c r="FF277" s="345"/>
      <c r="FG277" s="345"/>
      <c r="FH277" s="345"/>
      <c r="FI277" s="345"/>
      <c r="FJ277" s="345"/>
      <c r="FK277" s="345"/>
      <c r="FL277" s="345"/>
      <c r="FM277" s="345"/>
      <c r="FN277" s="345"/>
      <c r="FO277" s="345"/>
      <c r="FP277" s="345"/>
      <c r="FQ277" s="345"/>
      <c r="FR277" s="345"/>
      <c r="FS277" s="345"/>
      <c r="FT277" s="345"/>
      <c r="FU277" s="345"/>
      <c r="FV277" s="345"/>
      <c r="FW277" s="345"/>
      <c r="FX277" s="345"/>
      <c r="FY277" s="345"/>
      <c r="FZ277" s="345"/>
      <c r="GA277" s="345"/>
      <c r="GB277" s="345"/>
      <c r="GC277" s="345"/>
      <c r="GD277" s="345"/>
      <c r="GE277" s="345"/>
      <c r="GF277" s="345"/>
      <c r="GG277" s="345"/>
      <c r="GH277" s="345"/>
      <c r="GI277" s="345"/>
      <c r="GJ277" s="345"/>
      <c r="GK277" s="345"/>
      <c r="GL277" s="345"/>
      <c r="GM277" s="345"/>
      <c r="GN277" s="345"/>
      <c r="GO277" s="345"/>
      <c r="GP277" s="345"/>
      <c r="GQ277" s="345"/>
      <c r="GR277" s="345"/>
      <c r="GS277" s="345"/>
      <c r="GT277" s="345"/>
      <c r="GU277" s="345"/>
    </row>
    <row r="278" spans="23:203">
      <c r="W278" s="345"/>
      <c r="X278" s="345"/>
      <c r="Y278" s="345"/>
      <c r="Z278" s="345"/>
      <c r="AA278" s="345"/>
      <c r="AB278" s="345"/>
      <c r="AC278" s="345"/>
      <c r="AD278" s="345"/>
      <c r="AE278" s="345"/>
      <c r="AF278" s="345"/>
      <c r="AG278" s="345"/>
      <c r="AH278" s="345"/>
      <c r="AI278" s="345"/>
      <c r="AJ278" s="345"/>
      <c r="AK278" s="345"/>
      <c r="AL278" s="345"/>
      <c r="AM278" s="345"/>
      <c r="AN278" s="345"/>
      <c r="AO278" s="345"/>
      <c r="AP278" s="345"/>
      <c r="AQ278" s="345"/>
      <c r="AR278" s="345"/>
      <c r="AS278" s="345"/>
      <c r="AT278" s="345"/>
      <c r="AU278" s="345"/>
      <c r="AV278" s="345"/>
      <c r="AW278" s="345"/>
      <c r="AX278" s="345"/>
      <c r="AY278" s="345"/>
      <c r="AZ278" s="345"/>
      <c r="BA278" s="345"/>
      <c r="BB278" s="345"/>
      <c r="BC278" s="345"/>
      <c r="BD278" s="345"/>
      <c r="BE278" s="345"/>
      <c r="BF278" s="345"/>
      <c r="BG278" s="345"/>
      <c r="BH278" s="345"/>
      <c r="BI278" s="345"/>
      <c r="BJ278" s="345"/>
      <c r="BK278" s="345"/>
      <c r="BL278" s="345"/>
      <c r="BM278" s="345"/>
      <c r="BN278" s="345"/>
      <c r="BO278" s="345"/>
      <c r="BP278" s="345"/>
      <c r="BQ278" s="345"/>
      <c r="BR278" s="345"/>
      <c r="BS278" s="345"/>
      <c r="BT278" s="345"/>
      <c r="BU278" s="345"/>
      <c r="BV278" s="345"/>
      <c r="BW278" s="345"/>
      <c r="BX278" s="345"/>
      <c r="BY278" s="345"/>
      <c r="BZ278" s="345"/>
      <c r="CA278" s="345"/>
      <c r="CB278" s="345"/>
      <c r="CC278" s="345"/>
      <c r="CD278" s="345"/>
      <c r="CE278" s="345"/>
      <c r="CF278" s="345"/>
      <c r="CG278" s="345"/>
      <c r="CH278" s="345"/>
      <c r="CI278" s="345"/>
      <c r="CJ278" s="345"/>
      <c r="CK278" s="345"/>
      <c r="CL278" s="345"/>
      <c r="CM278" s="345"/>
      <c r="CN278" s="345"/>
      <c r="CO278" s="345"/>
      <c r="CP278" s="345"/>
      <c r="CQ278" s="345"/>
      <c r="CR278" s="345"/>
      <c r="CS278" s="345"/>
      <c r="CT278" s="345"/>
      <c r="CU278" s="345"/>
      <c r="CV278" s="345"/>
      <c r="CW278" s="345"/>
      <c r="CX278" s="345"/>
      <c r="CY278" s="345"/>
      <c r="CZ278" s="345"/>
      <c r="DA278" s="345"/>
      <c r="DB278" s="345"/>
      <c r="DC278" s="345"/>
      <c r="DD278" s="345"/>
      <c r="DE278" s="345"/>
      <c r="DF278" s="345"/>
      <c r="DG278" s="345"/>
      <c r="DH278" s="345"/>
      <c r="DI278" s="345"/>
      <c r="DJ278" s="345"/>
      <c r="DK278" s="345"/>
      <c r="DL278" s="345"/>
      <c r="DM278" s="345"/>
      <c r="DN278" s="345"/>
      <c r="DO278" s="345"/>
      <c r="DP278" s="345"/>
      <c r="DQ278" s="345"/>
      <c r="DR278" s="345"/>
      <c r="DS278" s="345"/>
      <c r="DT278" s="345"/>
      <c r="DU278" s="345"/>
      <c r="DV278" s="345"/>
      <c r="DW278" s="345"/>
      <c r="DX278" s="345"/>
      <c r="DY278" s="345"/>
      <c r="DZ278" s="345"/>
      <c r="EA278" s="345"/>
      <c r="EB278" s="345"/>
      <c r="EC278" s="345"/>
      <c r="ED278" s="345"/>
      <c r="EE278" s="345"/>
      <c r="EF278" s="345"/>
      <c r="EG278" s="345"/>
      <c r="EH278" s="345"/>
      <c r="EI278" s="345"/>
      <c r="EJ278" s="345"/>
      <c r="EK278" s="345"/>
      <c r="EL278" s="345"/>
      <c r="EM278" s="345"/>
      <c r="EN278" s="345"/>
      <c r="EO278" s="345"/>
      <c r="EP278" s="345"/>
      <c r="EQ278" s="345"/>
      <c r="ER278" s="345"/>
      <c r="ES278" s="345"/>
      <c r="ET278" s="345"/>
      <c r="EU278" s="345"/>
      <c r="EV278" s="345"/>
      <c r="EW278" s="345"/>
      <c r="EX278" s="345"/>
      <c r="EY278" s="345"/>
      <c r="EZ278" s="345"/>
      <c r="FA278" s="345"/>
      <c r="FB278" s="345"/>
      <c r="FC278" s="345"/>
      <c r="FD278" s="345"/>
      <c r="FE278" s="345"/>
      <c r="FF278" s="345"/>
      <c r="FG278" s="345"/>
      <c r="FH278" s="345"/>
      <c r="FI278" s="345"/>
      <c r="FJ278" s="345"/>
      <c r="FK278" s="345"/>
      <c r="FL278" s="345"/>
      <c r="FM278" s="345"/>
      <c r="FN278" s="345"/>
      <c r="FO278" s="345"/>
      <c r="FP278" s="345"/>
      <c r="FQ278" s="345"/>
      <c r="FR278" s="345"/>
      <c r="FS278" s="345"/>
      <c r="FT278" s="345"/>
      <c r="FU278" s="345"/>
      <c r="FV278" s="345"/>
      <c r="FW278" s="345"/>
      <c r="FX278" s="345"/>
      <c r="FY278" s="345"/>
      <c r="FZ278" s="345"/>
      <c r="GA278" s="345"/>
      <c r="GB278" s="345"/>
      <c r="GC278" s="345"/>
      <c r="GD278" s="345"/>
      <c r="GE278" s="345"/>
      <c r="GF278" s="345"/>
      <c r="GG278" s="345"/>
      <c r="GH278" s="345"/>
      <c r="GI278" s="345"/>
      <c r="GJ278" s="345"/>
      <c r="GK278" s="345"/>
      <c r="GL278" s="345"/>
      <c r="GM278" s="345"/>
      <c r="GN278" s="345"/>
      <c r="GO278" s="345"/>
      <c r="GP278" s="345"/>
      <c r="GQ278" s="345"/>
      <c r="GR278" s="345"/>
      <c r="GS278" s="345"/>
      <c r="GT278" s="345"/>
      <c r="GU278" s="345"/>
    </row>
    <row r="279" spans="23:203">
      <c r="W279" s="345"/>
      <c r="X279" s="345"/>
      <c r="Y279" s="345"/>
      <c r="Z279" s="345"/>
      <c r="AA279" s="345"/>
      <c r="AB279" s="345"/>
      <c r="AC279" s="345"/>
      <c r="AD279" s="345"/>
      <c r="AE279" s="345"/>
      <c r="AF279" s="345"/>
      <c r="AG279" s="345"/>
      <c r="AH279" s="345"/>
      <c r="AI279" s="345"/>
      <c r="AJ279" s="345"/>
      <c r="AK279" s="345"/>
      <c r="AL279" s="345"/>
      <c r="AM279" s="345"/>
      <c r="AN279" s="345"/>
      <c r="AO279" s="345"/>
      <c r="AP279" s="345"/>
      <c r="AQ279" s="345"/>
      <c r="AR279" s="345"/>
      <c r="AS279" s="345"/>
      <c r="AT279" s="345"/>
      <c r="AU279" s="345"/>
      <c r="AV279" s="345"/>
      <c r="AW279" s="345"/>
      <c r="AX279" s="345"/>
      <c r="AY279" s="345"/>
      <c r="AZ279" s="345"/>
      <c r="BA279" s="345"/>
      <c r="BB279" s="345"/>
      <c r="BC279" s="345"/>
      <c r="BD279" s="345"/>
      <c r="BE279" s="345"/>
      <c r="BF279" s="345"/>
      <c r="BG279" s="345"/>
      <c r="BH279" s="345"/>
      <c r="BI279" s="345"/>
      <c r="BJ279" s="345"/>
      <c r="BK279" s="345"/>
      <c r="BL279" s="345"/>
      <c r="BM279" s="345"/>
      <c r="BN279" s="345"/>
      <c r="BO279" s="345"/>
      <c r="BP279" s="345"/>
      <c r="BQ279" s="345"/>
      <c r="BR279" s="345"/>
      <c r="BS279" s="345"/>
      <c r="BT279" s="345"/>
      <c r="BU279" s="345"/>
      <c r="BV279" s="345"/>
      <c r="BW279" s="345"/>
      <c r="BX279" s="345"/>
      <c r="BY279" s="345"/>
      <c r="BZ279" s="345"/>
      <c r="CA279" s="345"/>
      <c r="CB279" s="345"/>
      <c r="CC279" s="345"/>
      <c r="CD279" s="345"/>
      <c r="CE279" s="345"/>
      <c r="CF279" s="345"/>
      <c r="CG279" s="345"/>
      <c r="CH279" s="345"/>
      <c r="CI279" s="345"/>
      <c r="CJ279" s="345"/>
      <c r="CK279" s="345"/>
      <c r="CL279" s="345"/>
      <c r="CM279" s="345"/>
      <c r="CN279" s="345"/>
      <c r="CO279" s="345"/>
      <c r="CP279" s="345"/>
      <c r="CQ279" s="345"/>
      <c r="CR279" s="345"/>
      <c r="CS279" s="345"/>
      <c r="CT279" s="345"/>
      <c r="CU279" s="345"/>
      <c r="CV279" s="345"/>
      <c r="CW279" s="345"/>
      <c r="CX279" s="345"/>
      <c r="CY279" s="345"/>
      <c r="CZ279" s="345"/>
      <c r="DA279" s="345"/>
      <c r="DB279" s="345"/>
      <c r="DC279" s="345"/>
      <c r="DD279" s="345"/>
      <c r="DE279" s="345"/>
      <c r="DF279" s="345"/>
      <c r="DG279" s="345"/>
      <c r="DH279" s="345"/>
      <c r="DI279" s="345"/>
      <c r="DJ279" s="345"/>
      <c r="DK279" s="345"/>
      <c r="DL279" s="345"/>
      <c r="DM279" s="345"/>
      <c r="DN279" s="345"/>
      <c r="DO279" s="345"/>
      <c r="DP279" s="345"/>
      <c r="DQ279" s="345"/>
      <c r="DR279" s="345"/>
      <c r="DS279" s="345"/>
      <c r="DT279" s="345"/>
      <c r="DU279" s="345"/>
      <c r="DV279" s="345"/>
      <c r="DW279" s="345"/>
      <c r="DX279" s="345"/>
      <c r="DY279" s="345"/>
      <c r="DZ279" s="345"/>
      <c r="EA279" s="345"/>
      <c r="EB279" s="345"/>
      <c r="EC279" s="345"/>
      <c r="ED279" s="345"/>
      <c r="EE279" s="345"/>
      <c r="EF279" s="345"/>
      <c r="EG279" s="345"/>
      <c r="EH279" s="345"/>
      <c r="EI279" s="345"/>
      <c r="EJ279" s="345"/>
      <c r="EK279" s="345"/>
      <c r="EL279" s="345"/>
      <c r="EM279" s="345"/>
      <c r="EN279" s="345"/>
      <c r="EO279" s="345"/>
      <c r="EP279" s="345"/>
      <c r="EQ279" s="345"/>
      <c r="ER279" s="345"/>
      <c r="ES279" s="345"/>
      <c r="ET279" s="345"/>
      <c r="EU279" s="345"/>
      <c r="EV279" s="345"/>
      <c r="EW279" s="345"/>
      <c r="EX279" s="345"/>
      <c r="EY279" s="345"/>
      <c r="EZ279" s="345"/>
      <c r="FA279" s="345"/>
      <c r="FB279" s="345"/>
      <c r="FC279" s="345"/>
      <c r="FD279" s="345"/>
      <c r="FE279" s="345"/>
      <c r="FF279" s="345"/>
      <c r="FG279" s="345"/>
      <c r="FH279" s="345"/>
      <c r="FI279" s="345"/>
      <c r="FJ279" s="345"/>
      <c r="FK279" s="345"/>
      <c r="FL279" s="345"/>
      <c r="FM279" s="345"/>
      <c r="FN279" s="345"/>
      <c r="FO279" s="345"/>
      <c r="FP279" s="345"/>
      <c r="FQ279" s="345"/>
      <c r="FR279" s="345"/>
      <c r="FS279" s="345"/>
      <c r="FT279" s="345"/>
      <c r="FU279" s="345"/>
      <c r="FV279" s="345"/>
      <c r="FW279" s="345"/>
      <c r="FX279" s="345"/>
      <c r="FY279" s="345"/>
      <c r="FZ279" s="345"/>
      <c r="GA279" s="345"/>
      <c r="GB279" s="345"/>
      <c r="GC279" s="345"/>
      <c r="GD279" s="345"/>
      <c r="GE279" s="345"/>
      <c r="GF279" s="345"/>
      <c r="GG279" s="345"/>
      <c r="GH279" s="345"/>
      <c r="GI279" s="345"/>
      <c r="GJ279" s="345"/>
      <c r="GK279" s="345"/>
      <c r="GL279" s="345"/>
      <c r="GM279" s="345"/>
      <c r="GN279" s="345"/>
      <c r="GO279" s="345"/>
      <c r="GP279" s="345"/>
      <c r="GQ279" s="345"/>
      <c r="GR279" s="345"/>
      <c r="GS279" s="345"/>
      <c r="GT279" s="345"/>
      <c r="GU279" s="345"/>
    </row>
    <row r="280" spans="23:203">
      <c r="W280" s="345"/>
      <c r="X280" s="345"/>
      <c r="Y280" s="345"/>
      <c r="Z280" s="345"/>
      <c r="AA280" s="345"/>
      <c r="AB280" s="345"/>
      <c r="AC280" s="345"/>
      <c r="AD280" s="345"/>
      <c r="AE280" s="345"/>
      <c r="AF280" s="345"/>
      <c r="AG280" s="345"/>
      <c r="AH280" s="345"/>
      <c r="AI280" s="345"/>
      <c r="AJ280" s="345"/>
      <c r="AK280" s="345"/>
      <c r="AL280" s="345"/>
      <c r="AM280" s="345"/>
      <c r="AN280" s="345"/>
      <c r="AO280" s="345"/>
      <c r="AP280" s="345"/>
      <c r="AQ280" s="345"/>
      <c r="AR280" s="345"/>
      <c r="AS280" s="345"/>
      <c r="AT280" s="345"/>
      <c r="AU280" s="345"/>
      <c r="AV280" s="345"/>
      <c r="AW280" s="345"/>
      <c r="AX280" s="345"/>
      <c r="AY280" s="345"/>
      <c r="AZ280" s="345"/>
      <c r="BA280" s="345"/>
      <c r="BB280" s="345"/>
      <c r="BC280" s="345"/>
      <c r="BD280" s="345"/>
      <c r="BE280" s="345"/>
      <c r="BF280" s="345"/>
      <c r="BG280" s="345"/>
      <c r="BH280" s="345"/>
      <c r="BI280" s="345"/>
      <c r="BJ280" s="345"/>
      <c r="BK280" s="345"/>
      <c r="BL280" s="345"/>
      <c r="BM280" s="345"/>
      <c r="BN280" s="345"/>
      <c r="BO280" s="345"/>
      <c r="BP280" s="345"/>
      <c r="BQ280" s="345"/>
      <c r="BR280" s="345"/>
      <c r="BS280" s="345"/>
      <c r="BT280" s="345"/>
      <c r="BU280" s="345"/>
      <c r="BV280" s="345"/>
      <c r="BW280" s="345"/>
      <c r="BX280" s="345"/>
      <c r="BY280" s="345"/>
      <c r="BZ280" s="345"/>
      <c r="CA280" s="345"/>
      <c r="CB280" s="345"/>
      <c r="CC280" s="345"/>
      <c r="CD280" s="345"/>
      <c r="CE280" s="345"/>
      <c r="CF280" s="345"/>
      <c r="CG280" s="345"/>
      <c r="CH280" s="345"/>
      <c r="CI280" s="345"/>
      <c r="CJ280" s="345"/>
      <c r="CK280" s="345"/>
      <c r="CL280" s="345"/>
      <c r="CM280" s="345"/>
      <c r="CN280" s="345"/>
      <c r="CO280" s="345"/>
      <c r="CP280" s="345"/>
      <c r="CQ280" s="345"/>
      <c r="CR280" s="345"/>
      <c r="CS280" s="345"/>
      <c r="CT280" s="345"/>
      <c r="CU280" s="345"/>
      <c r="CV280" s="345"/>
      <c r="CW280" s="345"/>
      <c r="CX280" s="345"/>
      <c r="CY280" s="345"/>
      <c r="CZ280" s="345"/>
      <c r="DA280" s="345"/>
      <c r="DB280" s="345"/>
      <c r="DC280" s="345"/>
      <c r="DD280" s="345"/>
      <c r="DE280" s="345"/>
      <c r="DF280" s="345"/>
      <c r="DG280" s="345"/>
      <c r="DH280" s="345"/>
      <c r="DI280" s="345"/>
      <c r="DJ280" s="345"/>
      <c r="DK280" s="345"/>
      <c r="DL280" s="345"/>
      <c r="DM280" s="345"/>
      <c r="DN280" s="345"/>
      <c r="DO280" s="345"/>
      <c r="DP280" s="345"/>
      <c r="DQ280" s="345"/>
      <c r="DR280" s="345"/>
      <c r="DS280" s="345"/>
      <c r="DT280" s="345"/>
      <c r="DU280" s="345"/>
      <c r="DV280" s="345"/>
      <c r="DW280" s="345"/>
      <c r="DX280" s="345"/>
      <c r="DY280" s="345"/>
      <c r="DZ280" s="345"/>
      <c r="EA280" s="345"/>
      <c r="EB280" s="345"/>
      <c r="EC280" s="345"/>
      <c r="ED280" s="345"/>
      <c r="EE280" s="345"/>
      <c r="EF280" s="345"/>
      <c r="EG280" s="345"/>
      <c r="EH280" s="345"/>
      <c r="EI280" s="345"/>
      <c r="EJ280" s="345"/>
      <c r="EK280" s="345"/>
      <c r="EL280" s="345"/>
      <c r="EM280" s="345"/>
      <c r="EN280" s="345"/>
      <c r="EO280" s="345"/>
      <c r="EP280" s="345"/>
      <c r="EQ280" s="345"/>
      <c r="ER280" s="345"/>
      <c r="ES280" s="345"/>
      <c r="ET280" s="345"/>
      <c r="EU280" s="345"/>
      <c r="EV280" s="345"/>
      <c r="EW280" s="345"/>
      <c r="EX280" s="345"/>
      <c r="EY280" s="345"/>
      <c r="EZ280" s="345"/>
      <c r="FA280" s="345"/>
      <c r="FB280" s="345"/>
      <c r="FC280" s="345"/>
      <c r="FD280" s="345"/>
      <c r="FE280" s="345"/>
      <c r="FF280" s="345"/>
      <c r="FG280" s="345"/>
      <c r="FH280" s="345"/>
      <c r="FI280" s="345"/>
      <c r="FJ280" s="345"/>
      <c r="FK280" s="345"/>
      <c r="FL280" s="345"/>
      <c r="FM280" s="345"/>
      <c r="FN280" s="345"/>
      <c r="FO280" s="345"/>
      <c r="FP280" s="345"/>
      <c r="FQ280" s="345"/>
      <c r="FR280" s="345"/>
      <c r="FS280" s="345"/>
      <c r="FT280" s="345"/>
      <c r="FU280" s="345"/>
      <c r="FV280" s="345"/>
      <c r="FW280" s="345"/>
      <c r="FX280" s="345"/>
      <c r="FY280" s="345"/>
      <c r="FZ280" s="345"/>
      <c r="GA280" s="345"/>
      <c r="GB280" s="345"/>
      <c r="GC280" s="345"/>
      <c r="GD280" s="345"/>
      <c r="GE280" s="345"/>
      <c r="GF280" s="345"/>
      <c r="GG280" s="345"/>
      <c r="GH280" s="345"/>
      <c r="GI280" s="345"/>
      <c r="GJ280" s="345"/>
      <c r="GK280" s="345"/>
      <c r="GL280" s="345"/>
      <c r="GM280" s="345"/>
      <c r="GN280" s="345"/>
      <c r="GO280" s="345"/>
      <c r="GP280" s="345"/>
      <c r="GQ280" s="345"/>
      <c r="GR280" s="345"/>
      <c r="GS280" s="345"/>
      <c r="GT280" s="345"/>
      <c r="GU280" s="345"/>
    </row>
    <row r="281" spans="23:203">
      <c r="W281" s="345"/>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c r="AS281" s="345"/>
      <c r="AT281" s="345"/>
      <c r="AU281" s="345"/>
      <c r="AV281" s="345"/>
      <c r="AW281" s="345"/>
      <c r="AX281" s="345"/>
      <c r="AY281" s="345"/>
      <c r="AZ281" s="345"/>
      <c r="BA281" s="345"/>
      <c r="BB281" s="345"/>
      <c r="BC281" s="345"/>
      <c r="BD281" s="345"/>
      <c r="BE281" s="345"/>
      <c r="BF281" s="345"/>
      <c r="BG281" s="345"/>
      <c r="BH281" s="345"/>
      <c r="BI281" s="345"/>
      <c r="BJ281" s="345"/>
      <c r="BK281" s="345"/>
      <c r="BL281" s="345"/>
      <c r="BM281" s="345"/>
      <c r="BN281" s="345"/>
      <c r="BO281" s="345"/>
      <c r="BP281" s="345"/>
      <c r="BQ281" s="345"/>
      <c r="BR281" s="345"/>
      <c r="BS281" s="345"/>
      <c r="BT281" s="345"/>
      <c r="BU281" s="345"/>
      <c r="BV281" s="345"/>
      <c r="BW281" s="345"/>
      <c r="BX281" s="345"/>
      <c r="BY281" s="345"/>
      <c r="BZ281" s="345"/>
      <c r="CA281" s="345"/>
      <c r="CB281" s="345"/>
      <c r="CC281" s="345"/>
      <c r="CD281" s="345"/>
      <c r="CE281" s="345"/>
      <c r="CF281" s="345"/>
      <c r="CG281" s="345"/>
      <c r="CH281" s="345"/>
      <c r="CI281" s="345"/>
      <c r="CJ281" s="345"/>
      <c r="CK281" s="345"/>
      <c r="CL281" s="345"/>
      <c r="CM281" s="345"/>
      <c r="CN281" s="345"/>
      <c r="CO281" s="345"/>
      <c r="CP281" s="345"/>
      <c r="CQ281" s="345"/>
      <c r="CR281" s="345"/>
      <c r="CS281" s="345"/>
      <c r="CT281" s="345"/>
      <c r="CU281" s="345"/>
      <c r="CV281" s="345"/>
      <c r="CW281" s="345"/>
      <c r="CX281" s="345"/>
      <c r="CY281" s="345"/>
      <c r="CZ281" s="345"/>
      <c r="DA281" s="345"/>
      <c r="DB281" s="345"/>
      <c r="DC281" s="345"/>
      <c r="DD281" s="345"/>
      <c r="DE281" s="345"/>
      <c r="DF281" s="345"/>
      <c r="DG281" s="345"/>
      <c r="DH281" s="345"/>
      <c r="DI281" s="345"/>
      <c r="DJ281" s="345"/>
      <c r="DK281" s="345"/>
      <c r="DL281" s="345"/>
      <c r="DM281" s="345"/>
      <c r="DN281" s="345"/>
      <c r="DO281" s="345"/>
      <c r="DP281" s="345"/>
      <c r="DQ281" s="345"/>
      <c r="DR281" s="345"/>
      <c r="DS281" s="345"/>
      <c r="DT281" s="345"/>
      <c r="DU281" s="345"/>
      <c r="DV281" s="345"/>
      <c r="DW281" s="345"/>
      <c r="DX281" s="345"/>
      <c r="DY281" s="345"/>
      <c r="DZ281" s="345"/>
      <c r="EA281" s="345"/>
      <c r="EB281" s="345"/>
      <c r="EC281" s="345"/>
      <c r="ED281" s="345"/>
      <c r="EE281" s="345"/>
      <c r="EF281" s="345"/>
      <c r="EG281" s="345"/>
      <c r="EH281" s="345"/>
      <c r="EI281" s="345"/>
      <c r="EJ281" s="345"/>
      <c r="EK281" s="345"/>
      <c r="EL281" s="345"/>
      <c r="EM281" s="345"/>
      <c r="EN281" s="345"/>
      <c r="EO281" s="345"/>
      <c r="EP281" s="345"/>
      <c r="EQ281" s="345"/>
      <c r="ER281" s="345"/>
      <c r="ES281" s="345"/>
      <c r="ET281" s="345"/>
      <c r="EU281" s="345"/>
      <c r="EV281" s="345"/>
      <c r="EW281" s="345"/>
      <c r="EX281" s="345"/>
      <c r="EY281" s="345"/>
      <c r="EZ281" s="345"/>
      <c r="FA281" s="345"/>
      <c r="FB281" s="345"/>
      <c r="FC281" s="345"/>
      <c r="FD281" s="345"/>
      <c r="FE281" s="345"/>
      <c r="FF281" s="345"/>
      <c r="FG281" s="345"/>
      <c r="FH281" s="345"/>
      <c r="FI281" s="345"/>
      <c r="FJ281" s="345"/>
      <c r="FK281" s="345"/>
      <c r="FL281" s="345"/>
      <c r="FM281" s="345"/>
      <c r="FN281" s="345"/>
      <c r="FO281" s="345"/>
      <c r="FP281" s="345"/>
      <c r="FQ281" s="345"/>
      <c r="FR281" s="345"/>
      <c r="FS281" s="345"/>
      <c r="FT281" s="345"/>
      <c r="FU281" s="345"/>
      <c r="FV281" s="345"/>
      <c r="FW281" s="345"/>
      <c r="FX281" s="345"/>
      <c r="FY281" s="345"/>
      <c r="FZ281" s="345"/>
      <c r="GA281" s="345"/>
      <c r="GB281" s="345"/>
      <c r="GC281" s="345"/>
      <c r="GD281" s="345"/>
      <c r="GE281" s="345"/>
      <c r="GF281" s="345"/>
      <c r="GG281" s="345"/>
      <c r="GH281" s="345"/>
      <c r="GI281" s="345"/>
      <c r="GJ281" s="345"/>
      <c r="GK281" s="345"/>
      <c r="GL281" s="345"/>
      <c r="GM281" s="345"/>
      <c r="GN281" s="345"/>
      <c r="GO281" s="345"/>
      <c r="GP281" s="345"/>
      <c r="GQ281" s="345"/>
      <c r="GR281" s="345"/>
      <c r="GS281" s="345"/>
      <c r="GT281" s="345"/>
      <c r="GU281" s="345"/>
    </row>
    <row r="282" spans="23:203">
      <c r="W282" s="345"/>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c r="AS282" s="345"/>
      <c r="AT282" s="345"/>
      <c r="AU282" s="345"/>
      <c r="AV282" s="345"/>
      <c r="AW282" s="345"/>
      <c r="AX282" s="345"/>
      <c r="AY282" s="345"/>
      <c r="AZ282" s="345"/>
      <c r="BA282" s="345"/>
      <c r="BB282" s="345"/>
      <c r="BC282" s="345"/>
      <c r="BD282" s="345"/>
      <c r="BE282" s="345"/>
      <c r="BF282" s="345"/>
      <c r="BG282" s="345"/>
      <c r="BH282" s="345"/>
      <c r="BI282" s="345"/>
      <c r="BJ282" s="345"/>
      <c r="BK282" s="345"/>
      <c r="BL282" s="345"/>
      <c r="BM282" s="345"/>
      <c r="BN282" s="345"/>
      <c r="BO282" s="345"/>
      <c r="BP282" s="345"/>
      <c r="BQ282" s="345"/>
      <c r="BR282" s="345"/>
      <c r="BS282" s="345"/>
      <c r="BT282" s="345"/>
      <c r="BU282" s="345"/>
      <c r="BV282" s="345"/>
      <c r="BW282" s="345"/>
      <c r="BX282" s="345"/>
      <c r="BY282" s="345"/>
      <c r="BZ282" s="345"/>
      <c r="CA282" s="345"/>
      <c r="CB282" s="345"/>
      <c r="CC282" s="345"/>
      <c r="CD282" s="345"/>
      <c r="CE282" s="345"/>
      <c r="CF282" s="345"/>
      <c r="CG282" s="345"/>
      <c r="CH282" s="345"/>
      <c r="CI282" s="345"/>
      <c r="CJ282" s="345"/>
      <c r="CK282" s="345"/>
      <c r="CL282" s="345"/>
      <c r="CM282" s="345"/>
      <c r="CN282" s="345"/>
      <c r="CO282" s="345"/>
      <c r="CP282" s="345"/>
      <c r="CQ282" s="345"/>
      <c r="CR282" s="345"/>
      <c r="CS282" s="345"/>
      <c r="CT282" s="345"/>
      <c r="CU282" s="345"/>
      <c r="CV282" s="345"/>
      <c r="CW282" s="345"/>
      <c r="CX282" s="345"/>
      <c r="CY282" s="345"/>
      <c r="CZ282" s="345"/>
      <c r="DA282" s="345"/>
      <c r="DB282" s="345"/>
      <c r="DC282" s="345"/>
      <c r="DD282" s="345"/>
      <c r="DE282" s="345"/>
      <c r="DF282" s="345"/>
      <c r="DG282" s="345"/>
      <c r="DH282" s="345"/>
      <c r="DI282" s="345"/>
      <c r="DJ282" s="345"/>
      <c r="DK282" s="345"/>
      <c r="DL282" s="345"/>
      <c r="DM282" s="345"/>
      <c r="DN282" s="345"/>
      <c r="DO282" s="345"/>
      <c r="DP282" s="345"/>
      <c r="DQ282" s="345"/>
      <c r="DR282" s="345"/>
      <c r="DS282" s="345"/>
      <c r="DT282" s="345"/>
      <c r="DU282" s="345"/>
      <c r="DV282" s="345"/>
      <c r="DW282" s="345"/>
      <c r="DX282" s="345"/>
      <c r="DY282" s="345"/>
      <c r="DZ282" s="345"/>
      <c r="EA282" s="345"/>
      <c r="EB282" s="345"/>
      <c r="EC282" s="345"/>
      <c r="ED282" s="345"/>
      <c r="EE282" s="345"/>
      <c r="EF282" s="345"/>
      <c r="EG282" s="345"/>
      <c r="EH282" s="345"/>
      <c r="EI282" s="345"/>
      <c r="EJ282" s="345"/>
      <c r="EK282" s="345"/>
      <c r="EL282" s="345"/>
      <c r="EM282" s="345"/>
      <c r="EN282" s="345"/>
      <c r="EO282" s="345"/>
      <c r="EP282" s="345"/>
      <c r="EQ282" s="345"/>
      <c r="ER282" s="345"/>
      <c r="ES282" s="345"/>
      <c r="ET282" s="345"/>
      <c r="EU282" s="345"/>
      <c r="EV282" s="345"/>
      <c r="EW282" s="345"/>
      <c r="EX282" s="345"/>
      <c r="EY282" s="345"/>
      <c r="EZ282" s="345"/>
      <c r="FA282" s="345"/>
      <c r="FB282" s="345"/>
      <c r="FC282" s="345"/>
      <c r="FD282" s="345"/>
      <c r="FE282" s="345"/>
      <c r="FF282" s="345"/>
      <c r="FG282" s="345"/>
      <c r="FH282" s="345"/>
      <c r="FI282" s="345"/>
      <c r="FJ282" s="345"/>
      <c r="FK282" s="345"/>
      <c r="FL282" s="345"/>
      <c r="FM282" s="345"/>
      <c r="FN282" s="345"/>
      <c r="FO282" s="345"/>
      <c r="FP282" s="345"/>
      <c r="FQ282" s="345"/>
      <c r="FR282" s="345"/>
      <c r="FS282" s="345"/>
      <c r="FT282" s="345"/>
      <c r="FU282" s="345"/>
      <c r="FV282" s="345"/>
      <c r="FW282" s="345"/>
      <c r="FX282" s="345"/>
      <c r="FY282" s="345"/>
      <c r="FZ282" s="345"/>
      <c r="GA282" s="345"/>
      <c r="GB282" s="345"/>
      <c r="GC282" s="345"/>
      <c r="GD282" s="345"/>
      <c r="GE282" s="345"/>
      <c r="GF282" s="345"/>
      <c r="GG282" s="345"/>
      <c r="GH282" s="345"/>
      <c r="GI282" s="345"/>
      <c r="GJ282" s="345"/>
      <c r="GK282" s="345"/>
      <c r="GL282" s="345"/>
      <c r="GM282" s="345"/>
      <c r="GN282" s="345"/>
      <c r="GO282" s="345"/>
      <c r="GP282" s="345"/>
      <c r="GQ282" s="345"/>
      <c r="GR282" s="345"/>
      <c r="GS282" s="345"/>
      <c r="GT282" s="345"/>
      <c r="GU282" s="345"/>
    </row>
    <row r="283" spans="23:203">
      <c r="W283" s="345"/>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c r="AS283" s="345"/>
      <c r="AT283" s="345"/>
      <c r="AU283" s="345"/>
      <c r="AV283" s="345"/>
      <c r="AW283" s="345"/>
      <c r="AX283" s="345"/>
      <c r="AY283" s="345"/>
      <c r="AZ283" s="345"/>
      <c r="BA283" s="345"/>
      <c r="BB283" s="345"/>
      <c r="BC283" s="345"/>
      <c r="BD283" s="345"/>
      <c r="BE283" s="345"/>
      <c r="BF283" s="345"/>
      <c r="BG283" s="345"/>
      <c r="BH283" s="345"/>
      <c r="BI283" s="345"/>
      <c r="BJ283" s="345"/>
      <c r="BK283" s="345"/>
      <c r="BL283" s="345"/>
      <c r="BM283" s="345"/>
      <c r="BN283" s="345"/>
      <c r="BO283" s="345"/>
      <c r="BP283" s="345"/>
      <c r="BQ283" s="345"/>
      <c r="BR283" s="345"/>
      <c r="BS283" s="345"/>
      <c r="BT283" s="345"/>
      <c r="BU283" s="345"/>
      <c r="BV283" s="345"/>
      <c r="BW283" s="345"/>
      <c r="BX283" s="345"/>
      <c r="BY283" s="345"/>
      <c r="BZ283" s="345"/>
      <c r="CA283" s="345"/>
      <c r="CB283" s="345"/>
      <c r="CC283" s="345"/>
      <c r="CD283" s="345"/>
      <c r="CE283" s="345"/>
      <c r="CF283" s="345"/>
      <c r="CG283" s="345"/>
      <c r="CH283" s="345"/>
      <c r="CI283" s="345"/>
      <c r="CJ283" s="345"/>
      <c r="CK283" s="345"/>
      <c r="CL283" s="345"/>
      <c r="CM283" s="345"/>
      <c r="CN283" s="345"/>
      <c r="CO283" s="345"/>
      <c r="CP283" s="345"/>
      <c r="CQ283" s="345"/>
      <c r="CR283" s="345"/>
      <c r="CS283" s="345"/>
      <c r="CT283" s="345"/>
      <c r="CU283" s="345"/>
      <c r="CV283" s="345"/>
      <c r="CW283" s="345"/>
      <c r="CX283" s="345"/>
      <c r="CY283" s="345"/>
      <c r="CZ283" s="345"/>
      <c r="DA283" s="345"/>
      <c r="DB283" s="345"/>
      <c r="DC283" s="345"/>
      <c r="DD283" s="345"/>
      <c r="DE283" s="345"/>
      <c r="DF283" s="345"/>
      <c r="DG283" s="345"/>
      <c r="DH283" s="345"/>
      <c r="DI283" s="345"/>
      <c r="DJ283" s="345"/>
      <c r="DK283" s="345"/>
      <c r="DL283" s="345"/>
      <c r="DM283" s="345"/>
      <c r="DN283" s="345"/>
      <c r="DO283" s="345"/>
      <c r="DP283" s="345"/>
      <c r="DQ283" s="345"/>
      <c r="DR283" s="345"/>
      <c r="DS283" s="345"/>
      <c r="DT283" s="345"/>
      <c r="DU283" s="345"/>
      <c r="DV283" s="345"/>
      <c r="DW283" s="345"/>
      <c r="DX283" s="345"/>
      <c r="DY283" s="345"/>
      <c r="DZ283" s="345"/>
      <c r="EA283" s="345"/>
      <c r="EB283" s="345"/>
      <c r="EC283" s="345"/>
      <c r="ED283" s="345"/>
      <c r="EE283" s="345"/>
      <c r="EF283" s="345"/>
      <c r="EG283" s="345"/>
      <c r="EH283" s="345"/>
      <c r="EI283" s="345"/>
      <c r="EJ283" s="345"/>
      <c r="EK283" s="345"/>
      <c r="EL283" s="345"/>
      <c r="EM283" s="345"/>
      <c r="EN283" s="345"/>
      <c r="EO283" s="345"/>
      <c r="EP283" s="345"/>
      <c r="EQ283" s="345"/>
      <c r="ER283" s="345"/>
      <c r="ES283" s="345"/>
      <c r="ET283" s="345"/>
      <c r="EU283" s="345"/>
      <c r="EV283" s="345"/>
      <c r="EW283" s="345"/>
      <c r="EX283" s="345"/>
      <c r="EY283" s="345"/>
      <c r="EZ283" s="345"/>
      <c r="FA283" s="345"/>
      <c r="FB283" s="345"/>
      <c r="FC283" s="345"/>
      <c r="FD283" s="345"/>
      <c r="FE283" s="345"/>
      <c r="FF283" s="345"/>
      <c r="FG283" s="345"/>
      <c r="FH283" s="345"/>
      <c r="FI283" s="345"/>
      <c r="FJ283" s="345"/>
      <c r="FK283" s="345"/>
      <c r="FL283" s="345"/>
      <c r="FM283" s="345"/>
      <c r="FN283" s="345"/>
      <c r="FO283" s="345"/>
      <c r="FP283" s="345"/>
      <c r="FQ283" s="345"/>
      <c r="FR283" s="345"/>
      <c r="FS283" s="345"/>
      <c r="FT283" s="345"/>
      <c r="FU283" s="345"/>
      <c r="FV283" s="345"/>
      <c r="FW283" s="345"/>
      <c r="FX283" s="345"/>
      <c r="FY283" s="345"/>
      <c r="FZ283" s="345"/>
      <c r="GA283" s="345"/>
      <c r="GB283" s="345"/>
      <c r="GC283" s="345"/>
      <c r="GD283" s="345"/>
      <c r="GE283" s="345"/>
      <c r="GF283" s="345"/>
      <c r="GG283" s="345"/>
      <c r="GH283" s="345"/>
      <c r="GI283" s="345"/>
      <c r="GJ283" s="345"/>
      <c r="GK283" s="345"/>
      <c r="GL283" s="345"/>
      <c r="GM283" s="345"/>
      <c r="GN283" s="345"/>
      <c r="GO283" s="345"/>
      <c r="GP283" s="345"/>
      <c r="GQ283" s="345"/>
      <c r="GR283" s="345"/>
      <c r="GS283" s="345"/>
      <c r="GT283" s="345"/>
      <c r="GU283" s="345"/>
    </row>
    <row r="284" spans="23:203">
      <c r="W284" s="345"/>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c r="AS284" s="345"/>
      <c r="AT284" s="345"/>
      <c r="AU284" s="345"/>
      <c r="AV284" s="345"/>
      <c r="AW284" s="345"/>
      <c r="AX284" s="345"/>
      <c r="AY284" s="345"/>
      <c r="AZ284" s="345"/>
      <c r="BA284" s="345"/>
      <c r="BB284" s="345"/>
      <c r="BC284" s="345"/>
      <c r="BD284" s="345"/>
      <c r="BE284" s="345"/>
      <c r="BF284" s="345"/>
      <c r="BG284" s="345"/>
      <c r="BH284" s="345"/>
      <c r="BI284" s="345"/>
      <c r="BJ284" s="345"/>
      <c r="BK284" s="345"/>
      <c r="BL284" s="345"/>
      <c r="BM284" s="345"/>
      <c r="BN284" s="345"/>
      <c r="BO284" s="345"/>
      <c r="BP284" s="345"/>
      <c r="BQ284" s="345"/>
      <c r="BR284" s="345"/>
      <c r="BS284" s="345"/>
      <c r="BT284" s="345"/>
      <c r="BU284" s="345"/>
      <c r="BV284" s="345"/>
      <c r="BW284" s="345"/>
      <c r="BX284" s="345"/>
      <c r="BY284" s="345"/>
      <c r="BZ284" s="345"/>
      <c r="CA284" s="345"/>
      <c r="CB284" s="345"/>
      <c r="CC284" s="345"/>
      <c r="CD284" s="345"/>
      <c r="CE284" s="345"/>
      <c r="CF284" s="345"/>
      <c r="CG284" s="345"/>
      <c r="CH284" s="345"/>
      <c r="CI284" s="345"/>
      <c r="CJ284" s="345"/>
      <c r="CK284" s="345"/>
      <c r="CL284" s="345"/>
      <c r="CM284" s="345"/>
      <c r="CN284" s="345"/>
      <c r="CO284" s="345"/>
      <c r="CP284" s="345"/>
      <c r="CQ284" s="345"/>
      <c r="CR284" s="345"/>
      <c r="CS284" s="345"/>
      <c r="CT284" s="345"/>
      <c r="CU284" s="345"/>
      <c r="CV284" s="345"/>
      <c r="CW284" s="345"/>
      <c r="CX284" s="345"/>
      <c r="CY284" s="345"/>
      <c r="CZ284" s="345"/>
      <c r="DA284" s="345"/>
      <c r="DB284" s="345"/>
      <c r="DC284" s="345"/>
      <c r="DD284" s="345"/>
      <c r="DE284" s="345"/>
      <c r="DF284" s="345"/>
      <c r="DG284" s="345"/>
      <c r="DH284" s="345"/>
      <c r="DI284" s="345"/>
      <c r="DJ284" s="345"/>
      <c r="DK284" s="345"/>
      <c r="DL284" s="345"/>
      <c r="DM284" s="345"/>
      <c r="DN284" s="345"/>
      <c r="DO284" s="345"/>
      <c r="DP284" s="345"/>
      <c r="DQ284" s="345"/>
      <c r="DR284" s="345"/>
      <c r="DS284" s="345"/>
      <c r="DT284" s="345"/>
      <c r="DU284" s="345"/>
      <c r="DV284" s="345"/>
      <c r="DW284" s="345"/>
      <c r="DX284" s="345"/>
      <c r="DY284" s="345"/>
      <c r="DZ284" s="345"/>
      <c r="EA284" s="345"/>
      <c r="EB284" s="345"/>
      <c r="EC284" s="345"/>
      <c r="ED284" s="345"/>
      <c r="EE284" s="345"/>
      <c r="EF284" s="345"/>
      <c r="EG284" s="345"/>
      <c r="EH284" s="345"/>
      <c r="EI284" s="345"/>
      <c r="EJ284" s="345"/>
      <c r="EK284" s="345"/>
      <c r="EL284" s="345"/>
      <c r="EM284" s="345"/>
      <c r="EN284" s="345"/>
      <c r="EO284" s="345"/>
      <c r="EP284" s="345"/>
      <c r="EQ284" s="345"/>
      <c r="ER284" s="345"/>
      <c r="ES284" s="345"/>
      <c r="ET284" s="345"/>
      <c r="EU284" s="345"/>
      <c r="EV284" s="345"/>
      <c r="EW284" s="345"/>
      <c r="EX284" s="345"/>
      <c r="EY284" s="345"/>
      <c r="EZ284" s="345"/>
      <c r="FA284" s="345"/>
      <c r="FB284" s="345"/>
      <c r="FC284" s="345"/>
      <c r="FD284" s="345"/>
      <c r="FE284" s="345"/>
      <c r="FF284" s="345"/>
      <c r="FG284" s="345"/>
      <c r="FH284" s="345"/>
      <c r="FI284" s="345"/>
      <c r="FJ284" s="345"/>
      <c r="FK284" s="345"/>
      <c r="FL284" s="345"/>
      <c r="FM284" s="345"/>
      <c r="FN284" s="345"/>
      <c r="FO284" s="345"/>
      <c r="FP284" s="345"/>
      <c r="FQ284" s="345"/>
      <c r="FR284" s="345"/>
      <c r="FS284" s="345"/>
      <c r="FT284" s="345"/>
      <c r="FU284" s="345"/>
      <c r="FV284" s="345"/>
      <c r="FW284" s="345"/>
      <c r="FX284" s="345"/>
      <c r="FY284" s="345"/>
      <c r="FZ284" s="345"/>
      <c r="GA284" s="345"/>
      <c r="GB284" s="345"/>
      <c r="GC284" s="345"/>
      <c r="GD284" s="345"/>
      <c r="GE284" s="345"/>
      <c r="GF284" s="345"/>
      <c r="GG284" s="345"/>
      <c r="GH284" s="345"/>
      <c r="GI284" s="345"/>
      <c r="GJ284" s="345"/>
      <c r="GK284" s="345"/>
      <c r="GL284" s="345"/>
      <c r="GM284" s="345"/>
      <c r="GN284" s="345"/>
      <c r="GO284" s="345"/>
      <c r="GP284" s="345"/>
      <c r="GQ284" s="345"/>
      <c r="GR284" s="345"/>
      <c r="GS284" s="345"/>
      <c r="GT284" s="345"/>
      <c r="GU284" s="345"/>
    </row>
    <row r="285" spans="23:203">
      <c r="W285" s="345"/>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c r="AS285" s="345"/>
      <c r="AT285" s="345"/>
      <c r="AU285" s="345"/>
      <c r="AV285" s="345"/>
      <c r="AW285" s="345"/>
      <c r="AX285" s="345"/>
      <c r="AY285" s="345"/>
      <c r="AZ285" s="345"/>
      <c r="BA285" s="345"/>
      <c r="BB285" s="345"/>
      <c r="BC285" s="345"/>
      <c r="BD285" s="345"/>
      <c r="BE285" s="345"/>
      <c r="BF285" s="345"/>
      <c r="BG285" s="345"/>
      <c r="BH285" s="345"/>
      <c r="BI285" s="345"/>
      <c r="BJ285" s="345"/>
      <c r="BK285" s="345"/>
      <c r="BL285" s="345"/>
      <c r="BM285" s="345"/>
      <c r="BN285" s="345"/>
      <c r="BO285" s="345"/>
      <c r="BP285" s="345"/>
      <c r="BQ285" s="345"/>
      <c r="BR285" s="345"/>
      <c r="BS285" s="345"/>
      <c r="BT285" s="345"/>
      <c r="BU285" s="345"/>
      <c r="BV285" s="345"/>
      <c r="BW285" s="345"/>
      <c r="BX285" s="345"/>
      <c r="BY285" s="345"/>
      <c r="BZ285" s="345"/>
      <c r="CA285" s="345"/>
      <c r="CB285" s="345"/>
      <c r="CC285" s="345"/>
      <c r="CD285" s="345"/>
      <c r="CE285" s="345"/>
      <c r="CF285" s="345"/>
      <c r="CG285" s="345"/>
      <c r="CH285" s="345"/>
      <c r="CI285" s="345"/>
      <c r="CJ285" s="345"/>
      <c r="CK285" s="345"/>
      <c r="CL285" s="345"/>
      <c r="CM285" s="345"/>
      <c r="CN285" s="345"/>
      <c r="CO285" s="345"/>
      <c r="CP285" s="345"/>
      <c r="CQ285" s="345"/>
      <c r="CR285" s="345"/>
      <c r="CS285" s="345"/>
      <c r="CT285" s="345"/>
      <c r="CU285" s="345"/>
      <c r="CV285" s="345"/>
      <c r="CW285" s="345"/>
      <c r="CX285" s="345"/>
      <c r="CY285" s="345"/>
      <c r="CZ285" s="345"/>
      <c r="DA285" s="345"/>
      <c r="DB285" s="345"/>
      <c r="DC285" s="345"/>
      <c r="DD285" s="345"/>
      <c r="DE285" s="345"/>
      <c r="DF285" s="345"/>
      <c r="DG285" s="345"/>
      <c r="DH285" s="345"/>
      <c r="DI285" s="345"/>
      <c r="DJ285" s="345"/>
      <c r="DK285" s="345"/>
      <c r="DL285" s="345"/>
      <c r="DM285" s="345"/>
      <c r="DN285" s="345"/>
      <c r="DO285" s="345"/>
      <c r="DP285" s="345"/>
      <c r="DQ285" s="345"/>
      <c r="DR285" s="345"/>
      <c r="DS285" s="345"/>
      <c r="DT285" s="345"/>
      <c r="DU285" s="345"/>
      <c r="DV285" s="345"/>
      <c r="DW285" s="345"/>
      <c r="DX285" s="345"/>
      <c r="DY285" s="345"/>
      <c r="DZ285" s="345"/>
      <c r="EA285" s="345"/>
      <c r="EB285" s="345"/>
      <c r="EC285" s="345"/>
      <c r="ED285" s="345"/>
      <c r="EE285" s="345"/>
      <c r="EF285" s="345"/>
      <c r="EG285" s="345"/>
      <c r="EH285" s="345"/>
      <c r="EI285" s="345"/>
      <c r="EJ285" s="345"/>
      <c r="EK285" s="345"/>
      <c r="EL285" s="345"/>
      <c r="EM285" s="345"/>
      <c r="EN285" s="345"/>
      <c r="EO285" s="345"/>
      <c r="EP285" s="345"/>
      <c r="EQ285" s="345"/>
      <c r="ER285" s="345"/>
      <c r="ES285" s="345"/>
      <c r="ET285" s="345"/>
      <c r="EU285" s="345"/>
      <c r="EV285" s="345"/>
      <c r="EW285" s="345"/>
      <c r="EX285" s="345"/>
      <c r="EY285" s="345"/>
      <c r="EZ285" s="345"/>
      <c r="FA285" s="345"/>
      <c r="FB285" s="345"/>
      <c r="FC285" s="345"/>
      <c r="FD285" s="345"/>
      <c r="FE285" s="345"/>
      <c r="FF285" s="345"/>
      <c r="FG285" s="345"/>
      <c r="FH285" s="345"/>
      <c r="FI285" s="345"/>
      <c r="FJ285" s="345"/>
      <c r="FK285" s="345"/>
      <c r="FL285" s="345"/>
      <c r="FM285" s="345"/>
      <c r="FN285" s="345"/>
      <c r="FO285" s="345"/>
      <c r="FP285" s="345"/>
      <c r="FQ285" s="345"/>
      <c r="FR285" s="345"/>
      <c r="FS285" s="345"/>
      <c r="FT285" s="345"/>
      <c r="FU285" s="345"/>
      <c r="FV285" s="345"/>
      <c r="FW285" s="345"/>
      <c r="FX285" s="345"/>
      <c r="FY285" s="345"/>
      <c r="FZ285" s="345"/>
      <c r="GA285" s="345"/>
      <c r="GB285" s="345"/>
      <c r="GC285" s="345"/>
      <c r="GD285" s="345"/>
      <c r="GE285" s="345"/>
      <c r="GF285" s="345"/>
      <c r="GG285" s="345"/>
      <c r="GH285" s="345"/>
      <c r="GI285" s="345"/>
      <c r="GJ285" s="345"/>
      <c r="GK285" s="345"/>
      <c r="GL285" s="345"/>
      <c r="GM285" s="345"/>
      <c r="GN285" s="345"/>
      <c r="GO285" s="345"/>
      <c r="GP285" s="345"/>
      <c r="GQ285" s="345"/>
      <c r="GR285" s="345"/>
      <c r="GS285" s="345"/>
      <c r="GT285" s="345"/>
      <c r="GU285" s="345"/>
    </row>
    <row r="286" spans="23:203">
      <c r="W286" s="345"/>
      <c r="X286" s="345"/>
      <c r="Y286" s="345"/>
      <c r="Z286" s="345"/>
      <c r="AA286" s="345"/>
      <c r="AB286" s="345"/>
      <c r="AC286" s="345"/>
      <c r="AD286" s="345"/>
      <c r="AE286" s="345"/>
      <c r="AF286" s="345"/>
      <c r="AG286" s="345"/>
      <c r="AH286" s="345"/>
      <c r="AI286" s="345"/>
      <c r="AJ286" s="345"/>
      <c r="AK286" s="345"/>
      <c r="AL286" s="345"/>
      <c r="AM286" s="345"/>
      <c r="AN286" s="345"/>
      <c r="AO286" s="345"/>
      <c r="AP286" s="345"/>
      <c r="AQ286" s="345"/>
      <c r="AR286" s="345"/>
      <c r="AS286" s="345"/>
      <c r="AT286" s="345"/>
      <c r="AU286" s="345"/>
      <c r="AV286" s="345"/>
      <c r="AW286" s="345"/>
      <c r="AX286" s="345"/>
      <c r="AY286" s="345"/>
      <c r="AZ286" s="345"/>
      <c r="BA286" s="345"/>
      <c r="BB286" s="345"/>
      <c r="BC286" s="345"/>
      <c r="BD286" s="345"/>
      <c r="BE286" s="345"/>
      <c r="BF286" s="345"/>
      <c r="BG286" s="345"/>
      <c r="BH286" s="345"/>
      <c r="BI286" s="345"/>
      <c r="BJ286" s="345"/>
      <c r="BK286" s="345"/>
      <c r="BL286" s="345"/>
      <c r="BM286" s="345"/>
      <c r="BN286" s="345"/>
      <c r="BO286" s="345"/>
      <c r="BP286" s="345"/>
      <c r="BQ286" s="345"/>
      <c r="BR286" s="345"/>
      <c r="BS286" s="345"/>
      <c r="BT286" s="345"/>
      <c r="BU286" s="345"/>
      <c r="BV286" s="345"/>
      <c r="BW286" s="345"/>
      <c r="BX286" s="345"/>
      <c r="BY286" s="345"/>
      <c r="BZ286" s="345"/>
      <c r="CA286" s="345"/>
      <c r="CB286" s="345"/>
      <c r="CC286" s="345"/>
      <c r="CD286" s="345"/>
      <c r="CE286" s="345"/>
      <c r="CF286" s="345"/>
      <c r="CG286" s="345"/>
      <c r="CH286" s="345"/>
      <c r="CI286" s="345"/>
      <c r="CJ286" s="345"/>
      <c r="CK286" s="345"/>
      <c r="CL286" s="345"/>
      <c r="CM286" s="345"/>
      <c r="CN286" s="345"/>
      <c r="CO286" s="345"/>
      <c r="CP286" s="345"/>
      <c r="CQ286" s="345"/>
      <c r="CR286" s="345"/>
      <c r="CS286" s="345"/>
      <c r="CT286" s="345"/>
      <c r="CU286" s="345"/>
      <c r="CV286" s="345"/>
      <c r="CW286" s="345"/>
      <c r="CX286" s="345"/>
      <c r="CY286" s="345"/>
      <c r="CZ286" s="345"/>
      <c r="DA286" s="345"/>
      <c r="DB286" s="345"/>
      <c r="DC286" s="345"/>
      <c r="DD286" s="345"/>
      <c r="DE286" s="345"/>
      <c r="DF286" s="345"/>
      <c r="DG286" s="345"/>
      <c r="DH286" s="345"/>
      <c r="DI286" s="345"/>
      <c r="DJ286" s="345"/>
      <c r="DK286" s="345"/>
      <c r="DL286" s="345"/>
      <c r="DM286" s="345"/>
      <c r="DN286" s="345"/>
      <c r="DO286" s="345"/>
      <c r="DP286" s="345"/>
      <c r="DQ286" s="345"/>
      <c r="DR286" s="345"/>
      <c r="DS286" s="345"/>
      <c r="DT286" s="345"/>
      <c r="DU286" s="345"/>
      <c r="DV286" s="345"/>
      <c r="DW286" s="345"/>
      <c r="DX286" s="345"/>
      <c r="DY286" s="345"/>
      <c r="DZ286" s="345"/>
      <c r="EA286" s="345"/>
      <c r="EB286" s="345"/>
      <c r="EC286" s="345"/>
      <c r="ED286" s="345"/>
      <c r="EE286" s="345"/>
      <c r="EF286" s="345"/>
      <c r="EG286" s="345"/>
      <c r="EH286" s="345"/>
      <c r="EI286" s="345"/>
      <c r="EJ286" s="345"/>
      <c r="EK286" s="345"/>
      <c r="EL286" s="345"/>
      <c r="EM286" s="345"/>
      <c r="EN286" s="345"/>
      <c r="EO286" s="345"/>
      <c r="EP286" s="345"/>
      <c r="EQ286" s="345"/>
      <c r="ER286" s="345"/>
      <c r="ES286" s="345"/>
      <c r="ET286" s="345"/>
      <c r="EU286" s="345"/>
      <c r="EV286" s="345"/>
      <c r="EW286" s="345"/>
      <c r="EX286" s="345"/>
      <c r="EY286" s="345"/>
      <c r="EZ286" s="345"/>
      <c r="FA286" s="345"/>
      <c r="FB286" s="345"/>
      <c r="FC286" s="345"/>
      <c r="FD286" s="345"/>
      <c r="FE286" s="345"/>
      <c r="FF286" s="345"/>
      <c r="FG286" s="345"/>
      <c r="FH286" s="345"/>
      <c r="FI286" s="345"/>
      <c r="FJ286" s="345"/>
      <c r="FK286" s="345"/>
      <c r="FL286" s="345"/>
      <c r="FM286" s="345"/>
      <c r="FN286" s="345"/>
      <c r="FO286" s="345"/>
      <c r="FP286" s="345"/>
      <c r="FQ286" s="345"/>
      <c r="FR286" s="345"/>
      <c r="FS286" s="345"/>
      <c r="FT286" s="345"/>
      <c r="FU286" s="345"/>
      <c r="FV286" s="345"/>
      <c r="FW286" s="345"/>
      <c r="FX286" s="345"/>
      <c r="FY286" s="345"/>
      <c r="FZ286" s="345"/>
      <c r="GA286" s="345"/>
      <c r="GB286" s="345"/>
      <c r="GC286" s="345"/>
      <c r="GD286" s="345"/>
      <c r="GE286" s="345"/>
      <c r="GF286" s="345"/>
      <c r="GG286" s="345"/>
      <c r="GH286" s="345"/>
      <c r="GI286" s="345"/>
      <c r="GJ286" s="345"/>
      <c r="GK286" s="345"/>
      <c r="GL286" s="345"/>
      <c r="GM286" s="345"/>
      <c r="GN286" s="345"/>
      <c r="GO286" s="345"/>
      <c r="GP286" s="345"/>
      <c r="GQ286" s="345"/>
      <c r="GR286" s="345"/>
      <c r="GS286" s="345"/>
      <c r="GT286" s="345"/>
      <c r="GU286" s="345"/>
    </row>
    <row r="287" spans="23:203">
      <c r="W287" s="345"/>
      <c r="X287" s="345"/>
      <c r="Y287" s="345"/>
      <c r="Z287" s="345"/>
      <c r="AA287" s="345"/>
      <c r="AB287" s="345"/>
      <c r="AC287" s="345"/>
      <c r="AD287" s="345"/>
      <c r="AE287" s="345"/>
      <c r="AF287" s="345"/>
      <c r="AG287" s="345"/>
      <c r="AH287" s="345"/>
      <c r="AI287" s="345"/>
      <c r="AJ287" s="345"/>
      <c r="AK287" s="345"/>
      <c r="AL287" s="345"/>
      <c r="AM287" s="345"/>
      <c r="AN287" s="345"/>
      <c r="AO287" s="345"/>
      <c r="AP287" s="345"/>
      <c r="AQ287" s="345"/>
      <c r="AR287" s="345"/>
      <c r="AS287" s="345"/>
      <c r="AT287" s="345"/>
      <c r="AU287" s="345"/>
      <c r="AV287" s="345"/>
      <c r="AW287" s="345"/>
      <c r="AX287" s="345"/>
      <c r="AY287" s="345"/>
      <c r="AZ287" s="345"/>
      <c r="BA287" s="345"/>
      <c r="BB287" s="345"/>
      <c r="BC287" s="345"/>
      <c r="BD287" s="345"/>
      <c r="BE287" s="345"/>
      <c r="BF287" s="345"/>
      <c r="BG287" s="345"/>
      <c r="BH287" s="345"/>
      <c r="BI287" s="345"/>
      <c r="BJ287" s="345"/>
      <c r="BK287" s="345"/>
      <c r="BL287" s="345"/>
      <c r="BM287" s="345"/>
      <c r="BN287" s="345"/>
      <c r="BO287" s="345"/>
      <c r="BP287" s="345"/>
      <c r="BQ287" s="345"/>
      <c r="BR287" s="345"/>
      <c r="BS287" s="345"/>
      <c r="BT287" s="345"/>
      <c r="BU287" s="345"/>
      <c r="BV287" s="345"/>
      <c r="BW287" s="345"/>
      <c r="BX287" s="345"/>
      <c r="BY287" s="345"/>
      <c r="BZ287" s="345"/>
      <c r="CA287" s="345"/>
      <c r="CB287" s="345"/>
      <c r="CC287" s="345"/>
      <c r="CD287" s="345"/>
      <c r="CE287" s="345"/>
      <c r="CF287" s="345"/>
      <c r="CG287" s="345"/>
      <c r="CH287" s="345"/>
      <c r="CI287" s="345"/>
      <c r="CJ287" s="345"/>
      <c r="CK287" s="345"/>
      <c r="CL287" s="345"/>
      <c r="CM287" s="345"/>
      <c r="CN287" s="345"/>
      <c r="CO287" s="345"/>
      <c r="CP287" s="345"/>
      <c r="CQ287" s="345"/>
      <c r="CR287" s="345"/>
      <c r="CS287" s="345"/>
      <c r="CT287" s="345"/>
      <c r="CU287" s="345"/>
      <c r="CV287" s="345"/>
      <c r="CW287" s="345"/>
      <c r="CX287" s="345"/>
      <c r="CY287" s="345"/>
      <c r="CZ287" s="345"/>
      <c r="DA287" s="345"/>
      <c r="DB287" s="345"/>
      <c r="DC287" s="345"/>
      <c r="DD287" s="345"/>
      <c r="DE287" s="345"/>
      <c r="DF287" s="345"/>
      <c r="DG287" s="345"/>
      <c r="DH287" s="345"/>
      <c r="DI287" s="345"/>
      <c r="DJ287" s="345"/>
      <c r="DK287" s="345"/>
      <c r="DL287" s="345"/>
      <c r="DM287" s="345"/>
      <c r="DN287" s="345"/>
      <c r="DO287" s="345"/>
      <c r="DP287" s="345"/>
      <c r="DQ287" s="345"/>
      <c r="DR287" s="345"/>
      <c r="DS287" s="345"/>
      <c r="DT287" s="345"/>
      <c r="DU287" s="345"/>
      <c r="DV287" s="345"/>
      <c r="DW287" s="345"/>
      <c r="DX287" s="345"/>
      <c r="DY287" s="345"/>
      <c r="DZ287" s="345"/>
      <c r="EA287" s="345"/>
      <c r="EB287" s="345"/>
      <c r="EC287" s="345"/>
      <c r="ED287" s="345"/>
      <c r="EE287" s="345"/>
      <c r="EF287" s="345"/>
      <c r="EG287" s="345"/>
      <c r="EH287" s="345"/>
      <c r="EI287" s="345"/>
      <c r="EJ287" s="345"/>
      <c r="EK287" s="345"/>
      <c r="EL287" s="345"/>
      <c r="EM287" s="345"/>
      <c r="EN287" s="345"/>
      <c r="EO287" s="345"/>
      <c r="EP287" s="345"/>
      <c r="EQ287" s="345"/>
      <c r="ER287" s="345"/>
      <c r="ES287" s="345"/>
      <c r="ET287" s="345"/>
      <c r="EU287" s="345"/>
      <c r="EV287" s="345"/>
      <c r="EW287" s="345"/>
      <c r="EX287" s="345"/>
      <c r="EY287" s="345"/>
      <c r="EZ287" s="345"/>
      <c r="FA287" s="345"/>
      <c r="FB287" s="345"/>
      <c r="FC287" s="345"/>
      <c r="FD287" s="345"/>
      <c r="FE287" s="345"/>
      <c r="FF287" s="345"/>
      <c r="FG287" s="345"/>
      <c r="FH287" s="345"/>
      <c r="FI287" s="345"/>
      <c r="FJ287" s="345"/>
      <c r="FK287" s="345"/>
      <c r="FL287" s="345"/>
      <c r="FM287" s="345"/>
      <c r="FN287" s="345"/>
      <c r="FO287" s="345"/>
      <c r="FP287" s="345"/>
      <c r="FQ287" s="345"/>
      <c r="FR287" s="345"/>
      <c r="FS287" s="345"/>
      <c r="FT287" s="345"/>
      <c r="FU287" s="345"/>
      <c r="FV287" s="345"/>
      <c r="FW287" s="345"/>
      <c r="FX287" s="345"/>
      <c r="FY287" s="345"/>
      <c r="FZ287" s="345"/>
      <c r="GA287" s="345"/>
      <c r="GB287" s="345"/>
      <c r="GC287" s="345"/>
      <c r="GD287" s="345"/>
      <c r="GE287" s="345"/>
      <c r="GF287" s="345"/>
      <c r="GG287" s="345"/>
      <c r="GH287" s="345"/>
      <c r="GI287" s="345"/>
      <c r="GJ287" s="345"/>
      <c r="GK287" s="345"/>
      <c r="GL287" s="345"/>
      <c r="GM287" s="345"/>
      <c r="GN287" s="345"/>
      <c r="GO287" s="345"/>
      <c r="GP287" s="345"/>
      <c r="GQ287" s="345"/>
      <c r="GR287" s="345"/>
      <c r="GS287" s="345"/>
      <c r="GT287" s="345"/>
      <c r="GU287" s="345"/>
    </row>
    <row r="288" spans="23:203">
      <c r="W288" s="345"/>
      <c r="X288" s="345"/>
      <c r="Y288" s="345"/>
      <c r="Z288" s="345"/>
      <c r="AA288" s="345"/>
      <c r="AB288" s="345"/>
      <c r="AC288" s="345"/>
      <c r="AD288" s="345"/>
      <c r="AE288" s="345"/>
      <c r="AF288" s="345"/>
      <c r="AG288" s="345"/>
      <c r="AH288" s="345"/>
      <c r="AI288" s="345"/>
      <c r="AJ288" s="345"/>
      <c r="AK288" s="345"/>
      <c r="AL288" s="345"/>
      <c r="AM288" s="345"/>
      <c r="AN288" s="345"/>
      <c r="AO288" s="345"/>
      <c r="AP288" s="345"/>
      <c r="AQ288" s="345"/>
      <c r="AR288" s="345"/>
      <c r="AS288" s="345"/>
      <c r="AT288" s="345"/>
      <c r="AU288" s="345"/>
      <c r="AV288" s="345"/>
      <c r="AW288" s="345"/>
      <c r="AX288" s="345"/>
      <c r="AY288" s="345"/>
      <c r="AZ288" s="345"/>
      <c r="BA288" s="345"/>
      <c r="BB288" s="345"/>
      <c r="BC288" s="345"/>
      <c r="BD288" s="345"/>
      <c r="BE288" s="345"/>
      <c r="BF288" s="345"/>
      <c r="BG288" s="345"/>
      <c r="BH288" s="345"/>
      <c r="BI288" s="345"/>
      <c r="BJ288" s="345"/>
      <c r="BK288" s="345"/>
      <c r="BL288" s="345"/>
      <c r="BM288" s="345"/>
      <c r="BN288" s="345"/>
      <c r="BO288" s="345"/>
      <c r="BP288" s="345"/>
      <c r="BQ288" s="345"/>
      <c r="BR288" s="345"/>
      <c r="BS288" s="345"/>
      <c r="BT288" s="345"/>
      <c r="BU288" s="345"/>
      <c r="BV288" s="345"/>
      <c r="BW288" s="345"/>
      <c r="BX288" s="345"/>
      <c r="BY288" s="345"/>
      <c r="BZ288" s="345"/>
      <c r="CA288" s="345"/>
      <c r="CB288" s="345"/>
      <c r="CC288" s="345"/>
      <c r="CD288" s="345"/>
      <c r="CE288" s="345"/>
      <c r="CF288" s="345"/>
      <c r="CG288" s="345"/>
      <c r="CH288" s="345"/>
      <c r="CI288" s="345"/>
      <c r="CJ288" s="345"/>
      <c r="CK288" s="345"/>
      <c r="CL288" s="345"/>
      <c r="CM288" s="345"/>
      <c r="CN288" s="345"/>
      <c r="CO288" s="345"/>
      <c r="CP288" s="345"/>
      <c r="CQ288" s="345"/>
      <c r="CR288" s="345"/>
      <c r="CS288" s="345"/>
      <c r="CT288" s="345"/>
      <c r="CU288" s="345"/>
      <c r="CV288" s="345"/>
      <c r="CW288" s="345"/>
      <c r="CX288" s="345"/>
      <c r="CY288" s="345"/>
      <c r="CZ288" s="345"/>
      <c r="DA288" s="345"/>
      <c r="DB288" s="345"/>
      <c r="DC288" s="345"/>
      <c r="DD288" s="345"/>
      <c r="DE288" s="345"/>
      <c r="DF288" s="345"/>
      <c r="DG288" s="345"/>
      <c r="DH288" s="345"/>
      <c r="DI288" s="345"/>
      <c r="DJ288" s="345"/>
      <c r="DK288" s="345"/>
      <c r="DL288" s="345"/>
      <c r="DM288" s="345"/>
      <c r="DN288" s="345"/>
      <c r="DO288" s="345"/>
      <c r="DP288" s="345"/>
      <c r="DQ288" s="345"/>
      <c r="DR288" s="345"/>
      <c r="DS288" s="345"/>
      <c r="DT288" s="345"/>
      <c r="DU288" s="345"/>
      <c r="DV288" s="345"/>
      <c r="DW288" s="345"/>
      <c r="DX288" s="345"/>
      <c r="DY288" s="345"/>
      <c r="DZ288" s="345"/>
      <c r="EA288" s="345"/>
      <c r="EB288" s="345"/>
      <c r="EC288" s="345"/>
      <c r="ED288" s="345"/>
      <c r="EE288" s="345"/>
      <c r="EF288" s="345"/>
      <c r="EG288" s="345"/>
      <c r="EH288" s="345"/>
      <c r="EI288" s="345"/>
      <c r="EJ288" s="345"/>
      <c r="EK288" s="345"/>
      <c r="EL288" s="345"/>
      <c r="EM288" s="345"/>
      <c r="EN288" s="345"/>
      <c r="EO288" s="345"/>
      <c r="EP288" s="345"/>
      <c r="EQ288" s="345"/>
      <c r="ER288" s="345"/>
      <c r="ES288" s="345"/>
      <c r="ET288" s="345"/>
      <c r="EU288" s="345"/>
      <c r="EV288" s="345"/>
      <c r="EW288" s="345"/>
      <c r="EX288" s="345"/>
      <c r="EY288" s="345"/>
      <c r="EZ288" s="345"/>
      <c r="FA288" s="345"/>
      <c r="FB288" s="345"/>
      <c r="FC288" s="345"/>
      <c r="FD288" s="345"/>
      <c r="FE288" s="345"/>
      <c r="FF288" s="345"/>
      <c r="FG288" s="345"/>
      <c r="FH288" s="345"/>
      <c r="FI288" s="345"/>
      <c r="FJ288" s="345"/>
      <c r="FK288" s="345"/>
      <c r="FL288" s="345"/>
      <c r="FM288" s="345"/>
      <c r="FN288" s="345"/>
      <c r="FO288" s="345"/>
      <c r="FP288" s="345"/>
      <c r="FQ288" s="345"/>
      <c r="FR288" s="345"/>
      <c r="FS288" s="345"/>
      <c r="FT288" s="345"/>
      <c r="FU288" s="345"/>
      <c r="FV288" s="345"/>
      <c r="FW288" s="345"/>
      <c r="FX288" s="345"/>
      <c r="FY288" s="345"/>
      <c r="FZ288" s="345"/>
      <c r="GA288" s="345"/>
      <c r="GB288" s="345"/>
      <c r="GC288" s="345"/>
      <c r="GD288" s="345"/>
      <c r="GE288" s="345"/>
      <c r="GF288" s="345"/>
      <c r="GG288" s="345"/>
      <c r="GH288" s="345"/>
      <c r="GI288" s="345"/>
      <c r="GJ288" s="345"/>
      <c r="GK288" s="345"/>
      <c r="GL288" s="345"/>
      <c r="GM288" s="345"/>
      <c r="GN288" s="345"/>
      <c r="GO288" s="345"/>
      <c r="GP288" s="345"/>
      <c r="GQ288" s="345"/>
      <c r="GR288" s="345"/>
      <c r="GS288" s="345"/>
      <c r="GT288" s="345"/>
      <c r="GU288" s="345"/>
    </row>
    <row r="289" spans="23:203">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c r="AS289" s="345"/>
      <c r="AT289" s="345"/>
      <c r="AU289" s="345"/>
      <c r="AV289" s="345"/>
      <c r="AW289" s="345"/>
      <c r="AX289" s="345"/>
      <c r="AY289" s="345"/>
      <c r="AZ289" s="345"/>
      <c r="BA289" s="345"/>
      <c r="BB289" s="345"/>
      <c r="BC289" s="345"/>
      <c r="BD289" s="345"/>
      <c r="BE289" s="345"/>
      <c r="BF289" s="345"/>
      <c r="BG289" s="345"/>
      <c r="BH289" s="345"/>
      <c r="BI289" s="345"/>
      <c r="BJ289" s="345"/>
      <c r="BK289" s="345"/>
      <c r="BL289" s="345"/>
      <c r="BM289" s="345"/>
      <c r="BN289" s="345"/>
      <c r="BO289" s="345"/>
      <c r="BP289" s="345"/>
      <c r="BQ289" s="345"/>
      <c r="BR289" s="345"/>
      <c r="BS289" s="345"/>
      <c r="BT289" s="345"/>
      <c r="BU289" s="345"/>
      <c r="BV289" s="345"/>
      <c r="BW289" s="345"/>
      <c r="BX289" s="345"/>
      <c r="BY289" s="345"/>
      <c r="BZ289" s="345"/>
      <c r="CA289" s="345"/>
      <c r="CB289" s="345"/>
      <c r="CC289" s="345"/>
      <c r="CD289" s="345"/>
      <c r="CE289" s="345"/>
      <c r="CF289" s="345"/>
      <c r="CG289" s="345"/>
      <c r="CH289" s="345"/>
      <c r="CI289" s="345"/>
      <c r="CJ289" s="345"/>
      <c r="CK289" s="345"/>
      <c r="CL289" s="345"/>
      <c r="CM289" s="345"/>
      <c r="CN289" s="345"/>
      <c r="CO289" s="345"/>
      <c r="CP289" s="345"/>
      <c r="CQ289" s="345"/>
      <c r="CR289" s="345"/>
      <c r="CS289" s="345"/>
      <c r="CT289" s="345"/>
      <c r="CU289" s="345"/>
      <c r="CV289" s="345"/>
      <c r="CW289" s="345"/>
      <c r="CX289" s="345"/>
      <c r="CY289" s="345"/>
      <c r="CZ289" s="345"/>
      <c r="DA289" s="345"/>
      <c r="DB289" s="345"/>
      <c r="DC289" s="345"/>
      <c r="DD289" s="345"/>
      <c r="DE289" s="345"/>
      <c r="DF289" s="345"/>
      <c r="DG289" s="345"/>
      <c r="DH289" s="345"/>
      <c r="DI289" s="345"/>
      <c r="DJ289" s="345"/>
      <c r="DK289" s="345"/>
      <c r="DL289" s="345"/>
      <c r="DM289" s="345"/>
      <c r="DN289" s="345"/>
      <c r="DO289" s="345"/>
      <c r="DP289" s="345"/>
      <c r="DQ289" s="345"/>
      <c r="DR289" s="345"/>
      <c r="DS289" s="345"/>
      <c r="DT289" s="345"/>
      <c r="DU289" s="345"/>
      <c r="DV289" s="345"/>
      <c r="DW289" s="345"/>
      <c r="DX289" s="345"/>
      <c r="DY289" s="345"/>
      <c r="DZ289" s="345"/>
      <c r="EA289" s="345"/>
      <c r="EB289" s="345"/>
      <c r="EC289" s="345"/>
      <c r="ED289" s="345"/>
      <c r="EE289" s="345"/>
      <c r="EF289" s="345"/>
      <c r="EG289" s="345"/>
      <c r="EH289" s="345"/>
      <c r="EI289" s="345"/>
      <c r="EJ289" s="345"/>
      <c r="EK289" s="345"/>
      <c r="EL289" s="345"/>
      <c r="EM289" s="345"/>
      <c r="EN289" s="345"/>
      <c r="EO289" s="345"/>
      <c r="EP289" s="345"/>
      <c r="EQ289" s="345"/>
      <c r="ER289" s="345"/>
      <c r="ES289" s="345"/>
      <c r="ET289" s="345"/>
      <c r="EU289" s="345"/>
      <c r="EV289" s="345"/>
      <c r="EW289" s="345"/>
      <c r="EX289" s="345"/>
      <c r="EY289" s="345"/>
      <c r="EZ289" s="345"/>
      <c r="FA289" s="345"/>
      <c r="FB289" s="345"/>
      <c r="FC289" s="345"/>
      <c r="FD289" s="345"/>
      <c r="FE289" s="345"/>
      <c r="FF289" s="345"/>
      <c r="FG289" s="345"/>
      <c r="FH289" s="345"/>
      <c r="FI289" s="345"/>
      <c r="FJ289" s="345"/>
      <c r="FK289" s="345"/>
      <c r="FL289" s="345"/>
      <c r="FM289" s="345"/>
      <c r="FN289" s="345"/>
      <c r="FO289" s="345"/>
      <c r="FP289" s="345"/>
      <c r="FQ289" s="345"/>
      <c r="FR289" s="345"/>
      <c r="FS289" s="345"/>
      <c r="FT289" s="345"/>
      <c r="FU289" s="345"/>
      <c r="FV289" s="345"/>
      <c r="FW289" s="345"/>
      <c r="FX289" s="345"/>
      <c r="FY289" s="345"/>
      <c r="FZ289" s="345"/>
      <c r="GA289" s="345"/>
      <c r="GB289" s="345"/>
      <c r="GC289" s="345"/>
      <c r="GD289" s="345"/>
      <c r="GE289" s="345"/>
      <c r="GF289" s="345"/>
      <c r="GG289" s="345"/>
      <c r="GH289" s="345"/>
      <c r="GI289" s="345"/>
      <c r="GJ289" s="345"/>
      <c r="GK289" s="345"/>
      <c r="GL289" s="345"/>
      <c r="GM289" s="345"/>
      <c r="GN289" s="345"/>
      <c r="GO289" s="345"/>
      <c r="GP289" s="345"/>
      <c r="GQ289" s="345"/>
      <c r="GR289" s="345"/>
      <c r="GS289" s="345"/>
      <c r="GT289" s="345"/>
      <c r="GU289" s="345"/>
    </row>
    <row r="290" spans="23:203">
      <c r="W290" s="345"/>
      <c r="X290" s="345"/>
      <c r="Y290" s="345"/>
      <c r="Z290" s="345"/>
      <c r="AA290" s="345"/>
      <c r="AB290" s="345"/>
      <c r="AC290" s="345"/>
      <c r="AD290" s="345"/>
      <c r="AE290" s="345"/>
      <c r="AF290" s="345"/>
      <c r="AG290" s="345"/>
      <c r="AH290" s="345"/>
      <c r="AI290" s="345"/>
      <c r="AJ290" s="345"/>
      <c r="AK290" s="345"/>
      <c r="AL290" s="345"/>
      <c r="AM290" s="345"/>
      <c r="AN290" s="345"/>
      <c r="AO290" s="345"/>
      <c r="AP290" s="345"/>
      <c r="AQ290" s="345"/>
      <c r="AR290" s="345"/>
      <c r="AS290" s="345"/>
      <c r="AT290" s="345"/>
      <c r="AU290" s="345"/>
      <c r="AV290" s="345"/>
      <c r="AW290" s="345"/>
      <c r="AX290" s="345"/>
      <c r="AY290" s="345"/>
      <c r="AZ290" s="345"/>
      <c r="BA290" s="345"/>
      <c r="BB290" s="345"/>
      <c r="BC290" s="345"/>
      <c r="BD290" s="345"/>
      <c r="BE290" s="345"/>
      <c r="BF290" s="345"/>
      <c r="BG290" s="345"/>
      <c r="BH290" s="345"/>
      <c r="BI290" s="345"/>
      <c r="BJ290" s="345"/>
      <c r="BK290" s="345"/>
      <c r="BL290" s="345"/>
      <c r="BM290" s="345"/>
      <c r="BN290" s="345"/>
      <c r="BO290" s="345"/>
      <c r="BP290" s="345"/>
      <c r="BQ290" s="345"/>
      <c r="BR290" s="345"/>
      <c r="BS290" s="345"/>
      <c r="BT290" s="345"/>
      <c r="BU290" s="345"/>
      <c r="BV290" s="345"/>
      <c r="BW290" s="345"/>
      <c r="BX290" s="345"/>
      <c r="BY290" s="345"/>
      <c r="BZ290" s="345"/>
      <c r="CA290" s="345"/>
      <c r="CB290" s="345"/>
      <c r="CC290" s="345"/>
      <c r="CD290" s="345"/>
      <c r="CE290" s="345"/>
      <c r="CF290" s="345"/>
      <c r="CG290" s="345"/>
      <c r="CH290" s="345"/>
      <c r="CI290" s="345"/>
      <c r="CJ290" s="345"/>
      <c r="CK290" s="345"/>
      <c r="CL290" s="345"/>
      <c r="CM290" s="345"/>
      <c r="CN290" s="345"/>
      <c r="CO290" s="345"/>
      <c r="CP290" s="345"/>
      <c r="CQ290" s="345"/>
      <c r="CR290" s="345"/>
      <c r="CS290" s="345"/>
      <c r="CT290" s="345"/>
      <c r="CU290" s="345"/>
      <c r="CV290" s="345"/>
      <c r="CW290" s="345"/>
      <c r="CX290" s="345"/>
      <c r="CY290" s="345"/>
      <c r="CZ290" s="345"/>
      <c r="DA290" s="345"/>
      <c r="DB290" s="345"/>
      <c r="DC290" s="345"/>
      <c r="DD290" s="345"/>
      <c r="DE290" s="345"/>
      <c r="DF290" s="345"/>
      <c r="DG290" s="345"/>
      <c r="DH290" s="345"/>
      <c r="DI290" s="345"/>
      <c r="DJ290" s="345"/>
      <c r="DK290" s="345"/>
      <c r="DL290" s="345"/>
      <c r="DM290" s="345"/>
      <c r="DN290" s="345"/>
      <c r="DO290" s="345"/>
      <c r="DP290" s="345"/>
      <c r="DQ290" s="345"/>
      <c r="DR290" s="345"/>
      <c r="DS290" s="345"/>
      <c r="DT290" s="345"/>
      <c r="DU290" s="345"/>
      <c r="DV290" s="345"/>
      <c r="DW290" s="345"/>
      <c r="DX290" s="345"/>
      <c r="DY290" s="345"/>
      <c r="DZ290" s="345"/>
      <c r="EA290" s="345"/>
      <c r="EB290" s="345"/>
      <c r="EC290" s="345"/>
      <c r="ED290" s="345"/>
      <c r="EE290" s="345"/>
      <c r="EF290" s="345"/>
      <c r="EG290" s="345"/>
      <c r="EH290" s="345"/>
      <c r="EI290" s="345"/>
      <c r="EJ290" s="345"/>
      <c r="EK290" s="345"/>
      <c r="EL290" s="345"/>
      <c r="EM290" s="345"/>
      <c r="EN290" s="345"/>
      <c r="EO290" s="345"/>
      <c r="EP290" s="345"/>
      <c r="EQ290" s="345"/>
      <c r="ER290" s="345"/>
      <c r="ES290" s="345"/>
      <c r="ET290" s="345"/>
      <c r="EU290" s="345"/>
      <c r="EV290" s="345"/>
      <c r="EW290" s="345"/>
      <c r="EX290" s="345"/>
      <c r="EY290" s="345"/>
      <c r="EZ290" s="345"/>
      <c r="FA290" s="345"/>
      <c r="FB290" s="345"/>
      <c r="FC290" s="345"/>
      <c r="FD290" s="345"/>
      <c r="FE290" s="345"/>
      <c r="FF290" s="345"/>
      <c r="FG290" s="345"/>
      <c r="FH290" s="345"/>
      <c r="FI290" s="345"/>
      <c r="FJ290" s="345"/>
      <c r="FK290" s="345"/>
      <c r="FL290" s="345"/>
      <c r="FM290" s="345"/>
      <c r="FN290" s="345"/>
      <c r="FO290" s="345"/>
      <c r="FP290" s="345"/>
      <c r="FQ290" s="345"/>
      <c r="FR290" s="345"/>
      <c r="FS290" s="345"/>
      <c r="FT290" s="345"/>
      <c r="FU290" s="345"/>
      <c r="FV290" s="345"/>
      <c r="FW290" s="345"/>
      <c r="FX290" s="345"/>
      <c r="FY290" s="345"/>
      <c r="FZ290" s="345"/>
      <c r="GA290" s="345"/>
      <c r="GB290" s="345"/>
      <c r="GC290" s="345"/>
      <c r="GD290" s="345"/>
      <c r="GE290" s="345"/>
      <c r="GF290" s="345"/>
      <c r="GG290" s="345"/>
      <c r="GH290" s="345"/>
      <c r="GI290" s="345"/>
      <c r="GJ290" s="345"/>
      <c r="GK290" s="345"/>
      <c r="GL290" s="345"/>
      <c r="GM290" s="345"/>
      <c r="GN290" s="345"/>
      <c r="GO290" s="345"/>
      <c r="GP290" s="345"/>
      <c r="GQ290" s="345"/>
      <c r="GR290" s="345"/>
      <c r="GS290" s="345"/>
      <c r="GT290" s="345"/>
      <c r="GU290" s="345"/>
    </row>
    <row r="291" spans="23:203">
      <c r="W291" s="345"/>
      <c r="X291" s="345"/>
      <c r="Y291" s="345"/>
      <c r="Z291" s="345"/>
      <c r="AA291" s="345"/>
      <c r="AB291" s="345"/>
      <c r="AC291" s="345"/>
      <c r="AD291" s="345"/>
      <c r="AE291" s="345"/>
      <c r="AF291" s="345"/>
      <c r="AG291" s="345"/>
      <c r="AH291" s="345"/>
      <c r="AI291" s="345"/>
      <c r="AJ291" s="345"/>
      <c r="AK291" s="345"/>
      <c r="AL291" s="345"/>
      <c r="AM291" s="345"/>
      <c r="AN291" s="345"/>
      <c r="AO291" s="345"/>
      <c r="AP291" s="345"/>
      <c r="AQ291" s="345"/>
      <c r="AR291" s="345"/>
      <c r="AS291" s="345"/>
      <c r="AT291" s="345"/>
      <c r="AU291" s="345"/>
      <c r="AV291" s="345"/>
      <c r="AW291" s="345"/>
      <c r="AX291" s="345"/>
      <c r="AY291" s="345"/>
      <c r="AZ291" s="345"/>
      <c r="BA291" s="345"/>
      <c r="BB291" s="345"/>
      <c r="BC291" s="345"/>
      <c r="BD291" s="345"/>
      <c r="BE291" s="345"/>
      <c r="BF291" s="345"/>
      <c r="BG291" s="345"/>
      <c r="BH291" s="345"/>
      <c r="BI291" s="345"/>
      <c r="BJ291" s="345"/>
      <c r="BK291" s="345"/>
      <c r="BL291" s="345"/>
      <c r="BM291" s="345"/>
      <c r="BN291" s="345"/>
      <c r="BO291" s="345"/>
      <c r="BP291" s="345"/>
      <c r="BQ291" s="345"/>
      <c r="BR291" s="345"/>
      <c r="BS291" s="345"/>
      <c r="BT291" s="345"/>
      <c r="BU291" s="345"/>
      <c r="BV291" s="345"/>
      <c r="BW291" s="345"/>
      <c r="BX291" s="345"/>
      <c r="BY291" s="345"/>
      <c r="BZ291" s="345"/>
      <c r="CA291" s="345"/>
      <c r="CB291" s="345"/>
      <c r="CC291" s="345"/>
      <c r="CD291" s="345"/>
      <c r="CE291" s="345"/>
      <c r="CF291" s="345"/>
      <c r="CG291" s="345"/>
      <c r="CH291" s="345"/>
      <c r="CI291" s="345"/>
      <c r="CJ291" s="345"/>
      <c r="CK291" s="345"/>
      <c r="CL291" s="345"/>
      <c r="CM291" s="345"/>
      <c r="CN291" s="345"/>
      <c r="CO291" s="345"/>
      <c r="CP291" s="345"/>
      <c r="CQ291" s="345"/>
      <c r="CR291" s="345"/>
      <c r="CS291" s="345"/>
      <c r="CT291" s="345"/>
      <c r="CU291" s="345"/>
      <c r="CV291" s="345"/>
      <c r="CW291" s="345"/>
      <c r="CX291" s="345"/>
      <c r="CY291" s="345"/>
      <c r="CZ291" s="345"/>
      <c r="DA291" s="345"/>
      <c r="DB291" s="345"/>
      <c r="DC291" s="345"/>
      <c r="DD291" s="345"/>
      <c r="DE291" s="345"/>
      <c r="DF291" s="345"/>
      <c r="DG291" s="345"/>
      <c r="DH291" s="345"/>
      <c r="DI291" s="345"/>
      <c r="DJ291" s="345"/>
      <c r="DK291" s="345"/>
      <c r="DL291" s="345"/>
      <c r="DM291" s="345"/>
      <c r="DN291" s="345"/>
      <c r="DO291" s="345"/>
      <c r="DP291" s="345"/>
      <c r="DQ291" s="345"/>
      <c r="DR291" s="345"/>
      <c r="DS291" s="345"/>
      <c r="DT291" s="345"/>
      <c r="DU291" s="345"/>
      <c r="DV291" s="345"/>
      <c r="DW291" s="345"/>
      <c r="DX291" s="345"/>
      <c r="DY291" s="345"/>
      <c r="DZ291" s="345"/>
      <c r="EA291" s="345"/>
      <c r="EB291" s="345"/>
      <c r="EC291" s="345"/>
      <c r="ED291" s="345"/>
      <c r="EE291" s="345"/>
      <c r="EF291" s="345"/>
      <c r="EG291" s="345"/>
      <c r="EH291" s="345"/>
      <c r="EI291" s="345"/>
      <c r="EJ291" s="345"/>
      <c r="EK291" s="345"/>
      <c r="EL291" s="345"/>
      <c r="EM291" s="345"/>
      <c r="EN291" s="345"/>
      <c r="EO291" s="345"/>
      <c r="EP291" s="345"/>
      <c r="EQ291" s="345"/>
      <c r="ER291" s="345"/>
      <c r="ES291" s="345"/>
      <c r="ET291" s="345"/>
      <c r="EU291" s="345"/>
      <c r="EV291" s="345"/>
      <c r="EW291" s="345"/>
      <c r="EX291" s="345"/>
      <c r="EY291" s="345"/>
      <c r="EZ291" s="345"/>
      <c r="FA291" s="345"/>
      <c r="FB291" s="345"/>
      <c r="FC291" s="345"/>
      <c r="FD291" s="345"/>
      <c r="FE291" s="345"/>
      <c r="FF291" s="345"/>
      <c r="FG291" s="345"/>
      <c r="FH291" s="345"/>
      <c r="FI291" s="345"/>
      <c r="FJ291" s="345"/>
      <c r="FK291" s="345"/>
      <c r="FL291" s="345"/>
      <c r="FM291" s="345"/>
      <c r="FN291" s="345"/>
      <c r="FO291" s="345"/>
      <c r="FP291" s="345"/>
      <c r="FQ291" s="345"/>
      <c r="FR291" s="345"/>
      <c r="FS291" s="345"/>
      <c r="FT291" s="345"/>
      <c r="FU291" s="345"/>
      <c r="FV291" s="345"/>
      <c r="FW291" s="345"/>
      <c r="FX291" s="345"/>
      <c r="FY291" s="345"/>
      <c r="FZ291" s="345"/>
      <c r="GA291" s="345"/>
      <c r="GB291" s="345"/>
      <c r="GC291" s="345"/>
      <c r="GD291" s="345"/>
      <c r="GE291" s="345"/>
      <c r="GF291" s="345"/>
      <c r="GG291" s="345"/>
      <c r="GH291" s="345"/>
      <c r="GI291" s="345"/>
      <c r="GJ291" s="345"/>
      <c r="GK291" s="345"/>
      <c r="GL291" s="345"/>
      <c r="GM291" s="345"/>
      <c r="GN291" s="345"/>
      <c r="GO291" s="345"/>
      <c r="GP291" s="345"/>
      <c r="GQ291" s="345"/>
      <c r="GR291" s="345"/>
      <c r="GS291" s="345"/>
      <c r="GT291" s="345"/>
      <c r="GU291" s="345"/>
    </row>
    <row r="292" spans="23:203">
      <c r="W292" s="345"/>
      <c r="X292" s="345"/>
      <c r="Y292" s="345"/>
      <c r="Z292" s="345"/>
      <c r="AA292" s="345"/>
      <c r="AB292" s="345"/>
      <c r="AC292" s="345"/>
      <c r="AD292" s="345"/>
      <c r="AE292" s="345"/>
      <c r="AF292" s="345"/>
      <c r="AG292" s="345"/>
      <c r="AH292" s="345"/>
      <c r="AI292" s="345"/>
      <c r="AJ292" s="345"/>
      <c r="AK292" s="345"/>
      <c r="AL292" s="345"/>
      <c r="AM292" s="345"/>
      <c r="AN292" s="345"/>
      <c r="AO292" s="345"/>
      <c r="AP292" s="345"/>
      <c r="AQ292" s="345"/>
      <c r="AR292" s="345"/>
      <c r="AS292" s="345"/>
      <c r="AT292" s="345"/>
      <c r="AU292" s="345"/>
      <c r="AV292" s="345"/>
      <c r="AW292" s="345"/>
      <c r="AX292" s="345"/>
      <c r="AY292" s="345"/>
      <c r="AZ292" s="345"/>
      <c r="BA292" s="345"/>
      <c r="BB292" s="345"/>
      <c r="BC292" s="345"/>
      <c r="BD292" s="345"/>
      <c r="BE292" s="345"/>
      <c r="BF292" s="345"/>
      <c r="BG292" s="345"/>
      <c r="BH292" s="345"/>
      <c r="BI292" s="345"/>
      <c r="BJ292" s="345"/>
      <c r="BK292" s="345"/>
      <c r="BL292" s="345"/>
      <c r="BM292" s="345"/>
      <c r="BN292" s="345"/>
      <c r="BO292" s="345"/>
      <c r="BP292" s="345"/>
      <c r="BQ292" s="345"/>
      <c r="BR292" s="345"/>
      <c r="BS292" s="345"/>
      <c r="BT292" s="345"/>
      <c r="BU292" s="345"/>
      <c r="BV292" s="345"/>
      <c r="BW292" s="345"/>
      <c r="BX292" s="345"/>
      <c r="BY292" s="345"/>
      <c r="BZ292" s="345"/>
      <c r="CA292" s="345"/>
      <c r="CB292" s="345"/>
      <c r="CC292" s="345"/>
      <c r="CD292" s="345"/>
      <c r="CE292" s="345"/>
      <c r="CF292" s="345"/>
      <c r="CG292" s="345"/>
      <c r="CH292" s="345"/>
      <c r="CI292" s="345"/>
      <c r="CJ292" s="345"/>
      <c r="CK292" s="345"/>
      <c r="CL292" s="345"/>
      <c r="CM292" s="345"/>
      <c r="CN292" s="345"/>
      <c r="CO292" s="345"/>
      <c r="CP292" s="345"/>
      <c r="CQ292" s="345"/>
      <c r="CR292" s="345"/>
      <c r="CS292" s="345"/>
      <c r="CT292" s="345"/>
      <c r="CU292" s="345"/>
      <c r="CV292" s="345"/>
      <c r="CW292" s="345"/>
      <c r="CX292" s="345"/>
      <c r="CY292" s="345"/>
      <c r="CZ292" s="345"/>
      <c r="DA292" s="345"/>
      <c r="DB292" s="345"/>
      <c r="DC292" s="345"/>
      <c r="DD292" s="345"/>
      <c r="DE292" s="345"/>
      <c r="DF292" s="345"/>
      <c r="DG292" s="345"/>
      <c r="DH292" s="345"/>
      <c r="DI292" s="345"/>
      <c r="DJ292" s="345"/>
      <c r="DK292" s="345"/>
      <c r="DL292" s="345"/>
      <c r="DM292" s="345"/>
      <c r="DN292" s="345"/>
      <c r="DO292" s="345"/>
      <c r="DP292" s="345"/>
      <c r="DQ292" s="345"/>
      <c r="DR292" s="345"/>
      <c r="DS292" s="345"/>
      <c r="DT292" s="345"/>
      <c r="DU292" s="345"/>
      <c r="DV292" s="345"/>
      <c r="DW292" s="345"/>
      <c r="DX292" s="345"/>
      <c r="DY292" s="345"/>
      <c r="DZ292" s="345"/>
      <c r="EA292" s="345"/>
      <c r="EB292" s="345"/>
      <c r="EC292" s="345"/>
      <c r="ED292" s="345"/>
      <c r="EE292" s="345"/>
      <c r="EF292" s="345"/>
      <c r="EG292" s="345"/>
      <c r="EH292" s="345"/>
      <c r="EI292" s="345"/>
      <c r="EJ292" s="345"/>
      <c r="EK292" s="345"/>
      <c r="EL292" s="345"/>
      <c r="EM292" s="345"/>
      <c r="EN292" s="345"/>
      <c r="EO292" s="345"/>
      <c r="EP292" s="345"/>
      <c r="EQ292" s="345"/>
      <c r="ER292" s="345"/>
      <c r="ES292" s="345"/>
      <c r="ET292" s="345"/>
      <c r="EU292" s="345"/>
      <c r="EV292" s="345"/>
      <c r="EW292" s="345"/>
      <c r="EX292" s="345"/>
      <c r="EY292" s="345"/>
      <c r="EZ292" s="345"/>
      <c r="FA292" s="345"/>
      <c r="FB292" s="345"/>
      <c r="FC292" s="345"/>
      <c r="FD292" s="345"/>
      <c r="FE292" s="345"/>
      <c r="FF292" s="345"/>
      <c r="FG292" s="345"/>
      <c r="FH292" s="345"/>
      <c r="FI292" s="345"/>
      <c r="FJ292" s="345"/>
      <c r="FK292" s="345"/>
      <c r="FL292" s="345"/>
      <c r="FM292" s="345"/>
      <c r="FN292" s="345"/>
      <c r="FO292" s="345"/>
      <c r="FP292" s="345"/>
      <c r="FQ292" s="345"/>
      <c r="FR292" s="345"/>
      <c r="FS292" s="345"/>
      <c r="FT292" s="345"/>
      <c r="FU292" s="345"/>
      <c r="FV292" s="345"/>
      <c r="FW292" s="345"/>
      <c r="FX292" s="345"/>
      <c r="FY292" s="345"/>
      <c r="FZ292" s="345"/>
      <c r="GA292" s="345"/>
      <c r="GB292" s="345"/>
      <c r="GC292" s="345"/>
      <c r="GD292" s="345"/>
      <c r="GE292" s="345"/>
      <c r="GF292" s="345"/>
      <c r="GG292" s="345"/>
      <c r="GH292" s="345"/>
      <c r="GI292" s="345"/>
      <c r="GJ292" s="345"/>
      <c r="GK292" s="345"/>
      <c r="GL292" s="345"/>
      <c r="GM292" s="345"/>
      <c r="GN292" s="345"/>
      <c r="GO292" s="345"/>
      <c r="GP292" s="345"/>
      <c r="GQ292" s="345"/>
      <c r="GR292" s="345"/>
      <c r="GS292" s="345"/>
      <c r="GT292" s="345"/>
      <c r="GU292" s="345"/>
    </row>
    <row r="293" spans="23:203">
      <c r="W293" s="345"/>
      <c r="X293" s="345"/>
      <c r="Y293" s="345"/>
      <c r="Z293" s="345"/>
      <c r="AA293" s="345"/>
      <c r="AB293" s="345"/>
      <c r="AC293" s="345"/>
      <c r="AD293" s="345"/>
      <c r="AE293" s="345"/>
      <c r="AF293" s="345"/>
      <c r="AG293" s="345"/>
      <c r="AH293" s="345"/>
      <c r="AI293" s="345"/>
      <c r="AJ293" s="345"/>
      <c r="AK293" s="345"/>
      <c r="AL293" s="345"/>
      <c r="AM293" s="345"/>
      <c r="AN293" s="345"/>
      <c r="AO293" s="345"/>
      <c r="AP293" s="345"/>
      <c r="AQ293" s="345"/>
      <c r="AR293" s="345"/>
      <c r="AS293" s="345"/>
      <c r="AT293" s="345"/>
      <c r="AU293" s="345"/>
      <c r="AV293" s="345"/>
      <c r="AW293" s="345"/>
      <c r="AX293" s="345"/>
      <c r="AY293" s="345"/>
      <c r="AZ293" s="345"/>
      <c r="BA293" s="345"/>
      <c r="BB293" s="345"/>
      <c r="BC293" s="345"/>
      <c r="BD293" s="345"/>
      <c r="BE293" s="345"/>
      <c r="BF293" s="345"/>
      <c r="BG293" s="345"/>
      <c r="BH293" s="345"/>
      <c r="BI293" s="345"/>
      <c r="BJ293" s="345"/>
      <c r="BK293" s="345"/>
      <c r="BL293" s="345"/>
      <c r="BM293" s="345"/>
      <c r="BN293" s="345"/>
      <c r="BO293" s="345"/>
      <c r="BP293" s="345"/>
      <c r="BQ293" s="345"/>
      <c r="BR293" s="345"/>
      <c r="BS293" s="345"/>
      <c r="BT293" s="345"/>
      <c r="BU293" s="345"/>
      <c r="BV293" s="345"/>
      <c r="BW293" s="345"/>
      <c r="BX293" s="345"/>
      <c r="BY293" s="345"/>
      <c r="BZ293" s="345"/>
      <c r="CA293" s="345"/>
      <c r="CB293" s="345"/>
      <c r="CC293" s="345"/>
      <c r="CD293" s="345"/>
      <c r="CE293" s="345"/>
      <c r="CF293" s="345"/>
      <c r="CG293" s="345"/>
      <c r="CH293" s="345"/>
      <c r="CI293" s="345"/>
      <c r="CJ293" s="345"/>
      <c r="CK293" s="345"/>
      <c r="CL293" s="345"/>
      <c r="CM293" s="345"/>
      <c r="CN293" s="345"/>
      <c r="CO293" s="345"/>
      <c r="CP293" s="345"/>
      <c r="CQ293" s="345"/>
      <c r="CR293" s="345"/>
      <c r="CS293" s="345"/>
      <c r="CT293" s="345"/>
      <c r="CU293" s="345"/>
      <c r="CV293" s="345"/>
      <c r="CW293" s="345"/>
      <c r="CX293" s="345"/>
      <c r="CY293" s="345"/>
      <c r="CZ293" s="345"/>
      <c r="DA293" s="345"/>
      <c r="DB293" s="345"/>
      <c r="DC293" s="345"/>
      <c r="DD293" s="345"/>
      <c r="DE293" s="345"/>
      <c r="DF293" s="345"/>
      <c r="DG293" s="345"/>
      <c r="DH293" s="345"/>
      <c r="DI293" s="345"/>
      <c r="DJ293" s="345"/>
      <c r="DK293" s="345"/>
      <c r="DL293" s="345"/>
      <c r="DM293" s="345"/>
      <c r="DN293" s="345"/>
      <c r="DO293" s="345"/>
      <c r="DP293" s="345"/>
      <c r="DQ293" s="345"/>
      <c r="DR293" s="345"/>
      <c r="DS293" s="345"/>
      <c r="DT293" s="345"/>
      <c r="DU293" s="345"/>
      <c r="DV293" s="345"/>
      <c r="DW293" s="345"/>
      <c r="DX293" s="345"/>
      <c r="DY293" s="345"/>
      <c r="DZ293" s="345"/>
      <c r="EA293" s="345"/>
      <c r="EB293" s="345"/>
      <c r="EC293" s="345"/>
      <c r="ED293" s="345"/>
      <c r="EE293" s="345"/>
      <c r="EF293" s="345"/>
      <c r="EG293" s="345"/>
      <c r="EH293" s="345"/>
      <c r="EI293" s="345"/>
      <c r="EJ293" s="345"/>
      <c r="EK293" s="345"/>
      <c r="EL293" s="345"/>
      <c r="EM293" s="345"/>
      <c r="EN293" s="345"/>
      <c r="EO293" s="345"/>
      <c r="EP293" s="345"/>
      <c r="EQ293" s="345"/>
      <c r="ER293" s="345"/>
      <c r="ES293" s="345"/>
      <c r="ET293" s="345"/>
      <c r="EU293" s="345"/>
      <c r="EV293" s="345"/>
      <c r="EW293" s="345"/>
      <c r="EX293" s="345"/>
      <c r="EY293" s="345"/>
      <c r="EZ293" s="345"/>
      <c r="FA293" s="345"/>
      <c r="FB293" s="345"/>
      <c r="FC293" s="345"/>
      <c r="FD293" s="345"/>
      <c r="FE293" s="345"/>
      <c r="FF293" s="345"/>
      <c r="FG293" s="345"/>
      <c r="FH293" s="345"/>
      <c r="FI293" s="345"/>
      <c r="FJ293" s="345"/>
      <c r="FK293" s="345"/>
      <c r="FL293" s="345"/>
      <c r="FM293" s="345"/>
      <c r="FN293" s="345"/>
      <c r="FO293" s="345"/>
      <c r="FP293" s="345"/>
      <c r="FQ293" s="345"/>
      <c r="FR293" s="345"/>
      <c r="FS293" s="345"/>
      <c r="FT293" s="345"/>
      <c r="FU293" s="345"/>
      <c r="FV293" s="345"/>
      <c r="FW293" s="345"/>
      <c r="FX293" s="345"/>
      <c r="FY293" s="345"/>
      <c r="FZ293" s="345"/>
      <c r="GA293" s="345"/>
      <c r="GB293" s="345"/>
      <c r="GC293" s="345"/>
      <c r="GD293" s="345"/>
      <c r="GE293" s="345"/>
      <c r="GF293" s="345"/>
      <c r="GG293" s="345"/>
      <c r="GH293" s="345"/>
      <c r="GI293" s="345"/>
      <c r="GJ293" s="345"/>
      <c r="GK293" s="345"/>
      <c r="GL293" s="345"/>
      <c r="GM293" s="345"/>
      <c r="GN293" s="345"/>
      <c r="GO293" s="345"/>
      <c r="GP293" s="345"/>
      <c r="GQ293" s="345"/>
      <c r="GR293" s="345"/>
      <c r="GS293" s="345"/>
      <c r="GT293" s="345"/>
      <c r="GU293" s="345"/>
    </row>
    <row r="294" spans="23:203">
      <c r="W294" s="345"/>
      <c r="X294" s="345"/>
      <c r="Y294" s="345"/>
      <c r="Z294" s="345"/>
      <c r="AA294" s="345"/>
      <c r="AB294" s="345"/>
      <c r="AC294" s="345"/>
      <c r="AD294" s="345"/>
      <c r="AE294" s="345"/>
      <c r="AF294" s="345"/>
      <c r="AG294" s="345"/>
      <c r="AH294" s="345"/>
      <c r="AI294" s="345"/>
      <c r="AJ294" s="345"/>
      <c r="AK294" s="345"/>
      <c r="AL294" s="345"/>
      <c r="AM294" s="345"/>
      <c r="AN294" s="345"/>
      <c r="AO294" s="345"/>
      <c r="AP294" s="345"/>
      <c r="AQ294" s="345"/>
      <c r="AR294" s="345"/>
      <c r="AS294" s="345"/>
      <c r="AT294" s="345"/>
      <c r="AU294" s="345"/>
      <c r="AV294" s="345"/>
      <c r="AW294" s="345"/>
      <c r="AX294" s="345"/>
      <c r="AY294" s="345"/>
      <c r="AZ294" s="345"/>
      <c r="BA294" s="345"/>
      <c r="BB294" s="345"/>
      <c r="BC294" s="345"/>
      <c r="BD294" s="345"/>
      <c r="BE294" s="345"/>
      <c r="BF294" s="345"/>
      <c r="BG294" s="345"/>
      <c r="BH294" s="345"/>
      <c r="BI294" s="345"/>
      <c r="BJ294" s="345"/>
      <c r="BK294" s="345"/>
      <c r="BL294" s="345"/>
      <c r="BM294" s="345"/>
      <c r="BN294" s="345"/>
      <c r="BO294" s="345"/>
      <c r="BP294" s="345"/>
      <c r="BQ294" s="345"/>
      <c r="BR294" s="345"/>
      <c r="BS294" s="345"/>
      <c r="BT294" s="345"/>
      <c r="BU294" s="345"/>
      <c r="BV294" s="345"/>
      <c r="BW294" s="345"/>
      <c r="BX294" s="345"/>
      <c r="BY294" s="345"/>
      <c r="BZ294" s="345"/>
      <c r="CA294" s="345"/>
      <c r="CB294" s="345"/>
      <c r="CC294" s="345"/>
      <c r="CD294" s="345"/>
      <c r="CE294" s="345"/>
      <c r="CF294" s="345"/>
      <c r="CG294" s="345"/>
      <c r="CH294" s="345"/>
      <c r="CI294" s="345"/>
      <c r="CJ294" s="345"/>
      <c r="CK294" s="345"/>
      <c r="CL294" s="345"/>
      <c r="CM294" s="345"/>
      <c r="CN294" s="345"/>
      <c r="CO294" s="345"/>
      <c r="CP294" s="345"/>
      <c r="CQ294" s="345"/>
      <c r="CR294" s="345"/>
      <c r="CS294" s="345"/>
      <c r="CT294" s="345"/>
      <c r="CU294" s="345"/>
      <c r="CV294" s="345"/>
      <c r="CW294" s="345"/>
      <c r="CX294" s="345"/>
      <c r="CY294" s="345"/>
      <c r="CZ294" s="345"/>
      <c r="DA294" s="345"/>
      <c r="DB294" s="345"/>
      <c r="DC294" s="345"/>
      <c r="DD294" s="345"/>
      <c r="DE294" s="345"/>
      <c r="DF294" s="345"/>
      <c r="DG294" s="345"/>
      <c r="DH294" s="345"/>
      <c r="DI294" s="345"/>
      <c r="DJ294" s="345"/>
      <c r="DK294" s="345"/>
      <c r="DL294" s="345"/>
      <c r="DM294" s="345"/>
      <c r="DN294" s="345"/>
      <c r="DO294" s="345"/>
      <c r="DP294" s="345"/>
      <c r="DQ294" s="345"/>
      <c r="DR294" s="345"/>
      <c r="DS294" s="345"/>
      <c r="DT294" s="345"/>
      <c r="DU294" s="345"/>
      <c r="DV294" s="345"/>
      <c r="DW294" s="345"/>
      <c r="DX294" s="345"/>
      <c r="DY294" s="345"/>
      <c r="DZ294" s="345"/>
      <c r="EA294" s="345"/>
      <c r="EB294" s="345"/>
      <c r="EC294" s="345"/>
      <c r="ED294" s="345"/>
      <c r="EE294" s="345"/>
      <c r="EF294" s="345"/>
      <c r="EG294" s="345"/>
      <c r="EH294" s="345"/>
      <c r="EI294" s="345"/>
      <c r="EJ294" s="345"/>
      <c r="EK294" s="345"/>
      <c r="EL294" s="345"/>
      <c r="EM294" s="345"/>
      <c r="EN294" s="345"/>
      <c r="EO294" s="345"/>
      <c r="EP294" s="345"/>
      <c r="EQ294" s="345"/>
      <c r="ER294" s="345"/>
      <c r="ES294" s="345"/>
      <c r="ET294" s="345"/>
      <c r="EU294" s="345"/>
      <c r="EV294" s="345"/>
      <c r="EW294" s="345"/>
      <c r="EX294" s="345"/>
      <c r="EY294" s="345"/>
      <c r="EZ294" s="345"/>
      <c r="FA294" s="345"/>
      <c r="FB294" s="345"/>
      <c r="FC294" s="345"/>
      <c r="FD294" s="345"/>
      <c r="FE294" s="345"/>
      <c r="FF294" s="345"/>
      <c r="FG294" s="345"/>
      <c r="FH294" s="345"/>
      <c r="FI294" s="345"/>
      <c r="FJ294" s="345"/>
      <c r="FK294" s="345"/>
      <c r="FL294" s="345"/>
      <c r="FM294" s="345"/>
      <c r="FN294" s="345"/>
      <c r="FO294" s="345"/>
      <c r="FP294" s="345"/>
      <c r="FQ294" s="345"/>
      <c r="FR294" s="345"/>
      <c r="FS294" s="345"/>
      <c r="FT294" s="345"/>
      <c r="FU294" s="345"/>
      <c r="FV294" s="345"/>
      <c r="FW294" s="345"/>
      <c r="FX294" s="345"/>
      <c r="FY294" s="345"/>
      <c r="FZ294" s="345"/>
      <c r="GA294" s="345"/>
      <c r="GB294" s="345"/>
      <c r="GC294" s="345"/>
      <c r="GD294" s="345"/>
      <c r="GE294" s="345"/>
      <c r="GF294" s="345"/>
      <c r="GG294" s="345"/>
      <c r="GH294" s="345"/>
      <c r="GI294" s="345"/>
      <c r="GJ294" s="345"/>
      <c r="GK294" s="345"/>
      <c r="GL294" s="345"/>
      <c r="GM294" s="345"/>
      <c r="GN294" s="345"/>
      <c r="GO294" s="345"/>
      <c r="GP294" s="345"/>
      <c r="GQ294" s="345"/>
      <c r="GR294" s="345"/>
      <c r="GS294" s="345"/>
      <c r="GT294" s="345"/>
      <c r="GU294" s="345"/>
    </row>
    <row r="295" spans="23:203">
      <c r="W295" s="345"/>
      <c r="X295" s="345"/>
      <c r="Y295" s="345"/>
      <c r="Z295" s="345"/>
      <c r="AA295" s="345"/>
      <c r="AB295" s="345"/>
      <c r="AC295" s="345"/>
      <c r="AD295" s="345"/>
      <c r="AE295" s="345"/>
      <c r="AF295" s="345"/>
      <c r="AG295" s="345"/>
      <c r="AH295" s="345"/>
      <c r="AI295" s="345"/>
      <c r="AJ295" s="345"/>
      <c r="AK295" s="345"/>
      <c r="AL295" s="345"/>
      <c r="AM295" s="345"/>
      <c r="AN295" s="345"/>
      <c r="AO295" s="345"/>
      <c r="AP295" s="345"/>
      <c r="AQ295" s="345"/>
      <c r="AR295" s="345"/>
      <c r="AS295" s="345"/>
      <c r="AT295" s="345"/>
      <c r="AU295" s="345"/>
      <c r="AV295" s="345"/>
      <c r="AW295" s="345"/>
      <c r="AX295" s="345"/>
      <c r="AY295" s="345"/>
      <c r="AZ295" s="345"/>
      <c r="BA295" s="345"/>
      <c r="BB295" s="345"/>
      <c r="BC295" s="345"/>
      <c r="BD295" s="345"/>
      <c r="BE295" s="345"/>
      <c r="BF295" s="345"/>
      <c r="BG295" s="345"/>
      <c r="BH295" s="345"/>
      <c r="BI295" s="345"/>
      <c r="BJ295" s="345"/>
      <c r="BK295" s="345"/>
      <c r="BL295" s="345"/>
      <c r="BM295" s="345"/>
      <c r="BN295" s="345"/>
      <c r="BO295" s="345"/>
      <c r="BP295" s="345"/>
      <c r="BQ295" s="345"/>
      <c r="BR295" s="345"/>
      <c r="BS295" s="345"/>
      <c r="BT295" s="345"/>
      <c r="BU295" s="345"/>
      <c r="BV295" s="345"/>
      <c r="BW295" s="345"/>
      <c r="BX295" s="345"/>
      <c r="BY295" s="345"/>
      <c r="BZ295" s="345"/>
      <c r="CA295" s="345"/>
      <c r="CB295" s="345"/>
      <c r="CC295" s="345"/>
      <c r="CD295" s="345"/>
      <c r="CE295" s="345"/>
      <c r="CF295" s="345"/>
      <c r="CG295" s="345"/>
      <c r="CH295" s="345"/>
      <c r="CI295" s="345"/>
      <c r="CJ295" s="345"/>
      <c r="CK295" s="345"/>
      <c r="CL295" s="345"/>
      <c r="CM295" s="345"/>
      <c r="CN295" s="345"/>
      <c r="CO295" s="345"/>
      <c r="CP295" s="345"/>
      <c r="CQ295" s="345"/>
      <c r="CR295" s="345"/>
      <c r="CS295" s="345"/>
      <c r="CT295" s="345"/>
      <c r="CU295" s="345"/>
      <c r="CV295" s="345"/>
      <c r="CW295" s="345"/>
      <c r="CX295" s="345"/>
      <c r="CY295" s="345"/>
      <c r="CZ295" s="345"/>
      <c r="DA295" s="345"/>
      <c r="DB295" s="345"/>
      <c r="DC295" s="345"/>
      <c r="DD295" s="345"/>
      <c r="DE295" s="345"/>
      <c r="DF295" s="345"/>
      <c r="DG295" s="345"/>
      <c r="DH295" s="345"/>
      <c r="DI295" s="345"/>
      <c r="DJ295" s="345"/>
      <c r="DK295" s="345"/>
      <c r="DL295" s="345"/>
      <c r="DM295" s="345"/>
      <c r="DN295" s="345"/>
      <c r="DO295" s="345"/>
      <c r="DP295" s="345"/>
      <c r="DQ295" s="345"/>
      <c r="DR295" s="345"/>
      <c r="DS295" s="345"/>
      <c r="DT295" s="345"/>
      <c r="DU295" s="345"/>
      <c r="DV295" s="345"/>
      <c r="DW295" s="345"/>
      <c r="DX295" s="345"/>
      <c r="DY295" s="345"/>
      <c r="DZ295" s="345"/>
      <c r="EA295" s="345"/>
      <c r="EB295" s="345"/>
      <c r="EC295" s="345"/>
      <c r="ED295" s="345"/>
      <c r="EE295" s="345"/>
      <c r="EF295" s="345"/>
      <c r="EG295" s="345"/>
      <c r="EH295" s="345"/>
      <c r="EI295" s="345"/>
      <c r="EJ295" s="345"/>
      <c r="EK295" s="345"/>
      <c r="EL295" s="345"/>
      <c r="EM295" s="345"/>
      <c r="EN295" s="345"/>
      <c r="EO295" s="345"/>
      <c r="EP295" s="345"/>
      <c r="EQ295" s="345"/>
      <c r="ER295" s="345"/>
      <c r="ES295" s="345"/>
      <c r="ET295" s="345"/>
      <c r="EU295" s="345"/>
      <c r="EV295" s="345"/>
      <c r="EW295" s="345"/>
      <c r="EX295" s="345"/>
      <c r="EY295" s="345"/>
      <c r="EZ295" s="345"/>
      <c r="FA295" s="345"/>
      <c r="FB295" s="345"/>
      <c r="FC295" s="345"/>
      <c r="FD295" s="345"/>
      <c r="FE295" s="345"/>
      <c r="FF295" s="345"/>
      <c r="FG295" s="345"/>
      <c r="FH295" s="345"/>
      <c r="FI295" s="345"/>
      <c r="FJ295" s="345"/>
      <c r="FK295" s="345"/>
      <c r="FL295" s="345"/>
      <c r="FM295" s="345"/>
      <c r="FN295" s="345"/>
      <c r="FO295" s="345"/>
      <c r="FP295" s="345"/>
      <c r="FQ295" s="345"/>
      <c r="FR295" s="345"/>
      <c r="FS295" s="345"/>
      <c r="FT295" s="345"/>
      <c r="FU295" s="345"/>
      <c r="FV295" s="345"/>
      <c r="FW295" s="345"/>
      <c r="FX295" s="345"/>
      <c r="FY295" s="345"/>
      <c r="FZ295" s="345"/>
      <c r="GA295" s="345"/>
      <c r="GB295" s="345"/>
      <c r="GC295" s="345"/>
      <c r="GD295" s="345"/>
      <c r="GE295" s="345"/>
      <c r="GF295" s="345"/>
      <c r="GG295" s="345"/>
      <c r="GH295" s="345"/>
      <c r="GI295" s="345"/>
      <c r="GJ295" s="345"/>
      <c r="GK295" s="345"/>
      <c r="GL295" s="345"/>
      <c r="GM295" s="345"/>
      <c r="GN295" s="345"/>
      <c r="GO295" s="345"/>
      <c r="GP295" s="345"/>
      <c r="GQ295" s="345"/>
      <c r="GR295" s="345"/>
      <c r="GS295" s="345"/>
      <c r="GT295" s="345"/>
      <c r="GU295" s="345"/>
    </row>
    <row r="296" spans="23:203">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5"/>
      <c r="BR296" s="345"/>
      <c r="BS296" s="345"/>
      <c r="BT296" s="345"/>
      <c r="BU296" s="345"/>
      <c r="BV296" s="345"/>
      <c r="BW296" s="345"/>
      <c r="BX296" s="345"/>
      <c r="BY296" s="345"/>
      <c r="BZ296" s="345"/>
      <c r="CA296" s="345"/>
      <c r="CB296" s="345"/>
      <c r="CC296" s="345"/>
      <c r="CD296" s="345"/>
      <c r="CE296" s="345"/>
      <c r="CF296" s="345"/>
      <c r="CG296" s="345"/>
      <c r="CH296" s="345"/>
      <c r="CI296" s="345"/>
      <c r="CJ296" s="345"/>
      <c r="CK296" s="345"/>
      <c r="CL296" s="345"/>
      <c r="CM296" s="345"/>
      <c r="CN296" s="345"/>
      <c r="CO296" s="345"/>
      <c r="CP296" s="345"/>
      <c r="CQ296" s="345"/>
      <c r="CR296" s="345"/>
      <c r="CS296" s="345"/>
      <c r="CT296" s="345"/>
      <c r="CU296" s="345"/>
      <c r="CV296" s="345"/>
      <c r="CW296" s="345"/>
      <c r="CX296" s="345"/>
      <c r="CY296" s="345"/>
      <c r="CZ296" s="345"/>
      <c r="DA296" s="345"/>
      <c r="DB296" s="345"/>
      <c r="DC296" s="345"/>
      <c r="DD296" s="345"/>
      <c r="DE296" s="345"/>
      <c r="DF296" s="345"/>
      <c r="DG296" s="345"/>
      <c r="DH296" s="345"/>
      <c r="DI296" s="345"/>
      <c r="DJ296" s="345"/>
      <c r="DK296" s="345"/>
      <c r="DL296" s="345"/>
      <c r="DM296" s="345"/>
      <c r="DN296" s="345"/>
      <c r="DO296" s="345"/>
      <c r="DP296" s="345"/>
      <c r="DQ296" s="345"/>
      <c r="DR296" s="345"/>
      <c r="DS296" s="345"/>
      <c r="DT296" s="345"/>
      <c r="DU296" s="345"/>
      <c r="DV296" s="345"/>
      <c r="DW296" s="345"/>
      <c r="DX296" s="345"/>
      <c r="DY296" s="345"/>
      <c r="DZ296" s="345"/>
      <c r="EA296" s="345"/>
      <c r="EB296" s="345"/>
      <c r="EC296" s="345"/>
      <c r="ED296" s="345"/>
      <c r="EE296" s="345"/>
      <c r="EF296" s="345"/>
      <c r="EG296" s="345"/>
      <c r="EH296" s="345"/>
      <c r="EI296" s="345"/>
      <c r="EJ296" s="345"/>
      <c r="EK296" s="345"/>
      <c r="EL296" s="345"/>
      <c r="EM296" s="345"/>
      <c r="EN296" s="345"/>
      <c r="EO296" s="345"/>
      <c r="EP296" s="345"/>
      <c r="EQ296" s="345"/>
      <c r="ER296" s="345"/>
      <c r="ES296" s="345"/>
      <c r="ET296" s="345"/>
      <c r="EU296" s="345"/>
      <c r="EV296" s="345"/>
      <c r="EW296" s="345"/>
      <c r="EX296" s="345"/>
      <c r="EY296" s="345"/>
      <c r="EZ296" s="345"/>
      <c r="FA296" s="345"/>
      <c r="FB296" s="345"/>
      <c r="FC296" s="345"/>
      <c r="FD296" s="345"/>
      <c r="FE296" s="345"/>
      <c r="FF296" s="345"/>
      <c r="FG296" s="345"/>
      <c r="FH296" s="345"/>
      <c r="FI296" s="345"/>
      <c r="FJ296" s="345"/>
      <c r="FK296" s="345"/>
      <c r="FL296" s="345"/>
      <c r="FM296" s="345"/>
      <c r="FN296" s="345"/>
      <c r="FO296" s="345"/>
      <c r="FP296" s="345"/>
      <c r="FQ296" s="345"/>
      <c r="FR296" s="345"/>
      <c r="FS296" s="345"/>
      <c r="FT296" s="345"/>
      <c r="FU296" s="345"/>
      <c r="FV296" s="345"/>
      <c r="FW296" s="345"/>
      <c r="FX296" s="345"/>
      <c r="FY296" s="345"/>
      <c r="FZ296" s="345"/>
      <c r="GA296" s="345"/>
      <c r="GB296" s="345"/>
      <c r="GC296" s="345"/>
      <c r="GD296" s="345"/>
      <c r="GE296" s="345"/>
      <c r="GF296" s="345"/>
      <c r="GG296" s="345"/>
      <c r="GH296" s="345"/>
      <c r="GI296" s="345"/>
      <c r="GJ296" s="345"/>
      <c r="GK296" s="345"/>
      <c r="GL296" s="345"/>
      <c r="GM296" s="345"/>
      <c r="GN296" s="345"/>
      <c r="GO296" s="345"/>
      <c r="GP296" s="345"/>
      <c r="GQ296" s="345"/>
      <c r="GR296" s="345"/>
      <c r="GS296" s="345"/>
      <c r="GT296" s="345"/>
      <c r="GU296" s="345"/>
    </row>
    <row r="297" spans="23:203">
      <c r="W297" s="345"/>
      <c r="X297" s="345"/>
      <c r="Y297" s="345"/>
      <c r="Z297" s="345"/>
      <c r="AA297" s="345"/>
      <c r="AB297" s="345"/>
      <c r="AC297" s="345"/>
      <c r="AD297" s="345"/>
      <c r="AE297" s="345"/>
      <c r="AF297" s="345"/>
      <c r="AG297" s="345"/>
      <c r="AH297" s="345"/>
      <c r="AI297" s="345"/>
      <c r="AJ297" s="345"/>
      <c r="AK297" s="345"/>
      <c r="AL297" s="345"/>
      <c r="AM297" s="345"/>
      <c r="AN297" s="345"/>
      <c r="AO297" s="345"/>
      <c r="AP297" s="345"/>
      <c r="AQ297" s="345"/>
      <c r="AR297" s="345"/>
      <c r="AS297" s="345"/>
      <c r="AT297" s="345"/>
      <c r="AU297" s="345"/>
      <c r="AV297" s="345"/>
      <c r="AW297" s="345"/>
      <c r="AX297" s="345"/>
      <c r="AY297" s="345"/>
      <c r="AZ297" s="345"/>
      <c r="BA297" s="345"/>
      <c r="BB297" s="345"/>
      <c r="BC297" s="345"/>
      <c r="BD297" s="345"/>
      <c r="BE297" s="345"/>
      <c r="BF297" s="345"/>
      <c r="BG297" s="345"/>
      <c r="BH297" s="345"/>
      <c r="BI297" s="345"/>
      <c r="BJ297" s="345"/>
      <c r="BK297" s="345"/>
      <c r="BL297" s="345"/>
      <c r="BM297" s="345"/>
      <c r="BN297" s="345"/>
      <c r="BO297" s="345"/>
      <c r="BP297" s="345"/>
      <c r="BQ297" s="345"/>
      <c r="BR297" s="345"/>
      <c r="BS297" s="345"/>
      <c r="BT297" s="345"/>
      <c r="BU297" s="345"/>
      <c r="BV297" s="345"/>
      <c r="BW297" s="345"/>
      <c r="BX297" s="345"/>
      <c r="BY297" s="345"/>
      <c r="BZ297" s="345"/>
      <c r="CA297" s="345"/>
      <c r="CB297" s="345"/>
      <c r="CC297" s="345"/>
      <c r="CD297" s="345"/>
      <c r="CE297" s="345"/>
      <c r="CF297" s="345"/>
      <c r="CG297" s="345"/>
      <c r="CH297" s="345"/>
      <c r="CI297" s="345"/>
      <c r="CJ297" s="345"/>
      <c r="CK297" s="345"/>
      <c r="CL297" s="345"/>
      <c r="CM297" s="345"/>
      <c r="CN297" s="345"/>
      <c r="CO297" s="345"/>
      <c r="CP297" s="345"/>
      <c r="CQ297" s="345"/>
      <c r="CR297" s="345"/>
      <c r="CS297" s="345"/>
      <c r="CT297" s="345"/>
      <c r="CU297" s="345"/>
      <c r="CV297" s="345"/>
      <c r="CW297" s="345"/>
      <c r="CX297" s="345"/>
      <c r="CY297" s="345"/>
      <c r="CZ297" s="345"/>
      <c r="DA297" s="345"/>
      <c r="DB297" s="345"/>
      <c r="DC297" s="345"/>
      <c r="DD297" s="345"/>
      <c r="DE297" s="345"/>
      <c r="DF297" s="345"/>
      <c r="DG297" s="345"/>
      <c r="DH297" s="345"/>
      <c r="DI297" s="345"/>
      <c r="DJ297" s="345"/>
      <c r="DK297" s="345"/>
      <c r="DL297" s="345"/>
      <c r="DM297" s="345"/>
      <c r="DN297" s="345"/>
      <c r="DO297" s="345"/>
      <c r="DP297" s="345"/>
      <c r="DQ297" s="345"/>
      <c r="DR297" s="345"/>
      <c r="DS297" s="345"/>
      <c r="DT297" s="345"/>
      <c r="DU297" s="345"/>
      <c r="DV297" s="345"/>
      <c r="DW297" s="345"/>
      <c r="DX297" s="345"/>
      <c r="DY297" s="345"/>
      <c r="DZ297" s="345"/>
      <c r="EA297" s="345"/>
      <c r="EB297" s="345"/>
      <c r="EC297" s="345"/>
      <c r="ED297" s="345"/>
      <c r="EE297" s="345"/>
      <c r="EF297" s="345"/>
      <c r="EG297" s="345"/>
      <c r="EH297" s="345"/>
      <c r="EI297" s="345"/>
      <c r="EJ297" s="345"/>
      <c r="EK297" s="345"/>
      <c r="EL297" s="345"/>
      <c r="EM297" s="345"/>
      <c r="EN297" s="345"/>
      <c r="EO297" s="345"/>
      <c r="EP297" s="345"/>
      <c r="EQ297" s="345"/>
      <c r="ER297" s="345"/>
      <c r="ES297" s="345"/>
      <c r="ET297" s="345"/>
      <c r="EU297" s="345"/>
      <c r="EV297" s="345"/>
      <c r="EW297" s="345"/>
      <c r="EX297" s="345"/>
      <c r="EY297" s="345"/>
      <c r="EZ297" s="345"/>
      <c r="FA297" s="345"/>
      <c r="FB297" s="345"/>
      <c r="FC297" s="345"/>
      <c r="FD297" s="345"/>
      <c r="FE297" s="345"/>
      <c r="FF297" s="345"/>
      <c r="FG297" s="345"/>
      <c r="FH297" s="345"/>
      <c r="FI297" s="345"/>
      <c r="FJ297" s="345"/>
      <c r="FK297" s="345"/>
      <c r="FL297" s="345"/>
      <c r="FM297" s="345"/>
      <c r="FN297" s="345"/>
      <c r="FO297" s="345"/>
      <c r="FP297" s="345"/>
      <c r="FQ297" s="345"/>
      <c r="FR297" s="345"/>
      <c r="FS297" s="345"/>
      <c r="FT297" s="345"/>
      <c r="FU297" s="345"/>
      <c r="FV297" s="345"/>
      <c r="FW297" s="345"/>
      <c r="FX297" s="345"/>
      <c r="FY297" s="345"/>
      <c r="FZ297" s="345"/>
      <c r="GA297" s="345"/>
      <c r="GB297" s="345"/>
      <c r="GC297" s="345"/>
      <c r="GD297" s="345"/>
      <c r="GE297" s="345"/>
      <c r="GF297" s="345"/>
      <c r="GG297" s="345"/>
      <c r="GH297" s="345"/>
      <c r="GI297" s="345"/>
      <c r="GJ297" s="345"/>
      <c r="GK297" s="345"/>
      <c r="GL297" s="345"/>
      <c r="GM297" s="345"/>
      <c r="GN297" s="345"/>
      <c r="GO297" s="345"/>
      <c r="GP297" s="345"/>
      <c r="GQ297" s="345"/>
      <c r="GR297" s="345"/>
      <c r="GS297" s="345"/>
      <c r="GT297" s="345"/>
      <c r="GU297" s="345"/>
    </row>
    <row r="298" spans="23:203">
      <c r="W298" s="345"/>
      <c r="X298" s="345"/>
      <c r="Y298" s="345"/>
      <c r="Z298" s="345"/>
      <c r="AA298" s="345"/>
      <c r="AB298" s="345"/>
      <c r="AC298" s="345"/>
      <c r="AD298" s="345"/>
      <c r="AE298" s="345"/>
      <c r="AF298" s="345"/>
      <c r="AG298" s="345"/>
      <c r="AH298" s="345"/>
      <c r="AI298" s="345"/>
      <c r="AJ298" s="345"/>
      <c r="AK298" s="345"/>
      <c r="AL298" s="345"/>
      <c r="AM298" s="345"/>
      <c r="AN298" s="345"/>
      <c r="AO298" s="345"/>
      <c r="AP298" s="345"/>
      <c r="AQ298" s="345"/>
      <c r="AR298" s="345"/>
      <c r="AS298" s="345"/>
      <c r="AT298" s="345"/>
      <c r="AU298" s="345"/>
      <c r="AV298" s="345"/>
      <c r="AW298" s="345"/>
      <c r="AX298" s="345"/>
      <c r="AY298" s="345"/>
      <c r="AZ298" s="345"/>
      <c r="BA298" s="345"/>
      <c r="BB298" s="345"/>
      <c r="BC298" s="345"/>
      <c r="BD298" s="345"/>
      <c r="BE298" s="345"/>
      <c r="BF298" s="345"/>
      <c r="BG298" s="345"/>
      <c r="BH298" s="345"/>
      <c r="BI298" s="345"/>
      <c r="BJ298" s="345"/>
      <c r="BK298" s="345"/>
      <c r="BL298" s="345"/>
      <c r="BM298" s="345"/>
      <c r="BN298" s="345"/>
      <c r="BO298" s="345"/>
      <c r="BP298" s="345"/>
      <c r="BQ298" s="345"/>
      <c r="BR298" s="345"/>
      <c r="BS298" s="345"/>
      <c r="BT298" s="345"/>
      <c r="BU298" s="345"/>
      <c r="BV298" s="345"/>
      <c r="BW298" s="345"/>
      <c r="BX298" s="345"/>
      <c r="BY298" s="345"/>
      <c r="BZ298" s="345"/>
      <c r="CA298" s="345"/>
      <c r="CB298" s="345"/>
      <c r="CC298" s="345"/>
      <c r="CD298" s="345"/>
      <c r="CE298" s="345"/>
      <c r="CF298" s="345"/>
      <c r="CG298" s="345"/>
      <c r="CH298" s="345"/>
      <c r="CI298" s="345"/>
      <c r="CJ298" s="345"/>
      <c r="CK298" s="345"/>
      <c r="CL298" s="345"/>
      <c r="CM298" s="345"/>
      <c r="CN298" s="345"/>
      <c r="CO298" s="345"/>
      <c r="CP298" s="345"/>
      <c r="CQ298" s="345"/>
      <c r="CR298" s="345"/>
      <c r="CS298" s="345"/>
      <c r="CT298" s="345"/>
      <c r="CU298" s="345"/>
      <c r="CV298" s="345"/>
      <c r="CW298" s="345"/>
      <c r="CX298" s="345"/>
      <c r="CY298" s="345"/>
      <c r="CZ298" s="345"/>
      <c r="DA298" s="345"/>
      <c r="DB298" s="345"/>
      <c r="DC298" s="345"/>
      <c r="DD298" s="345"/>
      <c r="DE298" s="345"/>
      <c r="DF298" s="345"/>
      <c r="DG298" s="345"/>
      <c r="DH298" s="345"/>
      <c r="DI298" s="345"/>
      <c r="DJ298" s="345"/>
      <c r="DK298" s="345"/>
      <c r="DL298" s="345"/>
      <c r="DM298" s="345"/>
      <c r="DN298" s="345"/>
      <c r="DO298" s="345"/>
      <c r="DP298" s="345"/>
      <c r="DQ298" s="345"/>
      <c r="DR298" s="345"/>
      <c r="DS298" s="345"/>
      <c r="DT298" s="345"/>
      <c r="DU298" s="345"/>
      <c r="DV298" s="345"/>
      <c r="DW298" s="345"/>
      <c r="DX298" s="345"/>
      <c r="DY298" s="345"/>
      <c r="DZ298" s="345"/>
      <c r="EA298" s="345"/>
      <c r="EB298" s="345"/>
      <c r="EC298" s="345"/>
      <c r="ED298" s="345"/>
      <c r="EE298" s="345"/>
      <c r="EF298" s="345"/>
      <c r="EG298" s="345"/>
      <c r="EH298" s="345"/>
      <c r="EI298" s="345"/>
      <c r="EJ298" s="345"/>
      <c r="EK298" s="345"/>
      <c r="EL298" s="345"/>
      <c r="EM298" s="345"/>
      <c r="EN298" s="345"/>
      <c r="EO298" s="345"/>
      <c r="EP298" s="345"/>
      <c r="EQ298" s="345"/>
      <c r="ER298" s="345"/>
      <c r="ES298" s="345"/>
      <c r="ET298" s="345"/>
      <c r="EU298" s="345"/>
      <c r="EV298" s="345"/>
      <c r="EW298" s="345"/>
      <c r="EX298" s="345"/>
      <c r="EY298" s="345"/>
      <c r="EZ298" s="345"/>
      <c r="FA298" s="345"/>
      <c r="FB298" s="345"/>
      <c r="FC298" s="345"/>
      <c r="FD298" s="345"/>
      <c r="FE298" s="345"/>
      <c r="FF298" s="345"/>
      <c r="FG298" s="345"/>
      <c r="FH298" s="345"/>
      <c r="FI298" s="345"/>
      <c r="FJ298" s="345"/>
      <c r="FK298" s="345"/>
      <c r="FL298" s="345"/>
      <c r="FM298" s="345"/>
      <c r="FN298" s="345"/>
      <c r="FO298" s="345"/>
      <c r="FP298" s="345"/>
      <c r="FQ298" s="345"/>
      <c r="FR298" s="345"/>
      <c r="FS298" s="345"/>
      <c r="FT298" s="345"/>
      <c r="FU298" s="345"/>
      <c r="FV298" s="345"/>
      <c r="FW298" s="345"/>
      <c r="FX298" s="345"/>
      <c r="FY298" s="345"/>
      <c r="FZ298" s="345"/>
      <c r="GA298" s="345"/>
      <c r="GB298" s="345"/>
      <c r="GC298" s="345"/>
      <c r="GD298" s="345"/>
      <c r="GE298" s="345"/>
      <c r="GF298" s="345"/>
      <c r="GG298" s="345"/>
      <c r="GH298" s="345"/>
      <c r="GI298" s="345"/>
      <c r="GJ298" s="345"/>
      <c r="GK298" s="345"/>
      <c r="GL298" s="345"/>
      <c r="GM298" s="345"/>
      <c r="GN298" s="345"/>
      <c r="GO298" s="345"/>
      <c r="GP298" s="345"/>
      <c r="GQ298" s="345"/>
      <c r="GR298" s="345"/>
      <c r="GS298" s="345"/>
      <c r="GT298" s="345"/>
      <c r="GU298" s="345"/>
    </row>
    <row r="299" spans="23:203">
      <c r="W299" s="345"/>
      <c r="X299" s="345"/>
      <c r="Y299" s="345"/>
      <c r="Z299" s="345"/>
      <c r="AA299" s="345"/>
      <c r="AB299" s="345"/>
      <c r="AC299" s="345"/>
      <c r="AD299" s="345"/>
      <c r="AE299" s="345"/>
      <c r="AF299" s="345"/>
      <c r="AG299" s="345"/>
      <c r="AH299" s="345"/>
      <c r="AI299" s="345"/>
      <c r="AJ299" s="345"/>
      <c r="AK299" s="345"/>
      <c r="AL299" s="345"/>
      <c r="AM299" s="345"/>
      <c r="AN299" s="345"/>
      <c r="AO299" s="345"/>
      <c r="AP299" s="345"/>
      <c r="AQ299" s="345"/>
      <c r="AR299" s="345"/>
      <c r="AS299" s="345"/>
      <c r="AT299" s="345"/>
      <c r="AU299" s="345"/>
      <c r="AV299" s="345"/>
      <c r="AW299" s="345"/>
      <c r="AX299" s="345"/>
      <c r="AY299" s="345"/>
      <c r="AZ299" s="345"/>
      <c r="BA299" s="345"/>
      <c r="BB299" s="345"/>
      <c r="BC299" s="345"/>
      <c r="BD299" s="345"/>
      <c r="BE299" s="345"/>
      <c r="BF299" s="345"/>
      <c r="BG299" s="345"/>
      <c r="BH299" s="345"/>
      <c r="BI299" s="345"/>
      <c r="BJ299" s="345"/>
      <c r="BK299" s="345"/>
      <c r="BL299" s="345"/>
      <c r="BM299" s="345"/>
      <c r="BN299" s="345"/>
      <c r="BO299" s="345"/>
      <c r="BP299" s="345"/>
      <c r="BQ299" s="345"/>
      <c r="BR299" s="345"/>
      <c r="BS299" s="345"/>
      <c r="BT299" s="345"/>
      <c r="BU299" s="345"/>
      <c r="BV299" s="345"/>
      <c r="BW299" s="345"/>
      <c r="BX299" s="345"/>
      <c r="BY299" s="345"/>
      <c r="BZ299" s="345"/>
      <c r="CA299" s="345"/>
      <c r="CB299" s="345"/>
      <c r="CC299" s="345"/>
      <c r="CD299" s="345"/>
      <c r="CE299" s="345"/>
      <c r="CF299" s="345"/>
      <c r="CG299" s="345"/>
      <c r="CH299" s="345"/>
      <c r="CI299" s="345"/>
      <c r="CJ299" s="345"/>
      <c r="CK299" s="345"/>
      <c r="CL299" s="345"/>
      <c r="CM299" s="345"/>
      <c r="CN299" s="345"/>
      <c r="CO299" s="345"/>
      <c r="CP299" s="345"/>
      <c r="CQ299" s="345"/>
      <c r="CR299" s="345"/>
      <c r="CS299" s="345"/>
      <c r="CT299" s="345"/>
      <c r="CU299" s="345"/>
      <c r="CV299" s="345"/>
      <c r="CW299" s="345"/>
      <c r="CX299" s="345"/>
      <c r="CY299" s="345"/>
      <c r="CZ299" s="345"/>
      <c r="DA299" s="345"/>
      <c r="DB299" s="345"/>
      <c r="DC299" s="345"/>
      <c r="DD299" s="345"/>
      <c r="DE299" s="345"/>
      <c r="DF299" s="345"/>
      <c r="DG299" s="345"/>
      <c r="DH299" s="345"/>
      <c r="DI299" s="345"/>
      <c r="DJ299" s="345"/>
      <c r="DK299" s="345"/>
      <c r="DL299" s="345"/>
      <c r="DM299" s="345"/>
      <c r="DN299" s="345"/>
      <c r="DO299" s="345"/>
      <c r="DP299" s="345"/>
      <c r="DQ299" s="345"/>
      <c r="DR299" s="345"/>
      <c r="DS299" s="345"/>
      <c r="DT299" s="345"/>
      <c r="DU299" s="345"/>
      <c r="DV299" s="345"/>
      <c r="DW299" s="345"/>
      <c r="DX299" s="345"/>
      <c r="DY299" s="345"/>
      <c r="DZ299" s="345"/>
      <c r="EA299" s="345"/>
      <c r="EB299" s="345"/>
      <c r="EC299" s="345"/>
      <c r="ED299" s="345"/>
      <c r="EE299" s="345"/>
      <c r="EF299" s="345"/>
      <c r="EG299" s="345"/>
      <c r="EH299" s="345"/>
      <c r="EI299" s="345"/>
      <c r="EJ299" s="345"/>
      <c r="EK299" s="345"/>
      <c r="EL299" s="345"/>
      <c r="EM299" s="345"/>
      <c r="EN299" s="345"/>
      <c r="EO299" s="345"/>
      <c r="EP299" s="345"/>
      <c r="EQ299" s="345"/>
      <c r="ER299" s="345"/>
      <c r="ES299" s="345"/>
      <c r="ET299" s="345"/>
      <c r="EU299" s="345"/>
      <c r="EV299" s="345"/>
      <c r="EW299" s="345"/>
      <c r="EX299" s="345"/>
      <c r="EY299" s="345"/>
      <c r="EZ299" s="345"/>
      <c r="FA299" s="345"/>
      <c r="FB299" s="345"/>
      <c r="FC299" s="345"/>
      <c r="FD299" s="345"/>
      <c r="FE299" s="345"/>
      <c r="FF299" s="345"/>
      <c r="FG299" s="345"/>
      <c r="FH299" s="345"/>
      <c r="FI299" s="345"/>
      <c r="FJ299" s="345"/>
      <c r="FK299" s="345"/>
      <c r="FL299" s="345"/>
      <c r="FM299" s="345"/>
      <c r="FN299" s="345"/>
      <c r="FO299" s="345"/>
      <c r="FP299" s="345"/>
      <c r="FQ299" s="345"/>
      <c r="FR299" s="345"/>
      <c r="FS299" s="345"/>
      <c r="FT299" s="345"/>
      <c r="FU299" s="345"/>
      <c r="FV299" s="345"/>
      <c r="FW299" s="345"/>
      <c r="FX299" s="345"/>
      <c r="FY299" s="345"/>
      <c r="FZ299" s="345"/>
      <c r="GA299" s="345"/>
      <c r="GB299" s="345"/>
      <c r="GC299" s="345"/>
      <c r="GD299" s="345"/>
      <c r="GE299" s="345"/>
      <c r="GF299" s="345"/>
      <c r="GG299" s="345"/>
      <c r="GH299" s="345"/>
      <c r="GI299" s="345"/>
      <c r="GJ299" s="345"/>
      <c r="GK299" s="345"/>
      <c r="GL299" s="345"/>
      <c r="GM299" s="345"/>
      <c r="GN299" s="345"/>
      <c r="GO299" s="345"/>
      <c r="GP299" s="345"/>
      <c r="GQ299" s="345"/>
      <c r="GR299" s="345"/>
      <c r="GS299" s="345"/>
      <c r="GT299" s="345"/>
      <c r="GU299" s="345"/>
    </row>
    <row r="300" spans="23:203">
      <c r="W300" s="345"/>
      <c r="X300" s="345"/>
      <c r="Y300" s="345"/>
      <c r="Z300" s="345"/>
      <c r="AA300" s="345"/>
      <c r="AB300" s="345"/>
      <c r="AC300" s="345"/>
      <c r="AD300" s="345"/>
      <c r="AE300" s="345"/>
      <c r="AF300" s="345"/>
      <c r="AG300" s="345"/>
      <c r="AH300" s="345"/>
      <c r="AI300" s="345"/>
      <c r="AJ300" s="345"/>
      <c r="AK300" s="345"/>
      <c r="AL300" s="345"/>
      <c r="AM300" s="345"/>
      <c r="AN300" s="345"/>
      <c r="AO300" s="345"/>
      <c r="AP300" s="345"/>
      <c r="AQ300" s="345"/>
      <c r="AR300" s="345"/>
      <c r="AS300" s="345"/>
      <c r="AT300" s="345"/>
      <c r="AU300" s="345"/>
      <c r="AV300" s="345"/>
      <c r="AW300" s="345"/>
      <c r="AX300" s="345"/>
      <c r="AY300" s="345"/>
      <c r="AZ300" s="345"/>
      <c r="BA300" s="345"/>
      <c r="BB300" s="345"/>
      <c r="BC300" s="345"/>
      <c r="BD300" s="345"/>
      <c r="BE300" s="345"/>
      <c r="BF300" s="345"/>
      <c r="BG300" s="345"/>
      <c r="BH300" s="345"/>
      <c r="BI300" s="345"/>
      <c r="BJ300" s="345"/>
      <c r="BK300" s="345"/>
      <c r="BL300" s="345"/>
      <c r="BM300" s="345"/>
      <c r="BN300" s="345"/>
      <c r="BO300" s="345"/>
      <c r="BP300" s="345"/>
      <c r="BQ300" s="345"/>
      <c r="BR300" s="345"/>
      <c r="BS300" s="345"/>
      <c r="BT300" s="345"/>
      <c r="BU300" s="345"/>
      <c r="BV300" s="345"/>
      <c r="BW300" s="345"/>
      <c r="BX300" s="345"/>
      <c r="BY300" s="345"/>
      <c r="BZ300" s="345"/>
      <c r="CA300" s="345"/>
      <c r="CB300" s="345"/>
      <c r="CC300" s="345"/>
      <c r="CD300" s="345"/>
      <c r="CE300" s="345"/>
      <c r="CF300" s="345"/>
      <c r="CG300" s="345"/>
      <c r="CH300" s="345"/>
      <c r="CI300" s="345"/>
      <c r="CJ300" s="345"/>
      <c r="CK300" s="345"/>
      <c r="CL300" s="345"/>
      <c r="CM300" s="345"/>
      <c r="CN300" s="345"/>
      <c r="CO300" s="345"/>
      <c r="CP300" s="345"/>
      <c r="CQ300" s="345"/>
      <c r="CR300" s="345"/>
      <c r="CS300" s="345"/>
      <c r="CT300" s="345"/>
      <c r="CU300" s="345"/>
      <c r="CV300" s="345"/>
      <c r="CW300" s="345"/>
      <c r="CX300" s="345"/>
      <c r="CY300" s="345"/>
      <c r="CZ300" s="345"/>
      <c r="DA300" s="345"/>
      <c r="DB300" s="345"/>
      <c r="DC300" s="345"/>
      <c r="DD300" s="345"/>
      <c r="DE300" s="345"/>
      <c r="DF300" s="345"/>
      <c r="DG300" s="345"/>
      <c r="DH300" s="345"/>
      <c r="DI300" s="345"/>
      <c r="DJ300" s="345"/>
      <c r="DK300" s="345"/>
      <c r="DL300" s="345"/>
      <c r="DM300" s="345"/>
      <c r="DN300" s="345"/>
      <c r="DO300" s="345"/>
      <c r="DP300" s="345"/>
      <c r="DQ300" s="345"/>
      <c r="DR300" s="345"/>
      <c r="DS300" s="345"/>
      <c r="DT300" s="345"/>
      <c r="DU300" s="345"/>
      <c r="DV300" s="345"/>
      <c r="DW300" s="345"/>
      <c r="DX300" s="345"/>
      <c r="DY300" s="345"/>
      <c r="DZ300" s="345"/>
      <c r="EA300" s="345"/>
      <c r="EB300" s="345"/>
      <c r="EC300" s="345"/>
      <c r="ED300" s="345"/>
      <c r="EE300" s="345"/>
      <c r="EF300" s="345"/>
      <c r="EG300" s="345"/>
      <c r="EH300" s="345"/>
      <c r="EI300" s="345"/>
      <c r="EJ300" s="345"/>
      <c r="EK300" s="345"/>
      <c r="EL300" s="345"/>
      <c r="EM300" s="345"/>
      <c r="EN300" s="345"/>
      <c r="EO300" s="345"/>
      <c r="EP300" s="345"/>
      <c r="EQ300" s="345"/>
      <c r="ER300" s="345"/>
      <c r="ES300" s="345"/>
      <c r="ET300" s="345"/>
      <c r="EU300" s="345"/>
      <c r="EV300" s="345"/>
      <c r="EW300" s="345"/>
      <c r="EX300" s="345"/>
      <c r="EY300" s="345"/>
      <c r="EZ300" s="345"/>
      <c r="FA300" s="345"/>
      <c r="FB300" s="345"/>
      <c r="FC300" s="345"/>
      <c r="FD300" s="345"/>
      <c r="FE300" s="345"/>
      <c r="FF300" s="345"/>
      <c r="FG300" s="345"/>
      <c r="FH300" s="345"/>
      <c r="FI300" s="345"/>
      <c r="FJ300" s="345"/>
      <c r="FK300" s="345"/>
      <c r="FL300" s="345"/>
      <c r="FM300" s="345"/>
      <c r="FN300" s="345"/>
      <c r="FO300" s="345"/>
      <c r="FP300" s="345"/>
      <c r="FQ300" s="345"/>
      <c r="FR300" s="345"/>
      <c r="FS300" s="345"/>
      <c r="FT300" s="345"/>
      <c r="FU300" s="345"/>
      <c r="FV300" s="345"/>
      <c r="FW300" s="345"/>
      <c r="FX300" s="345"/>
      <c r="FY300" s="345"/>
      <c r="FZ300" s="345"/>
      <c r="GA300" s="345"/>
      <c r="GB300" s="345"/>
      <c r="GC300" s="345"/>
      <c r="GD300" s="345"/>
      <c r="GE300" s="345"/>
      <c r="GF300" s="345"/>
      <c r="GG300" s="345"/>
      <c r="GH300" s="345"/>
      <c r="GI300" s="345"/>
      <c r="GJ300" s="345"/>
      <c r="GK300" s="345"/>
      <c r="GL300" s="345"/>
      <c r="GM300" s="345"/>
      <c r="GN300" s="345"/>
      <c r="GO300" s="345"/>
      <c r="GP300" s="345"/>
      <c r="GQ300" s="345"/>
      <c r="GR300" s="345"/>
      <c r="GS300" s="345"/>
      <c r="GT300" s="345"/>
      <c r="GU300" s="345"/>
    </row>
  </sheetData>
  <sheetProtection sheet="1" objects="1" scenarios="1" selectLockedCells="1"/>
  <mergeCells count="378">
    <mergeCell ref="X1:AB1"/>
    <mergeCell ref="AP1:AT1"/>
    <mergeCell ref="BH1:BL2"/>
    <mergeCell ref="BV1:BZ1"/>
    <mergeCell ref="CF1:CJ2"/>
    <mergeCell ref="A3:C3"/>
    <mergeCell ref="D3:E3"/>
    <mergeCell ref="A1:B1"/>
    <mergeCell ref="H1:I1"/>
    <mergeCell ref="M1:N1"/>
    <mergeCell ref="T1:U1"/>
    <mergeCell ref="G3:H3"/>
    <mergeCell ref="I3:J3"/>
    <mergeCell ref="M3:O3"/>
    <mergeCell ref="P3:Q3"/>
    <mergeCell ref="AA3:AB3"/>
    <mergeCell ref="S3:T3"/>
    <mergeCell ref="AW3:AY3"/>
    <mergeCell ref="AZ3:BA3"/>
    <mergeCell ref="BH3:BJ3"/>
    <mergeCell ref="BK3:BL3"/>
    <mergeCell ref="BM3:BO3"/>
    <mergeCell ref="U3:V3"/>
    <mergeCell ref="AE3:AG3"/>
    <mergeCell ref="AH3:AI3"/>
    <mergeCell ref="AP3:AR3"/>
    <mergeCell ref="AS3:AT3"/>
    <mergeCell ref="BV5:BX6"/>
    <mergeCell ref="CF3:CH3"/>
    <mergeCell ref="CI3:CJ3"/>
    <mergeCell ref="CL3:CN3"/>
    <mergeCell ref="CO3:CP3"/>
    <mergeCell ref="BH4:BR6"/>
    <mergeCell ref="CF4:CP6"/>
    <mergeCell ref="BY5:BY6"/>
    <mergeCell ref="CA5:CC6"/>
    <mergeCell ref="CD5:CD6"/>
    <mergeCell ref="BP3:BQ3"/>
    <mergeCell ref="BV3:BX3"/>
    <mergeCell ref="BY3:BZ3"/>
    <mergeCell ref="CA3:CB3"/>
    <mergeCell ref="CC3:CD3"/>
    <mergeCell ref="B7:C7"/>
    <mergeCell ref="F7:I7"/>
    <mergeCell ref="N7:O7"/>
    <mergeCell ref="R7:U7"/>
    <mergeCell ref="X7:Z7"/>
    <mergeCell ref="B5:H5"/>
    <mergeCell ref="N5:T5"/>
    <mergeCell ref="X5:AN5"/>
    <mergeCell ref="AP5:BF5"/>
    <mergeCell ref="K4:M9"/>
    <mergeCell ref="BV7:BY7"/>
    <mergeCell ref="CA7:CD7"/>
    <mergeCell ref="BE8:BF8"/>
    <mergeCell ref="BV8:BW8"/>
    <mergeCell ref="BX8:BY8"/>
    <mergeCell ref="CA8:CB8"/>
    <mergeCell ref="CC8:CD8"/>
    <mergeCell ref="AA7:AB7"/>
    <mergeCell ref="AG7:AI7"/>
    <mergeCell ref="AJ7:AK7"/>
    <mergeCell ref="AP7:AR7"/>
    <mergeCell ref="AS7:AT7"/>
    <mergeCell ref="BH9:BH12"/>
    <mergeCell ref="BI9:BL10"/>
    <mergeCell ref="BM9:BP10"/>
    <mergeCell ref="BQ9:BT10"/>
    <mergeCell ref="CF9:CF12"/>
    <mergeCell ref="CG7:CU8"/>
    <mergeCell ref="B8:D8"/>
    <mergeCell ref="G8:I8"/>
    <mergeCell ref="N8:P8"/>
    <mergeCell ref="S8:U8"/>
    <mergeCell ref="X8:AA8"/>
    <mergeCell ref="AB8:AC8"/>
    <mergeCell ref="AD8:AE8"/>
    <mergeCell ref="AG8:AJ8"/>
    <mergeCell ref="AK8:AL8"/>
    <mergeCell ref="AM8:AN8"/>
    <mergeCell ref="AP8:AS8"/>
    <mergeCell ref="AT8:AU8"/>
    <mergeCell ref="AV8:AW8"/>
    <mergeCell ref="AY8:BB8"/>
    <mergeCell ref="BC8:BD8"/>
    <mergeCell ref="AY7:BA7"/>
    <mergeCell ref="BB7:BC7"/>
    <mergeCell ref="BI7:BT8"/>
    <mergeCell ref="CG9:CK10"/>
    <mergeCell ref="CL9:CP10"/>
    <mergeCell ref="CQ9:CU10"/>
    <mergeCell ref="BI11:BI12"/>
    <mergeCell ref="BJ11:BJ12"/>
    <mergeCell ref="BK11:BK12"/>
    <mergeCell ref="BL11:BL12"/>
    <mergeCell ref="BM11:BM12"/>
    <mergeCell ref="BN11:BN12"/>
    <mergeCell ref="BO11:BO12"/>
    <mergeCell ref="BP11:BP12"/>
    <mergeCell ref="BQ11:BQ12"/>
    <mergeCell ref="BR11:BR12"/>
    <mergeCell ref="BS11:BS12"/>
    <mergeCell ref="BT11:BT12"/>
    <mergeCell ref="CG11:CG12"/>
    <mergeCell ref="CR11:CR12"/>
    <mergeCell ref="CS11:CS12"/>
    <mergeCell ref="CT11:CT12"/>
    <mergeCell ref="CU11:CU12"/>
    <mergeCell ref="CG27:CU28"/>
    <mergeCell ref="CM11:CM12"/>
    <mergeCell ref="CN11:CN12"/>
    <mergeCell ref="CO11:CO12"/>
    <mergeCell ref="CP11:CP12"/>
    <mergeCell ref="CQ11:CQ12"/>
    <mergeCell ref="CH11:CH12"/>
    <mergeCell ref="CI11:CI12"/>
    <mergeCell ref="CJ11:CJ12"/>
    <mergeCell ref="CK11:CK12"/>
    <mergeCell ref="CL11:CL12"/>
    <mergeCell ref="BP28:BP29"/>
    <mergeCell ref="BQ28:BQ29"/>
    <mergeCell ref="BR28:BR29"/>
    <mergeCell ref="BS28:BS29"/>
    <mergeCell ref="BT28:BT29"/>
    <mergeCell ref="BK28:BK29"/>
    <mergeCell ref="BL28:BL29"/>
    <mergeCell ref="BM28:BM29"/>
    <mergeCell ref="BN28:BN29"/>
    <mergeCell ref="BO28:BO29"/>
    <mergeCell ref="CT136:CT137"/>
    <mergeCell ref="CU136:CU137"/>
    <mergeCell ref="CS31:CS32"/>
    <mergeCell ref="CT31:CT32"/>
    <mergeCell ref="CU31:CU32"/>
    <mergeCell ref="CF48:CF51"/>
    <mergeCell ref="CG48:CH50"/>
    <mergeCell ref="CI48:CJ50"/>
    <mergeCell ref="CF29:CF32"/>
    <mergeCell ref="CG29:CK30"/>
    <mergeCell ref="CL29:CP30"/>
    <mergeCell ref="CQ29:CU30"/>
    <mergeCell ref="CG31:CG32"/>
    <mergeCell ref="CH31:CH32"/>
    <mergeCell ref="CI31:CI32"/>
    <mergeCell ref="CJ31:CJ32"/>
    <mergeCell ref="CK31:CK32"/>
    <mergeCell ref="CL31:CL32"/>
    <mergeCell ref="CM31:CM32"/>
    <mergeCell ref="CN31:CN32"/>
    <mergeCell ref="CO31:CO32"/>
    <mergeCell ref="CP31:CP32"/>
    <mergeCell ref="CQ31:CQ32"/>
    <mergeCell ref="CR31:CR32"/>
    <mergeCell ref="CJ138:CJ139"/>
    <mergeCell ref="CK138:CK139"/>
    <mergeCell ref="CL138:CL139"/>
    <mergeCell ref="CM138:CM139"/>
    <mergeCell ref="CN138:CN139"/>
    <mergeCell ref="CO138:CO139"/>
    <mergeCell ref="CG132:CU133"/>
    <mergeCell ref="CF134:CF137"/>
    <mergeCell ref="CG134:CK135"/>
    <mergeCell ref="CL134:CP135"/>
    <mergeCell ref="CQ134:CU135"/>
    <mergeCell ref="CG136:CG137"/>
    <mergeCell ref="CH136:CH137"/>
    <mergeCell ref="CI136:CI137"/>
    <mergeCell ref="CJ136:CJ137"/>
    <mergeCell ref="CK136:CK137"/>
    <mergeCell ref="CL136:CL137"/>
    <mergeCell ref="CM136:CM137"/>
    <mergeCell ref="CN136:CN137"/>
    <mergeCell ref="CO136:CO137"/>
    <mergeCell ref="CP136:CP137"/>
    <mergeCell ref="CQ136:CQ137"/>
    <mergeCell ref="CR136:CR137"/>
    <mergeCell ref="CS136:CS137"/>
    <mergeCell ref="CP138:CP139"/>
    <mergeCell ref="CQ138:CQ139"/>
    <mergeCell ref="CR138:CR139"/>
    <mergeCell ref="CS138:CS139"/>
    <mergeCell ref="CT138:CT139"/>
    <mergeCell ref="CU138:CU139"/>
    <mergeCell ref="CF139:CF140"/>
    <mergeCell ref="CG140:CG141"/>
    <mergeCell ref="CH140:CH141"/>
    <mergeCell ref="CI140:CI141"/>
    <mergeCell ref="CJ140:CJ141"/>
    <mergeCell ref="CK140:CK141"/>
    <mergeCell ref="CL140:CL141"/>
    <mergeCell ref="CM140:CM141"/>
    <mergeCell ref="CN140:CN141"/>
    <mergeCell ref="CO140:CO141"/>
    <mergeCell ref="CP140:CP141"/>
    <mergeCell ref="CQ140:CQ141"/>
    <mergeCell ref="CR140:CR141"/>
    <mergeCell ref="CS140:CS141"/>
    <mergeCell ref="CT140:CT141"/>
    <mergeCell ref="CU140:CU141"/>
    <mergeCell ref="CF141:CF142"/>
    <mergeCell ref="CG142:CG143"/>
    <mergeCell ref="CR142:CR143"/>
    <mergeCell ref="CS142:CS143"/>
    <mergeCell ref="CT142:CT143"/>
    <mergeCell ref="CU142:CU143"/>
    <mergeCell ref="CF143:CF144"/>
    <mergeCell ref="CG144:CG145"/>
    <mergeCell ref="CH144:CH145"/>
    <mergeCell ref="CI144:CI145"/>
    <mergeCell ref="CJ144:CJ145"/>
    <mergeCell ref="CK144:CK145"/>
    <mergeCell ref="CL144:CL145"/>
    <mergeCell ref="CM144:CM145"/>
    <mergeCell ref="CN144:CN145"/>
    <mergeCell ref="CO144:CO145"/>
    <mergeCell ref="CP144:CP145"/>
    <mergeCell ref="CQ144:CQ145"/>
    <mergeCell ref="CR144:CR145"/>
    <mergeCell ref="CS144:CS145"/>
    <mergeCell ref="CT144:CT145"/>
    <mergeCell ref="CU144:CU145"/>
    <mergeCell ref="CF145:CF146"/>
    <mergeCell ref="CG146:CG147"/>
    <mergeCell ref="CH146:CH147"/>
    <mergeCell ref="CH142:CH143"/>
    <mergeCell ref="CJ146:CJ147"/>
    <mergeCell ref="CK146:CK147"/>
    <mergeCell ref="CL146:CL147"/>
    <mergeCell ref="CM146:CM147"/>
    <mergeCell ref="CN146:CN147"/>
    <mergeCell ref="CN150:CN151"/>
    <mergeCell ref="CQ142:CQ143"/>
    <mergeCell ref="CI142:CI143"/>
    <mergeCell ref="CJ142:CJ143"/>
    <mergeCell ref="CK142:CK143"/>
    <mergeCell ref="CL142:CL143"/>
    <mergeCell ref="CM142:CM143"/>
    <mergeCell ref="CN142:CN143"/>
    <mergeCell ref="CO142:CO143"/>
    <mergeCell ref="CP142:CP143"/>
    <mergeCell ref="CJ150:CJ151"/>
    <mergeCell ref="CK150:CK151"/>
    <mergeCell ref="CL150:CL151"/>
    <mergeCell ref="CM150:CM151"/>
    <mergeCell ref="CO150:CO151"/>
    <mergeCell ref="CP150:CP151"/>
    <mergeCell ref="CQ150:CQ151"/>
    <mergeCell ref="CJ148:CJ149"/>
    <mergeCell ref="CK148:CK149"/>
    <mergeCell ref="CU146:CU147"/>
    <mergeCell ref="CO148:CO149"/>
    <mergeCell ref="CP148:CP149"/>
    <mergeCell ref="CQ148:CQ149"/>
    <mergeCell ref="CR148:CR149"/>
    <mergeCell ref="CS148:CS149"/>
    <mergeCell ref="CT148:CT149"/>
    <mergeCell ref="CU148:CU149"/>
    <mergeCell ref="CO146:CO147"/>
    <mergeCell ref="CP146:CP147"/>
    <mergeCell ref="CQ146:CQ147"/>
    <mergeCell ref="CR146:CR147"/>
    <mergeCell ref="CL148:CL149"/>
    <mergeCell ref="CM148:CM149"/>
    <mergeCell ref="CN148:CN149"/>
    <mergeCell ref="CR154:CR155"/>
    <mergeCell ref="CS154:CS155"/>
    <mergeCell ref="CS150:CS151"/>
    <mergeCell ref="CS146:CS147"/>
    <mergeCell ref="CT150:CT151"/>
    <mergeCell ref="CM154:CM155"/>
    <mergeCell ref="CN154:CN155"/>
    <mergeCell ref="CO154:CO155"/>
    <mergeCell ref="CP154:CP155"/>
    <mergeCell ref="CQ154:CQ155"/>
    <mergeCell ref="CT146:CT147"/>
    <mergeCell ref="CT154:CT155"/>
    <mergeCell ref="CU150:CU151"/>
    <mergeCell ref="CF151:CF152"/>
    <mergeCell ref="CG152:CG153"/>
    <mergeCell ref="CH152:CH153"/>
    <mergeCell ref="CI152:CI153"/>
    <mergeCell ref="CJ152:CJ153"/>
    <mergeCell ref="CK152:CK153"/>
    <mergeCell ref="CL152:CL153"/>
    <mergeCell ref="CM152:CM153"/>
    <mergeCell ref="CN152:CN153"/>
    <mergeCell ref="CO152:CO153"/>
    <mergeCell ref="CP152:CP153"/>
    <mergeCell ref="CQ152:CQ153"/>
    <mergeCell ref="CR152:CR153"/>
    <mergeCell ref="CS152:CS153"/>
    <mergeCell ref="CT152:CT153"/>
    <mergeCell ref="CU152:CU153"/>
    <mergeCell ref="CF153:CF154"/>
    <mergeCell ref="CG154:CG155"/>
    <mergeCell ref="CH154:CH155"/>
    <mergeCell ref="CR150:CR151"/>
    <mergeCell ref="CI150:CI151"/>
    <mergeCell ref="CK154:CK155"/>
    <mergeCell ref="CL154:CL155"/>
    <mergeCell ref="CU154:CU155"/>
    <mergeCell ref="CF155:CF156"/>
    <mergeCell ref="CG156:CG157"/>
    <mergeCell ref="CH156:CH157"/>
    <mergeCell ref="CI156:CI157"/>
    <mergeCell ref="CJ156:CJ157"/>
    <mergeCell ref="CK156:CK157"/>
    <mergeCell ref="CL156:CL157"/>
    <mergeCell ref="CM156:CM157"/>
    <mergeCell ref="CN156:CN157"/>
    <mergeCell ref="CO156:CO157"/>
    <mergeCell ref="CP156:CP157"/>
    <mergeCell ref="CQ156:CQ157"/>
    <mergeCell ref="CR156:CR157"/>
    <mergeCell ref="CS156:CS157"/>
    <mergeCell ref="CT156:CT157"/>
    <mergeCell ref="CU156:CU157"/>
    <mergeCell ref="CF157:CF158"/>
    <mergeCell ref="CT158:CT159"/>
    <mergeCell ref="CU158:CU159"/>
    <mergeCell ref="CF159:CF160"/>
    <mergeCell ref="CG160:CG161"/>
    <mergeCell ref="CH160:CH161"/>
    <mergeCell ref="CI160:CI161"/>
    <mergeCell ref="CT160:CT161"/>
    <mergeCell ref="CU160:CU161"/>
    <mergeCell ref="CO158:CO159"/>
    <mergeCell ref="CR158:CR159"/>
    <mergeCell ref="CS160:CS161"/>
    <mergeCell ref="CJ160:CJ161"/>
    <mergeCell ref="CK160:CK161"/>
    <mergeCell ref="CL160:CL161"/>
    <mergeCell ref="CM160:CM161"/>
    <mergeCell ref="CN160:CN161"/>
    <mergeCell ref="CO160:CO161"/>
    <mergeCell ref="CP160:CP161"/>
    <mergeCell ref="CQ160:CQ161"/>
    <mergeCell ref="CR160:CR161"/>
    <mergeCell ref="CJ158:CJ159"/>
    <mergeCell ref="CK158:CK159"/>
    <mergeCell ref="CS158:CS159"/>
    <mergeCell ref="CL158:CL159"/>
    <mergeCell ref="CM158:CM159"/>
    <mergeCell ref="CN158:CN159"/>
    <mergeCell ref="CP158:CP159"/>
    <mergeCell ref="CQ158:CQ159"/>
    <mergeCell ref="CF66:CI66"/>
    <mergeCell ref="AZ173:AZ174"/>
    <mergeCell ref="BA173:BA174"/>
    <mergeCell ref="AI173:AI174"/>
    <mergeCell ref="AP173:AP174"/>
    <mergeCell ref="AQ173:AQ174"/>
    <mergeCell ref="AR173:AR174"/>
    <mergeCell ref="AY173:AY174"/>
    <mergeCell ref="CF147:CF148"/>
    <mergeCell ref="CG148:CG149"/>
    <mergeCell ref="CH148:CH149"/>
    <mergeCell ref="CI148:CI149"/>
    <mergeCell ref="CF149:CF150"/>
    <mergeCell ref="CG150:CG151"/>
    <mergeCell ref="CH150:CH151"/>
    <mergeCell ref="CF161:CF162"/>
    <mergeCell ref="CI146:CI147"/>
    <mergeCell ref="CG138:CG139"/>
    <mergeCell ref="CH138:CH139"/>
    <mergeCell ref="CI138:CI139"/>
    <mergeCell ref="AX163:AX166"/>
    <mergeCell ref="CJ154:CJ155"/>
    <mergeCell ref="X173:X174"/>
    <mergeCell ref="Y173:Y174"/>
    <mergeCell ref="Z173:Z174"/>
    <mergeCell ref="AG173:AG174"/>
    <mergeCell ref="AH173:AH174"/>
    <mergeCell ref="CG158:CG159"/>
    <mergeCell ref="CH158:CH159"/>
    <mergeCell ref="CI158:CI159"/>
    <mergeCell ref="CI154:CI155"/>
    <mergeCell ref="AF163:AF166"/>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K120"/>
  <sheetViews>
    <sheetView topLeftCell="S22" workbookViewId="0">
      <selection activeCell="AI13" sqref="AI13:AL30"/>
    </sheetView>
  </sheetViews>
  <sheetFormatPr baseColWidth="10" defaultRowHeight="12.75"/>
  <cols>
    <col min="5" max="5" width="12.5703125" customWidth="1"/>
    <col min="12" max="12" width="12.28515625" customWidth="1"/>
  </cols>
  <sheetData>
    <row r="1" spans="1:38" s="345" customFormat="1" ht="18">
      <c r="C1" s="1228" t="s">
        <v>1101</v>
      </c>
      <c r="D1" s="1228"/>
      <c r="K1" s="1320">
        <f>IF('Stipe=phyllotaxie&amp;croissance'!E9&gt;0,'Stipe=phyllotaxie&amp;croissance'!E9,"")</f>
        <v>40826</v>
      </c>
      <c r="L1" s="1320"/>
      <c r="M1" s="574"/>
      <c r="N1" s="574"/>
      <c r="O1" s="574"/>
      <c r="Q1" s="1228" t="s">
        <v>1101</v>
      </c>
      <c r="R1" s="1228"/>
      <c r="X1" s="1249" t="str">
        <f>IF('Stipe=phyllotaxie&amp;croissance'!S9&gt;0,'Stipe=phyllotaxie&amp;croissance'!S9,"")</f>
        <v/>
      </c>
      <c r="Y1" s="1249"/>
      <c r="Z1" s="574"/>
    </row>
    <row r="2" spans="1:38" s="345" customFormat="1" ht="18">
      <c r="C2" s="346"/>
      <c r="D2" s="346"/>
      <c r="Q2" s="346"/>
      <c r="R2" s="346"/>
    </row>
    <row r="3" spans="1:38" s="345" customFormat="1" ht="15.75">
      <c r="C3" s="1321" t="s">
        <v>1102</v>
      </c>
      <c r="D3" s="1321"/>
      <c r="E3" s="1321"/>
      <c r="F3" s="1322" t="str">
        <f>IF('Stipe=phyllotaxie&amp;croissance'!$E$11&gt;0,'Stipe=phyllotaxie&amp;croissance'!$E$11,"")</f>
        <v>Rochdi</v>
      </c>
      <c r="G3" s="1322"/>
      <c r="H3" s="376"/>
      <c r="I3" s="575"/>
      <c r="J3" s="1323" t="s">
        <v>1103</v>
      </c>
      <c r="K3" s="1323"/>
      <c r="L3" s="1512" t="str">
        <f>IF('Stipe=phyllotaxie&amp;croissance'!$E$10&gt;0,'Stipe=phyllotaxie&amp;croissance'!$E$10,"")</f>
        <v>01</v>
      </c>
      <c r="M3" s="1512"/>
      <c r="N3" s="576"/>
      <c r="O3" s="576"/>
      <c r="Q3" s="1323" t="s">
        <v>1102</v>
      </c>
      <c r="R3" s="1323"/>
      <c r="S3" s="1323"/>
      <c r="T3" s="1323"/>
      <c r="U3" s="1323"/>
      <c r="V3" s="1322" t="str">
        <f>IF('Stipe=phyllotaxie&amp;croissance'!$E$11&gt;0,'Stipe=phyllotaxie&amp;croissance'!$E$11,"")</f>
        <v>Rochdi</v>
      </c>
      <c r="W3" s="1322"/>
      <c r="AB3" s="1323" t="s">
        <v>1103</v>
      </c>
      <c r="AC3" s="1323"/>
      <c r="AD3" s="1323"/>
      <c r="AE3" s="1323"/>
      <c r="AF3" s="1512" t="str">
        <f>IF('Stipe=phyllotaxie&amp;croissance'!$E$10&gt;0,'Stipe=phyllotaxie&amp;croissance'!$E$10,"")</f>
        <v>01</v>
      </c>
      <c r="AG3" s="1512"/>
    </row>
    <row r="4" spans="1:38" s="345" customFormat="1" ht="18">
      <c r="C4" s="346"/>
      <c r="D4" s="346"/>
      <c r="Q4" s="346"/>
      <c r="R4" s="346"/>
    </row>
    <row r="5" spans="1:38" s="345" customFormat="1" ht="18">
      <c r="C5" s="446" t="s">
        <v>1228</v>
      </c>
      <c r="D5" s="446"/>
      <c r="E5" s="446"/>
      <c r="F5" s="446"/>
      <c r="G5" s="446"/>
      <c r="H5" s="446"/>
      <c r="I5" s="446"/>
      <c r="J5" s="446"/>
      <c r="K5" s="446"/>
      <c r="L5" s="446"/>
      <c r="M5" s="379"/>
      <c r="N5" s="379"/>
      <c r="O5" s="379"/>
      <c r="Q5" s="446" t="s">
        <v>1228</v>
      </c>
      <c r="R5" s="446"/>
      <c r="S5" s="446"/>
      <c r="T5" s="446"/>
      <c r="U5" s="446"/>
      <c r="V5" s="446"/>
      <c r="W5" s="446"/>
      <c r="X5" s="446"/>
      <c r="Y5" s="446"/>
      <c r="Z5" s="379"/>
    </row>
    <row r="6" spans="1:38" s="345" customFormat="1" ht="13.5" thickBot="1"/>
    <row r="7" spans="1:38" s="345" customFormat="1" ht="15.75" thickBot="1">
      <c r="C7" s="1498" t="s">
        <v>1229</v>
      </c>
      <c r="D7" s="1513"/>
      <c r="E7" s="577">
        <f>IF('Folioles=disposition&amp;groupes'!$D$7&gt;0,'Folioles=disposition&amp;groupes'!$D$7,"")</f>
        <v>57</v>
      </c>
      <c r="F7" s="578"/>
      <c r="G7" s="578"/>
      <c r="H7" s="578"/>
      <c r="I7" s="578"/>
      <c r="J7" s="1498" t="s">
        <v>1229</v>
      </c>
      <c r="K7" s="1513"/>
      <c r="L7" s="577">
        <f>IF('Folioles=disposition&amp;groupes'!$P$7&gt;0,'Folioles=disposition&amp;groupes'!$P$7,"")</f>
        <v>83</v>
      </c>
      <c r="M7" s="579"/>
      <c r="Q7" s="1496" t="s">
        <v>1229</v>
      </c>
      <c r="R7" s="1497"/>
      <c r="S7" s="1497"/>
      <c r="T7" s="577">
        <f>IF('Folioles=disposition&amp;groupes'!$D$7&gt;0,'Folioles=disposition&amp;groupes'!$D$7,"")</f>
        <v>57</v>
      </c>
      <c r="AC7" s="1498" t="s">
        <v>1229</v>
      </c>
      <c r="AD7" s="1499"/>
      <c r="AE7" s="1513"/>
      <c r="AF7" s="577">
        <f>IF('Folioles=disposition&amp;groupes'!$P$7&gt;0,'Folioles=disposition&amp;groupes'!$P$7,"")</f>
        <v>83</v>
      </c>
    </row>
    <row r="8" spans="1:38" s="345" customFormat="1" ht="15">
      <c r="D8" s="580"/>
      <c r="E8" s="580"/>
      <c r="F8" s="581"/>
      <c r="G8" s="581"/>
      <c r="H8" s="581"/>
      <c r="I8" s="581"/>
      <c r="K8" s="580"/>
      <c r="L8" s="580"/>
      <c r="M8" s="581"/>
    </row>
    <row r="9" spans="1:38" s="345" customFormat="1" ht="15">
      <c r="B9" s="1514" t="s">
        <v>1230</v>
      </c>
      <c r="C9" s="1514"/>
      <c r="D9" s="1514"/>
      <c r="E9" s="1514"/>
      <c r="F9" s="1514"/>
      <c r="G9" s="580"/>
      <c r="H9" s="580"/>
      <c r="I9" s="1514" t="s">
        <v>1230</v>
      </c>
      <c r="J9" s="1514"/>
      <c r="K9" s="1514"/>
      <c r="L9" s="1514"/>
      <c r="M9" s="1514"/>
      <c r="O9" s="582"/>
      <c r="P9" s="1514" t="s">
        <v>1231</v>
      </c>
      <c r="Q9" s="1514"/>
      <c r="R9" s="1514"/>
      <c r="AA9" s="582"/>
      <c r="AB9" s="1514" t="s">
        <v>1231</v>
      </c>
      <c r="AC9" s="1514"/>
      <c r="AD9" s="1514"/>
    </row>
    <row r="10" spans="1:38" s="345" customFormat="1" ht="13.5" thickBot="1"/>
    <row r="11" spans="1:38" s="345" customFormat="1" ht="15.75" thickBot="1">
      <c r="B11" s="1515" t="s">
        <v>1232</v>
      </c>
      <c r="C11" s="1515" t="s">
        <v>1233</v>
      </c>
      <c r="D11" s="1515" t="s">
        <v>1234</v>
      </c>
      <c r="E11" s="1518" t="s">
        <v>1235</v>
      </c>
      <c r="F11" s="1518" t="s">
        <v>1236</v>
      </c>
      <c r="G11" s="580"/>
      <c r="H11" s="580"/>
      <c r="I11" s="1515" t="s">
        <v>1232</v>
      </c>
      <c r="J11" s="1515" t="s">
        <v>1233</v>
      </c>
      <c r="K11" s="1520" t="s">
        <v>1234</v>
      </c>
      <c r="L11" s="1518" t="s">
        <v>1235</v>
      </c>
      <c r="M11" s="1518" t="s">
        <v>1236</v>
      </c>
      <c r="N11" s="580"/>
      <c r="Q11" s="1520" t="s">
        <v>1233</v>
      </c>
      <c r="R11" s="1520" t="s">
        <v>1237</v>
      </c>
      <c r="S11" s="1521"/>
      <c r="T11" s="1521"/>
      <c r="U11" s="1522"/>
      <c r="V11" s="583"/>
      <c r="W11" s="1520" t="s">
        <v>1238</v>
      </c>
      <c r="X11" s="1521"/>
      <c r="Y11" s="1521"/>
      <c r="Z11" s="1522"/>
      <c r="AC11" s="1520" t="s">
        <v>1233</v>
      </c>
      <c r="AD11" s="1520" t="s">
        <v>1237</v>
      </c>
      <c r="AE11" s="1521"/>
      <c r="AF11" s="1521"/>
      <c r="AG11" s="1522"/>
      <c r="AH11" s="583"/>
      <c r="AI11" s="1520" t="s">
        <v>1238</v>
      </c>
      <c r="AJ11" s="1521"/>
      <c r="AK11" s="1521"/>
      <c r="AL11" s="1522"/>
    </row>
    <row r="12" spans="1:38" s="345" customFormat="1" ht="15.75" thickBot="1">
      <c r="B12" s="1516"/>
      <c r="C12" s="1517"/>
      <c r="D12" s="1517"/>
      <c r="E12" s="1519"/>
      <c r="F12" s="1519"/>
      <c r="G12" s="580"/>
      <c r="H12" s="580"/>
      <c r="I12" s="1516"/>
      <c r="J12" s="1517"/>
      <c r="K12" s="1523"/>
      <c r="L12" s="1519"/>
      <c r="M12" s="1519"/>
      <c r="N12" s="580"/>
      <c r="Q12" s="1523"/>
      <c r="R12" s="584" t="s">
        <v>1239</v>
      </c>
      <c r="S12" s="585" t="s">
        <v>1240</v>
      </c>
      <c r="T12" s="585" t="s">
        <v>1240</v>
      </c>
      <c r="U12" s="586" t="s">
        <v>1241</v>
      </c>
      <c r="V12" s="587"/>
      <c r="W12" s="588" t="s">
        <v>1239</v>
      </c>
      <c r="X12" s="589" t="s">
        <v>1240</v>
      </c>
      <c r="Y12" s="589" t="s">
        <v>1240</v>
      </c>
      <c r="Z12" s="590" t="s">
        <v>1241</v>
      </c>
      <c r="AC12" s="1523"/>
      <c r="AD12" s="584" t="s">
        <v>1239</v>
      </c>
      <c r="AE12" s="585" t="s">
        <v>1240</v>
      </c>
      <c r="AF12" s="585" t="s">
        <v>1240</v>
      </c>
      <c r="AG12" s="586" t="s">
        <v>1241</v>
      </c>
      <c r="AH12" s="587"/>
      <c r="AI12" s="584" t="s">
        <v>1239</v>
      </c>
      <c r="AJ12" s="585" t="s">
        <v>1240</v>
      </c>
      <c r="AK12" s="585" t="s">
        <v>1240</v>
      </c>
      <c r="AL12" s="586" t="s">
        <v>1241</v>
      </c>
    </row>
    <row r="13" spans="1:38" s="345" customFormat="1" ht="15.75" thickBot="1">
      <c r="A13" s="1524" t="s">
        <v>1242</v>
      </c>
      <c r="B13" s="1525"/>
      <c r="C13" s="591" t="str">
        <f>IF(D13="","",100*D13/D31)</f>
        <v/>
      </c>
      <c r="D13" s="592" t="str">
        <f>IF('Folioles=disposition&amp;groupes'!J13="","",'Folioles=disposition&amp;groupes'!J13)</f>
        <v/>
      </c>
      <c r="E13" s="593"/>
      <c r="F13" s="593"/>
      <c r="G13" s="580"/>
      <c r="H13" s="1524" t="s">
        <v>1242</v>
      </c>
      <c r="I13" s="1525"/>
      <c r="J13" s="591" t="str">
        <f>IF(K13="","",100*K13/K31)</f>
        <v/>
      </c>
      <c r="K13" s="592" t="str">
        <f>IF('Folioles=disposition&amp;groupes'!V13="","",'Folioles=disposition&amp;groupes'!V13)</f>
        <v/>
      </c>
      <c r="L13" s="593"/>
      <c r="M13" s="593"/>
      <c r="N13" s="594"/>
      <c r="P13" s="595" t="s">
        <v>1243</v>
      </c>
      <c r="Q13" s="596">
        <f>IF('Folioles=disposition&amp;groupes'!C175="","",100*'Folioles=disposition&amp;groupes'!C175/D$31)</f>
        <v>5.15970515970516</v>
      </c>
      <c r="R13" s="597"/>
      <c r="S13" s="598"/>
      <c r="T13" s="598"/>
      <c r="U13" s="599">
        <v>1.7</v>
      </c>
      <c r="V13" s="600">
        <f>IF('Folioles=disposition&amp;groupes'!H175="","",100*'Folioles=disposition&amp;groupes'!H175/D$31)</f>
        <v>5.4054054054054053</v>
      </c>
      <c r="W13" s="601"/>
      <c r="X13" s="602"/>
      <c r="Y13" s="603"/>
      <c r="Z13" s="604">
        <v>1</v>
      </c>
      <c r="AB13" s="595" t="s">
        <v>1243</v>
      </c>
      <c r="AC13" s="596">
        <f>IF('Folioles=disposition&amp;groupes'!O175="","",100*'Folioles=disposition&amp;groupes'!O175/K$31)</f>
        <v>5.3228419347373288</v>
      </c>
      <c r="AD13" s="598">
        <v>1.7</v>
      </c>
      <c r="AE13" s="598"/>
      <c r="AF13" s="598"/>
      <c r="AG13" s="598"/>
      <c r="AH13" s="600">
        <f>IF('Folioles=disposition&amp;groupes'!T175="","",100*'Folioles=disposition&amp;groupes'!T175/K$31)</f>
        <v>5.5542698449432999</v>
      </c>
      <c r="AI13" s="597">
        <v>1.4</v>
      </c>
      <c r="AJ13" s="598"/>
      <c r="AK13" s="598"/>
      <c r="AL13" s="599"/>
    </row>
    <row r="14" spans="1:38" s="345" customFormat="1">
      <c r="B14" s="605">
        <v>1</v>
      </c>
      <c r="C14" s="606">
        <v>10</v>
      </c>
      <c r="D14" s="606">
        <f t="shared" ref="D14:D23" si="0">IF($D$31="","",$B14*$D$31/10)</f>
        <v>40.700000000000003</v>
      </c>
      <c r="E14" s="607"/>
      <c r="F14" s="608"/>
      <c r="G14" s="594"/>
      <c r="H14" s="594"/>
      <c r="I14" s="605">
        <v>1</v>
      </c>
      <c r="J14" s="606">
        <v>10</v>
      </c>
      <c r="K14" s="606">
        <f t="shared" ref="K14:K23" si="1">IF($K$31="","",$I14*$K$31/10)</f>
        <v>43.21</v>
      </c>
      <c r="L14" s="607"/>
      <c r="M14" s="608"/>
      <c r="N14" s="594"/>
      <c r="P14" s="609" t="s">
        <v>1244</v>
      </c>
      <c r="Q14" s="610">
        <f>IF('Folioles=disposition&amp;groupes'!C176="","",100*'Folioles=disposition&amp;groupes'!C176/D$31)</f>
        <v>27.346437346437348</v>
      </c>
      <c r="R14" s="611"/>
      <c r="S14" s="612"/>
      <c r="T14" s="612"/>
      <c r="U14" s="613">
        <v>13.3</v>
      </c>
      <c r="V14" s="614">
        <f>IF('Folioles=disposition&amp;groupes'!H176="","",100*'Folioles=disposition&amp;groupes'!H176/D$31)</f>
        <v>28.157248157248159</v>
      </c>
      <c r="W14" s="611">
        <v>10.6</v>
      </c>
      <c r="X14" s="612"/>
      <c r="Y14" s="615"/>
      <c r="Z14" s="613"/>
      <c r="AB14" s="609" t="s">
        <v>1244</v>
      </c>
      <c r="AC14" s="610">
        <f>IF('Folioles=disposition&amp;groupes'!O176="","",100*'Folioles=disposition&amp;groupes'!O176/K$31)</f>
        <v>26.429067345521869</v>
      </c>
      <c r="AD14" s="612">
        <v>20.7</v>
      </c>
      <c r="AE14" s="612"/>
      <c r="AF14" s="612"/>
      <c r="AG14" s="612"/>
      <c r="AH14" s="614">
        <f>IF('Folioles=disposition&amp;groupes'!T176="","",100*'Folioles=disposition&amp;groupes'!T176/K$31)</f>
        <v>25.757926405924554</v>
      </c>
      <c r="AI14" s="611"/>
      <c r="AJ14" s="612"/>
      <c r="AK14" s="612"/>
      <c r="AL14" s="613">
        <v>22.8</v>
      </c>
    </row>
    <row r="15" spans="1:38" s="345" customFormat="1" ht="13.5" thickBot="1">
      <c r="B15" s="616">
        <v>2</v>
      </c>
      <c r="C15" s="617">
        <v>20</v>
      </c>
      <c r="D15" s="617">
        <f t="shared" si="0"/>
        <v>81.400000000000006</v>
      </c>
      <c r="E15" s="618"/>
      <c r="F15" s="619"/>
      <c r="G15" s="594"/>
      <c r="H15" s="594"/>
      <c r="I15" s="616">
        <v>2</v>
      </c>
      <c r="J15" s="617">
        <v>20</v>
      </c>
      <c r="K15" s="617">
        <f t="shared" si="1"/>
        <v>86.42</v>
      </c>
      <c r="L15" s="618"/>
      <c r="M15" s="619"/>
      <c r="N15" s="594"/>
      <c r="P15" s="620" t="s">
        <v>1245</v>
      </c>
      <c r="Q15" s="621">
        <f>IF('Folioles=disposition&amp;groupes'!C177="","",100*'Folioles=disposition&amp;groupes'!C177/D$31)</f>
        <v>30.466830466830466</v>
      </c>
      <c r="R15" s="622">
        <v>36.299999999999997</v>
      </c>
      <c r="S15" s="623"/>
      <c r="T15" s="623"/>
      <c r="U15" s="624"/>
      <c r="V15" s="625">
        <f>IF('Folioles=disposition&amp;groupes'!H177="","",100*'Folioles=disposition&amp;groupes'!H177/D$31)</f>
        <v>28.55036855036855</v>
      </c>
      <c r="W15" s="626"/>
      <c r="X15" s="627"/>
      <c r="Y15" s="628"/>
      <c r="Z15" s="629">
        <v>16</v>
      </c>
      <c r="AB15" s="620" t="s">
        <v>1245</v>
      </c>
      <c r="AC15" s="621">
        <f>IF('Folioles=disposition&amp;groupes'!O177="","",100*'Folioles=disposition&amp;groupes'!O177/K$31)</f>
        <v>26.799352001851421</v>
      </c>
      <c r="AD15" s="623"/>
      <c r="AE15" s="623"/>
      <c r="AF15" s="623"/>
      <c r="AG15" s="623">
        <v>40.700000000000003</v>
      </c>
      <c r="AH15" s="625">
        <f>IF('Folioles=disposition&amp;groupes'!T177="","",100*'Folioles=disposition&amp;groupes'!T177/K$31)</f>
        <v>27.794492015737095</v>
      </c>
      <c r="AI15" s="622">
        <v>51.4</v>
      </c>
      <c r="AJ15" s="623"/>
      <c r="AK15" s="623"/>
      <c r="AL15" s="624"/>
    </row>
    <row r="16" spans="1:38" s="345" customFormat="1">
      <c r="B16" s="616">
        <v>3</v>
      </c>
      <c r="C16" s="617">
        <v>30</v>
      </c>
      <c r="D16" s="617">
        <f t="shared" si="0"/>
        <v>122.1</v>
      </c>
      <c r="E16" s="618"/>
      <c r="F16" s="619"/>
      <c r="G16" s="594"/>
      <c r="H16" s="594"/>
      <c r="I16" s="616">
        <v>3</v>
      </c>
      <c r="J16" s="617">
        <v>30</v>
      </c>
      <c r="K16" s="617">
        <f t="shared" si="1"/>
        <v>129.63000000000002</v>
      </c>
      <c r="L16" s="618"/>
      <c r="M16" s="619"/>
      <c r="N16" s="594"/>
      <c r="Q16" s="606"/>
      <c r="R16" s="630"/>
      <c r="S16" s="630"/>
      <c r="T16" s="630"/>
      <c r="U16" s="630"/>
      <c r="V16" s="606"/>
      <c r="W16" s="384"/>
      <c r="X16" s="631"/>
      <c r="Y16" s="631"/>
      <c r="Z16" s="385"/>
      <c r="AC16" s="606"/>
      <c r="AD16" s="630"/>
      <c r="AE16" s="630"/>
      <c r="AF16" s="630"/>
      <c r="AG16" s="630"/>
      <c r="AH16" s="606"/>
      <c r="AI16" s="384"/>
      <c r="AJ16" s="631"/>
      <c r="AK16" s="631"/>
      <c r="AL16" s="385"/>
    </row>
    <row r="17" spans="1:38" s="345" customFormat="1">
      <c r="B17" s="616">
        <v>4</v>
      </c>
      <c r="C17" s="617">
        <v>40</v>
      </c>
      <c r="D17" s="617">
        <f t="shared" si="0"/>
        <v>162.80000000000001</v>
      </c>
      <c r="E17" s="618"/>
      <c r="F17" s="619"/>
      <c r="G17" s="594"/>
      <c r="H17" s="594"/>
      <c r="I17" s="616">
        <v>4</v>
      </c>
      <c r="J17" s="617">
        <v>40</v>
      </c>
      <c r="K17" s="617">
        <f t="shared" si="1"/>
        <v>172.84</v>
      </c>
      <c r="L17" s="618"/>
      <c r="M17" s="619"/>
      <c r="N17" s="594"/>
      <c r="Q17" s="606">
        <f t="shared" ref="Q17:Q25" si="2">IF($C14="","",$C14)</f>
        <v>10</v>
      </c>
      <c r="R17" s="632">
        <v>5.5</v>
      </c>
      <c r="S17" s="632"/>
      <c r="T17" s="632"/>
      <c r="U17" s="632"/>
      <c r="V17" s="606">
        <f t="shared" ref="V17:V25" si="3">IF($C14="","",$C14)</f>
        <v>10</v>
      </c>
      <c r="W17" s="397">
        <v>4.0999999999999996</v>
      </c>
      <c r="X17" s="632"/>
      <c r="Y17" s="632"/>
      <c r="Z17" s="398">
        <v>6.6</v>
      </c>
      <c r="AC17" s="606">
        <f t="shared" ref="AC17:AC25" si="4">IF($J14="","",$J14)</f>
        <v>10</v>
      </c>
      <c r="AD17" s="632"/>
      <c r="AE17" s="632">
        <v>4.7</v>
      </c>
      <c r="AF17" s="632"/>
      <c r="AG17" s="632"/>
      <c r="AH17" s="606">
        <f t="shared" ref="AH17:AH25" si="5">IF($J14="","",$J14)</f>
        <v>10</v>
      </c>
      <c r="AI17" s="397"/>
      <c r="AJ17" s="632">
        <v>6.4</v>
      </c>
      <c r="AK17" s="632"/>
      <c r="AL17" s="398"/>
    </row>
    <row r="18" spans="1:38" s="345" customFormat="1">
      <c r="B18" s="616">
        <v>5</v>
      </c>
      <c r="C18" s="617">
        <v>50</v>
      </c>
      <c r="D18" s="617">
        <f t="shared" si="0"/>
        <v>203.5</v>
      </c>
      <c r="E18" s="618"/>
      <c r="F18" s="619"/>
      <c r="G18" s="594"/>
      <c r="H18" s="594"/>
      <c r="I18" s="616">
        <v>5</v>
      </c>
      <c r="J18" s="617">
        <v>50</v>
      </c>
      <c r="K18" s="617">
        <f t="shared" si="1"/>
        <v>216.05</v>
      </c>
      <c r="L18" s="618"/>
      <c r="M18" s="619"/>
      <c r="N18" s="594"/>
      <c r="Q18" s="606">
        <f t="shared" si="2"/>
        <v>20</v>
      </c>
      <c r="R18" s="632">
        <v>8.5</v>
      </c>
      <c r="S18" s="632"/>
      <c r="T18" s="632"/>
      <c r="U18" s="632"/>
      <c r="V18" s="606">
        <f t="shared" si="3"/>
        <v>20</v>
      </c>
      <c r="W18" s="397">
        <v>8.8000000000000007</v>
      </c>
      <c r="X18" s="632"/>
      <c r="Y18" s="632"/>
      <c r="Z18" s="398"/>
      <c r="AC18" s="606">
        <f t="shared" si="4"/>
        <v>20</v>
      </c>
      <c r="AD18" s="632">
        <v>6.5</v>
      </c>
      <c r="AE18" s="632"/>
      <c r="AF18" s="632"/>
      <c r="AG18" s="632">
        <v>10</v>
      </c>
      <c r="AH18" s="606">
        <f t="shared" si="5"/>
        <v>20</v>
      </c>
      <c r="AI18" s="397">
        <v>7.9</v>
      </c>
      <c r="AJ18" s="632"/>
      <c r="AK18" s="632"/>
      <c r="AL18" s="398">
        <v>11.8</v>
      </c>
    </row>
    <row r="19" spans="1:38" s="345" customFormat="1">
      <c r="B19" s="616">
        <v>6</v>
      </c>
      <c r="C19" s="617">
        <v>60</v>
      </c>
      <c r="D19" s="617">
        <f t="shared" si="0"/>
        <v>244.2</v>
      </c>
      <c r="E19" s="618"/>
      <c r="F19" s="619"/>
      <c r="G19" s="594"/>
      <c r="H19" s="594"/>
      <c r="I19" s="616">
        <v>6</v>
      </c>
      <c r="J19" s="617">
        <v>60</v>
      </c>
      <c r="K19" s="617">
        <f t="shared" si="1"/>
        <v>259.26000000000005</v>
      </c>
      <c r="L19" s="618"/>
      <c r="M19" s="619"/>
      <c r="N19" s="594"/>
      <c r="Q19" s="606">
        <f t="shared" si="2"/>
        <v>30</v>
      </c>
      <c r="R19" s="632">
        <v>63.6</v>
      </c>
      <c r="S19" s="632"/>
      <c r="T19" s="632"/>
      <c r="U19" s="632">
        <v>68</v>
      </c>
      <c r="V19" s="606">
        <f t="shared" si="3"/>
        <v>30</v>
      </c>
      <c r="W19" s="397">
        <v>60.9</v>
      </c>
      <c r="X19" s="632"/>
      <c r="Y19" s="632"/>
      <c r="Z19" s="398">
        <v>64.3</v>
      </c>
      <c r="AC19" s="606">
        <f t="shared" si="4"/>
        <v>30</v>
      </c>
      <c r="AD19" s="632">
        <v>51.7</v>
      </c>
      <c r="AE19" s="632"/>
      <c r="AF19" s="632"/>
      <c r="AG19" s="632">
        <v>62.7</v>
      </c>
      <c r="AH19" s="606">
        <f t="shared" si="5"/>
        <v>30</v>
      </c>
      <c r="AI19" s="397">
        <v>51.4</v>
      </c>
      <c r="AJ19" s="632"/>
      <c r="AK19" s="632"/>
      <c r="AL19" s="398">
        <v>63</v>
      </c>
    </row>
    <row r="20" spans="1:38" s="345" customFormat="1">
      <c r="B20" s="616">
        <v>7</v>
      </c>
      <c r="C20" s="617">
        <v>70</v>
      </c>
      <c r="D20" s="617">
        <f t="shared" si="0"/>
        <v>284.89999999999998</v>
      </c>
      <c r="E20" s="618"/>
      <c r="F20" s="619"/>
      <c r="G20" s="594"/>
      <c r="H20" s="594"/>
      <c r="I20" s="616">
        <v>7</v>
      </c>
      <c r="J20" s="617">
        <v>70</v>
      </c>
      <c r="K20" s="617">
        <f t="shared" si="1"/>
        <v>302.47000000000003</v>
      </c>
      <c r="L20" s="618"/>
      <c r="M20" s="619"/>
      <c r="N20" s="594"/>
      <c r="Q20" s="606">
        <f t="shared" si="2"/>
        <v>40</v>
      </c>
      <c r="R20" s="632">
        <v>58.1</v>
      </c>
      <c r="S20" s="632">
        <v>60.3</v>
      </c>
      <c r="T20" s="632"/>
      <c r="U20" s="632">
        <v>61.3</v>
      </c>
      <c r="V20" s="606">
        <f t="shared" si="3"/>
        <v>40</v>
      </c>
      <c r="W20" s="397">
        <v>57</v>
      </c>
      <c r="X20" s="632"/>
      <c r="Y20" s="632"/>
      <c r="Z20" s="398">
        <v>58.29</v>
      </c>
      <c r="AC20" s="606">
        <f t="shared" si="4"/>
        <v>40</v>
      </c>
      <c r="AD20" s="632">
        <v>66.7</v>
      </c>
      <c r="AE20" s="632"/>
      <c r="AF20" s="632"/>
      <c r="AG20" s="632">
        <v>70</v>
      </c>
      <c r="AH20" s="606">
        <f t="shared" si="5"/>
        <v>40</v>
      </c>
      <c r="AI20" s="397">
        <v>73.599999999999994</v>
      </c>
      <c r="AJ20" s="632"/>
      <c r="AK20" s="632"/>
      <c r="AL20" s="398">
        <v>67.599999999999994</v>
      </c>
    </row>
    <row r="21" spans="1:38" s="345" customFormat="1">
      <c r="B21" s="616">
        <v>8</v>
      </c>
      <c r="C21" s="617">
        <v>80</v>
      </c>
      <c r="D21" s="617">
        <f t="shared" si="0"/>
        <v>325.60000000000002</v>
      </c>
      <c r="E21" s="618"/>
      <c r="F21" s="619"/>
      <c r="G21" s="594"/>
      <c r="H21" s="594"/>
      <c r="I21" s="616">
        <v>8</v>
      </c>
      <c r="J21" s="617">
        <v>80</v>
      </c>
      <c r="K21" s="617">
        <f t="shared" si="1"/>
        <v>345.68</v>
      </c>
      <c r="L21" s="618"/>
      <c r="M21" s="619"/>
      <c r="N21" s="594"/>
      <c r="Q21" s="606">
        <f t="shared" si="2"/>
        <v>50</v>
      </c>
      <c r="R21" s="632">
        <v>52.9</v>
      </c>
      <c r="S21" s="632"/>
      <c r="T21" s="632"/>
      <c r="U21" s="632">
        <v>3</v>
      </c>
      <c r="V21" s="606">
        <f t="shared" si="3"/>
        <v>50</v>
      </c>
      <c r="W21" s="397">
        <v>53.2</v>
      </c>
      <c r="X21" s="632"/>
      <c r="Y21" s="632"/>
      <c r="Z21" s="398"/>
      <c r="AC21" s="606">
        <f t="shared" si="4"/>
        <v>50</v>
      </c>
      <c r="AD21" s="632">
        <v>54.8</v>
      </c>
      <c r="AE21" s="632">
        <v>55.5</v>
      </c>
      <c r="AF21" s="632"/>
      <c r="AG21" s="632">
        <v>56.5</v>
      </c>
      <c r="AH21" s="606">
        <f t="shared" si="5"/>
        <v>50</v>
      </c>
      <c r="AI21" s="397">
        <v>68.3</v>
      </c>
      <c r="AJ21" s="632"/>
      <c r="AK21" s="632"/>
      <c r="AL21" s="398">
        <v>70.400000000000006</v>
      </c>
    </row>
    <row r="22" spans="1:38" s="345" customFormat="1">
      <c r="B22" s="616">
        <v>9</v>
      </c>
      <c r="C22" s="617">
        <v>90</v>
      </c>
      <c r="D22" s="617">
        <f t="shared" si="0"/>
        <v>366.3</v>
      </c>
      <c r="E22" s="618"/>
      <c r="F22" s="619"/>
      <c r="G22" s="594"/>
      <c r="H22" s="594"/>
      <c r="I22" s="616">
        <v>9</v>
      </c>
      <c r="J22" s="617">
        <v>90</v>
      </c>
      <c r="K22" s="617">
        <f t="shared" si="1"/>
        <v>388.89</v>
      </c>
      <c r="L22" s="618"/>
      <c r="M22" s="619"/>
      <c r="N22" s="594"/>
      <c r="Q22" s="606">
        <f t="shared" si="2"/>
        <v>60</v>
      </c>
      <c r="R22" s="632">
        <v>52.3</v>
      </c>
      <c r="S22" s="632"/>
      <c r="T22" s="632"/>
      <c r="U22" s="632">
        <v>53</v>
      </c>
      <c r="V22" s="606">
        <f t="shared" si="3"/>
        <v>60</v>
      </c>
      <c r="W22" s="397">
        <v>50.3</v>
      </c>
      <c r="X22" s="632">
        <v>51.4</v>
      </c>
      <c r="Y22" s="632"/>
      <c r="Z22" s="398">
        <v>52.2</v>
      </c>
      <c r="AC22" s="606">
        <f t="shared" si="4"/>
        <v>60</v>
      </c>
      <c r="AD22" s="632">
        <v>53</v>
      </c>
      <c r="AE22" s="632"/>
      <c r="AF22" s="632"/>
      <c r="AG22" s="632">
        <v>55.4</v>
      </c>
      <c r="AH22" s="606">
        <f t="shared" si="5"/>
        <v>60</v>
      </c>
      <c r="AI22" s="397">
        <v>61.3</v>
      </c>
      <c r="AJ22" s="632">
        <v>58.5</v>
      </c>
      <c r="AK22" s="632"/>
      <c r="AL22" s="398">
        <v>61.4</v>
      </c>
    </row>
    <row r="23" spans="1:38" s="345" customFormat="1" ht="13.5" thickBot="1">
      <c r="B23" s="633">
        <v>10</v>
      </c>
      <c r="C23" s="634">
        <v>100</v>
      </c>
      <c r="D23" s="634">
        <f t="shared" si="0"/>
        <v>407</v>
      </c>
      <c r="E23" s="635"/>
      <c r="F23" s="636"/>
      <c r="G23" s="594"/>
      <c r="H23" s="594"/>
      <c r="I23" s="633">
        <v>10</v>
      </c>
      <c r="J23" s="634">
        <v>100</v>
      </c>
      <c r="K23" s="634">
        <f t="shared" si="1"/>
        <v>432.1</v>
      </c>
      <c r="L23" s="635"/>
      <c r="M23" s="636"/>
      <c r="N23" s="594"/>
      <c r="Q23" s="606">
        <f t="shared" si="2"/>
        <v>70</v>
      </c>
      <c r="R23" s="632">
        <v>47.5</v>
      </c>
      <c r="S23" s="632"/>
      <c r="T23" s="632"/>
      <c r="U23" s="632">
        <v>47.8</v>
      </c>
      <c r="V23" s="606">
        <f t="shared" si="3"/>
        <v>70</v>
      </c>
      <c r="W23" s="397">
        <v>51.4</v>
      </c>
      <c r="X23" s="632"/>
      <c r="Y23" s="632"/>
      <c r="Z23" s="398">
        <v>53.6</v>
      </c>
      <c r="AC23" s="606">
        <f t="shared" si="4"/>
        <v>70</v>
      </c>
      <c r="AD23" s="632">
        <v>53.3</v>
      </c>
      <c r="AE23" s="632"/>
      <c r="AF23" s="632"/>
      <c r="AG23" s="632">
        <v>54.2</v>
      </c>
      <c r="AH23" s="606">
        <f t="shared" si="5"/>
        <v>70</v>
      </c>
      <c r="AI23" s="397">
        <v>55</v>
      </c>
      <c r="AJ23" s="632">
        <v>55.3</v>
      </c>
      <c r="AK23" s="632"/>
      <c r="AL23" s="398">
        <v>56.7</v>
      </c>
    </row>
    <row r="24" spans="1:38" s="345" customFormat="1" ht="13.5" thickBot="1">
      <c r="A24" s="1524" t="s">
        <v>1246</v>
      </c>
      <c r="B24" s="1525"/>
      <c r="C24" s="592">
        <f>IF(D31=0,"", 100*D24/D31)</f>
        <v>13.095823095823096</v>
      </c>
      <c r="D24" s="634">
        <f>IF(MIN('Folioles=disposition&amp;groupes'!D17,'Folioles=disposition&amp;groupes'!D17)=0,34,MIN('Folioles=disposition&amp;groupes'!D17,'Folioles=disposition&amp;groupes'!D17))</f>
        <v>53.3</v>
      </c>
      <c r="E24" s="637">
        <v>5.82</v>
      </c>
      <c r="F24" s="637">
        <v>3.1</v>
      </c>
      <c r="G24" s="594"/>
      <c r="H24" s="1524" t="s">
        <v>1246</v>
      </c>
      <c r="I24" s="1525"/>
      <c r="J24" s="592">
        <f>IF(K31=0,"", 100*K24/K31)</f>
        <v>11.849109002545706</v>
      </c>
      <c r="K24" s="634">
        <f>IF(MIN('Folioles=disposition&amp;groupes'!P17,'Folioles=disposition&amp;groupes'!U17)=0,36,MIN('Folioles=disposition&amp;groupes'!P17,'Folioles=disposition&amp;groupes'!U17))</f>
        <v>51.2</v>
      </c>
      <c r="L24" s="637">
        <v>5.86</v>
      </c>
      <c r="M24" s="637">
        <v>3.26</v>
      </c>
      <c r="N24" s="594"/>
      <c r="Q24" s="606">
        <f t="shared" si="2"/>
        <v>80</v>
      </c>
      <c r="R24" s="632">
        <v>38.200000000000003</v>
      </c>
      <c r="S24" s="632"/>
      <c r="T24" s="632"/>
      <c r="U24" s="632">
        <v>40.1</v>
      </c>
      <c r="V24" s="606">
        <f t="shared" si="3"/>
        <v>80</v>
      </c>
      <c r="W24" s="397">
        <v>45.9</v>
      </c>
      <c r="X24" s="632">
        <v>44.6</v>
      </c>
      <c r="Y24" s="632"/>
      <c r="Z24" s="398">
        <v>43.8</v>
      </c>
      <c r="AC24" s="606">
        <f t="shared" si="4"/>
        <v>80</v>
      </c>
      <c r="AD24" s="632">
        <v>45.5</v>
      </c>
      <c r="AE24" s="632">
        <v>45.4</v>
      </c>
      <c r="AF24" s="632"/>
      <c r="AG24" s="632">
        <v>45</v>
      </c>
      <c r="AH24" s="606">
        <f t="shared" si="5"/>
        <v>80</v>
      </c>
      <c r="AI24" s="397">
        <v>48.7</v>
      </c>
      <c r="AJ24" s="632">
        <v>49.4</v>
      </c>
      <c r="AK24" s="632"/>
      <c r="AL24" s="398">
        <v>46.2</v>
      </c>
    </row>
    <row r="25" spans="1:38" s="345" customFormat="1" ht="13.5" thickBot="1">
      <c r="A25" s="638"/>
      <c r="B25" s="638"/>
      <c r="C25" s="639"/>
      <c r="D25" s="640"/>
      <c r="E25" s="641"/>
      <c r="F25" s="641"/>
      <c r="G25" s="641"/>
      <c r="H25" s="638"/>
      <c r="I25" s="638"/>
      <c r="J25" s="639"/>
      <c r="K25" s="640"/>
      <c r="L25" s="641"/>
      <c r="M25" s="641"/>
      <c r="N25" s="641"/>
      <c r="Q25" s="606">
        <f t="shared" si="2"/>
        <v>90</v>
      </c>
      <c r="R25" s="632"/>
      <c r="S25" s="632">
        <v>28.7</v>
      </c>
      <c r="T25" s="632"/>
      <c r="U25" s="632"/>
      <c r="V25" s="606">
        <f t="shared" si="3"/>
        <v>90</v>
      </c>
      <c r="W25" s="387"/>
      <c r="X25" s="642">
        <v>33.1</v>
      </c>
      <c r="Y25" s="642"/>
      <c r="Z25" s="388"/>
      <c r="AC25" s="606">
        <f t="shared" si="4"/>
        <v>90</v>
      </c>
      <c r="AD25" s="632">
        <v>37.700000000000003</v>
      </c>
      <c r="AE25" s="632"/>
      <c r="AF25" s="632"/>
      <c r="AG25" s="632"/>
      <c r="AH25" s="606">
        <f t="shared" si="5"/>
        <v>90</v>
      </c>
      <c r="AI25" s="387">
        <v>41.1</v>
      </c>
      <c r="AJ25" s="642"/>
      <c r="AK25" s="642"/>
      <c r="AL25" s="388">
        <v>42</v>
      </c>
    </row>
    <row r="26" spans="1:38" s="345" customFormat="1" ht="13.5" thickBot="1">
      <c r="A26" s="643"/>
      <c r="B26" s="644"/>
      <c r="C26" s="645"/>
      <c r="D26" s="646"/>
      <c r="E26" s="646"/>
      <c r="F26" s="647"/>
      <c r="G26" s="647"/>
      <c r="H26" s="647"/>
      <c r="I26" s="644"/>
      <c r="J26" s="645"/>
      <c r="K26" s="646"/>
      <c r="L26" s="646"/>
      <c r="M26" s="647"/>
      <c r="N26" s="647"/>
      <c r="P26" s="648" t="s">
        <v>1247</v>
      </c>
      <c r="Q26" s="649">
        <f>IF('Folioles=disposition&amp;groupes'!$E167="","",100*'Folioles=disposition&amp;groupes'!$E167/D$31)</f>
        <v>97.59213759213759</v>
      </c>
      <c r="R26" s="631"/>
      <c r="S26" s="631"/>
      <c r="T26" s="631"/>
      <c r="U26" s="631">
        <v>26.8</v>
      </c>
      <c r="V26" s="650">
        <f>IF('Folioles=disposition&amp;groupes'!$J167="","",100*'Folioles=disposition&amp;groupes'!$J167/D$31)</f>
        <v>97.54299754299754</v>
      </c>
      <c r="W26" s="651">
        <v>28.7</v>
      </c>
      <c r="X26" s="630"/>
      <c r="Y26" s="630"/>
      <c r="Z26" s="652"/>
      <c r="AB26" s="648" t="s">
        <v>1247</v>
      </c>
      <c r="AC26" s="650">
        <f>IF('Folioles=disposition&amp;groupes'!$Q167="","",100*'Folioles=disposition&amp;groupes'!$Q167/K$31)</f>
        <v>98.032862763249241</v>
      </c>
      <c r="AD26" s="631"/>
      <c r="AE26" s="631"/>
      <c r="AF26" s="631"/>
      <c r="AG26" s="631">
        <v>36.6</v>
      </c>
      <c r="AH26" s="650">
        <f>IF('Folioles=disposition&amp;groupes'!$V167="","",100*'Folioles=disposition&amp;groupes'!$V167/K$31)</f>
        <v>97.778292062022672</v>
      </c>
      <c r="AI26" s="651"/>
      <c r="AJ26" s="630"/>
      <c r="AK26" s="630"/>
      <c r="AL26" s="652">
        <v>37.299999999999997</v>
      </c>
    </row>
    <row r="27" spans="1:38" s="345" customFormat="1" ht="13.5" thickBot="1">
      <c r="A27" s="643"/>
      <c r="B27" s="1526"/>
      <c r="C27" s="1526"/>
      <c r="D27" s="1527" t="s">
        <v>1237</v>
      </c>
      <c r="E27" s="1529" t="s">
        <v>1238</v>
      </c>
      <c r="F27" s="371"/>
      <c r="G27" s="371"/>
      <c r="H27" s="371"/>
      <c r="I27" s="1526"/>
      <c r="J27" s="1531"/>
      <c r="K27" s="1527" t="s">
        <v>1237</v>
      </c>
      <c r="L27" s="1529" t="s">
        <v>1238</v>
      </c>
      <c r="M27" s="371"/>
      <c r="N27" s="371"/>
      <c r="P27" s="653" t="s">
        <v>1248</v>
      </c>
      <c r="Q27" s="654">
        <f>IF('Folioles=disposition&amp;groupes'!$E168="","",100*'Folioles=disposition&amp;groupes'!$E168/D$31)</f>
        <v>98.599508599508596</v>
      </c>
      <c r="R27" s="632">
        <v>24.6</v>
      </c>
      <c r="S27" s="632"/>
      <c r="T27" s="632"/>
      <c r="U27" s="632"/>
      <c r="V27" s="655">
        <f>IF('Folioles=disposition&amp;groupes'!$J168="","",100*'Folioles=disposition&amp;groupes'!$J168/D$31)</f>
        <v>97.960687960687963</v>
      </c>
      <c r="W27" s="397"/>
      <c r="X27" s="632"/>
      <c r="Y27" s="632"/>
      <c r="Z27" s="398">
        <v>28.6</v>
      </c>
      <c r="AB27" s="653" t="s">
        <v>1248</v>
      </c>
      <c r="AC27" s="650">
        <f>IF('Folioles=disposition&amp;groupes'!$Q168="","",100*'Folioles=disposition&amp;groupes'!$Q168/K$31)</f>
        <v>98.704003702846563</v>
      </c>
      <c r="AD27" s="632"/>
      <c r="AE27" s="632">
        <v>37.9</v>
      </c>
      <c r="AF27" s="632"/>
      <c r="AG27" s="632"/>
      <c r="AH27" s="650">
        <f>IF('Folioles=disposition&amp;groupes'!$V168="","",100*'Folioles=disposition&amp;groupes'!$V168/K$31)</f>
        <v>98.634575329784766</v>
      </c>
      <c r="AI27" s="397">
        <v>35.5</v>
      </c>
      <c r="AJ27" s="632"/>
      <c r="AK27" s="632"/>
      <c r="AL27" s="398"/>
    </row>
    <row r="28" spans="1:38" s="345" customFormat="1" ht="13.5" thickBot="1">
      <c r="A28" s="643"/>
      <c r="B28" s="1526"/>
      <c r="C28" s="1526"/>
      <c r="D28" s="1528"/>
      <c r="E28" s="1530"/>
      <c r="F28" s="371"/>
      <c r="G28" s="371"/>
      <c r="H28" s="371"/>
      <c r="I28" s="1532"/>
      <c r="J28" s="1533"/>
      <c r="K28" s="1528"/>
      <c r="L28" s="1530"/>
      <c r="M28" s="371"/>
      <c r="N28" s="371"/>
      <c r="P28" s="653" t="s">
        <v>1249</v>
      </c>
      <c r="Q28" s="654">
        <f>IF('Folioles=disposition&amp;groupes'!$E169="","",100*'Folioles=disposition&amp;groupes'!$E169/D$31)</f>
        <v>99.017199017199019</v>
      </c>
      <c r="R28" s="632"/>
      <c r="S28" s="632"/>
      <c r="T28" s="632"/>
      <c r="U28" s="632">
        <v>25.2</v>
      </c>
      <c r="V28" s="655">
        <f>IF('Folioles=disposition&amp;groupes'!$J169="","",100*'Folioles=disposition&amp;groupes'!$J169/D$31)</f>
        <v>99.017199017199019</v>
      </c>
      <c r="W28" s="397">
        <v>26</v>
      </c>
      <c r="X28" s="632"/>
      <c r="Y28" s="632"/>
      <c r="Z28" s="398"/>
      <c r="AB28" s="653" t="s">
        <v>1249</v>
      </c>
      <c r="AC28" s="650">
        <f>IF('Folioles=disposition&amp;groupes'!$Q169="","",100*'Folioles=disposition&amp;groupes'!$Q169/K$31)</f>
        <v>99.352001851423282</v>
      </c>
      <c r="AD28" s="632">
        <v>36.299999999999997</v>
      </c>
      <c r="AE28" s="632"/>
      <c r="AF28" s="632"/>
      <c r="AG28" s="632"/>
      <c r="AH28" s="650">
        <f>IF('Folioles=disposition&amp;groupes'!$V169="","",100*'Folioles=disposition&amp;groupes'!$V169/K$31)</f>
        <v>99.074288359176109</v>
      </c>
      <c r="AI28" s="397"/>
      <c r="AJ28" s="632"/>
      <c r="AK28" s="632"/>
      <c r="AL28" s="398">
        <v>36.299999999999997</v>
      </c>
    </row>
    <row r="29" spans="1:38" s="345" customFormat="1" ht="13.5" thickBot="1">
      <c r="A29" s="643"/>
      <c r="B29" s="1534" t="s">
        <v>1250</v>
      </c>
      <c r="C29" s="1535"/>
      <c r="D29" s="1538">
        <f>IF('Feuilles=description générale'!$F$19="","",'Feuilles=description générale'!$F$19)</f>
        <v>100</v>
      </c>
      <c r="E29" s="1540">
        <f>IF('Feuilles=description générale'!$E$19="","",'Feuilles=description générale'!$E$19)</f>
        <v>100</v>
      </c>
      <c r="F29" s="371"/>
      <c r="G29" s="371"/>
      <c r="H29" s="371"/>
      <c r="I29" s="1534" t="s">
        <v>1250</v>
      </c>
      <c r="J29" s="1542"/>
      <c r="K29" s="1538">
        <f>IF('Feuilles=description générale'!$F$33="","",'Feuilles=description générale'!$F$33)</f>
        <v>108</v>
      </c>
      <c r="L29" s="1540">
        <f>IF('Feuilles=description générale'!$E$33="","",'Feuilles=description générale'!$E$33)</f>
        <v>112</v>
      </c>
      <c r="M29" s="371"/>
      <c r="N29" s="371"/>
      <c r="O29" s="656"/>
      <c r="P29" s="653" t="s">
        <v>1251</v>
      </c>
      <c r="Q29" s="654">
        <f>IF('Folioles=disposition&amp;groupes'!$E170="","",100*'Folioles=disposition&amp;groupes'!$E170/D$31)</f>
        <v>99.656019656019652</v>
      </c>
      <c r="R29" s="632"/>
      <c r="S29" s="632">
        <v>24.8</v>
      </c>
      <c r="T29" s="632"/>
      <c r="U29" s="632"/>
      <c r="V29" s="655">
        <f>IF('Folioles=disposition&amp;groupes'!$J170="","",100*'Folioles=disposition&amp;groupes'!$J170/D$31)</f>
        <v>99.631449631449627</v>
      </c>
      <c r="W29" s="397"/>
      <c r="X29" s="632"/>
      <c r="Y29" s="632"/>
      <c r="Z29" s="398">
        <v>25.7</v>
      </c>
      <c r="AB29" s="653" t="s">
        <v>1251</v>
      </c>
      <c r="AC29" s="650">
        <f>IF('Folioles=disposition&amp;groupes'!$Q170="","",100*'Folioles=disposition&amp;groupes'!$Q170/K$31)</f>
        <v>99.745429298773431</v>
      </c>
      <c r="AD29" s="632"/>
      <c r="AE29" s="632">
        <v>38.5</v>
      </c>
      <c r="AF29" s="632"/>
      <c r="AG29" s="632"/>
      <c r="AH29" s="650">
        <f>IF('Folioles=disposition&amp;groupes'!$V170="","",100*'Folioles=disposition&amp;groupes'!$V170/K$31)</f>
        <v>99.629715343670441</v>
      </c>
      <c r="AI29" s="397">
        <v>36.799999999999997</v>
      </c>
      <c r="AJ29" s="632"/>
      <c r="AK29" s="632"/>
      <c r="AL29" s="398"/>
    </row>
    <row r="30" spans="1:38" s="345" customFormat="1" ht="13.5" thickBot="1">
      <c r="A30" s="643"/>
      <c r="B30" s="1536"/>
      <c r="C30" s="1537"/>
      <c r="D30" s="1539"/>
      <c r="E30" s="1541"/>
      <c r="F30" s="371"/>
      <c r="G30" s="371"/>
      <c r="H30" s="371"/>
      <c r="I30" s="1536"/>
      <c r="J30" s="1543"/>
      <c r="K30" s="1539"/>
      <c r="L30" s="1541"/>
      <c r="M30" s="371"/>
      <c r="N30" s="371"/>
      <c r="P30" s="657" t="s">
        <v>1252</v>
      </c>
      <c r="Q30" s="658">
        <f>IF('Folioles=disposition&amp;groupes'!$E171="","",100*'Folioles=disposition&amp;groupes'!$E171/D$31)</f>
        <v>99.877149877149876</v>
      </c>
      <c r="R30" s="642"/>
      <c r="S30" s="642">
        <v>24.6</v>
      </c>
      <c r="T30" s="642"/>
      <c r="U30" s="642"/>
      <c r="V30" s="659">
        <f>IF('Folioles=disposition&amp;groupes'!$J171="","",100*'Folioles=disposition&amp;groupes'!$J171/D$31)</f>
        <v>99.975429975429975</v>
      </c>
      <c r="W30" s="387"/>
      <c r="X30" s="642">
        <v>26</v>
      </c>
      <c r="Y30" s="642"/>
      <c r="Z30" s="388"/>
      <c r="AB30" s="657" t="s">
        <v>1252</v>
      </c>
      <c r="AC30" s="650">
        <f>IF('Folioles=disposition&amp;groupes'!$Q171="","",100*'Folioles=disposition&amp;groupes'!$Q171/K$31)</f>
        <v>99.976857208979396</v>
      </c>
      <c r="AD30" s="642"/>
      <c r="AE30" s="642"/>
      <c r="AF30" s="642"/>
      <c r="AG30" s="642">
        <v>40</v>
      </c>
      <c r="AH30" s="650">
        <f>IF('Folioles=disposition&amp;groupes'!$V171="","",100*'Folioles=disposition&amp;groupes'!$V171/K$31)</f>
        <v>99.976857208979396</v>
      </c>
      <c r="AI30" s="387"/>
      <c r="AJ30" s="642"/>
      <c r="AK30" s="642"/>
      <c r="AL30" s="388">
        <v>39.5</v>
      </c>
    </row>
    <row r="31" spans="1:38" s="345" customFormat="1" ht="13.5" thickBot="1">
      <c r="A31" s="643"/>
      <c r="B31" s="1534" t="s">
        <v>1253</v>
      </c>
      <c r="C31" s="1535"/>
      <c r="D31" s="1544">
        <f>IF('Feuilles=description générale'!$E$13="",401,'Feuilles=description générale'!$E$13)</f>
        <v>407</v>
      </c>
      <c r="E31" s="1545"/>
      <c r="F31" s="371"/>
      <c r="G31" s="371"/>
      <c r="H31" s="371"/>
      <c r="I31" s="1534" t="s">
        <v>1253</v>
      </c>
      <c r="J31" s="1542"/>
      <c r="K31" s="1544">
        <f>IF('Feuilles=description générale'!$E$27="",399,'Feuilles=description générale'!$E$27)</f>
        <v>432.1</v>
      </c>
      <c r="L31" s="1545"/>
      <c r="M31" s="371"/>
      <c r="N31" s="371"/>
      <c r="P31" s="660" t="s">
        <v>1254</v>
      </c>
      <c r="Q31" s="661">
        <f>IF('Folioles=disposition&amp;groupes'!$D$171="non",100*'Folioles=disposition&amp;groupes'!$E$172/D31,"XXX")</f>
        <v>100</v>
      </c>
      <c r="R31" s="662"/>
      <c r="S31" s="662">
        <v>27.1</v>
      </c>
      <c r="T31" s="662"/>
      <c r="U31" s="662"/>
      <c r="V31" s="661" t="str">
        <f>IF('Folioles=disposition&amp;groupes'!$I$171="non",100*'Folioles=disposition&amp;groupes'!$J$172/D31,"XXX")</f>
        <v>XXX</v>
      </c>
      <c r="W31" s="663"/>
      <c r="X31" s="662"/>
      <c r="Y31" s="664"/>
      <c r="Z31" s="665"/>
      <c r="AB31" s="660" t="s">
        <v>1254</v>
      </c>
      <c r="AC31" s="592">
        <f>IF('Folioles=disposition&amp;groupes'!$P$171="non",100*'Folioles=disposition&amp;groupes'!$Q$172/K31,"XXX")</f>
        <v>100</v>
      </c>
      <c r="AD31" s="662"/>
      <c r="AE31" s="662">
        <v>41.9</v>
      </c>
      <c r="AF31" s="662"/>
      <c r="AG31" s="662"/>
      <c r="AH31" s="666" t="str">
        <f>IF('Folioles=disposition&amp;groupes'!$U$171="non",100*'Folioles=disposition&amp;groupes'!$V$172/K31,"XXX")</f>
        <v>XXX</v>
      </c>
      <c r="AI31" s="663"/>
      <c r="AJ31" s="662"/>
      <c r="AK31" s="664"/>
      <c r="AL31" s="665"/>
    </row>
    <row r="32" spans="1:38" s="345" customFormat="1" ht="13.5" thickBot="1">
      <c r="A32" s="643"/>
      <c r="B32" s="1536"/>
      <c r="C32" s="1537"/>
      <c r="D32" s="1546"/>
      <c r="E32" s="1547"/>
      <c r="F32" s="371"/>
      <c r="G32" s="371"/>
      <c r="H32" s="371"/>
      <c r="I32" s="1536"/>
      <c r="J32" s="1543"/>
      <c r="K32" s="1546"/>
      <c r="L32" s="1547"/>
      <c r="M32" s="667"/>
      <c r="N32" s="668"/>
      <c r="P32" s="669"/>
      <c r="Q32" s="669"/>
      <c r="R32" s="669"/>
      <c r="S32" s="669"/>
      <c r="T32" s="669"/>
      <c r="U32" s="670"/>
      <c r="V32" s="670"/>
      <c r="W32" s="670"/>
      <c r="X32" s="670"/>
      <c r="Y32" s="670"/>
      <c r="Z32" s="670"/>
      <c r="AA32" s="670"/>
      <c r="AB32" s="670"/>
      <c r="AC32" s="670"/>
      <c r="AD32" s="670"/>
      <c r="AE32" s="670"/>
      <c r="AF32" s="670"/>
      <c r="AG32" s="670"/>
      <c r="AH32" s="670"/>
      <c r="AI32" s="670"/>
      <c r="AJ32" s="670"/>
      <c r="AK32" s="670"/>
      <c r="AL32" s="670"/>
    </row>
    <row r="33" spans="1:63" s="345" customFormat="1" ht="13.5" customHeight="1">
      <c r="A33" s="643"/>
      <c r="B33" s="371"/>
      <c r="C33" s="671"/>
      <c r="D33" s="667"/>
      <c r="E33" s="667"/>
      <c r="F33" s="371"/>
      <c r="G33" s="371"/>
      <c r="H33" s="371"/>
      <c r="I33" s="671"/>
      <c r="J33" s="672"/>
      <c r="K33" s="672"/>
      <c r="L33" s="672"/>
      <c r="M33" s="672"/>
      <c r="N33" s="672"/>
      <c r="P33" s="673"/>
      <c r="Q33" s="673"/>
      <c r="R33" s="674"/>
      <c r="S33" s="674"/>
      <c r="T33" s="674"/>
      <c r="U33" s="674"/>
      <c r="V33" s="674"/>
      <c r="W33" s="674"/>
      <c r="X33" s="674"/>
      <c r="Y33" s="674"/>
      <c r="Z33" s="674"/>
      <c r="AA33" s="674"/>
      <c r="AB33" s="674"/>
      <c r="AC33" s="674"/>
      <c r="AD33" s="674"/>
      <c r="AE33" s="674"/>
      <c r="AF33" s="674"/>
      <c r="AG33" s="674"/>
      <c r="AH33" s="674"/>
      <c r="AI33" s="674"/>
      <c r="AJ33" s="674"/>
      <c r="AK33" s="674"/>
      <c r="AL33" s="670"/>
    </row>
    <row r="34" spans="1:63" s="345" customFormat="1" ht="13.5" customHeight="1" thickBot="1">
      <c r="A34" s="643"/>
      <c r="B34" s="675"/>
      <c r="C34" s="1548" t="s">
        <v>1255</v>
      </c>
      <c r="D34" s="1548"/>
      <c r="E34" s="1548"/>
      <c r="F34" s="1548"/>
      <c r="G34" s="1548"/>
      <c r="H34" s="1548"/>
      <c r="I34" s="1548"/>
      <c r="J34" s="1548"/>
      <c r="K34" s="1548"/>
      <c r="L34" s="1548"/>
      <c r="M34" s="676"/>
      <c r="N34" s="676"/>
      <c r="P34" s="673"/>
      <c r="Q34" s="673"/>
      <c r="R34" s="674"/>
      <c r="S34" s="674"/>
      <c r="T34" s="674"/>
      <c r="U34" s="674"/>
      <c r="V34" s="674"/>
      <c r="W34" s="674"/>
      <c r="X34" s="674"/>
      <c r="Y34" s="674"/>
      <c r="Z34" s="674"/>
      <c r="AA34" s="674"/>
      <c r="AB34" s="674"/>
      <c r="AC34" s="674"/>
      <c r="AD34" s="674"/>
      <c r="AE34" s="674"/>
      <c r="AF34" s="674"/>
      <c r="AG34" s="674"/>
      <c r="AH34" s="674"/>
      <c r="AI34" s="674"/>
      <c r="AJ34" s="674"/>
      <c r="AK34" s="674"/>
      <c r="AL34" s="670"/>
    </row>
    <row r="35" spans="1:63" s="345" customFormat="1" ht="13.5" customHeight="1" thickBot="1">
      <c r="A35" s="643"/>
      <c r="B35" s="675"/>
      <c r="C35" s="675"/>
      <c r="D35" s="675"/>
      <c r="E35" s="675"/>
      <c r="F35" s="675"/>
      <c r="G35" s="675"/>
      <c r="H35" s="675"/>
      <c r="I35" s="675"/>
      <c r="J35" s="675"/>
      <c r="K35" s="675"/>
      <c r="L35" s="675"/>
      <c r="M35" s="675"/>
      <c r="N35" s="675"/>
      <c r="P35" s="677"/>
      <c r="Q35" s="677"/>
      <c r="R35" s="1558" t="s">
        <v>1256</v>
      </c>
      <c r="S35" s="1549" t="s">
        <v>1257</v>
      </c>
      <c r="T35" s="678"/>
      <c r="U35" s="677"/>
      <c r="V35" s="677"/>
      <c r="W35" s="677"/>
      <c r="X35" s="552"/>
      <c r="Y35" s="670"/>
      <c r="Z35" s="679"/>
      <c r="AA35" s="679"/>
      <c r="AB35" s="679"/>
      <c r="AC35" s="552"/>
      <c r="AD35" s="670"/>
      <c r="AE35" s="679"/>
      <c r="AF35" s="679"/>
      <c r="AG35" s="679"/>
      <c r="AH35" s="552"/>
      <c r="AI35" s="670"/>
      <c r="AJ35" s="670"/>
      <c r="AK35" s="670"/>
      <c r="AL35" s="670"/>
    </row>
    <row r="36" spans="1:63" s="345" customFormat="1" ht="13.5" customHeight="1" thickBot="1">
      <c r="A36" s="643"/>
      <c r="B36" s="1551" t="s">
        <v>1258</v>
      </c>
      <c r="C36" s="1551"/>
      <c r="D36" s="1552"/>
      <c r="E36" s="680">
        <f>IF(E24+L24=0,6.6,AVERAGE(E24,L24))</f>
        <v>5.84</v>
      </c>
      <c r="F36" s="681"/>
      <c r="G36" s="681"/>
      <c r="H36" s="681"/>
      <c r="I36" s="1551" t="s">
        <v>1259</v>
      </c>
      <c r="J36" s="1551"/>
      <c r="K36" s="1552"/>
      <c r="L36" s="680">
        <f>IF(F24+M24=0,3.5,AVERAGE(F24,M24))</f>
        <v>3.1799999999999997</v>
      </c>
      <c r="M36" s="675"/>
      <c r="N36" s="675"/>
      <c r="O36" s="682"/>
      <c r="P36" s="678"/>
      <c r="Q36" s="678"/>
      <c r="R36" s="1559"/>
      <c r="S36" s="1550"/>
      <c r="T36" s="678"/>
      <c r="U36" s="678"/>
      <c r="V36" s="678"/>
      <c r="W36" s="678"/>
      <c r="X36" s="670"/>
      <c r="Y36" s="670"/>
      <c r="Z36" s="670"/>
      <c r="AA36" s="670"/>
      <c r="AB36" s="670"/>
      <c r="AC36" s="670"/>
      <c r="AD36" s="670"/>
      <c r="AE36" s="670"/>
      <c r="AF36" s="670"/>
      <c r="AG36" s="670"/>
      <c r="AH36" s="670"/>
      <c r="AI36" s="670"/>
      <c r="AJ36" s="670"/>
      <c r="AK36" s="670"/>
      <c r="AL36" s="670"/>
    </row>
    <row r="37" spans="1:63" s="345" customFormat="1" ht="13.5" customHeight="1" thickBot="1">
      <c r="A37" s="643"/>
      <c r="B37" s="683"/>
      <c r="C37" s="683"/>
      <c r="D37" s="683"/>
      <c r="E37" s="684"/>
      <c r="F37" s="681"/>
      <c r="G37" s="681"/>
      <c r="H37" s="681"/>
      <c r="I37" s="683"/>
      <c r="J37" s="683"/>
      <c r="K37" s="683"/>
      <c r="L37" s="684"/>
      <c r="M37" s="675"/>
      <c r="N37" s="675"/>
      <c r="O37" s="685"/>
      <c r="P37" s="1553" t="s">
        <v>1260</v>
      </c>
      <c r="Q37" s="1554"/>
      <c r="R37" s="686">
        <f>IF(COUNTIF(Q13,"")+COUNTIF(V13,"")+COUNTIF(AC13,"")+COUNTIF(AH13,"")=4,"",AVERAGE(Q13,V13,AC13,AH13))</f>
        <v>5.3605555861977985</v>
      </c>
      <c r="S37" s="687">
        <f>IF(COUNTIF(Q13,"")+COUNTIF(V13,"")+COUNTIF(AC13,"")+COUNTIF(AH13,"")=4,"",STDEV(Q13,V13,AC13,AH13))</f>
        <v>0.16462070916000682</v>
      </c>
      <c r="T37" s="678"/>
      <c r="U37" s="677"/>
      <c r="V37" s="677"/>
      <c r="W37" s="677"/>
      <c r="X37" s="688"/>
      <c r="Y37" s="670"/>
      <c r="Z37" s="679"/>
      <c r="AA37" s="679"/>
      <c r="AB37" s="679"/>
      <c r="AC37" s="688"/>
      <c r="AD37" s="670"/>
      <c r="AE37" s="679"/>
      <c r="AF37" s="679"/>
      <c r="AG37" s="679"/>
      <c r="AH37" s="688"/>
      <c r="AI37" s="670"/>
      <c r="AJ37" s="670"/>
      <c r="AK37" s="670"/>
      <c r="AL37" s="670"/>
      <c r="AM37" s="670"/>
    </row>
    <row r="38" spans="1:63" s="345" customFormat="1" ht="13.5" customHeight="1" thickBot="1">
      <c r="A38" s="1551" t="s">
        <v>1261</v>
      </c>
      <c r="B38" s="1551"/>
      <c r="C38" s="1551"/>
      <c r="D38" s="1555"/>
      <c r="E38" s="689">
        <f>IF(E24+L24=0,0.35,IF(COUNT(E24,L24)=1,0.35,STDEV(E24,L24)))</f>
        <v>2.8284271247461926E-2</v>
      </c>
      <c r="F38" s="681"/>
      <c r="G38" s="681"/>
      <c r="H38" s="1551" t="s">
        <v>1262</v>
      </c>
      <c r="I38" s="1551"/>
      <c r="J38" s="1551"/>
      <c r="K38" s="1555"/>
      <c r="L38" s="689">
        <f>IF(F24+M24=0,0.175,IF(COUNT(F24,M24)=1,0.175,STDEV(F24,M24)))</f>
        <v>0.1131370849898474</v>
      </c>
      <c r="M38" s="675"/>
      <c r="N38" s="675"/>
      <c r="O38" s="690"/>
      <c r="P38" s="1556" t="s">
        <v>1263</v>
      </c>
      <c r="Q38" s="1557"/>
      <c r="R38" s="691">
        <f>IF(COUNTIF(Q14,"")+COUNTIF(V14,"")+COUNTIF(AC14,"")+COUNTIF(AH14,"")+COUNTIF(Q15,"")+COUNTIF(V15,"")+COUNTIF(AC15,"")+COUNTIF(AH15,"")=8,"",(AVERAGE(Q14,V14,AC14,AH14)+AVERAGE(Q15,V15,AC15,AH15))/2)</f>
        <v>27.66271528623993</v>
      </c>
      <c r="S38" s="692">
        <f>IF(COUNTIF(Q14,"")+COUNTIF(V14,"")+COUNTIF(AC14,"")+COUNTIF(AH14,"")+COUNTIF(Q15,"")+COUNTIF(V15,"")+COUNTIF(AC15,"")+COUNTIF(AH15,"")=8,"",(STDEV(Q14,V14,AC14,AH14)+STDEV(Q15,V15,AC15,AH15))/2)</f>
        <v>1.300562092974384</v>
      </c>
      <c r="T38" s="693"/>
      <c r="U38" s="678"/>
      <c r="V38" s="678"/>
      <c r="W38" s="678"/>
      <c r="X38" s="670"/>
      <c r="Y38" s="670"/>
      <c r="Z38" s="670"/>
      <c r="AA38" s="670"/>
      <c r="AB38" s="670"/>
      <c r="AC38" s="670"/>
      <c r="AD38" s="670"/>
      <c r="AE38" s="670"/>
      <c r="AF38" s="670"/>
      <c r="AG38" s="670"/>
      <c r="AH38" s="670"/>
      <c r="AI38" s="670"/>
      <c r="AJ38" s="670"/>
      <c r="AK38" s="670"/>
      <c r="AL38" s="670"/>
      <c r="AM38" s="670"/>
      <c r="AN38" s="670"/>
      <c r="AO38" s="670"/>
      <c r="AP38" s="670"/>
      <c r="AQ38" s="670"/>
      <c r="AR38" s="670"/>
      <c r="AS38" s="670"/>
      <c r="AT38" s="670"/>
      <c r="AU38" s="670"/>
      <c r="AV38" s="670"/>
      <c r="AW38" s="670"/>
      <c r="AX38" s="670"/>
      <c r="AY38" s="670"/>
      <c r="AZ38" s="670"/>
      <c r="BA38" s="690"/>
      <c r="BB38" s="694"/>
      <c r="BC38" s="694"/>
      <c r="BD38" s="694"/>
      <c r="BE38" s="694"/>
      <c r="BF38" s="694"/>
      <c r="BG38" s="694"/>
      <c r="BH38" s="694"/>
      <c r="BI38" s="694"/>
      <c r="BJ38" s="694"/>
      <c r="BK38" s="694"/>
    </row>
    <row r="39" spans="1:63" s="345" customFormat="1" ht="13.5" customHeight="1" thickBot="1">
      <c r="A39" s="643"/>
      <c r="B39" s="675"/>
      <c r="C39" s="675"/>
      <c r="D39" s="675"/>
      <c r="E39" s="675"/>
      <c r="F39" s="675"/>
      <c r="G39" s="675"/>
      <c r="H39" s="675"/>
      <c r="I39" s="675"/>
      <c r="J39" s="675"/>
      <c r="K39" s="675"/>
      <c r="L39" s="675"/>
      <c r="M39" s="675"/>
      <c r="N39" s="675"/>
      <c r="O39" s="695"/>
      <c r="P39" s="1564"/>
      <c r="Q39" s="1564"/>
      <c r="R39" s="677"/>
      <c r="S39" s="677"/>
      <c r="T39" s="677"/>
      <c r="U39" s="677"/>
      <c r="V39" s="677"/>
      <c r="W39" s="677"/>
      <c r="X39" s="679"/>
      <c r="Y39" s="679"/>
      <c r="Z39" s="679"/>
      <c r="AA39" s="679"/>
      <c r="AB39" s="679"/>
      <c r="AC39" s="670"/>
      <c r="AD39" s="670"/>
      <c r="AE39" s="670"/>
      <c r="AF39" s="670"/>
      <c r="AG39" s="696"/>
      <c r="AH39" s="696"/>
      <c r="AI39" s="679"/>
      <c r="AJ39" s="679"/>
      <c r="AK39" s="679"/>
      <c r="AL39" s="679"/>
      <c r="AM39" s="670"/>
      <c r="AN39" s="670"/>
      <c r="AO39" s="670"/>
      <c r="AP39" s="670"/>
      <c r="AQ39" s="670"/>
      <c r="AR39" s="670"/>
      <c r="AS39" s="670"/>
      <c r="AT39" s="670"/>
      <c r="AU39" s="670"/>
      <c r="AV39" s="670"/>
      <c r="AW39" s="670"/>
      <c r="AX39" s="670"/>
      <c r="AY39" s="670"/>
      <c r="AZ39" s="670"/>
      <c r="BA39" s="690"/>
      <c r="BB39" s="694"/>
      <c r="BC39" s="694"/>
      <c r="BD39" s="694"/>
      <c r="BE39" s="694"/>
      <c r="BF39" s="694"/>
      <c r="BG39" s="694"/>
      <c r="BH39" s="694"/>
      <c r="BI39" s="694"/>
      <c r="BJ39" s="694"/>
      <c r="BK39" s="694"/>
    </row>
    <row r="40" spans="1:63" s="345" customFormat="1" ht="13.5" customHeight="1">
      <c r="A40" s="643"/>
      <c r="B40" s="1565" t="s">
        <v>1264</v>
      </c>
      <c r="C40" s="1567" t="s">
        <v>1265</v>
      </c>
      <c r="D40" s="1568"/>
      <c r="E40" s="1565" t="s">
        <v>1266</v>
      </c>
      <c r="F40" s="1565" t="s">
        <v>1267</v>
      </c>
      <c r="G40" s="697"/>
      <c r="H40" s="697"/>
      <c r="I40" s="1565" t="s">
        <v>1264</v>
      </c>
      <c r="J40" s="1567" t="s">
        <v>1265</v>
      </c>
      <c r="K40" s="1568"/>
      <c r="L40" s="1565" t="s">
        <v>1268</v>
      </c>
      <c r="M40" s="1565" t="s">
        <v>1269</v>
      </c>
      <c r="N40" s="697"/>
      <c r="O40" s="698"/>
      <c r="P40" s="699">
        <f>MAX(R13:U31,W13:Z31,AD13:AG31,AI13:AL31)</f>
        <v>73.599999999999994</v>
      </c>
      <c r="Q40" s="643"/>
      <c r="R40" s="677"/>
      <c r="S40" s="677"/>
      <c r="T40" s="677"/>
      <c r="U40" s="677"/>
      <c r="V40" s="677"/>
      <c r="W40" s="677"/>
      <c r="X40" s="679"/>
      <c r="Y40" s="679"/>
      <c r="Z40" s="679"/>
      <c r="AA40" s="679"/>
      <c r="AB40" s="679"/>
      <c r="AC40" s="670"/>
      <c r="AD40" s="670"/>
      <c r="AE40" s="670"/>
      <c r="AF40" s="670"/>
      <c r="AG40" s="696"/>
      <c r="AH40" s="696"/>
      <c r="AI40" s="679"/>
      <c r="AJ40" s="679"/>
      <c r="AK40" s="679"/>
      <c r="AL40" s="679"/>
      <c r="AM40" s="670"/>
      <c r="AN40" s="670"/>
      <c r="AO40" s="670"/>
      <c r="AP40" s="670"/>
      <c r="AQ40" s="670"/>
      <c r="AR40" s="670"/>
      <c r="AS40" s="670"/>
      <c r="AT40" s="670"/>
      <c r="AU40" s="670"/>
      <c r="AV40" s="670"/>
      <c r="AW40" s="670"/>
      <c r="AX40" s="670"/>
      <c r="AY40" s="670"/>
      <c r="AZ40" s="670"/>
      <c r="BA40" s="690"/>
      <c r="BB40" s="694"/>
      <c r="BC40" s="694"/>
      <c r="BD40" s="694"/>
      <c r="BE40" s="694"/>
      <c r="BF40" s="694"/>
      <c r="BG40" s="694"/>
      <c r="BH40" s="694"/>
      <c r="BI40" s="694"/>
      <c r="BJ40" s="694"/>
      <c r="BK40" s="694"/>
    </row>
    <row r="41" spans="1:63" s="345" customFormat="1" ht="13.5" customHeight="1" thickBot="1">
      <c r="A41" s="643"/>
      <c r="B41" s="1566"/>
      <c r="C41" s="1569"/>
      <c r="D41" s="1570"/>
      <c r="E41" s="1566"/>
      <c r="F41" s="1566"/>
      <c r="G41" s="697"/>
      <c r="H41" s="697"/>
      <c r="I41" s="1566"/>
      <c r="J41" s="1569"/>
      <c r="K41" s="1570"/>
      <c r="L41" s="1566"/>
      <c r="M41" s="1566"/>
      <c r="N41" s="697"/>
      <c r="O41" s="698"/>
      <c r="P41" s="700"/>
      <c r="Q41" s="700"/>
      <c r="R41" s="700"/>
      <c r="S41" s="700"/>
      <c r="T41" s="701"/>
      <c r="U41" s="700"/>
      <c r="V41" s="700"/>
      <c r="W41" s="700"/>
      <c r="X41" s="702"/>
      <c r="Y41" s="703"/>
      <c r="Z41" s="703"/>
      <c r="AA41" s="703"/>
      <c r="AB41" s="702"/>
      <c r="AC41" s="696"/>
      <c r="AD41" s="670"/>
      <c r="AE41" s="670"/>
      <c r="AF41" s="670"/>
      <c r="AG41" s="696"/>
      <c r="AH41" s="703"/>
      <c r="AI41" s="703"/>
      <c r="AJ41" s="703"/>
      <c r="AK41" s="703"/>
      <c r="AL41" s="702"/>
      <c r="AM41" s="670"/>
      <c r="AN41" s="670"/>
      <c r="AO41" s="670"/>
      <c r="AP41" s="670"/>
      <c r="AQ41" s="670"/>
      <c r="AR41" s="670"/>
      <c r="AS41" s="670"/>
      <c r="AT41" s="670"/>
      <c r="AU41" s="670"/>
      <c r="AV41" s="670"/>
      <c r="AW41" s="670"/>
      <c r="AX41" s="670"/>
      <c r="AY41" s="670"/>
      <c r="AZ41" s="670"/>
      <c r="BA41" s="690"/>
      <c r="BB41" s="694"/>
      <c r="BC41" s="694"/>
      <c r="BD41" s="694"/>
      <c r="BE41" s="694"/>
      <c r="BF41" s="694"/>
      <c r="BG41" s="694"/>
      <c r="BH41" s="694"/>
      <c r="BI41" s="694"/>
      <c r="BJ41" s="694"/>
      <c r="BK41" s="694"/>
    </row>
    <row r="42" spans="1:63" s="345" customFormat="1" ht="13.5" customHeight="1" thickBot="1">
      <c r="A42" s="643"/>
      <c r="B42" s="704">
        <v>0</v>
      </c>
      <c r="C42" s="705"/>
      <c r="D42" s="706"/>
      <c r="E42" s="707">
        <f>$L42^2</f>
        <v>4.8720947032342492</v>
      </c>
      <c r="F42" s="708">
        <f>$F$43*E42</f>
        <v>0.13780364812960003</v>
      </c>
      <c r="G42" s="697"/>
      <c r="H42" s="709">
        <f>IF(L63&lt;-14.5,-14.5,L63)</f>
        <v>-14.225428804791722</v>
      </c>
      <c r="I42" s="704">
        <v>0</v>
      </c>
      <c r="J42" s="705"/>
      <c r="K42" s="706"/>
      <c r="L42" s="707">
        <f>ATANH($J$63*$H42+$J$64*$H42^2+$J$65*$H42^3+TANH(1))</f>
        <v>2.2072821983684481</v>
      </c>
      <c r="M42" s="708">
        <f>$M$43*L42</f>
        <v>0.24972547367338832</v>
      </c>
      <c r="N42" s="697"/>
      <c r="O42" s="690"/>
      <c r="P42" s="703"/>
      <c r="Q42" s="703"/>
      <c r="R42" s="703"/>
      <c r="S42" s="703"/>
      <c r="T42" s="702"/>
      <c r="U42" s="703"/>
      <c r="V42" s="703"/>
      <c r="W42" s="703"/>
      <c r="X42" s="702"/>
      <c r="Y42" s="703"/>
      <c r="Z42" s="703"/>
      <c r="AA42" s="703"/>
      <c r="AB42" s="702"/>
      <c r="AC42" s="696"/>
      <c r="AD42" s="670"/>
      <c r="AE42" s="670"/>
      <c r="AF42" s="670"/>
      <c r="AG42" s="696"/>
      <c r="AH42" s="703"/>
      <c r="AI42" s="703"/>
      <c r="AJ42" s="703"/>
      <c r="AK42" s="703"/>
      <c r="AL42" s="702"/>
      <c r="AM42" s="670"/>
      <c r="AN42" s="670"/>
      <c r="AO42" s="670"/>
      <c r="AP42" s="670"/>
      <c r="AQ42" s="670"/>
      <c r="AR42" s="670"/>
      <c r="AS42" s="670"/>
      <c r="AT42" s="670"/>
      <c r="AU42" s="670"/>
      <c r="AV42" s="670"/>
      <c r="AW42" s="670"/>
      <c r="AX42" s="670"/>
      <c r="AY42" s="670"/>
      <c r="AZ42" s="670"/>
      <c r="BA42" s="690"/>
      <c r="BB42" s="694"/>
      <c r="BC42" s="694"/>
      <c r="BD42" s="694"/>
      <c r="BE42" s="694"/>
      <c r="BF42" s="694"/>
      <c r="BG42" s="694"/>
      <c r="BH42" s="694"/>
      <c r="BI42" s="694"/>
      <c r="BJ42" s="694"/>
      <c r="BK42" s="694"/>
    </row>
    <row r="43" spans="1:63" s="345" customFormat="1" ht="13.5" customHeight="1">
      <c r="A43" s="643"/>
      <c r="B43" s="710">
        <f>IF(D24="","",IF(K24="","",IF(MIN(C24,J24)=0,"",MIN(C24,J24))))</f>
        <v>11.849109002545706</v>
      </c>
      <c r="C43" s="1560" t="s">
        <v>1270</v>
      </c>
      <c r="D43" s="1561"/>
      <c r="E43" s="711">
        <f>IF($E$36=6.6,1,IF($C$24=MIN($C$24,$J$24),$E24/$E$36,$L24/$E$36))</f>
        <v>1.0034246575342467</v>
      </c>
      <c r="F43" s="712">
        <f>$E$38</f>
        <v>2.8284271247461926E-2</v>
      </c>
      <c r="G43" s="713"/>
      <c r="H43" s="709">
        <f>100*((I43*$K$65/100)-$K$63)/($K$65-$K$63)</f>
        <v>-0.6907332370867113</v>
      </c>
      <c r="I43" s="714">
        <f>IF(B43="","",B43)</f>
        <v>11.849109002545706</v>
      </c>
      <c r="J43" s="1560" t="s">
        <v>1270</v>
      </c>
      <c r="K43" s="1561"/>
      <c r="L43" s="715">
        <f>IF($L$36=3.5,1,IF(C24=MIN(C24,J24),F24/L36,M24/L36))</f>
        <v>1.0251572327044025</v>
      </c>
      <c r="M43" s="712">
        <f>$L$38</f>
        <v>0.1131370849898474</v>
      </c>
      <c r="N43" s="716"/>
      <c r="O43" s="717"/>
      <c r="P43" s="552"/>
      <c r="Q43" s="718"/>
      <c r="R43" s="719"/>
      <c r="S43" s="688"/>
      <c r="T43" s="688"/>
      <c r="U43" s="718"/>
      <c r="V43" s="719"/>
      <c r="W43" s="688"/>
      <c r="X43" s="688"/>
      <c r="Y43" s="718"/>
      <c r="Z43" s="719"/>
      <c r="AA43" s="688"/>
      <c r="AB43" s="688"/>
      <c r="AC43" s="720"/>
      <c r="AD43" s="670"/>
      <c r="AE43" s="670"/>
      <c r="AF43" s="670"/>
      <c r="AG43" s="720"/>
      <c r="AH43" s="721"/>
      <c r="AI43" s="718"/>
      <c r="AJ43" s="719"/>
      <c r="AK43" s="688"/>
      <c r="AL43" s="688"/>
      <c r="AM43" s="670"/>
      <c r="AN43" s="670"/>
      <c r="AO43" s="670"/>
      <c r="AP43" s="670"/>
      <c r="AQ43" s="670"/>
      <c r="AR43" s="670"/>
      <c r="AS43" s="670"/>
      <c r="AT43" s="670"/>
      <c r="AU43" s="670"/>
      <c r="AV43" s="670"/>
      <c r="AW43" s="670"/>
      <c r="AX43" s="670"/>
      <c r="AY43" s="670"/>
      <c r="AZ43" s="670"/>
      <c r="BA43" s="690"/>
      <c r="BB43" s="694"/>
      <c r="BC43" s="694"/>
      <c r="BD43" s="694"/>
      <c r="BE43" s="694"/>
      <c r="BF43" s="694"/>
      <c r="BG43" s="694"/>
      <c r="BH43" s="694"/>
      <c r="BI43" s="694"/>
      <c r="BJ43" s="694"/>
      <c r="BK43" s="694"/>
    </row>
    <row r="44" spans="1:63" s="345" customFormat="1" ht="13.5" customHeight="1">
      <c r="A44" s="643"/>
      <c r="B44" s="704">
        <f>IF(D24="","",IF(K24="","",IF(MAX(C24,J24)=0,"",MAX(C24,J24))))</f>
        <v>13.095823095823096</v>
      </c>
      <c r="C44" s="1562"/>
      <c r="D44" s="1563"/>
      <c r="E44" s="722">
        <f>IF($E$36=6.6,1,IF($C$24=MAX($C$24,$J$24),$E24/$E$36,$L24/$E$36))</f>
        <v>0.99657534246575352</v>
      </c>
      <c r="F44" s="723">
        <f>$E$38</f>
        <v>2.8284271247461926E-2</v>
      </c>
      <c r="G44" s="713"/>
      <c r="H44" s="709">
        <f t="shared" ref="H44:H54" si="6">100*((I44*$K$65/100)-$K$63)/($K$65-$K$63)</f>
        <v>0.73333128192915809</v>
      </c>
      <c r="I44" s="724">
        <f t="shared" ref="I44:I54" si="7">IF(B44="","",B44)</f>
        <v>13.095823095823096</v>
      </c>
      <c r="J44" s="1562"/>
      <c r="K44" s="1563"/>
      <c r="L44" s="722">
        <f>IF($L$36=3.5,1,IF(C24=MAX(C24,J24),F24/L36,M24/L36))</f>
        <v>0.9748427672955976</v>
      </c>
      <c r="M44" s="723">
        <f>$L$38</f>
        <v>0.1131370849898474</v>
      </c>
      <c r="N44" s="725"/>
      <c r="O44" s="690"/>
      <c r="P44" s="552"/>
      <c r="Q44" s="726"/>
      <c r="R44" s="719"/>
      <c r="S44" s="688"/>
      <c r="T44" s="552"/>
      <c r="U44" s="726"/>
      <c r="V44" s="719"/>
      <c r="W44" s="688"/>
      <c r="X44" s="552"/>
      <c r="Y44" s="726"/>
      <c r="Z44" s="719"/>
      <c r="AA44" s="688"/>
      <c r="AB44" s="552"/>
      <c r="AC44" s="720"/>
      <c r="AD44" s="670"/>
      <c r="AE44" s="670"/>
      <c r="AF44" s="670"/>
      <c r="AG44" s="720"/>
      <c r="AH44" s="552"/>
      <c r="AI44" s="726"/>
      <c r="AJ44" s="719"/>
      <c r="AK44" s="688"/>
      <c r="AL44" s="552"/>
      <c r="AM44" s="679"/>
      <c r="AN44" s="670"/>
      <c r="AO44" s="670"/>
      <c r="AP44" s="670"/>
      <c r="AQ44" s="670"/>
      <c r="AR44" s="670"/>
      <c r="AS44" s="670"/>
      <c r="AT44" s="670"/>
      <c r="AU44" s="670"/>
      <c r="AV44" s="670"/>
      <c r="AW44" s="670"/>
      <c r="AX44" s="670"/>
      <c r="AY44" s="670"/>
      <c r="AZ44" s="670"/>
      <c r="BA44" s="690"/>
    </row>
    <row r="45" spans="1:63" s="345" customFormat="1" ht="13.5" customHeight="1">
      <c r="A45" s="643"/>
      <c r="B45" s="704">
        <v>10</v>
      </c>
      <c r="C45" s="727"/>
      <c r="D45" s="728"/>
      <c r="E45" s="722">
        <f>$L45^2</f>
        <v>1.1884383187377177</v>
      </c>
      <c r="F45" s="729">
        <f>$F$43*E45</f>
        <v>3.3614111768055219E-2</v>
      </c>
      <c r="G45" s="713"/>
      <c r="H45" s="709">
        <f t="shared" si="6"/>
        <v>-2.8028859243125517</v>
      </c>
      <c r="I45" s="724">
        <f t="shared" si="7"/>
        <v>10</v>
      </c>
      <c r="J45" s="728"/>
      <c r="K45" s="728"/>
      <c r="L45" s="722">
        <f t="shared" ref="L45:L54" si="8">ATANH($J$63*$H45+$J$64*$H45^2+$J$65*$H45^3+TANH(1))</f>
        <v>1.0901551810351211</v>
      </c>
      <c r="M45" s="729">
        <f>$M$43*L45</f>
        <v>0.12333697936889297</v>
      </c>
      <c r="N45" s="725"/>
      <c r="O45" s="696"/>
      <c r="P45" s="552"/>
      <c r="Q45" s="726"/>
      <c r="R45" s="719"/>
      <c r="S45" s="688"/>
      <c r="T45" s="552"/>
      <c r="U45" s="726"/>
      <c r="V45" s="719"/>
      <c r="W45" s="688"/>
      <c r="X45" s="552"/>
      <c r="Y45" s="726"/>
      <c r="Z45" s="719"/>
      <c r="AA45" s="688"/>
      <c r="AB45" s="552"/>
      <c r="AC45" s="720"/>
      <c r="AD45" s="670"/>
      <c r="AE45" s="670"/>
      <c r="AF45" s="670"/>
      <c r="AG45" s="720"/>
      <c r="AH45" s="552"/>
      <c r="AI45" s="726"/>
      <c r="AJ45" s="719"/>
      <c r="AK45" s="688"/>
      <c r="AL45" s="552"/>
      <c r="AM45" s="679"/>
      <c r="AN45" s="679"/>
      <c r="AO45" s="679"/>
      <c r="AP45" s="679"/>
      <c r="AQ45" s="679"/>
      <c r="AR45" s="679"/>
      <c r="AS45" s="679"/>
      <c r="AT45" s="679"/>
      <c r="AU45" s="670"/>
      <c r="AV45" s="670"/>
      <c r="AW45" s="670"/>
      <c r="AX45" s="670"/>
      <c r="AY45" s="670"/>
      <c r="AZ45" s="690"/>
    </row>
    <row r="46" spans="1:63" s="345" customFormat="1" ht="13.5" customHeight="1">
      <c r="A46" s="643"/>
      <c r="B46" s="704">
        <v>20</v>
      </c>
      <c r="C46" s="727"/>
      <c r="D46" s="728"/>
      <c r="E46" s="722">
        <f t="shared" ref="E46:E54" si="9">$L46^2</f>
        <v>0.66056068196154039</v>
      </c>
      <c r="F46" s="729">
        <f t="shared" ref="F46:F54" si="10">$F$43*E46</f>
        <v>1.8683477504008637E-2</v>
      </c>
      <c r="G46" s="713"/>
      <c r="H46" s="709">
        <f t="shared" si="6"/>
        <v>8.6196569561666205</v>
      </c>
      <c r="I46" s="724">
        <f t="shared" si="7"/>
        <v>20</v>
      </c>
      <c r="J46" s="728"/>
      <c r="K46" s="728"/>
      <c r="L46" s="722">
        <f t="shared" si="8"/>
        <v>0.81274884310070872</v>
      </c>
      <c r="M46" s="729">
        <f t="shared" ref="M46:M54" si="11">$M$43*L46</f>
        <v>9.1952034937285029E-2</v>
      </c>
      <c r="N46" s="725"/>
      <c r="O46" s="696"/>
      <c r="P46" s="552"/>
      <c r="Q46" s="726"/>
      <c r="R46" s="719"/>
      <c r="S46" s="688"/>
      <c r="T46" s="552"/>
      <c r="U46" s="726"/>
      <c r="V46" s="719"/>
      <c r="W46" s="688"/>
      <c r="X46" s="552"/>
      <c r="Y46" s="726"/>
      <c r="Z46" s="719"/>
      <c r="AA46" s="688"/>
      <c r="AB46" s="552"/>
      <c r="AC46" s="720"/>
      <c r="AD46" s="670"/>
      <c r="AE46" s="670"/>
      <c r="AF46" s="670"/>
      <c r="AG46" s="720"/>
      <c r="AH46" s="730"/>
      <c r="AI46" s="726"/>
      <c r="AJ46" s="719"/>
      <c r="AK46" s="688"/>
      <c r="AL46" s="552"/>
      <c r="AM46" s="703"/>
      <c r="AN46" s="679"/>
      <c r="AO46" s="679"/>
      <c r="AP46" s="679"/>
      <c r="AQ46" s="679"/>
      <c r="AR46" s="679"/>
      <c r="AS46" s="679"/>
      <c r="AT46" s="679"/>
      <c r="AU46" s="670"/>
      <c r="AV46" s="670"/>
      <c r="AW46" s="670"/>
      <c r="AX46" s="670"/>
      <c r="AY46" s="670"/>
      <c r="AZ46" s="690"/>
    </row>
    <row r="47" spans="1:63" s="345" customFormat="1" ht="13.5" customHeight="1">
      <c r="A47" s="643"/>
      <c r="B47" s="704">
        <v>30</v>
      </c>
      <c r="C47" s="727"/>
      <c r="D47" s="728"/>
      <c r="E47" s="722">
        <f t="shared" si="9"/>
        <v>0.45157617823523916</v>
      </c>
      <c r="F47" s="729">
        <f t="shared" si="10"/>
        <v>1.2772503114097717E-2</v>
      </c>
      <c r="G47" s="713"/>
      <c r="H47" s="709">
        <f t="shared" si="6"/>
        <v>20.042199836645789</v>
      </c>
      <c r="I47" s="724">
        <f t="shared" si="7"/>
        <v>30</v>
      </c>
      <c r="J47" s="728"/>
      <c r="K47" s="728"/>
      <c r="L47" s="722">
        <f t="shared" si="8"/>
        <v>0.67199418020935209</v>
      </c>
      <c r="M47" s="729">
        <f t="shared" si="11"/>
        <v>7.6027462679028296E-2</v>
      </c>
      <c r="N47" s="725"/>
      <c r="O47" s="696"/>
      <c r="P47" s="552"/>
      <c r="Q47" s="726"/>
      <c r="R47" s="719"/>
      <c r="S47" s="688"/>
      <c r="T47" s="552"/>
      <c r="U47" s="726"/>
      <c r="V47" s="719"/>
      <c r="W47" s="688"/>
      <c r="X47" s="552"/>
      <c r="Y47" s="726"/>
      <c r="Z47" s="719"/>
      <c r="AA47" s="688"/>
      <c r="AB47" s="552"/>
      <c r="AC47" s="720"/>
      <c r="AD47" s="670"/>
      <c r="AE47" s="670"/>
      <c r="AF47" s="670"/>
      <c r="AG47" s="720"/>
      <c r="AH47" s="730"/>
      <c r="AI47" s="726"/>
      <c r="AJ47" s="719"/>
      <c r="AK47" s="688"/>
      <c r="AL47" s="552"/>
      <c r="AM47" s="703"/>
      <c r="AN47" s="703"/>
      <c r="AO47" s="703"/>
      <c r="AP47" s="702"/>
      <c r="AQ47" s="703"/>
      <c r="AR47" s="703"/>
      <c r="AS47" s="703"/>
      <c r="AT47" s="702"/>
      <c r="AU47" s="696"/>
      <c r="AV47" s="670"/>
      <c r="AW47" s="670"/>
      <c r="AX47" s="670"/>
      <c r="AY47" s="670"/>
      <c r="AZ47" s="690"/>
    </row>
    <row r="48" spans="1:63" s="345" customFormat="1" ht="13.5" customHeight="1">
      <c r="A48" s="643"/>
      <c r="B48" s="704">
        <v>40</v>
      </c>
      <c r="C48" s="727"/>
      <c r="D48" s="728"/>
      <c r="E48" s="722">
        <f t="shared" si="9"/>
        <v>0.34857790733551985</v>
      </c>
      <c r="F48" s="729">
        <f t="shared" si="10"/>
        <v>9.8592720819504921E-3</v>
      </c>
      <c r="G48" s="713"/>
      <c r="H48" s="709">
        <f t="shared" si="6"/>
        <v>31.464742717124967</v>
      </c>
      <c r="I48" s="724">
        <f t="shared" si="7"/>
        <v>40</v>
      </c>
      <c r="J48" s="728"/>
      <c r="K48" s="728"/>
      <c r="L48" s="722">
        <f t="shared" si="8"/>
        <v>0.59040486730337838</v>
      </c>
      <c r="M48" s="729">
        <f t="shared" si="11"/>
        <v>6.6796685650521895E-2</v>
      </c>
      <c r="N48" s="725"/>
      <c r="O48" s="696"/>
      <c r="P48" s="552"/>
      <c r="Q48" s="726"/>
      <c r="R48" s="719"/>
      <c r="S48" s="688"/>
      <c r="T48" s="552"/>
      <c r="U48" s="726"/>
      <c r="V48" s="719"/>
      <c r="W48" s="688"/>
      <c r="X48" s="552"/>
      <c r="Y48" s="726"/>
      <c r="Z48" s="719"/>
      <c r="AA48" s="688"/>
      <c r="AB48" s="552"/>
      <c r="AC48" s="720"/>
      <c r="AD48" s="670"/>
      <c r="AE48" s="670"/>
      <c r="AF48" s="670"/>
      <c r="AG48" s="720"/>
      <c r="AH48" s="730"/>
      <c r="AI48" s="726"/>
      <c r="AJ48" s="719"/>
      <c r="AK48" s="688"/>
      <c r="AL48" s="552"/>
      <c r="AM48" s="718"/>
      <c r="AN48" s="703"/>
      <c r="AO48" s="703"/>
      <c r="AP48" s="702"/>
      <c r="AQ48" s="703"/>
      <c r="AR48" s="703"/>
      <c r="AS48" s="703"/>
      <c r="AT48" s="702"/>
      <c r="AU48" s="696"/>
      <c r="AV48" s="670"/>
      <c r="AW48" s="670"/>
      <c r="AX48" s="670"/>
      <c r="AY48" s="670"/>
      <c r="AZ48" s="690"/>
    </row>
    <row r="49" spans="1:53" s="345" customFormat="1">
      <c r="A49" s="643"/>
      <c r="B49" s="704">
        <v>50</v>
      </c>
      <c r="C49" s="727"/>
      <c r="D49" s="728"/>
      <c r="E49" s="722">
        <f t="shared" si="9"/>
        <v>0.28804823455413386</v>
      </c>
      <c r="F49" s="729">
        <f t="shared" si="10"/>
        <v>8.1472343984816571E-3</v>
      </c>
      <c r="G49" s="713"/>
      <c r="H49" s="709">
        <f t="shared" si="6"/>
        <v>42.887285597604134</v>
      </c>
      <c r="I49" s="724">
        <f t="shared" si="7"/>
        <v>50</v>
      </c>
      <c r="J49" s="728"/>
      <c r="K49" s="728"/>
      <c r="L49" s="722">
        <f t="shared" si="8"/>
        <v>0.53670125261092305</v>
      </c>
      <c r="M49" s="729">
        <f t="shared" si="11"/>
        <v>6.0720815230799557E-2</v>
      </c>
      <c r="N49" s="725"/>
      <c r="O49" s="720"/>
      <c r="P49" s="552"/>
      <c r="Q49" s="726"/>
      <c r="R49" s="719"/>
      <c r="S49" s="688"/>
      <c r="T49" s="552"/>
      <c r="U49" s="726"/>
      <c r="V49" s="719"/>
      <c r="W49" s="688"/>
      <c r="X49" s="552"/>
      <c r="Y49" s="726"/>
      <c r="Z49" s="719"/>
      <c r="AA49" s="688"/>
      <c r="AB49" s="552"/>
      <c r="AC49" s="720"/>
      <c r="AD49" s="670"/>
      <c r="AE49" s="670"/>
      <c r="AF49" s="670"/>
      <c r="AG49" s="720"/>
      <c r="AH49" s="730"/>
      <c r="AI49" s="726"/>
      <c r="AJ49" s="719"/>
      <c r="AK49" s="688"/>
      <c r="AL49" s="552"/>
      <c r="AM49" s="726"/>
      <c r="AN49" s="719"/>
      <c r="AO49" s="688"/>
      <c r="AP49" s="688"/>
      <c r="AQ49" s="718"/>
      <c r="AR49" s="719"/>
      <c r="AS49" s="688"/>
      <c r="AT49" s="688"/>
      <c r="AU49" s="720"/>
      <c r="AV49" s="670"/>
      <c r="AW49" s="670"/>
      <c r="AX49" s="670"/>
      <c r="AY49" s="670"/>
      <c r="AZ49" s="690"/>
    </row>
    <row r="50" spans="1:53" s="345" customFormat="1">
      <c r="A50" s="643"/>
      <c r="B50" s="704">
        <v>60</v>
      </c>
      <c r="C50" s="727"/>
      <c r="D50" s="728"/>
      <c r="E50" s="722">
        <f t="shared" si="9"/>
        <v>0.24092499615183752</v>
      </c>
      <c r="F50" s="729">
        <f t="shared" si="10"/>
        <v>6.8143879414522927E-3</v>
      </c>
      <c r="G50" s="713"/>
      <c r="H50" s="709">
        <f t="shared" si="6"/>
        <v>54.309828478083311</v>
      </c>
      <c r="I50" s="724">
        <f t="shared" si="7"/>
        <v>60</v>
      </c>
      <c r="J50" s="728"/>
      <c r="K50" s="728"/>
      <c r="L50" s="722">
        <f t="shared" si="8"/>
        <v>0.49084111090233418</v>
      </c>
      <c r="M50" s="729">
        <f t="shared" si="11"/>
        <v>5.5532332480668495E-2</v>
      </c>
      <c r="N50" s="725"/>
      <c r="O50" s="720"/>
      <c r="P50" s="721"/>
      <c r="Q50" s="726"/>
      <c r="R50" s="719"/>
      <c r="S50" s="688"/>
      <c r="T50" s="552"/>
      <c r="U50" s="726"/>
      <c r="V50" s="719"/>
      <c r="W50" s="688"/>
      <c r="X50" s="552"/>
      <c r="Y50" s="726"/>
      <c r="Z50" s="719"/>
      <c r="AA50" s="688"/>
      <c r="AB50" s="552"/>
      <c r="AC50" s="720"/>
      <c r="AD50" s="670"/>
      <c r="AE50" s="670"/>
      <c r="AF50" s="670"/>
      <c r="AG50" s="720"/>
      <c r="AH50" s="730"/>
      <c r="AI50" s="726"/>
      <c r="AJ50" s="719"/>
      <c r="AK50" s="688"/>
      <c r="AL50" s="552"/>
      <c r="AM50" s="726"/>
      <c r="AN50" s="719"/>
      <c r="AO50" s="688"/>
      <c r="AP50" s="552"/>
      <c r="AQ50" s="726"/>
      <c r="AR50" s="719"/>
      <c r="AS50" s="688"/>
      <c r="AT50" s="552"/>
      <c r="AU50" s="720"/>
      <c r="AV50" s="670"/>
      <c r="AW50" s="670"/>
      <c r="AX50" s="670"/>
      <c r="AY50" s="670"/>
      <c r="AZ50" s="690"/>
    </row>
    <row r="51" spans="1:53" s="345" customFormat="1">
      <c r="A51" s="643"/>
      <c r="B51" s="704">
        <v>70</v>
      </c>
      <c r="C51" s="727"/>
      <c r="D51" s="728"/>
      <c r="E51" s="722">
        <f t="shared" si="9"/>
        <v>0.19088054165612814</v>
      </c>
      <c r="F51" s="729">
        <f t="shared" si="10"/>
        <v>5.3989170160643838E-3</v>
      </c>
      <c r="G51" s="713"/>
      <c r="H51" s="709">
        <f t="shared" si="6"/>
        <v>65.732371358562474</v>
      </c>
      <c r="I51" s="724">
        <f t="shared" si="7"/>
        <v>70</v>
      </c>
      <c r="J51" s="728"/>
      <c r="K51" s="728"/>
      <c r="L51" s="722">
        <f t="shared" si="8"/>
        <v>0.4368987773570992</v>
      </c>
      <c r="M51" s="729">
        <f t="shared" si="11"/>
        <v>4.9429454105810545E-2</v>
      </c>
      <c r="N51" s="725"/>
      <c r="O51" s="720"/>
      <c r="P51" s="721"/>
      <c r="Q51" s="726"/>
      <c r="R51" s="719"/>
      <c r="S51" s="688"/>
      <c r="T51" s="552"/>
      <c r="U51" s="726"/>
      <c r="V51" s="719"/>
      <c r="W51" s="688"/>
      <c r="X51" s="552"/>
      <c r="Y51" s="726"/>
      <c r="Z51" s="719"/>
      <c r="AA51" s="688"/>
      <c r="AB51" s="552"/>
      <c r="AC51" s="731"/>
      <c r="AD51" s="690"/>
      <c r="AE51" s="690"/>
      <c r="AF51" s="690"/>
      <c r="AG51" s="720"/>
      <c r="AH51" s="721"/>
      <c r="AI51" s="726"/>
      <c r="AJ51" s="719"/>
      <c r="AK51" s="688"/>
      <c r="AL51" s="552"/>
      <c r="AM51" s="726"/>
      <c r="AN51" s="719"/>
      <c r="AO51" s="688"/>
      <c r="AP51" s="552"/>
      <c r="AQ51" s="726"/>
      <c r="AR51" s="719"/>
      <c r="AS51" s="688"/>
      <c r="AT51" s="552"/>
      <c r="AU51" s="720"/>
      <c r="AV51" s="670"/>
      <c r="AW51" s="670"/>
      <c r="AX51" s="670"/>
      <c r="AY51" s="670"/>
      <c r="AZ51" s="690"/>
    </row>
    <row r="52" spans="1:53" s="345" customFormat="1">
      <c r="A52" s="643"/>
      <c r="B52" s="704">
        <v>80</v>
      </c>
      <c r="C52" s="727"/>
      <c r="D52" s="728"/>
      <c r="E52" s="722">
        <f t="shared" si="9"/>
        <v>0.13085146610841319</v>
      </c>
      <c r="F52" s="729">
        <f t="shared" si="10"/>
        <v>3.7010383605384301E-3</v>
      </c>
      <c r="G52" s="713"/>
      <c r="H52" s="709">
        <f t="shared" si="6"/>
        <v>77.154914239041659</v>
      </c>
      <c r="I52" s="724">
        <f t="shared" si="7"/>
        <v>80</v>
      </c>
      <c r="J52" s="728"/>
      <c r="K52" s="728"/>
      <c r="L52" s="722">
        <f t="shared" si="8"/>
        <v>0.36173397146026137</v>
      </c>
      <c r="M52" s="729">
        <f t="shared" si="11"/>
        <v>4.0925527072814626E-2</v>
      </c>
      <c r="N52" s="725"/>
      <c r="O52" s="720"/>
      <c r="P52" s="720"/>
      <c r="Q52" s="726"/>
      <c r="R52" s="732"/>
      <c r="S52" s="732"/>
      <c r="T52" s="670"/>
      <c r="U52" s="726"/>
      <c r="V52" s="670"/>
      <c r="W52" s="670"/>
      <c r="X52" s="670"/>
      <c r="Y52" s="726"/>
      <c r="Z52" s="670"/>
      <c r="AA52" s="670"/>
      <c r="AB52" s="670"/>
      <c r="AC52" s="670"/>
      <c r="AD52" s="670"/>
      <c r="AE52" s="670"/>
      <c r="AF52" s="670"/>
      <c r="AG52" s="670"/>
      <c r="AH52" s="720"/>
      <c r="AI52" s="726"/>
      <c r="AJ52" s="732"/>
      <c r="AK52" s="732"/>
      <c r="AL52" s="670"/>
      <c r="AM52" s="726"/>
      <c r="AN52" s="719"/>
      <c r="AO52" s="688"/>
      <c r="AP52" s="552"/>
      <c r="AQ52" s="726"/>
      <c r="AR52" s="719"/>
      <c r="AS52" s="688"/>
      <c r="AT52" s="552"/>
      <c r="AU52" s="720"/>
      <c r="AV52" s="670"/>
      <c r="AW52" s="670"/>
      <c r="AX52" s="670"/>
      <c r="AY52" s="670"/>
      <c r="AZ52" s="690"/>
    </row>
    <row r="53" spans="1:53" s="345" customFormat="1">
      <c r="A53" s="643"/>
      <c r="B53" s="704">
        <v>90</v>
      </c>
      <c r="C53" s="727"/>
      <c r="D53" s="728"/>
      <c r="E53" s="722">
        <f t="shared" si="9"/>
        <v>6.50106904693529E-2</v>
      </c>
      <c r="F53" s="729">
        <f t="shared" si="10"/>
        <v>1.8387800032199652E-3</v>
      </c>
      <c r="G53" s="713"/>
      <c r="H53" s="709">
        <f t="shared" si="6"/>
        <v>88.57745711952083</v>
      </c>
      <c r="I53" s="724">
        <f t="shared" si="7"/>
        <v>90</v>
      </c>
      <c r="J53" s="728"/>
      <c r="K53" s="728"/>
      <c r="L53" s="722">
        <f t="shared" si="8"/>
        <v>0.25497194055298106</v>
      </c>
      <c r="M53" s="729">
        <f t="shared" si="11"/>
        <v>2.8846782108368937E-2</v>
      </c>
      <c r="N53" s="725"/>
      <c r="O53" s="720"/>
      <c r="P53" s="720"/>
      <c r="Q53" s="726"/>
      <c r="R53" s="732"/>
      <c r="S53" s="732"/>
      <c r="T53" s="670"/>
      <c r="U53" s="726"/>
      <c r="V53" s="670"/>
      <c r="W53" s="670"/>
      <c r="X53" s="670"/>
      <c r="Y53" s="726"/>
      <c r="Z53" s="670"/>
      <c r="AA53" s="670"/>
      <c r="AB53" s="670"/>
      <c r="AC53" s="670"/>
      <c r="AD53" s="670"/>
      <c r="AE53" s="670"/>
      <c r="AF53" s="670"/>
      <c r="AG53" s="670"/>
      <c r="AH53" s="720"/>
      <c r="AI53" s="726"/>
      <c r="AJ53" s="732"/>
      <c r="AK53" s="732"/>
      <c r="AL53" s="670"/>
      <c r="AM53" s="726"/>
      <c r="AN53" s="719"/>
      <c r="AO53" s="688"/>
      <c r="AP53" s="552"/>
      <c r="AQ53" s="726"/>
      <c r="AR53" s="719"/>
      <c r="AS53" s="688"/>
      <c r="AT53" s="552"/>
      <c r="AU53" s="720"/>
      <c r="AV53" s="670"/>
      <c r="AW53" s="670"/>
      <c r="AX53" s="670"/>
      <c r="AY53" s="670"/>
      <c r="AZ53" s="690"/>
    </row>
    <row r="54" spans="1:53" s="345" customFormat="1">
      <c r="A54" s="643"/>
      <c r="B54" s="704">
        <v>100</v>
      </c>
      <c r="C54" s="727"/>
      <c r="D54" s="728"/>
      <c r="E54" s="722">
        <f t="shared" si="9"/>
        <v>1.1602950667116805E-2</v>
      </c>
      <c r="F54" s="729">
        <f t="shared" si="10"/>
        <v>3.2818100393965105E-4</v>
      </c>
      <c r="G54" s="713"/>
      <c r="H54" s="709">
        <f t="shared" si="6"/>
        <v>100</v>
      </c>
      <c r="I54" s="724">
        <f t="shared" si="7"/>
        <v>100</v>
      </c>
      <c r="J54" s="728"/>
      <c r="K54" s="728"/>
      <c r="L54" s="722">
        <f t="shared" si="8"/>
        <v>0.10771699339991256</v>
      </c>
      <c r="M54" s="729">
        <f t="shared" si="11"/>
        <v>1.2186786637136739E-2</v>
      </c>
      <c r="N54" s="725"/>
      <c r="O54" s="720"/>
      <c r="P54" s="733"/>
      <c r="Q54" s="732"/>
      <c r="R54" s="732"/>
      <c r="S54" s="670"/>
      <c r="T54" s="732"/>
      <c r="U54" s="670"/>
      <c r="V54" s="670"/>
      <c r="W54" s="732"/>
      <c r="X54" s="670"/>
      <c r="Y54" s="670"/>
      <c r="Z54" s="670"/>
      <c r="AA54" s="670"/>
      <c r="AB54" s="670"/>
      <c r="AC54" s="670"/>
      <c r="AD54" s="670"/>
      <c r="AE54" s="670"/>
      <c r="AF54" s="670"/>
      <c r="AG54" s="670"/>
      <c r="AH54" s="733"/>
      <c r="AI54" s="732"/>
      <c r="AJ54" s="732"/>
      <c r="AK54" s="670"/>
      <c r="AL54" s="732"/>
      <c r="AM54" s="726"/>
      <c r="AN54" s="719"/>
      <c r="AO54" s="688"/>
      <c r="AP54" s="552"/>
      <c r="AQ54" s="726"/>
      <c r="AR54" s="719"/>
      <c r="AS54" s="688"/>
      <c r="AT54" s="552"/>
      <c r="AU54" s="720"/>
      <c r="AV54" s="670"/>
      <c r="AW54" s="670"/>
      <c r="AX54" s="670"/>
      <c r="AY54" s="670"/>
      <c r="AZ54" s="690"/>
    </row>
    <row r="55" spans="1:53" s="345" customFormat="1" ht="15">
      <c r="A55" s="643"/>
      <c r="B55" s="655"/>
      <c r="C55" s="727"/>
      <c r="D55" s="728"/>
      <c r="E55" s="728"/>
      <c r="F55" s="734"/>
      <c r="G55" s="713"/>
      <c r="H55" s="709"/>
      <c r="I55" s="735"/>
      <c r="J55" s="728"/>
      <c r="K55" s="728"/>
      <c r="L55" s="734"/>
      <c r="M55" s="734"/>
      <c r="N55" s="736"/>
      <c r="O55" s="720"/>
      <c r="P55" s="679"/>
      <c r="Q55" s="679"/>
      <c r="R55" s="552"/>
      <c r="S55" s="670"/>
      <c r="T55" s="732"/>
      <c r="U55" s="670"/>
      <c r="V55" s="670"/>
      <c r="W55" s="732"/>
      <c r="X55" s="670"/>
      <c r="Y55" s="670"/>
      <c r="Z55" s="670"/>
      <c r="AA55" s="670"/>
      <c r="AB55" s="670"/>
      <c r="AC55" s="670"/>
      <c r="AD55" s="670"/>
      <c r="AE55" s="670"/>
      <c r="AF55" s="670"/>
      <c r="AG55" s="679"/>
      <c r="AH55" s="679"/>
      <c r="AI55" s="679"/>
      <c r="AJ55" s="552"/>
      <c r="AK55" s="670"/>
      <c r="AL55" s="732"/>
      <c r="AM55" s="726"/>
      <c r="AN55" s="719"/>
      <c r="AO55" s="688"/>
      <c r="AP55" s="552"/>
      <c r="AQ55" s="726"/>
      <c r="AR55" s="719"/>
      <c r="AS55" s="688"/>
      <c r="AT55" s="552"/>
      <c r="AU55" s="720"/>
      <c r="AV55" s="670"/>
      <c r="AW55" s="670"/>
      <c r="AX55" s="670"/>
      <c r="AY55" s="670"/>
      <c r="AZ55" s="690"/>
    </row>
    <row r="56" spans="1:53" s="345" customFormat="1">
      <c r="A56" s="643"/>
      <c r="B56" s="655"/>
      <c r="C56" s="727"/>
      <c r="D56" s="728"/>
      <c r="E56" s="728"/>
      <c r="F56" s="734"/>
      <c r="G56" s="713"/>
      <c r="H56" s="709"/>
      <c r="I56" s="735"/>
      <c r="J56" s="728"/>
      <c r="K56" s="728"/>
      <c r="L56" s="734"/>
      <c r="M56" s="734"/>
      <c r="N56" s="737"/>
      <c r="O56" s="720"/>
      <c r="P56" s="670"/>
      <c r="Q56" s="670"/>
      <c r="R56" s="670"/>
      <c r="S56" s="738"/>
      <c r="T56" s="670"/>
      <c r="U56" s="670"/>
      <c r="V56" s="670"/>
      <c r="W56" s="670"/>
      <c r="X56" s="670"/>
      <c r="Y56" s="670"/>
      <c r="Z56" s="670"/>
      <c r="AA56" s="670"/>
      <c r="AB56" s="670"/>
      <c r="AC56" s="670"/>
      <c r="AD56" s="670"/>
      <c r="AE56" s="670"/>
      <c r="AF56" s="670"/>
      <c r="AG56" s="670"/>
      <c r="AH56" s="670"/>
      <c r="AI56" s="670"/>
      <c r="AJ56" s="670"/>
      <c r="AK56" s="670"/>
      <c r="AL56" s="670"/>
      <c r="AM56" s="726"/>
      <c r="AN56" s="719"/>
      <c r="AO56" s="688"/>
      <c r="AP56" s="552"/>
      <c r="AQ56" s="726"/>
      <c r="AR56" s="719"/>
      <c r="AS56" s="688"/>
      <c r="AT56" s="552"/>
      <c r="AU56" s="720"/>
      <c r="AV56" s="670"/>
      <c r="AW56" s="670"/>
      <c r="AX56" s="670"/>
      <c r="AY56" s="670"/>
      <c r="AZ56" s="690"/>
    </row>
    <row r="57" spans="1:53" s="345" customFormat="1" ht="15">
      <c r="A57" s="643"/>
      <c r="B57" s="655"/>
      <c r="C57" s="727"/>
      <c r="D57" s="728"/>
      <c r="E57" s="728"/>
      <c r="F57" s="734"/>
      <c r="G57" s="713"/>
      <c r="H57" s="709"/>
      <c r="I57" s="735"/>
      <c r="J57" s="728"/>
      <c r="K57" s="728"/>
      <c r="L57" s="734"/>
      <c r="M57" s="734"/>
      <c r="N57" s="725"/>
      <c r="O57" s="720"/>
      <c r="P57" s="696"/>
      <c r="Q57" s="696"/>
      <c r="R57" s="679"/>
      <c r="S57" s="679"/>
      <c r="T57" s="679"/>
      <c r="U57" s="679"/>
      <c r="V57" s="679"/>
      <c r="W57" s="679"/>
      <c r="X57" s="679"/>
      <c r="Y57" s="679"/>
      <c r="Z57" s="679"/>
      <c r="AA57" s="679"/>
      <c r="AB57" s="679"/>
      <c r="AC57" s="679"/>
      <c r="AD57" s="679"/>
      <c r="AE57" s="679"/>
      <c r="AF57" s="679"/>
      <c r="AG57" s="670"/>
      <c r="AH57" s="696"/>
      <c r="AI57" s="696"/>
      <c r="AJ57" s="679"/>
      <c r="AK57" s="679"/>
      <c r="AL57" s="679"/>
      <c r="AM57" s="726"/>
      <c r="AN57" s="719"/>
      <c r="AO57" s="688"/>
      <c r="AP57" s="552"/>
      <c r="AQ57" s="726"/>
      <c r="AR57" s="719"/>
      <c r="AS57" s="688"/>
      <c r="AT57" s="552"/>
      <c r="AU57" s="731"/>
      <c r="AV57" s="690"/>
      <c r="AW57" s="690"/>
      <c r="AX57" s="690"/>
      <c r="AY57" s="690"/>
      <c r="AZ57" s="690"/>
    </row>
    <row r="58" spans="1:53" s="345" customFormat="1" ht="15">
      <c r="A58" s="643"/>
      <c r="B58" s="655"/>
      <c r="C58" s="727"/>
      <c r="D58" s="728"/>
      <c r="E58" s="728"/>
      <c r="F58" s="734"/>
      <c r="G58" s="713"/>
      <c r="H58" s="709"/>
      <c r="I58" s="735"/>
      <c r="J58" s="728"/>
      <c r="K58" s="728"/>
      <c r="L58" s="734"/>
      <c r="M58" s="734"/>
      <c r="N58" s="725"/>
      <c r="O58" s="670"/>
      <c r="P58" s="696"/>
      <c r="Q58" s="696"/>
      <c r="R58" s="679"/>
      <c r="S58" s="679"/>
      <c r="T58" s="679"/>
      <c r="U58" s="679"/>
      <c r="V58" s="679"/>
      <c r="W58" s="679"/>
      <c r="X58" s="679"/>
      <c r="Y58" s="679"/>
      <c r="Z58" s="679"/>
      <c r="AA58" s="679"/>
      <c r="AB58" s="679"/>
      <c r="AC58" s="679"/>
      <c r="AD58" s="679"/>
      <c r="AE58" s="679"/>
      <c r="AF58" s="679"/>
      <c r="AG58" s="670"/>
      <c r="AH58" s="696"/>
      <c r="AI58" s="696"/>
      <c r="AJ58" s="679"/>
      <c r="AK58" s="679"/>
      <c r="AL58" s="679"/>
      <c r="AM58" s="726"/>
      <c r="AN58" s="670"/>
      <c r="AO58" s="670"/>
      <c r="AP58" s="670"/>
      <c r="AQ58" s="726"/>
      <c r="AR58" s="670"/>
      <c r="AS58" s="670"/>
      <c r="AT58" s="670"/>
      <c r="AU58" s="670"/>
      <c r="AV58" s="670"/>
      <c r="AW58" s="670"/>
      <c r="AX58" s="670"/>
      <c r="AY58" s="670"/>
      <c r="AZ58" s="690"/>
    </row>
    <row r="59" spans="1:53" s="345" customFormat="1" ht="15.75" thickBot="1">
      <c r="A59" s="643"/>
      <c r="B59" s="659"/>
      <c r="C59" s="739"/>
      <c r="D59" s="740"/>
      <c r="E59" s="740"/>
      <c r="F59" s="741"/>
      <c r="G59" s="713"/>
      <c r="H59" s="709"/>
      <c r="I59" s="742"/>
      <c r="J59" s="740"/>
      <c r="K59" s="740"/>
      <c r="L59" s="741"/>
      <c r="M59" s="741"/>
      <c r="N59" s="725"/>
      <c r="O59" s="670"/>
      <c r="P59" s="696"/>
      <c r="Q59" s="696"/>
      <c r="R59" s="703"/>
      <c r="S59" s="703"/>
      <c r="T59" s="703"/>
      <c r="U59" s="702"/>
      <c r="V59" s="743"/>
      <c r="W59" s="703"/>
      <c r="X59" s="703"/>
      <c r="Y59" s="703"/>
      <c r="Z59" s="702"/>
      <c r="AA59" s="743"/>
      <c r="AB59" s="703"/>
      <c r="AC59" s="703"/>
      <c r="AD59" s="703"/>
      <c r="AE59" s="702"/>
      <c r="AF59" s="743"/>
      <c r="AG59" s="670"/>
      <c r="AH59" s="696"/>
      <c r="AI59" s="696"/>
      <c r="AJ59" s="703"/>
      <c r="AK59" s="703"/>
      <c r="AL59" s="703"/>
      <c r="AM59" s="670"/>
      <c r="AN59" s="670"/>
      <c r="AO59" s="670"/>
      <c r="AP59" s="670"/>
      <c r="AQ59" s="726"/>
      <c r="AR59" s="670"/>
      <c r="AS59" s="670"/>
      <c r="AT59" s="670"/>
      <c r="AU59" s="670"/>
      <c r="AV59" s="670"/>
      <c r="AW59" s="670"/>
      <c r="AX59" s="670"/>
      <c r="AY59" s="670"/>
      <c r="AZ59" s="690"/>
    </row>
    <row r="60" spans="1:53" s="345" customFormat="1" ht="15">
      <c r="A60" s="643"/>
      <c r="B60" s="744"/>
      <c r="C60" s="745"/>
      <c r="D60" s="518"/>
      <c r="E60" s="518"/>
      <c r="F60" s="518"/>
      <c r="G60" s="518"/>
      <c r="H60" s="746"/>
      <c r="I60" s="746"/>
      <c r="J60" s="746"/>
      <c r="K60" s="746"/>
      <c r="L60" s="746"/>
      <c r="M60" s="371"/>
      <c r="N60" s="725"/>
      <c r="O60" s="670"/>
      <c r="P60" s="696"/>
      <c r="Q60" s="696"/>
      <c r="R60" s="703"/>
      <c r="S60" s="703"/>
      <c r="T60" s="703"/>
      <c r="U60" s="702"/>
      <c r="V60" s="743"/>
      <c r="W60" s="703"/>
      <c r="X60" s="703"/>
      <c r="Y60" s="703"/>
      <c r="Z60" s="702"/>
      <c r="AA60" s="743"/>
      <c r="AB60" s="703"/>
      <c r="AC60" s="703"/>
      <c r="AD60" s="703"/>
      <c r="AE60" s="702"/>
      <c r="AF60" s="743"/>
      <c r="AG60" s="670"/>
      <c r="AH60" s="696"/>
      <c r="AI60" s="696"/>
      <c r="AJ60" s="703"/>
      <c r="AK60" s="703"/>
      <c r="AL60" s="703"/>
      <c r="AM60" s="670"/>
      <c r="AN60" s="670"/>
      <c r="AO60" s="732"/>
      <c r="AP60" s="670"/>
      <c r="AQ60" s="670"/>
      <c r="AR60" s="670"/>
      <c r="AS60" s="670"/>
      <c r="AT60" s="670"/>
      <c r="AU60" s="670"/>
      <c r="AV60" s="670"/>
      <c r="AW60" s="670"/>
      <c r="AX60" s="670"/>
      <c r="AY60" s="670"/>
      <c r="AZ60" s="690"/>
    </row>
    <row r="61" spans="1:53" s="345" customFormat="1" ht="15.75" thickBot="1">
      <c r="C61" s="747"/>
      <c r="D61" s="579"/>
      <c r="E61" s="748"/>
      <c r="F61" s="748"/>
      <c r="G61" s="748"/>
      <c r="H61" s="748"/>
      <c r="I61" s="748"/>
      <c r="J61" s="748"/>
      <c r="K61" s="748"/>
      <c r="L61" s="748"/>
      <c r="M61" s="748"/>
      <c r="N61" s="476"/>
      <c r="O61" s="679"/>
      <c r="P61" s="720"/>
      <c r="Q61" s="720"/>
      <c r="R61" s="718"/>
      <c r="S61" s="749"/>
      <c r="T61" s="719"/>
      <c r="U61" s="688"/>
      <c r="V61" s="750"/>
      <c r="W61" s="718"/>
      <c r="X61" s="749"/>
      <c r="Y61" s="719"/>
      <c r="Z61" s="688"/>
      <c r="AA61" s="750"/>
      <c r="AB61" s="718"/>
      <c r="AC61" s="749"/>
      <c r="AD61" s="719"/>
      <c r="AE61" s="688"/>
      <c r="AF61" s="750"/>
      <c r="AG61" s="670"/>
      <c r="AH61" s="720"/>
      <c r="AI61" s="720"/>
      <c r="AJ61" s="718"/>
      <c r="AK61" s="749"/>
      <c r="AL61" s="719"/>
      <c r="AM61" s="670"/>
      <c r="AN61" s="670"/>
      <c r="AO61" s="732"/>
      <c r="AP61" s="670"/>
      <c r="AQ61" s="670"/>
      <c r="AR61" s="670"/>
      <c r="AS61" s="670"/>
      <c r="AT61" s="670"/>
      <c r="AU61" s="670"/>
      <c r="AV61" s="670"/>
      <c r="AW61" s="670"/>
      <c r="AX61" s="670"/>
      <c r="AY61" s="670"/>
      <c r="AZ61" s="690"/>
    </row>
    <row r="62" spans="1:53" s="345" customFormat="1" ht="15">
      <c r="C62" s="747"/>
      <c r="D62" s="579"/>
      <c r="E62" s="748"/>
      <c r="F62" s="748"/>
      <c r="G62" s="748"/>
      <c r="H62" s="748"/>
      <c r="I62" s="751" t="s">
        <v>1271</v>
      </c>
      <c r="J62" s="751" t="s">
        <v>1272</v>
      </c>
      <c r="K62" s="751" t="s">
        <v>1273</v>
      </c>
      <c r="L62" s="751" t="s">
        <v>1274</v>
      </c>
      <c r="M62" s="748"/>
      <c r="N62" s="748"/>
      <c r="O62" s="670"/>
      <c r="P62" s="720"/>
      <c r="Q62" s="720"/>
      <c r="R62" s="718"/>
      <c r="S62" s="749"/>
      <c r="T62" s="719"/>
      <c r="U62" s="688"/>
      <c r="V62" s="750"/>
      <c r="W62" s="718"/>
      <c r="X62" s="749"/>
      <c r="Y62" s="719"/>
      <c r="Z62" s="688"/>
      <c r="AA62" s="750"/>
      <c r="AB62" s="718"/>
      <c r="AC62" s="749"/>
      <c r="AD62" s="719"/>
      <c r="AE62" s="688"/>
      <c r="AF62" s="750"/>
      <c r="AG62" s="670"/>
      <c r="AH62" s="720"/>
      <c r="AI62" s="720"/>
      <c r="AJ62" s="718"/>
      <c r="AK62" s="749"/>
      <c r="AL62" s="719"/>
      <c r="AM62" s="679"/>
      <c r="AN62" s="670"/>
      <c r="AO62" s="670"/>
      <c r="AP62" s="670"/>
      <c r="AQ62" s="670"/>
      <c r="AR62" s="670"/>
      <c r="AS62" s="670"/>
      <c r="AT62" s="670"/>
      <c r="AU62" s="670"/>
      <c r="AV62" s="670"/>
      <c r="AW62" s="670"/>
      <c r="AX62" s="670"/>
      <c r="AY62" s="670"/>
      <c r="AZ62" s="690"/>
    </row>
    <row r="63" spans="1:53" s="345" customFormat="1" ht="15.75" thickBot="1">
      <c r="C63" s="747"/>
      <c r="D63" s="579"/>
      <c r="E63" s="748"/>
      <c r="F63" s="748"/>
      <c r="G63" s="748"/>
      <c r="H63" s="748"/>
      <c r="I63" s="752" t="s">
        <v>1275</v>
      </c>
      <c r="J63" s="753">
        <v>-1.2057519375731874E-2</v>
      </c>
      <c r="K63" s="754">
        <f>IF(SUM($D$24,$K$24)=0,35,AVERAGE($D$24,$K$24))</f>
        <v>52.25</v>
      </c>
      <c r="L63" s="755">
        <f>IF(K65=0,0,-1*100*K63/(K65-K63))</f>
        <v>-14.225428804791722</v>
      </c>
      <c r="M63" s="748"/>
      <c r="N63" s="748"/>
      <c r="O63" s="748"/>
      <c r="P63" s="720"/>
      <c r="Q63" s="720"/>
      <c r="R63" s="718"/>
      <c r="S63" s="749"/>
      <c r="T63" s="719"/>
      <c r="U63" s="688"/>
      <c r="V63" s="750"/>
      <c r="W63" s="718"/>
      <c r="X63" s="749"/>
      <c r="Y63" s="719"/>
      <c r="Z63" s="688"/>
      <c r="AA63" s="750"/>
      <c r="AB63" s="718"/>
      <c r="AC63" s="749"/>
      <c r="AD63" s="719"/>
      <c r="AE63" s="688"/>
      <c r="AF63" s="750"/>
      <c r="AG63" s="670"/>
      <c r="AH63" s="720"/>
      <c r="AI63" s="720"/>
      <c r="AJ63" s="718"/>
      <c r="AK63" s="749"/>
      <c r="AL63" s="719"/>
      <c r="AM63" s="679"/>
      <c r="AN63" s="679"/>
      <c r="AO63" s="679"/>
      <c r="AP63" s="679"/>
      <c r="AQ63" s="679"/>
      <c r="AR63" s="679"/>
      <c r="AS63" s="679"/>
      <c r="AT63" s="679"/>
      <c r="AU63" s="679"/>
      <c r="AV63" s="679"/>
      <c r="AW63" s="679"/>
      <c r="AX63" s="679"/>
      <c r="AY63" s="670"/>
      <c r="AZ63" s="670"/>
      <c r="BA63" s="690"/>
    </row>
    <row r="64" spans="1:53" s="345" customFormat="1" ht="15">
      <c r="C64" s="747"/>
      <c r="D64" s="756"/>
      <c r="E64" s="748"/>
      <c r="F64" s="748"/>
      <c r="G64" s="748"/>
      <c r="H64" s="748"/>
      <c r="I64" s="757" t="s">
        <v>1276</v>
      </c>
      <c r="J64" s="758">
        <v>1.9277373491447073E-4</v>
      </c>
      <c r="K64" s="751" t="s">
        <v>1277</v>
      </c>
      <c r="L64" s="748"/>
      <c r="M64" s="748"/>
      <c r="N64" s="748"/>
      <c r="O64" s="690"/>
      <c r="P64" s="720"/>
      <c r="Q64" s="720"/>
      <c r="R64" s="718"/>
      <c r="S64" s="749"/>
      <c r="T64" s="719"/>
      <c r="U64" s="688"/>
      <c r="V64" s="750"/>
      <c r="W64" s="718"/>
      <c r="X64" s="749"/>
      <c r="Y64" s="719"/>
      <c r="Z64" s="688"/>
      <c r="AA64" s="750"/>
      <c r="AB64" s="718"/>
      <c r="AC64" s="749"/>
      <c r="AD64" s="719"/>
      <c r="AE64" s="688"/>
      <c r="AF64" s="750"/>
      <c r="AG64" s="670"/>
      <c r="AH64" s="720"/>
      <c r="AI64" s="720"/>
      <c r="AJ64" s="718"/>
      <c r="AK64" s="749"/>
      <c r="AL64" s="719"/>
      <c r="AM64" s="702"/>
      <c r="AN64" s="679"/>
      <c r="AO64" s="679"/>
      <c r="AP64" s="679"/>
      <c r="AQ64" s="679"/>
      <c r="AR64" s="679"/>
      <c r="AS64" s="679"/>
      <c r="AT64" s="679"/>
      <c r="AU64" s="679"/>
      <c r="AV64" s="679"/>
      <c r="AW64" s="679"/>
      <c r="AX64" s="679"/>
      <c r="AY64" s="670"/>
      <c r="AZ64" s="670"/>
      <c r="BA64" s="690"/>
    </row>
    <row r="65" spans="3:55" s="345" customFormat="1" ht="13.5" thickBot="1">
      <c r="C65" s="747"/>
      <c r="D65" s="756"/>
      <c r="E65" s="748"/>
      <c r="F65" s="748"/>
      <c r="G65" s="748"/>
      <c r="H65" s="748"/>
      <c r="I65" s="759" t="s">
        <v>1278</v>
      </c>
      <c r="J65" s="760">
        <v>-1.3762772612494464E-6</v>
      </c>
      <c r="K65" s="755">
        <f>IF(SUM($D$31,$K$31)=0,400,AVERAGE($D$31,$K$31))</f>
        <v>419.55</v>
      </c>
      <c r="L65" s="748"/>
      <c r="M65" s="748"/>
      <c r="N65" s="748"/>
      <c r="O65" s="690"/>
      <c r="P65" s="720"/>
      <c r="Q65" s="720"/>
      <c r="R65" s="718"/>
      <c r="S65" s="749"/>
      <c r="T65" s="719"/>
      <c r="U65" s="688"/>
      <c r="V65" s="750"/>
      <c r="W65" s="718"/>
      <c r="X65" s="749"/>
      <c r="Y65" s="719"/>
      <c r="Z65" s="688"/>
      <c r="AA65" s="750"/>
      <c r="AB65" s="718"/>
      <c r="AC65" s="749"/>
      <c r="AD65" s="719"/>
      <c r="AE65" s="688"/>
      <c r="AF65" s="750"/>
      <c r="AG65" s="670"/>
      <c r="AH65" s="720"/>
      <c r="AI65" s="720"/>
      <c r="AJ65" s="718"/>
      <c r="AK65" s="749"/>
      <c r="AL65" s="719"/>
      <c r="AM65" s="702"/>
      <c r="AN65" s="743"/>
      <c r="AO65" s="703"/>
      <c r="AP65" s="703"/>
      <c r="AQ65" s="703"/>
      <c r="AR65" s="702"/>
      <c r="AS65" s="743"/>
      <c r="AT65" s="703"/>
      <c r="AU65" s="703"/>
      <c r="AV65" s="703"/>
      <c r="AW65" s="702"/>
      <c r="AX65" s="743"/>
      <c r="AY65" s="670"/>
      <c r="AZ65" s="670"/>
      <c r="BA65" s="690"/>
    </row>
    <row r="66" spans="3:55" s="345" customFormat="1">
      <c r="N66" s="748"/>
      <c r="O66" s="748"/>
      <c r="P66" s="670"/>
      <c r="Q66" s="670"/>
      <c r="R66" s="670"/>
      <c r="S66" s="670"/>
      <c r="T66" s="670"/>
      <c r="U66" s="670"/>
      <c r="V66" s="670"/>
      <c r="W66" s="670"/>
      <c r="X66" s="670"/>
      <c r="Y66" s="670"/>
      <c r="Z66" s="670"/>
      <c r="AA66" s="670"/>
      <c r="AB66" s="670"/>
      <c r="AC66" s="670"/>
      <c r="AD66" s="670"/>
      <c r="AE66" s="670"/>
      <c r="AF66" s="670"/>
      <c r="AG66" s="670"/>
      <c r="AH66" s="670"/>
      <c r="AI66" s="670"/>
      <c r="AJ66" s="670"/>
      <c r="AK66" s="670"/>
      <c r="AL66" s="670"/>
      <c r="AM66" s="688"/>
      <c r="AN66" s="743"/>
      <c r="AO66" s="703"/>
      <c r="AP66" s="703"/>
      <c r="AQ66" s="703"/>
      <c r="AR66" s="702"/>
      <c r="AS66" s="743"/>
      <c r="AT66" s="703"/>
      <c r="AU66" s="703"/>
      <c r="AV66" s="703"/>
      <c r="AW66" s="702"/>
      <c r="AX66" s="743"/>
      <c r="AY66" s="670"/>
      <c r="AZ66" s="670"/>
      <c r="BA66" s="690"/>
    </row>
    <row r="67" spans="3:55" s="345" customFormat="1">
      <c r="N67" s="748"/>
      <c r="O67" s="748"/>
      <c r="P67" s="670"/>
      <c r="Q67" s="670"/>
      <c r="R67" s="670"/>
      <c r="S67" s="670"/>
      <c r="T67" s="670"/>
      <c r="U67" s="670"/>
      <c r="V67" s="670"/>
      <c r="W67" s="670"/>
      <c r="X67" s="670"/>
      <c r="Y67" s="670"/>
      <c r="Z67" s="670"/>
      <c r="AA67" s="670"/>
      <c r="AB67" s="670"/>
      <c r="AC67" s="670"/>
      <c r="AD67" s="670"/>
      <c r="AE67" s="670"/>
      <c r="AF67" s="670"/>
      <c r="AG67" s="670"/>
      <c r="AH67" s="670"/>
      <c r="AI67" s="670"/>
      <c r="AJ67" s="670"/>
      <c r="AK67" s="670"/>
      <c r="AL67" s="670"/>
      <c r="AM67" s="688"/>
      <c r="AN67" s="750"/>
      <c r="AO67" s="718"/>
      <c r="AP67" s="749"/>
      <c r="AQ67" s="719"/>
      <c r="AR67" s="688"/>
      <c r="AS67" s="750"/>
      <c r="AT67" s="718"/>
      <c r="AU67" s="749"/>
      <c r="AV67" s="719"/>
      <c r="AW67" s="688"/>
      <c r="AX67" s="750"/>
      <c r="AY67" s="670"/>
      <c r="AZ67" s="670"/>
      <c r="BA67" s="690"/>
    </row>
    <row r="68" spans="3:55" s="345" customFormat="1">
      <c r="O68" s="748"/>
      <c r="P68" s="670"/>
      <c r="Q68" s="670"/>
      <c r="R68" s="670"/>
      <c r="S68" s="670"/>
      <c r="T68" s="670"/>
      <c r="U68" s="670"/>
      <c r="V68" s="670"/>
      <c r="W68" s="670"/>
      <c r="X68" s="670"/>
      <c r="Y68" s="670"/>
      <c r="Z68" s="670"/>
      <c r="AA68" s="670"/>
      <c r="AB68" s="670"/>
      <c r="AC68" s="670"/>
      <c r="AD68" s="670"/>
      <c r="AE68" s="670"/>
      <c r="AF68" s="670"/>
      <c r="AG68" s="670"/>
      <c r="AH68" s="670"/>
      <c r="AI68" s="670"/>
      <c r="AJ68" s="670"/>
      <c r="AK68" s="670"/>
      <c r="AL68" s="670"/>
      <c r="AM68" s="688"/>
      <c r="AN68" s="750"/>
      <c r="AO68" s="718"/>
      <c r="AP68" s="749"/>
      <c r="AQ68" s="719"/>
      <c r="AR68" s="688"/>
      <c r="AS68" s="750"/>
      <c r="AT68" s="718"/>
      <c r="AU68" s="749"/>
      <c r="AV68" s="719"/>
      <c r="AW68" s="688"/>
      <c r="AX68" s="750"/>
      <c r="AY68" s="670"/>
      <c r="AZ68" s="670"/>
      <c r="BA68" s="690"/>
    </row>
    <row r="69" spans="3:55" s="345" customFormat="1" ht="15">
      <c r="O69" s="748"/>
      <c r="P69" s="696"/>
      <c r="Q69" s="696"/>
      <c r="R69" s="679"/>
      <c r="S69" s="679"/>
      <c r="T69" s="679"/>
      <c r="U69" s="679"/>
      <c r="V69" s="679"/>
      <c r="W69" s="679"/>
      <c r="X69" s="679"/>
      <c r="Y69" s="679"/>
      <c r="Z69" s="679"/>
      <c r="AA69" s="679"/>
      <c r="AB69" s="679"/>
      <c r="AC69" s="679"/>
      <c r="AD69" s="670"/>
      <c r="AE69" s="670"/>
      <c r="AF69" s="670"/>
      <c r="AG69" s="670"/>
      <c r="AH69" s="670"/>
      <c r="AI69" s="670"/>
      <c r="AJ69" s="670"/>
      <c r="AK69" s="670"/>
      <c r="AL69" s="670"/>
      <c r="AM69" s="688"/>
      <c r="AN69" s="750"/>
      <c r="AO69" s="718"/>
      <c r="AP69" s="749"/>
      <c r="AQ69" s="719"/>
      <c r="AR69" s="688"/>
      <c r="AS69" s="750"/>
      <c r="AT69" s="718"/>
      <c r="AU69" s="749"/>
      <c r="AV69" s="719"/>
      <c r="AW69" s="688"/>
      <c r="AX69" s="750"/>
      <c r="AY69" s="670"/>
      <c r="AZ69" s="670"/>
      <c r="BA69" s="690"/>
    </row>
    <row r="70" spans="3:55" s="345" customFormat="1" ht="15">
      <c r="O70" s="748"/>
      <c r="P70" s="696"/>
      <c r="Q70" s="696"/>
      <c r="R70" s="679"/>
      <c r="S70" s="679"/>
      <c r="T70" s="679"/>
      <c r="U70" s="679"/>
      <c r="V70" s="679"/>
      <c r="W70" s="679"/>
      <c r="X70" s="679"/>
      <c r="Y70" s="679"/>
      <c r="Z70" s="679"/>
      <c r="AA70" s="679"/>
      <c r="AB70" s="679"/>
      <c r="AC70" s="679"/>
      <c r="AD70" s="670"/>
      <c r="AE70" s="670"/>
      <c r="AF70" s="670"/>
      <c r="AG70" s="670"/>
      <c r="AH70" s="670"/>
      <c r="AI70" s="670"/>
      <c r="AJ70" s="670"/>
      <c r="AK70" s="670"/>
      <c r="AL70" s="670"/>
      <c r="AM70" s="688"/>
      <c r="AN70" s="750"/>
      <c r="AO70" s="718"/>
      <c r="AP70" s="749"/>
      <c r="AQ70" s="719"/>
      <c r="AR70" s="688"/>
      <c r="AS70" s="750"/>
      <c r="AT70" s="718"/>
      <c r="AU70" s="749"/>
      <c r="AV70" s="719"/>
      <c r="AW70" s="688"/>
      <c r="AX70" s="750"/>
      <c r="AY70" s="670"/>
      <c r="AZ70" s="670"/>
      <c r="BA70" s="690"/>
    </row>
    <row r="71" spans="3:55" s="345" customFormat="1" ht="15">
      <c r="O71" s="748"/>
      <c r="P71" s="696"/>
      <c r="Q71" s="703"/>
      <c r="R71" s="703"/>
      <c r="S71" s="703"/>
      <c r="T71" s="703"/>
      <c r="U71" s="702"/>
      <c r="V71" s="703"/>
      <c r="W71" s="703"/>
      <c r="X71" s="703"/>
      <c r="Y71" s="702"/>
      <c r="Z71" s="703"/>
      <c r="AA71" s="703"/>
      <c r="AB71" s="703"/>
      <c r="AC71" s="702"/>
      <c r="AD71" s="696"/>
      <c r="AE71" s="670"/>
      <c r="AF71" s="670"/>
      <c r="AG71" s="670"/>
      <c r="AH71" s="670"/>
      <c r="AI71" s="670"/>
      <c r="AJ71" s="670"/>
      <c r="AK71" s="670"/>
      <c r="AL71" s="670"/>
      <c r="AM71" s="670"/>
      <c r="AN71" s="750"/>
      <c r="AO71" s="718"/>
      <c r="AP71" s="749"/>
      <c r="AQ71" s="719"/>
      <c r="AR71" s="688"/>
      <c r="AS71" s="750"/>
      <c r="AT71" s="718"/>
      <c r="AU71" s="749"/>
      <c r="AV71" s="719"/>
      <c r="AW71" s="688"/>
      <c r="AX71" s="750"/>
      <c r="AY71" s="670"/>
      <c r="AZ71" s="670"/>
      <c r="BA71" s="690"/>
    </row>
    <row r="72" spans="3:55" s="345" customFormat="1" ht="15">
      <c r="O72" s="690"/>
      <c r="P72" s="696"/>
      <c r="Q72" s="703"/>
      <c r="R72" s="703"/>
      <c r="S72" s="703"/>
      <c r="T72" s="703"/>
      <c r="U72" s="702"/>
      <c r="V72" s="703"/>
      <c r="W72" s="703"/>
      <c r="X72" s="703"/>
      <c r="Y72" s="702"/>
      <c r="Z72" s="703"/>
      <c r="AA72" s="703"/>
      <c r="AB72" s="703"/>
      <c r="AC72" s="702"/>
      <c r="AD72" s="696"/>
      <c r="AE72" s="670"/>
      <c r="AF72" s="670"/>
      <c r="AG72" s="670"/>
      <c r="AH72" s="670"/>
      <c r="AI72" s="670"/>
      <c r="AJ72" s="670"/>
      <c r="AK72" s="670"/>
      <c r="AL72" s="670"/>
      <c r="AM72" s="670"/>
      <c r="AN72" s="670"/>
      <c r="AO72" s="670"/>
      <c r="AP72" s="670"/>
      <c r="AQ72" s="670"/>
      <c r="AR72" s="670"/>
      <c r="AS72" s="670"/>
      <c r="AT72" s="670"/>
      <c r="AU72" s="670"/>
      <c r="AV72" s="670"/>
      <c r="AW72" s="670"/>
      <c r="AX72" s="670"/>
      <c r="AY72" s="670"/>
      <c r="AZ72" s="670"/>
      <c r="BA72" s="690"/>
    </row>
    <row r="73" spans="3:55" s="345" customFormat="1">
      <c r="O73" s="690"/>
      <c r="P73" s="720"/>
      <c r="Q73" s="721"/>
      <c r="R73" s="726"/>
      <c r="S73" s="761"/>
      <c r="T73" s="718"/>
      <c r="U73" s="552"/>
      <c r="V73" s="726"/>
      <c r="W73" s="761"/>
      <c r="X73" s="718"/>
      <c r="Y73" s="552"/>
      <c r="Z73" s="726"/>
      <c r="AA73" s="761"/>
      <c r="AB73" s="718"/>
      <c r="AC73" s="552"/>
      <c r="AD73" s="720"/>
      <c r="AE73" s="670"/>
      <c r="AF73" s="670"/>
      <c r="AG73" s="670"/>
      <c r="AH73" s="670"/>
      <c r="AI73" s="670"/>
      <c r="AJ73" s="670"/>
      <c r="AK73" s="670"/>
      <c r="AL73" s="670"/>
      <c r="AM73" s="670"/>
      <c r="AN73" s="670"/>
      <c r="AO73" s="670"/>
      <c r="AP73" s="670"/>
      <c r="AQ73" s="670"/>
      <c r="AR73" s="670"/>
      <c r="AS73" s="670"/>
      <c r="AT73" s="670"/>
      <c r="AU73" s="670"/>
      <c r="AV73" s="670"/>
      <c r="AW73" s="670"/>
      <c r="AX73" s="670"/>
      <c r="AY73" s="670"/>
      <c r="AZ73" s="670"/>
      <c r="BA73" s="690"/>
    </row>
    <row r="74" spans="3:55" s="345" customFormat="1">
      <c r="O74" s="690"/>
      <c r="P74" s="720"/>
      <c r="Q74" s="552"/>
      <c r="R74" s="726"/>
      <c r="S74" s="719"/>
      <c r="T74" s="688"/>
      <c r="U74" s="552"/>
      <c r="V74" s="726"/>
      <c r="W74" s="719"/>
      <c r="X74" s="688"/>
      <c r="Y74" s="552"/>
      <c r="Z74" s="726"/>
      <c r="AA74" s="719"/>
      <c r="AB74" s="688"/>
      <c r="AC74" s="552"/>
      <c r="AD74" s="720"/>
      <c r="AE74" s="670"/>
      <c r="AF74" s="670"/>
      <c r="AG74" s="670"/>
      <c r="AH74" s="670"/>
      <c r="AI74" s="670"/>
      <c r="AJ74" s="670"/>
      <c r="AK74" s="670"/>
      <c r="AL74" s="670"/>
      <c r="AM74" s="670"/>
      <c r="AN74" s="670"/>
      <c r="AO74" s="670"/>
      <c r="AP74" s="670"/>
      <c r="AQ74" s="670"/>
      <c r="AR74" s="670"/>
      <c r="AS74" s="670"/>
      <c r="AT74" s="670"/>
      <c r="AU74" s="670"/>
      <c r="AV74" s="670"/>
      <c r="AW74" s="670"/>
      <c r="AX74" s="670"/>
      <c r="AY74" s="670"/>
      <c r="AZ74" s="670"/>
      <c r="BA74" s="690"/>
    </row>
    <row r="75" spans="3:55" s="345" customFormat="1">
      <c r="O75" s="690"/>
      <c r="P75" s="720"/>
      <c r="Q75" s="552"/>
      <c r="R75" s="726"/>
      <c r="S75" s="719"/>
      <c r="T75" s="688"/>
      <c r="U75" s="552"/>
      <c r="V75" s="726"/>
      <c r="W75" s="719"/>
      <c r="X75" s="688"/>
      <c r="Y75" s="552"/>
      <c r="Z75" s="726"/>
      <c r="AA75" s="719"/>
      <c r="AB75" s="688"/>
      <c r="AC75" s="552"/>
      <c r="AD75" s="720"/>
      <c r="AE75" s="670"/>
      <c r="AF75" s="670"/>
      <c r="AG75" s="670"/>
      <c r="AH75" s="670"/>
      <c r="AI75" s="670"/>
      <c r="AJ75" s="670"/>
      <c r="AK75" s="670"/>
      <c r="AL75" s="670"/>
      <c r="AM75" s="670"/>
      <c r="AN75" s="670"/>
      <c r="AO75" s="670"/>
      <c r="AP75" s="670"/>
      <c r="AQ75" s="670"/>
      <c r="AR75" s="670"/>
      <c r="AS75" s="670"/>
      <c r="AT75" s="670"/>
      <c r="AU75" s="670"/>
      <c r="AV75" s="670"/>
      <c r="AW75" s="670"/>
      <c r="AX75" s="670"/>
      <c r="AY75" s="670"/>
      <c r="AZ75" s="670"/>
      <c r="BA75" s="670"/>
      <c r="BB75" s="675"/>
      <c r="BC75" s="675"/>
    </row>
    <row r="76" spans="3:55" s="345" customFormat="1">
      <c r="O76" s="690"/>
      <c r="P76" s="720"/>
      <c r="Q76" s="730"/>
      <c r="R76" s="726"/>
      <c r="S76" s="719"/>
      <c r="T76" s="688"/>
      <c r="U76" s="552"/>
      <c r="V76" s="726"/>
      <c r="W76" s="719"/>
      <c r="X76" s="688"/>
      <c r="Y76" s="552"/>
      <c r="Z76" s="726"/>
      <c r="AA76" s="719"/>
      <c r="AB76" s="688"/>
      <c r="AC76" s="552"/>
      <c r="AD76" s="720"/>
      <c r="AE76" s="670"/>
      <c r="AF76" s="670"/>
      <c r="AG76" s="670"/>
      <c r="AH76" s="670"/>
      <c r="AI76" s="670"/>
      <c r="AJ76" s="670"/>
      <c r="AK76" s="670"/>
      <c r="AL76" s="670"/>
      <c r="AM76" s="670"/>
      <c r="AN76" s="670"/>
      <c r="AO76" s="670"/>
      <c r="AP76" s="670"/>
      <c r="AQ76" s="670"/>
      <c r="AR76" s="670"/>
      <c r="AS76" s="670"/>
      <c r="AT76" s="670"/>
      <c r="AU76" s="670"/>
      <c r="AV76" s="670"/>
      <c r="AW76" s="670"/>
      <c r="AX76" s="670"/>
      <c r="AY76" s="670"/>
      <c r="AZ76" s="670"/>
      <c r="BA76" s="670"/>
      <c r="BB76" s="675"/>
      <c r="BC76" s="675"/>
    </row>
    <row r="77" spans="3:55" s="345" customFormat="1">
      <c r="O77" s="690"/>
      <c r="P77" s="720"/>
      <c r="Q77" s="730"/>
      <c r="R77" s="726"/>
      <c r="S77" s="719"/>
      <c r="T77" s="688"/>
      <c r="U77" s="552"/>
      <c r="V77" s="726"/>
      <c r="W77" s="719"/>
      <c r="X77" s="688"/>
      <c r="Y77" s="552"/>
      <c r="Z77" s="726"/>
      <c r="AA77" s="719"/>
      <c r="AB77" s="688"/>
      <c r="AC77" s="552"/>
      <c r="AD77" s="720"/>
      <c r="AE77" s="670"/>
      <c r="AF77" s="670"/>
      <c r="AG77" s="670"/>
      <c r="AH77" s="670"/>
      <c r="AI77" s="670"/>
      <c r="AJ77" s="670"/>
      <c r="AK77" s="670"/>
      <c r="AL77" s="670"/>
      <c r="AM77" s="670"/>
      <c r="AN77" s="670"/>
      <c r="AO77" s="670"/>
      <c r="AP77" s="670"/>
      <c r="AQ77" s="670"/>
      <c r="AR77" s="670"/>
      <c r="AS77" s="670"/>
      <c r="AT77" s="670"/>
      <c r="AU77" s="670"/>
      <c r="AV77" s="670"/>
      <c r="AW77" s="670"/>
      <c r="AX77" s="670"/>
      <c r="AY77" s="670"/>
      <c r="AZ77" s="670"/>
      <c r="BA77" s="670"/>
      <c r="BB77" s="675"/>
      <c r="BC77" s="675"/>
    </row>
    <row r="78" spans="3:55" s="345" customFormat="1">
      <c r="O78" s="690"/>
      <c r="P78" s="720"/>
      <c r="Q78" s="730"/>
      <c r="R78" s="726"/>
      <c r="S78" s="719"/>
      <c r="T78" s="688"/>
      <c r="U78" s="552"/>
      <c r="V78" s="726"/>
      <c r="W78" s="719"/>
      <c r="X78" s="688"/>
      <c r="Y78" s="552"/>
      <c r="Z78" s="726"/>
      <c r="AA78" s="719"/>
      <c r="AB78" s="688"/>
      <c r="AC78" s="552"/>
      <c r="AD78" s="720"/>
      <c r="AE78" s="670"/>
      <c r="AF78" s="670"/>
      <c r="AG78" s="670"/>
      <c r="AH78" s="670"/>
      <c r="AI78" s="670"/>
      <c r="AJ78" s="670"/>
      <c r="AK78" s="670"/>
      <c r="AL78" s="670"/>
      <c r="AM78" s="670"/>
      <c r="AN78" s="670"/>
      <c r="AO78" s="670"/>
      <c r="AP78" s="670"/>
      <c r="AQ78" s="670"/>
      <c r="AR78" s="670"/>
      <c r="AS78" s="670"/>
      <c r="AT78" s="670"/>
      <c r="AU78" s="670"/>
      <c r="AV78" s="670"/>
      <c r="AW78" s="670"/>
      <c r="AX78" s="670"/>
      <c r="AY78" s="670"/>
      <c r="AZ78" s="670"/>
      <c r="BA78" s="670"/>
      <c r="BB78" s="675"/>
      <c r="BC78" s="675"/>
    </row>
    <row r="79" spans="3:55" s="345" customFormat="1">
      <c r="O79" s="690"/>
      <c r="P79" s="720"/>
      <c r="Q79" s="730"/>
      <c r="R79" s="726"/>
      <c r="S79" s="719"/>
      <c r="T79" s="688"/>
      <c r="U79" s="552"/>
      <c r="V79" s="726"/>
      <c r="W79" s="719"/>
      <c r="X79" s="688"/>
      <c r="Y79" s="552"/>
      <c r="Z79" s="726"/>
      <c r="AA79" s="719"/>
      <c r="AB79" s="688"/>
      <c r="AC79" s="552"/>
      <c r="AD79" s="720"/>
      <c r="AE79" s="670"/>
      <c r="AF79" s="670"/>
      <c r="AG79" s="670"/>
      <c r="AH79" s="670"/>
      <c r="AI79" s="670"/>
      <c r="AJ79" s="670"/>
      <c r="AK79" s="670"/>
      <c r="AL79" s="670"/>
      <c r="AM79" s="670"/>
      <c r="AN79" s="670"/>
      <c r="AO79" s="670"/>
      <c r="AP79" s="670"/>
      <c r="AQ79" s="670"/>
      <c r="AR79" s="670"/>
      <c r="AS79" s="670"/>
      <c r="AT79" s="670"/>
      <c r="AU79" s="670"/>
      <c r="AV79" s="670"/>
      <c r="AW79" s="670"/>
      <c r="AX79" s="670"/>
      <c r="AY79" s="670"/>
      <c r="AZ79" s="670"/>
      <c r="BA79" s="670"/>
      <c r="BB79" s="675"/>
      <c r="BC79" s="675"/>
    </row>
    <row r="80" spans="3:55" s="345" customFormat="1">
      <c r="N80" s="762"/>
      <c r="O80" s="690"/>
      <c r="P80" s="720"/>
      <c r="Q80" s="730"/>
      <c r="R80" s="726"/>
      <c r="S80" s="719"/>
      <c r="T80" s="688"/>
      <c r="U80" s="552"/>
      <c r="V80" s="726"/>
      <c r="W80" s="719"/>
      <c r="X80" s="688"/>
      <c r="Y80" s="552"/>
      <c r="Z80" s="726"/>
      <c r="AA80" s="719"/>
      <c r="AB80" s="688"/>
      <c r="AC80" s="552"/>
      <c r="AD80" s="720"/>
      <c r="AE80" s="670"/>
      <c r="AF80" s="670"/>
      <c r="AG80" s="670"/>
      <c r="AH80" s="670"/>
      <c r="AI80" s="670"/>
      <c r="AJ80" s="670"/>
      <c r="AK80" s="670"/>
      <c r="AL80" s="670"/>
      <c r="AM80" s="670"/>
      <c r="AN80" s="670"/>
      <c r="AO80" s="670"/>
      <c r="AP80" s="670"/>
      <c r="AQ80" s="670"/>
      <c r="AR80" s="670"/>
      <c r="AS80" s="670"/>
      <c r="AT80" s="670"/>
      <c r="AU80" s="670"/>
      <c r="AV80" s="670"/>
      <c r="AW80" s="670"/>
      <c r="AX80" s="670"/>
      <c r="AY80" s="670"/>
      <c r="AZ80" s="670"/>
      <c r="BA80" s="670"/>
      <c r="BB80" s="675"/>
      <c r="BC80" s="675"/>
    </row>
    <row r="81" spans="14:55" s="345" customFormat="1">
      <c r="N81" s="762"/>
      <c r="O81" s="690"/>
      <c r="P81" s="720"/>
      <c r="Q81" s="730"/>
      <c r="R81" s="726"/>
      <c r="S81" s="719"/>
      <c r="T81" s="688"/>
      <c r="U81" s="552"/>
      <c r="V81" s="726"/>
      <c r="W81" s="719"/>
      <c r="X81" s="688"/>
      <c r="Y81" s="552"/>
      <c r="Z81" s="726"/>
      <c r="AA81" s="719"/>
      <c r="AB81" s="688"/>
      <c r="AC81" s="552"/>
      <c r="AD81" s="720"/>
      <c r="AE81" s="670"/>
      <c r="AF81" s="670"/>
      <c r="AG81" s="670"/>
      <c r="AH81" s="670"/>
      <c r="AI81" s="670"/>
      <c r="AJ81" s="670"/>
      <c r="AK81" s="670"/>
      <c r="AL81" s="670"/>
      <c r="AM81" s="670"/>
      <c r="AN81" s="670"/>
      <c r="AO81" s="670"/>
      <c r="AP81" s="670"/>
      <c r="AQ81" s="670"/>
      <c r="AR81" s="670"/>
      <c r="AS81" s="670"/>
      <c r="AT81" s="670"/>
      <c r="AU81" s="670"/>
      <c r="AV81" s="670"/>
      <c r="AW81" s="670"/>
      <c r="AX81" s="670"/>
      <c r="AY81" s="670"/>
      <c r="AZ81" s="670"/>
      <c r="BA81" s="670"/>
      <c r="BB81" s="675"/>
      <c r="BC81" s="675"/>
    </row>
    <row r="82" spans="14:55" s="345" customFormat="1">
      <c r="O82" s="690"/>
      <c r="P82" s="670"/>
      <c r="Q82" s="733"/>
      <c r="R82" s="732"/>
      <c r="S82" s="732"/>
      <c r="T82" s="732"/>
      <c r="U82" s="670"/>
      <c r="V82" s="732"/>
      <c r="W82" s="670"/>
      <c r="X82" s="670"/>
      <c r="Y82" s="670"/>
      <c r="Z82" s="732"/>
      <c r="AA82" s="670"/>
      <c r="AB82" s="670"/>
      <c r="AC82" s="670"/>
      <c r="AD82" s="670"/>
      <c r="AE82" s="670"/>
      <c r="AF82" s="670"/>
      <c r="AG82" s="670"/>
      <c r="AH82" s="670"/>
      <c r="AI82" s="670"/>
      <c r="AJ82" s="670"/>
      <c r="AK82" s="670"/>
      <c r="AL82" s="670"/>
      <c r="AM82" s="670"/>
      <c r="AN82" s="670"/>
      <c r="AO82" s="670"/>
      <c r="AP82" s="670"/>
      <c r="AQ82" s="670"/>
      <c r="AR82" s="670"/>
      <c r="AS82" s="670"/>
      <c r="AT82" s="670"/>
      <c r="AU82" s="670"/>
      <c r="AV82" s="670"/>
      <c r="AW82" s="670"/>
      <c r="AX82" s="670"/>
      <c r="AY82" s="670"/>
      <c r="AZ82" s="670"/>
      <c r="BA82" s="670"/>
      <c r="BB82" s="675"/>
      <c r="BC82" s="675"/>
    </row>
    <row r="83" spans="14:55" s="345" customFormat="1">
      <c r="O83" s="690"/>
      <c r="P83" s="670"/>
      <c r="Q83" s="733"/>
      <c r="R83" s="732"/>
      <c r="S83" s="732"/>
      <c r="T83" s="732"/>
      <c r="U83" s="670"/>
      <c r="V83" s="732"/>
      <c r="W83" s="670"/>
      <c r="X83" s="670"/>
      <c r="Y83" s="670"/>
      <c r="Z83" s="732"/>
      <c r="AA83" s="670"/>
      <c r="AB83" s="670"/>
      <c r="AC83" s="670"/>
      <c r="AD83" s="670"/>
      <c r="AE83" s="670"/>
      <c r="AF83" s="670"/>
      <c r="AG83" s="670"/>
      <c r="AH83" s="670"/>
      <c r="AI83" s="670"/>
      <c r="AJ83" s="670"/>
      <c r="AK83" s="670"/>
      <c r="AL83" s="670"/>
      <c r="AM83" s="670"/>
      <c r="AN83" s="670"/>
      <c r="AO83" s="670"/>
      <c r="AP83" s="670"/>
      <c r="AQ83" s="670"/>
      <c r="AR83" s="670"/>
      <c r="AS83" s="670"/>
      <c r="AT83" s="670"/>
      <c r="AU83" s="670"/>
      <c r="AV83" s="670"/>
      <c r="AW83" s="670"/>
      <c r="AX83" s="670"/>
      <c r="AY83" s="670"/>
      <c r="AZ83" s="670"/>
      <c r="BA83" s="670"/>
      <c r="BB83" s="675"/>
      <c r="BC83" s="675"/>
    </row>
    <row r="84" spans="14:55" s="345" customFormat="1">
      <c r="O84" s="690"/>
      <c r="P84" s="670"/>
      <c r="Q84" s="733"/>
      <c r="R84" s="732"/>
      <c r="S84" s="732"/>
      <c r="T84" s="670"/>
      <c r="U84" s="732"/>
      <c r="V84" s="670"/>
      <c r="W84" s="670"/>
      <c r="X84" s="732"/>
      <c r="Y84" s="670"/>
      <c r="Z84" s="670"/>
      <c r="AA84" s="670"/>
      <c r="AB84" s="670"/>
      <c r="AC84" s="670"/>
      <c r="AD84" s="670"/>
      <c r="AE84" s="670"/>
      <c r="AF84" s="670"/>
      <c r="AG84" s="670"/>
      <c r="AH84" s="670"/>
      <c r="AI84" s="670"/>
      <c r="AJ84" s="670"/>
      <c r="AK84" s="670"/>
      <c r="AL84" s="670"/>
      <c r="AM84" s="670"/>
      <c r="AN84" s="670"/>
      <c r="AO84" s="670"/>
      <c r="AP84" s="670"/>
      <c r="AQ84" s="670"/>
      <c r="AR84" s="670"/>
      <c r="AS84" s="670"/>
      <c r="AT84" s="670"/>
      <c r="AU84" s="670"/>
      <c r="AV84" s="670"/>
      <c r="AW84" s="670"/>
      <c r="AX84" s="670"/>
      <c r="AY84" s="670"/>
      <c r="AZ84" s="670"/>
      <c r="BA84" s="670"/>
      <c r="BB84" s="675"/>
      <c r="BC84" s="675"/>
    </row>
    <row r="85" spans="14:55" s="345" customFormat="1" ht="15">
      <c r="O85" s="690"/>
      <c r="P85" s="679"/>
      <c r="Q85" s="679"/>
      <c r="R85" s="679"/>
      <c r="S85" s="552"/>
      <c r="T85" s="670"/>
      <c r="U85" s="732"/>
      <c r="V85" s="670"/>
      <c r="W85" s="670"/>
      <c r="X85" s="732"/>
      <c r="Y85" s="670"/>
      <c r="Z85" s="670"/>
      <c r="AA85" s="670"/>
      <c r="AB85" s="670"/>
      <c r="AC85" s="670"/>
      <c r="AD85" s="670"/>
      <c r="AE85" s="670"/>
      <c r="AF85" s="670"/>
      <c r="AG85" s="670"/>
      <c r="AH85" s="670"/>
      <c r="AI85" s="670"/>
      <c r="AJ85" s="670"/>
      <c r="AK85" s="670"/>
      <c r="AL85" s="670"/>
      <c r="AM85" s="670"/>
      <c r="AN85" s="670"/>
      <c r="AO85" s="670"/>
      <c r="AP85" s="670"/>
      <c r="AQ85" s="670"/>
      <c r="AR85" s="670"/>
      <c r="AS85" s="670"/>
      <c r="AT85" s="670"/>
      <c r="AU85" s="670"/>
      <c r="AV85" s="670"/>
      <c r="AW85" s="670"/>
      <c r="AX85" s="670"/>
      <c r="AY85" s="670"/>
      <c r="AZ85" s="670"/>
      <c r="BA85" s="670"/>
      <c r="BB85" s="675"/>
      <c r="BC85" s="675"/>
    </row>
    <row r="86" spans="14:55" s="345" customFormat="1">
      <c r="O86" s="690"/>
      <c r="P86" s="670"/>
      <c r="Q86" s="670"/>
      <c r="R86" s="670"/>
      <c r="S86" s="670"/>
      <c r="T86" s="670"/>
      <c r="U86" s="670"/>
      <c r="V86" s="670"/>
      <c r="W86" s="670"/>
      <c r="X86" s="670"/>
      <c r="Y86" s="670"/>
      <c r="Z86" s="670"/>
      <c r="AA86" s="670"/>
      <c r="AB86" s="670"/>
      <c r="AC86" s="670"/>
      <c r="AD86" s="670"/>
      <c r="AE86" s="670"/>
      <c r="AF86" s="670"/>
      <c r="AG86" s="670"/>
      <c r="AH86" s="670"/>
      <c r="AI86" s="670"/>
      <c r="AJ86" s="670"/>
      <c r="AK86" s="670"/>
      <c r="AL86" s="670"/>
      <c r="AM86" s="670"/>
      <c r="AN86" s="670"/>
      <c r="AO86" s="670"/>
      <c r="AP86" s="670"/>
      <c r="AQ86" s="670"/>
      <c r="AR86" s="670"/>
      <c r="AS86" s="670"/>
      <c r="AT86" s="670"/>
      <c r="AU86" s="670"/>
      <c r="AV86" s="670"/>
      <c r="AW86" s="670"/>
      <c r="AX86" s="670"/>
      <c r="AY86" s="670"/>
      <c r="AZ86" s="670"/>
      <c r="BA86" s="670"/>
      <c r="BB86" s="675"/>
      <c r="BC86" s="675"/>
    </row>
    <row r="87" spans="14:55" s="345" customFormat="1" ht="15">
      <c r="O87" s="690"/>
      <c r="P87" s="696"/>
      <c r="Q87" s="696"/>
      <c r="R87" s="679"/>
      <c r="S87" s="679"/>
      <c r="T87" s="679"/>
      <c r="U87" s="679"/>
      <c r="V87" s="679"/>
      <c r="W87" s="679"/>
      <c r="X87" s="679"/>
      <c r="Y87" s="679"/>
      <c r="Z87" s="679"/>
      <c r="AA87" s="679"/>
      <c r="AB87" s="679"/>
      <c r="AC87" s="679"/>
      <c r="AD87" s="679"/>
      <c r="AE87" s="679"/>
      <c r="AF87" s="679"/>
      <c r="AG87" s="670"/>
      <c r="AH87" s="670"/>
      <c r="AI87" s="670"/>
      <c r="AJ87" s="670"/>
      <c r="AK87" s="670"/>
      <c r="AL87" s="670"/>
      <c r="AM87" s="670"/>
      <c r="AN87" s="670"/>
      <c r="AO87" s="670"/>
      <c r="AP87" s="670"/>
      <c r="AQ87" s="670"/>
      <c r="AR87" s="670"/>
      <c r="AS87" s="670"/>
      <c r="AT87" s="670"/>
      <c r="AU87" s="670"/>
      <c r="AV87" s="670"/>
      <c r="AW87" s="670"/>
      <c r="AX87" s="670"/>
      <c r="AY87" s="670"/>
      <c r="AZ87" s="670"/>
      <c r="BA87" s="670"/>
      <c r="BB87" s="675"/>
      <c r="BC87" s="675"/>
    </row>
    <row r="88" spans="14:55" s="345" customFormat="1" ht="15">
      <c r="O88" s="690"/>
      <c r="P88" s="696"/>
      <c r="Q88" s="696"/>
      <c r="R88" s="679"/>
      <c r="S88" s="679"/>
      <c r="T88" s="679"/>
      <c r="U88" s="679"/>
      <c r="V88" s="679"/>
      <c r="W88" s="679"/>
      <c r="X88" s="679"/>
      <c r="Y88" s="679"/>
      <c r="Z88" s="679"/>
      <c r="AA88" s="679"/>
      <c r="AB88" s="679"/>
      <c r="AC88" s="679"/>
      <c r="AD88" s="679"/>
      <c r="AE88" s="679"/>
      <c r="AF88" s="679"/>
      <c r="AG88" s="670"/>
      <c r="AH88" s="670"/>
      <c r="AI88" s="670"/>
      <c r="AJ88" s="670"/>
      <c r="AK88" s="670"/>
      <c r="AL88" s="670"/>
      <c r="AM88" s="670"/>
      <c r="AN88" s="670"/>
      <c r="AO88" s="670"/>
      <c r="AP88" s="670"/>
      <c r="AQ88" s="670"/>
      <c r="AR88" s="670"/>
      <c r="AS88" s="670"/>
      <c r="AT88" s="670"/>
      <c r="AU88" s="670"/>
      <c r="AV88" s="670"/>
      <c r="AW88" s="670"/>
      <c r="AX88" s="670"/>
      <c r="AY88" s="670"/>
      <c r="AZ88" s="670"/>
      <c r="BA88" s="670"/>
      <c r="BB88" s="675"/>
      <c r="BC88" s="675"/>
    </row>
    <row r="89" spans="14:55" s="345" customFormat="1" ht="15">
      <c r="O89" s="690"/>
      <c r="P89" s="696"/>
      <c r="Q89" s="696"/>
      <c r="R89" s="703"/>
      <c r="S89" s="703"/>
      <c r="T89" s="703"/>
      <c r="U89" s="702"/>
      <c r="V89" s="743"/>
      <c r="W89" s="703"/>
      <c r="X89" s="703"/>
      <c r="Y89" s="703"/>
      <c r="Z89" s="702"/>
      <c r="AA89" s="743"/>
      <c r="AB89" s="703"/>
      <c r="AC89" s="703"/>
      <c r="AD89" s="703"/>
      <c r="AE89" s="702"/>
      <c r="AF89" s="743"/>
      <c r="AG89" s="670"/>
      <c r="AH89" s="670"/>
      <c r="AI89" s="670"/>
      <c r="AJ89" s="670"/>
      <c r="AK89" s="670"/>
      <c r="AL89" s="670"/>
      <c r="AM89" s="670"/>
      <c r="AN89" s="670"/>
      <c r="AO89" s="670"/>
      <c r="AP89" s="670"/>
      <c r="AQ89" s="670"/>
      <c r="AR89" s="670"/>
      <c r="AS89" s="670"/>
      <c r="AT89" s="670"/>
      <c r="AU89" s="670"/>
      <c r="AV89" s="670"/>
      <c r="AW89" s="670"/>
      <c r="AX89" s="670"/>
      <c r="AY89" s="670"/>
      <c r="AZ89" s="670"/>
      <c r="BA89" s="670"/>
      <c r="BB89" s="675"/>
      <c r="BC89" s="675"/>
    </row>
    <row r="90" spans="14:55" s="345" customFormat="1" ht="15">
      <c r="O90" s="690"/>
      <c r="P90" s="696"/>
      <c r="Q90" s="696"/>
      <c r="R90" s="703"/>
      <c r="S90" s="703"/>
      <c r="T90" s="703"/>
      <c r="U90" s="702"/>
      <c r="V90" s="743"/>
      <c r="W90" s="703"/>
      <c r="X90" s="703"/>
      <c r="Y90" s="703"/>
      <c r="Z90" s="702"/>
      <c r="AA90" s="743"/>
      <c r="AB90" s="703"/>
      <c r="AC90" s="703"/>
      <c r="AD90" s="703"/>
      <c r="AE90" s="702"/>
      <c r="AF90" s="743"/>
      <c r="AG90" s="670"/>
      <c r="AH90" s="670"/>
      <c r="AI90" s="670"/>
      <c r="AJ90" s="670"/>
      <c r="AK90" s="670"/>
      <c r="AL90" s="670"/>
      <c r="AM90" s="670"/>
      <c r="AN90" s="670"/>
      <c r="AO90" s="670"/>
      <c r="AP90" s="670"/>
      <c r="AQ90" s="670"/>
      <c r="AR90" s="670"/>
      <c r="AS90" s="670"/>
      <c r="AT90" s="670"/>
      <c r="AU90" s="670"/>
      <c r="AV90" s="670"/>
      <c r="AW90" s="670"/>
      <c r="AX90" s="670"/>
      <c r="AY90" s="670"/>
      <c r="AZ90" s="670"/>
      <c r="BA90" s="690"/>
    </row>
    <row r="91" spans="14:55" s="345" customFormat="1">
      <c r="O91" s="690"/>
      <c r="P91" s="720"/>
      <c r="Q91" s="720"/>
      <c r="R91" s="718"/>
      <c r="S91" s="749"/>
      <c r="T91" s="719"/>
      <c r="U91" s="688"/>
      <c r="V91" s="750"/>
      <c r="W91" s="718"/>
      <c r="X91" s="749"/>
      <c r="Y91" s="719"/>
      <c r="Z91" s="688"/>
      <c r="AA91" s="750"/>
      <c r="AB91" s="718"/>
      <c r="AC91" s="749"/>
      <c r="AD91" s="719"/>
      <c r="AE91" s="688"/>
      <c r="AF91" s="750"/>
      <c r="AG91" s="670"/>
      <c r="AH91" s="670"/>
      <c r="AI91" s="670"/>
      <c r="AJ91" s="670"/>
      <c r="AK91" s="670"/>
      <c r="AL91" s="670"/>
      <c r="AM91" s="670"/>
      <c r="AN91" s="670"/>
      <c r="AO91" s="670"/>
      <c r="AP91" s="670"/>
      <c r="AQ91" s="670"/>
      <c r="AR91" s="670"/>
      <c r="AS91" s="670"/>
      <c r="AT91" s="670"/>
      <c r="AU91" s="670"/>
      <c r="AV91" s="670"/>
      <c r="AW91" s="670"/>
      <c r="AX91" s="670"/>
      <c r="AY91" s="670"/>
      <c r="AZ91" s="670"/>
      <c r="BA91" s="690"/>
    </row>
    <row r="92" spans="14:55" s="345" customFormat="1">
      <c r="O92" s="690"/>
      <c r="P92" s="720"/>
      <c r="Q92" s="720"/>
      <c r="R92" s="718"/>
      <c r="S92" s="749"/>
      <c r="T92" s="719"/>
      <c r="U92" s="688"/>
      <c r="V92" s="750"/>
      <c r="W92" s="718"/>
      <c r="X92" s="749"/>
      <c r="Y92" s="719"/>
      <c r="Z92" s="688"/>
      <c r="AA92" s="750"/>
      <c r="AB92" s="718"/>
      <c r="AC92" s="749"/>
      <c r="AD92" s="719"/>
      <c r="AE92" s="688"/>
      <c r="AF92" s="750"/>
      <c r="AG92" s="763"/>
      <c r="AH92" s="670"/>
      <c r="AI92" s="670"/>
      <c r="AJ92" s="670"/>
      <c r="AK92" s="670"/>
      <c r="AL92" s="670"/>
      <c r="AM92" s="670"/>
      <c r="AN92" s="670"/>
      <c r="AO92" s="670"/>
      <c r="AP92" s="670"/>
      <c r="AQ92" s="670"/>
      <c r="AR92" s="670"/>
      <c r="AS92" s="670"/>
      <c r="AT92" s="670"/>
      <c r="AU92" s="670"/>
      <c r="AV92" s="670"/>
      <c r="AW92" s="670"/>
      <c r="AX92" s="670"/>
      <c r="AY92" s="670"/>
      <c r="AZ92" s="670"/>
      <c r="BA92" s="690"/>
    </row>
    <row r="93" spans="14:55" s="345" customFormat="1">
      <c r="O93" s="690"/>
      <c r="P93" s="720"/>
      <c r="Q93" s="720"/>
      <c r="R93" s="718"/>
      <c r="S93" s="749"/>
      <c r="T93" s="719"/>
      <c r="U93" s="688"/>
      <c r="V93" s="750"/>
      <c r="W93" s="718"/>
      <c r="X93" s="749"/>
      <c r="Y93" s="719"/>
      <c r="Z93" s="688"/>
      <c r="AA93" s="750"/>
      <c r="AB93" s="718"/>
      <c r="AC93" s="749"/>
      <c r="AD93" s="719"/>
      <c r="AE93" s="688"/>
      <c r="AF93" s="750"/>
      <c r="AG93" s="763"/>
      <c r="AH93" s="670"/>
      <c r="AI93" s="670"/>
      <c r="AJ93" s="670"/>
      <c r="AK93" s="670"/>
      <c r="AL93" s="670"/>
      <c r="AM93" s="670"/>
      <c r="AN93" s="670"/>
      <c r="AO93" s="670"/>
      <c r="AP93" s="670"/>
      <c r="AQ93" s="670"/>
      <c r="AR93" s="670"/>
      <c r="AS93" s="670"/>
      <c r="AT93" s="670"/>
      <c r="AU93" s="670"/>
      <c r="AV93" s="670"/>
      <c r="AW93" s="670"/>
      <c r="AX93" s="670"/>
      <c r="AY93" s="670"/>
      <c r="AZ93" s="670"/>
      <c r="BA93" s="690"/>
    </row>
    <row r="94" spans="14:55" s="345" customFormat="1">
      <c r="O94" s="690"/>
      <c r="P94" s="720"/>
      <c r="Q94" s="720"/>
      <c r="R94" s="718"/>
      <c r="S94" s="749"/>
      <c r="T94" s="719"/>
      <c r="U94" s="688"/>
      <c r="V94" s="750"/>
      <c r="W94" s="718"/>
      <c r="X94" s="749"/>
      <c r="Y94" s="719"/>
      <c r="Z94" s="688"/>
      <c r="AA94" s="750"/>
      <c r="AB94" s="718"/>
      <c r="AC94" s="749"/>
      <c r="AD94" s="719"/>
      <c r="AE94" s="688"/>
      <c r="AF94" s="750"/>
      <c r="AG94" s="763"/>
      <c r="AH94" s="670"/>
      <c r="AI94" s="670"/>
      <c r="AJ94" s="670"/>
      <c r="AK94" s="670"/>
      <c r="AL94" s="670"/>
      <c r="AM94" s="670"/>
      <c r="AN94" s="670"/>
      <c r="AO94" s="670"/>
      <c r="AP94" s="670"/>
      <c r="AQ94" s="670"/>
      <c r="AR94" s="670"/>
      <c r="AS94" s="670"/>
      <c r="AT94" s="670"/>
      <c r="AU94" s="670"/>
      <c r="AV94" s="670"/>
      <c r="AW94" s="670"/>
      <c r="AX94" s="670"/>
      <c r="AY94" s="670"/>
      <c r="AZ94" s="670"/>
      <c r="BA94" s="690"/>
    </row>
    <row r="95" spans="14:55" s="345" customFormat="1">
      <c r="O95" s="690"/>
      <c r="P95" s="720"/>
      <c r="Q95" s="720"/>
      <c r="R95" s="718"/>
      <c r="S95" s="749"/>
      <c r="T95" s="719"/>
      <c r="U95" s="688"/>
      <c r="V95" s="750"/>
      <c r="W95" s="718"/>
      <c r="X95" s="749"/>
      <c r="Y95" s="719"/>
      <c r="Z95" s="688"/>
      <c r="AA95" s="750"/>
      <c r="AB95" s="718"/>
      <c r="AC95" s="749"/>
      <c r="AD95" s="719"/>
      <c r="AE95" s="688"/>
      <c r="AF95" s="750"/>
      <c r="AG95" s="763"/>
      <c r="AH95" s="670"/>
      <c r="AI95" s="670"/>
      <c r="AJ95" s="670"/>
      <c r="AK95" s="670"/>
      <c r="AL95" s="670"/>
      <c r="AM95" s="670"/>
      <c r="AN95" s="670"/>
      <c r="AO95" s="670"/>
      <c r="AP95" s="670"/>
      <c r="AQ95" s="670"/>
      <c r="AR95" s="670"/>
      <c r="AS95" s="670"/>
      <c r="AT95" s="670"/>
      <c r="AU95" s="670"/>
      <c r="AV95" s="670"/>
      <c r="AW95" s="670"/>
      <c r="AX95" s="670"/>
      <c r="AY95" s="670"/>
      <c r="AZ95" s="670"/>
      <c r="BA95" s="690"/>
    </row>
    <row r="96" spans="14:55" s="345" customFormat="1">
      <c r="O96" s="690"/>
      <c r="P96" s="670"/>
      <c r="Q96" s="670"/>
      <c r="R96" s="670"/>
      <c r="S96" s="670"/>
      <c r="T96" s="670"/>
      <c r="U96" s="670"/>
      <c r="V96" s="670"/>
      <c r="W96" s="670"/>
      <c r="X96" s="670"/>
      <c r="Y96" s="670"/>
      <c r="Z96" s="670"/>
      <c r="AA96" s="670"/>
      <c r="AB96" s="670"/>
      <c r="AC96" s="670"/>
      <c r="AD96" s="670"/>
      <c r="AE96" s="670"/>
      <c r="AF96" s="670"/>
      <c r="AG96" s="670"/>
      <c r="AH96" s="670"/>
      <c r="AI96" s="670"/>
      <c r="AJ96" s="670"/>
      <c r="AK96" s="670"/>
      <c r="AL96" s="670"/>
      <c r="AM96" s="670"/>
      <c r="AN96" s="670"/>
      <c r="AO96" s="670"/>
      <c r="AP96" s="670"/>
      <c r="AQ96" s="670"/>
      <c r="AR96" s="670"/>
      <c r="AS96" s="670"/>
      <c r="AT96" s="670"/>
      <c r="AU96" s="670"/>
      <c r="AV96" s="670"/>
      <c r="AW96" s="670"/>
      <c r="AX96" s="670"/>
      <c r="AY96" s="670"/>
      <c r="AZ96" s="670"/>
      <c r="BA96" s="690"/>
    </row>
    <row r="97" spans="14:53" s="345" customFormat="1">
      <c r="O97" s="690"/>
      <c r="P97" s="670"/>
      <c r="Q97" s="670"/>
      <c r="R97" s="670"/>
      <c r="S97" s="670"/>
      <c r="T97" s="670"/>
      <c r="U97" s="670"/>
      <c r="V97" s="670"/>
      <c r="W97" s="670"/>
      <c r="X97" s="670"/>
      <c r="Y97" s="670"/>
      <c r="Z97" s="670"/>
      <c r="AA97" s="670"/>
      <c r="AB97" s="670"/>
      <c r="AC97" s="670"/>
      <c r="AD97" s="670"/>
      <c r="AE97" s="670"/>
      <c r="AF97" s="670"/>
      <c r="AG97" s="670"/>
      <c r="AH97" s="670"/>
      <c r="AI97" s="670"/>
      <c r="AJ97" s="670"/>
      <c r="AK97" s="670"/>
      <c r="AL97" s="670"/>
      <c r="AM97" s="670"/>
      <c r="AN97" s="670"/>
      <c r="AO97" s="670"/>
      <c r="AP97" s="670"/>
      <c r="AQ97" s="670"/>
      <c r="AR97" s="670"/>
      <c r="AS97" s="670"/>
      <c r="AT97" s="670"/>
      <c r="AU97" s="670"/>
      <c r="AV97" s="670"/>
      <c r="AW97" s="670"/>
      <c r="AX97" s="670"/>
      <c r="AY97" s="670"/>
      <c r="AZ97" s="670"/>
      <c r="BA97" s="690"/>
    </row>
    <row r="98" spans="14:53" s="345" customFormat="1">
      <c r="O98" s="690"/>
      <c r="P98" s="670"/>
      <c r="Q98" s="670"/>
      <c r="R98" s="670"/>
      <c r="S98" s="670"/>
      <c r="T98" s="670"/>
      <c r="U98" s="670"/>
      <c r="V98" s="670"/>
      <c r="W98" s="670"/>
      <c r="X98" s="670"/>
      <c r="Y98" s="670"/>
      <c r="Z98" s="670"/>
      <c r="AA98" s="670"/>
      <c r="AB98" s="670"/>
      <c r="AC98" s="670"/>
      <c r="AD98" s="670"/>
      <c r="AE98" s="670"/>
      <c r="AF98" s="670"/>
      <c r="AG98" s="670"/>
      <c r="AH98" s="670"/>
      <c r="AI98" s="670"/>
      <c r="AJ98" s="670"/>
      <c r="AK98" s="670"/>
      <c r="AL98" s="670"/>
      <c r="AM98" s="670"/>
      <c r="AN98" s="670"/>
      <c r="AO98" s="670"/>
      <c r="AP98" s="670"/>
      <c r="AQ98" s="670"/>
      <c r="AR98" s="670"/>
      <c r="AS98" s="670"/>
      <c r="AT98" s="670"/>
      <c r="AU98" s="670"/>
      <c r="AV98" s="670"/>
      <c r="AW98" s="670"/>
      <c r="AX98" s="670"/>
      <c r="AY98" s="670"/>
      <c r="AZ98" s="670"/>
      <c r="BA98" s="690"/>
    </row>
    <row r="99" spans="14:53" s="345" customFormat="1" ht="15">
      <c r="O99" s="690"/>
      <c r="P99" s="696"/>
      <c r="Q99" s="696"/>
      <c r="R99" s="679"/>
      <c r="S99" s="679"/>
      <c r="T99" s="679"/>
      <c r="U99" s="679"/>
      <c r="V99" s="679"/>
      <c r="W99" s="670"/>
      <c r="X99" s="696"/>
      <c r="Y99" s="696"/>
      <c r="Z99" s="679"/>
      <c r="AA99" s="679"/>
      <c r="AB99" s="679"/>
      <c r="AC99" s="679"/>
      <c r="AD99" s="679"/>
      <c r="AE99" s="670"/>
      <c r="AF99" s="696"/>
      <c r="AG99" s="696"/>
      <c r="AH99" s="679"/>
      <c r="AI99" s="679"/>
      <c r="AJ99" s="679"/>
      <c r="AK99" s="679"/>
      <c r="AL99" s="679"/>
      <c r="AM99" s="670"/>
      <c r="AN99" s="670"/>
      <c r="AO99" s="670"/>
      <c r="AP99" s="670"/>
      <c r="AQ99" s="670"/>
      <c r="AR99" s="670"/>
      <c r="AS99" s="670"/>
      <c r="AT99" s="670"/>
      <c r="AU99" s="670"/>
      <c r="AV99" s="670"/>
      <c r="AW99" s="670"/>
      <c r="AX99" s="670"/>
      <c r="AY99" s="670"/>
      <c r="AZ99" s="670"/>
      <c r="BA99" s="690"/>
    </row>
    <row r="100" spans="14:53" s="345" customFormat="1" ht="15">
      <c r="O100" s="690"/>
      <c r="P100" s="696"/>
      <c r="Q100" s="696"/>
      <c r="R100" s="679"/>
      <c r="S100" s="679"/>
      <c r="T100" s="679"/>
      <c r="U100" s="679"/>
      <c r="V100" s="679"/>
      <c r="W100" s="670"/>
      <c r="X100" s="696"/>
      <c r="Y100" s="696"/>
      <c r="Z100" s="679"/>
      <c r="AA100" s="679"/>
      <c r="AB100" s="679"/>
      <c r="AC100" s="679"/>
      <c r="AD100" s="679"/>
      <c r="AE100" s="670"/>
      <c r="AF100" s="696"/>
      <c r="AG100" s="696"/>
      <c r="AH100" s="679"/>
      <c r="AI100" s="679"/>
      <c r="AJ100" s="679"/>
      <c r="AK100" s="679"/>
      <c r="AL100" s="679"/>
      <c r="AM100" s="670"/>
      <c r="AN100" s="670"/>
      <c r="AO100" s="670"/>
      <c r="AP100" s="670"/>
      <c r="AQ100" s="670"/>
      <c r="AR100" s="670"/>
      <c r="AS100" s="670"/>
      <c r="AT100" s="670"/>
      <c r="AU100" s="670"/>
      <c r="AV100" s="670"/>
      <c r="AW100" s="670"/>
      <c r="AX100" s="670"/>
      <c r="AY100" s="670"/>
      <c r="AZ100" s="670"/>
      <c r="BA100" s="690"/>
    </row>
    <row r="101" spans="14:53" s="345" customFormat="1" ht="15">
      <c r="O101" s="690"/>
      <c r="P101" s="696"/>
      <c r="Q101" s="764"/>
      <c r="R101" s="703"/>
      <c r="S101" s="703"/>
      <c r="T101" s="703"/>
      <c r="U101" s="702"/>
      <c r="V101" s="696"/>
      <c r="W101" s="670"/>
      <c r="X101" s="696"/>
      <c r="Y101" s="764"/>
      <c r="Z101" s="703"/>
      <c r="AA101" s="703"/>
      <c r="AB101" s="703"/>
      <c r="AC101" s="702"/>
      <c r="AD101" s="696"/>
      <c r="AE101" s="670"/>
      <c r="AF101" s="696"/>
      <c r="AG101" s="764"/>
      <c r="AH101" s="703"/>
      <c r="AI101" s="703"/>
      <c r="AJ101" s="703"/>
      <c r="AK101" s="702"/>
      <c r="AL101" s="696"/>
      <c r="AM101" s="670"/>
      <c r="AN101" s="670"/>
      <c r="AO101" s="670"/>
      <c r="AP101" s="670"/>
      <c r="AQ101" s="670"/>
      <c r="AR101" s="670"/>
      <c r="AS101" s="670"/>
      <c r="AT101" s="670"/>
      <c r="AU101" s="670"/>
      <c r="AV101" s="670"/>
      <c r="AW101" s="670"/>
      <c r="AX101" s="670"/>
      <c r="AY101" s="670"/>
      <c r="AZ101" s="670"/>
      <c r="BA101" s="690"/>
    </row>
    <row r="102" spans="14:53" s="345" customFormat="1" ht="15">
      <c r="O102" s="690"/>
      <c r="P102" s="696"/>
      <c r="Q102" s="764"/>
      <c r="R102" s="703"/>
      <c r="S102" s="703"/>
      <c r="T102" s="703"/>
      <c r="U102" s="702"/>
      <c r="V102" s="696"/>
      <c r="W102" s="670"/>
      <c r="X102" s="696"/>
      <c r="Y102" s="764"/>
      <c r="Z102" s="703"/>
      <c r="AA102" s="703"/>
      <c r="AB102" s="703"/>
      <c r="AC102" s="702"/>
      <c r="AD102" s="696"/>
      <c r="AE102" s="670"/>
      <c r="AF102" s="696"/>
      <c r="AG102" s="764"/>
      <c r="AH102" s="703"/>
      <c r="AI102" s="703"/>
      <c r="AJ102" s="703"/>
      <c r="AK102" s="702"/>
      <c r="AL102" s="696"/>
      <c r="AM102" s="670"/>
      <c r="AN102" s="670"/>
      <c r="AO102" s="670"/>
      <c r="AP102" s="670"/>
      <c r="AQ102" s="670"/>
      <c r="AR102" s="670"/>
      <c r="AS102" s="670"/>
      <c r="AT102" s="670"/>
      <c r="AU102" s="670"/>
      <c r="AV102" s="670"/>
      <c r="AW102" s="670"/>
      <c r="AX102" s="670"/>
      <c r="AY102" s="670"/>
      <c r="AZ102" s="670"/>
      <c r="BA102" s="690"/>
    </row>
    <row r="103" spans="14:53" s="345" customFormat="1">
      <c r="O103" s="690"/>
      <c r="P103" s="765"/>
      <c r="Q103" s="766"/>
      <c r="R103" s="767"/>
      <c r="S103" s="756"/>
      <c r="T103" s="767"/>
      <c r="U103" s="748"/>
      <c r="V103" s="765"/>
      <c r="W103" s="670"/>
      <c r="X103" s="765"/>
      <c r="Y103" s="766"/>
      <c r="Z103" s="768"/>
      <c r="AA103" s="756"/>
      <c r="AB103" s="767"/>
      <c r="AC103" s="769"/>
      <c r="AD103" s="765"/>
      <c r="AE103" s="670"/>
      <c r="AF103" s="765"/>
      <c r="AG103" s="766"/>
      <c r="AH103" s="768"/>
      <c r="AI103" s="756"/>
      <c r="AJ103" s="767"/>
      <c r="AK103" s="769"/>
      <c r="AL103" s="765"/>
      <c r="AM103" s="670"/>
      <c r="AN103" s="670"/>
      <c r="AO103" s="670"/>
      <c r="AP103" s="670"/>
      <c r="AQ103" s="670"/>
      <c r="AR103" s="670"/>
      <c r="AS103" s="670"/>
      <c r="AT103" s="670"/>
      <c r="AU103" s="670"/>
      <c r="AV103" s="670"/>
      <c r="AW103" s="670"/>
      <c r="AX103" s="670"/>
      <c r="AY103" s="670"/>
      <c r="AZ103" s="670"/>
      <c r="BA103" s="690"/>
    </row>
    <row r="104" spans="14:53" s="345" customFormat="1">
      <c r="O104" s="690"/>
      <c r="P104" s="765"/>
      <c r="Q104" s="769"/>
      <c r="R104" s="767"/>
      <c r="S104" s="756"/>
      <c r="T104" s="768"/>
      <c r="U104" s="748"/>
      <c r="V104" s="765"/>
      <c r="W104" s="670"/>
      <c r="X104" s="765"/>
      <c r="Y104" s="769"/>
      <c r="Z104" s="768"/>
      <c r="AA104" s="756"/>
      <c r="AB104" s="768"/>
      <c r="AC104" s="769"/>
      <c r="AD104" s="765"/>
      <c r="AE104" s="670"/>
      <c r="AF104" s="765"/>
      <c r="AG104" s="769"/>
      <c r="AH104" s="768"/>
      <c r="AI104" s="756"/>
      <c r="AJ104" s="748"/>
      <c r="AK104" s="769"/>
      <c r="AL104" s="765"/>
      <c r="AM104" s="670"/>
      <c r="AN104" s="670"/>
      <c r="AO104" s="670"/>
      <c r="AP104" s="670"/>
      <c r="AQ104" s="670"/>
      <c r="AR104" s="670"/>
      <c r="AS104" s="670"/>
      <c r="AT104" s="670"/>
      <c r="AU104" s="670"/>
      <c r="AV104" s="670"/>
      <c r="AW104" s="670"/>
      <c r="AX104" s="670"/>
      <c r="AY104" s="670"/>
      <c r="AZ104" s="670"/>
      <c r="BA104" s="690"/>
    </row>
    <row r="105" spans="14:53" s="345" customFormat="1">
      <c r="O105" s="690"/>
      <c r="P105" s="765"/>
      <c r="Q105" s="769"/>
      <c r="R105" s="767"/>
      <c r="S105" s="756"/>
      <c r="T105" s="768"/>
      <c r="U105" s="748"/>
      <c r="V105" s="765"/>
      <c r="W105" s="670"/>
      <c r="X105" s="765"/>
      <c r="Y105" s="769"/>
      <c r="Z105" s="768"/>
      <c r="AA105" s="756"/>
      <c r="AB105" s="768"/>
      <c r="AC105" s="769"/>
      <c r="AD105" s="765"/>
      <c r="AE105" s="670"/>
      <c r="AF105" s="765"/>
      <c r="AG105" s="769"/>
      <c r="AH105" s="768"/>
      <c r="AI105" s="756"/>
      <c r="AJ105" s="748"/>
      <c r="AK105" s="769"/>
      <c r="AL105" s="765"/>
      <c r="AM105" s="670"/>
      <c r="AN105" s="670"/>
      <c r="AO105" s="670"/>
      <c r="AP105" s="670"/>
      <c r="AQ105" s="670"/>
      <c r="AR105" s="670"/>
      <c r="AS105" s="670"/>
      <c r="AT105" s="670"/>
      <c r="AU105" s="670"/>
      <c r="AV105" s="670"/>
      <c r="AW105" s="670"/>
      <c r="AX105" s="670"/>
      <c r="AY105" s="670"/>
      <c r="AZ105" s="670"/>
      <c r="BA105" s="670"/>
    </row>
    <row r="106" spans="14:53" s="345" customFormat="1">
      <c r="N106" s="770"/>
      <c r="O106" s="690"/>
      <c r="P106" s="765"/>
      <c r="Q106" s="771"/>
      <c r="R106" s="767"/>
      <c r="S106" s="756"/>
      <c r="T106" s="768"/>
      <c r="U106" s="748"/>
      <c r="V106" s="765"/>
      <c r="W106" s="670"/>
      <c r="X106" s="765"/>
      <c r="Y106" s="771"/>
      <c r="Z106" s="768"/>
      <c r="AA106" s="756"/>
      <c r="AB106" s="768"/>
      <c r="AC106" s="769"/>
      <c r="AD106" s="765"/>
      <c r="AE106" s="670"/>
      <c r="AF106" s="765"/>
      <c r="AG106" s="771"/>
      <c r="AH106" s="768"/>
      <c r="AI106" s="756"/>
      <c r="AJ106" s="748"/>
      <c r="AK106" s="769"/>
      <c r="AL106" s="765"/>
      <c r="AM106" s="670"/>
      <c r="AN106" s="670"/>
      <c r="AO106" s="670"/>
      <c r="AP106" s="670"/>
      <c r="AQ106" s="670"/>
      <c r="AR106" s="670"/>
      <c r="AS106" s="670"/>
      <c r="AT106" s="670"/>
      <c r="AU106" s="670"/>
      <c r="AV106" s="670"/>
      <c r="AW106" s="670"/>
      <c r="AX106" s="670"/>
      <c r="AY106" s="670"/>
      <c r="AZ106" s="670"/>
      <c r="BA106" s="670"/>
    </row>
    <row r="107" spans="14:53" s="345" customFormat="1">
      <c r="O107" s="690"/>
      <c r="P107" s="765"/>
      <c r="Q107" s="771"/>
      <c r="R107" s="767"/>
      <c r="S107" s="756"/>
      <c r="T107" s="768"/>
      <c r="U107" s="748"/>
      <c r="V107" s="765"/>
      <c r="W107" s="670"/>
      <c r="X107" s="765"/>
      <c r="Y107" s="771"/>
      <c r="Z107" s="768"/>
      <c r="AA107" s="756"/>
      <c r="AB107" s="768"/>
      <c r="AC107" s="769"/>
      <c r="AD107" s="765"/>
      <c r="AE107" s="670"/>
      <c r="AF107" s="765"/>
      <c r="AG107" s="771"/>
      <c r="AH107" s="768"/>
      <c r="AI107" s="756"/>
      <c r="AJ107" s="748"/>
      <c r="AK107" s="769"/>
      <c r="AL107" s="765"/>
      <c r="AM107" s="670"/>
      <c r="AN107" s="670"/>
      <c r="AO107" s="670"/>
      <c r="AP107" s="670"/>
      <c r="AQ107" s="670"/>
      <c r="AR107" s="670"/>
      <c r="AS107" s="670"/>
      <c r="AT107" s="670"/>
      <c r="AU107" s="670"/>
      <c r="AV107" s="670"/>
      <c r="AW107" s="670"/>
      <c r="AX107" s="670"/>
      <c r="AY107" s="670"/>
      <c r="AZ107" s="670"/>
      <c r="BA107" s="670"/>
    </row>
    <row r="108" spans="14:53" s="345" customFormat="1">
      <c r="O108" s="690"/>
      <c r="P108" s="765"/>
      <c r="Q108" s="771"/>
      <c r="R108" s="767"/>
      <c r="S108" s="756"/>
      <c r="T108" s="768"/>
      <c r="U108" s="748"/>
      <c r="V108" s="765"/>
      <c r="W108" s="670"/>
      <c r="X108" s="765"/>
      <c r="Y108" s="771"/>
      <c r="Z108" s="768"/>
      <c r="AA108" s="756"/>
      <c r="AB108" s="768"/>
      <c r="AC108" s="769"/>
      <c r="AD108" s="765"/>
      <c r="AE108" s="670"/>
      <c r="AF108" s="765"/>
      <c r="AG108" s="771"/>
      <c r="AH108" s="768"/>
      <c r="AI108" s="756"/>
      <c r="AJ108" s="748"/>
      <c r="AK108" s="769"/>
      <c r="AL108" s="765"/>
      <c r="AM108" s="670"/>
      <c r="AN108" s="670"/>
      <c r="AO108" s="670"/>
      <c r="AP108" s="670"/>
      <c r="AQ108" s="670"/>
      <c r="AR108" s="670"/>
      <c r="AS108" s="670"/>
      <c r="AT108" s="670"/>
      <c r="AU108" s="670"/>
      <c r="AV108" s="670"/>
      <c r="AW108" s="670"/>
      <c r="AX108" s="670"/>
      <c r="AY108" s="670"/>
      <c r="AZ108" s="670"/>
      <c r="BA108" s="670"/>
    </row>
    <row r="109" spans="14:53" s="345" customFormat="1">
      <c r="O109" s="690"/>
      <c r="P109" s="765"/>
      <c r="Q109" s="771"/>
      <c r="R109" s="767"/>
      <c r="S109" s="756"/>
      <c r="T109" s="768"/>
      <c r="U109" s="748"/>
      <c r="V109" s="765"/>
      <c r="W109" s="670"/>
      <c r="X109" s="765"/>
      <c r="Y109" s="771"/>
      <c r="Z109" s="768"/>
      <c r="AA109" s="756"/>
      <c r="AB109" s="768"/>
      <c r="AC109" s="769"/>
      <c r="AD109" s="765"/>
      <c r="AE109" s="670"/>
      <c r="AF109" s="765"/>
      <c r="AG109" s="771"/>
      <c r="AH109" s="768"/>
      <c r="AI109" s="756"/>
      <c r="AJ109" s="748"/>
      <c r="AK109" s="769"/>
      <c r="AL109" s="765"/>
      <c r="AM109" s="670"/>
      <c r="AN109" s="670"/>
      <c r="AO109" s="670"/>
      <c r="AP109" s="670"/>
      <c r="AQ109" s="670"/>
      <c r="AR109" s="670"/>
      <c r="AS109" s="670"/>
      <c r="AT109" s="670"/>
      <c r="AU109" s="670"/>
      <c r="AV109" s="670"/>
      <c r="AW109" s="670"/>
      <c r="AX109" s="670"/>
      <c r="AY109" s="670"/>
      <c r="AZ109" s="670"/>
      <c r="BA109" s="670"/>
    </row>
    <row r="110" spans="14:53" s="345" customFormat="1">
      <c r="O110" s="690"/>
      <c r="P110" s="765"/>
      <c r="Q110" s="771"/>
      <c r="R110" s="767"/>
      <c r="S110" s="756"/>
      <c r="T110" s="768"/>
      <c r="U110" s="748"/>
      <c r="V110" s="765"/>
      <c r="W110" s="670"/>
      <c r="X110" s="765"/>
      <c r="Y110" s="771"/>
      <c r="Z110" s="768"/>
      <c r="AA110" s="756"/>
      <c r="AB110" s="768"/>
      <c r="AC110" s="769"/>
      <c r="AD110" s="765"/>
      <c r="AE110" s="670"/>
      <c r="AF110" s="765"/>
      <c r="AG110" s="771"/>
      <c r="AH110" s="768"/>
      <c r="AI110" s="756"/>
      <c r="AJ110" s="748"/>
      <c r="AK110" s="769"/>
      <c r="AL110" s="765"/>
      <c r="AM110" s="670"/>
      <c r="AN110" s="670"/>
      <c r="AO110" s="670"/>
      <c r="AP110" s="670"/>
      <c r="AQ110" s="670"/>
      <c r="AR110" s="670"/>
      <c r="AS110" s="670"/>
      <c r="AT110" s="670"/>
      <c r="AU110" s="670"/>
      <c r="AV110" s="670"/>
      <c r="AW110" s="670"/>
      <c r="AX110" s="670"/>
      <c r="AY110" s="670"/>
      <c r="AZ110" s="670"/>
      <c r="BA110" s="670"/>
    </row>
    <row r="111" spans="14:53" s="345" customFormat="1">
      <c r="O111" s="690"/>
      <c r="P111" s="765"/>
      <c r="Q111" s="766"/>
      <c r="R111" s="767"/>
      <c r="S111" s="756"/>
      <c r="T111" s="768"/>
      <c r="U111" s="748"/>
      <c r="V111" s="765"/>
      <c r="W111" s="670"/>
      <c r="X111" s="765"/>
      <c r="Y111" s="766"/>
      <c r="Z111" s="768"/>
      <c r="AA111" s="756"/>
      <c r="AB111" s="768"/>
      <c r="AC111" s="769"/>
      <c r="AD111" s="765"/>
      <c r="AE111" s="670"/>
      <c r="AF111" s="765"/>
      <c r="AG111" s="766"/>
      <c r="AH111" s="768"/>
      <c r="AI111" s="756"/>
      <c r="AJ111" s="748"/>
      <c r="AK111" s="769"/>
      <c r="AL111" s="765"/>
      <c r="AM111" s="670"/>
      <c r="AN111" s="670"/>
      <c r="AO111" s="670"/>
      <c r="AP111" s="670"/>
      <c r="AQ111" s="670"/>
      <c r="AR111" s="670"/>
      <c r="AS111" s="670"/>
      <c r="AT111" s="670"/>
      <c r="AU111" s="670"/>
      <c r="AV111" s="670"/>
      <c r="AW111" s="670"/>
      <c r="AX111" s="670"/>
      <c r="AY111" s="670"/>
      <c r="AZ111" s="670"/>
      <c r="BA111" s="670"/>
    </row>
    <row r="112" spans="14:53" s="345" customFormat="1">
      <c r="O112" s="690"/>
      <c r="P112" s="670"/>
      <c r="Q112" s="765"/>
      <c r="R112" s="767"/>
      <c r="S112" s="732"/>
      <c r="T112" s="732"/>
      <c r="U112" s="670"/>
      <c r="V112" s="670"/>
      <c r="W112" s="670"/>
      <c r="X112" s="670"/>
      <c r="Y112" s="765"/>
      <c r="Z112" s="768"/>
      <c r="AA112" s="732"/>
      <c r="AB112" s="732"/>
      <c r="AC112" s="670"/>
      <c r="AD112" s="670"/>
      <c r="AE112" s="670"/>
      <c r="AF112" s="670"/>
      <c r="AG112" s="733"/>
      <c r="AH112" s="732"/>
      <c r="AI112" s="732"/>
      <c r="AJ112" s="732"/>
      <c r="AK112" s="670"/>
      <c r="AL112" s="670"/>
      <c r="AM112" s="670"/>
      <c r="AN112" s="670"/>
      <c r="AO112" s="670"/>
      <c r="AP112" s="670"/>
      <c r="AQ112" s="670"/>
      <c r="AR112" s="670"/>
      <c r="AS112" s="670"/>
      <c r="AT112" s="670"/>
      <c r="AU112" s="670"/>
      <c r="AV112" s="670"/>
      <c r="AW112" s="670"/>
      <c r="AX112" s="670"/>
      <c r="AY112" s="670"/>
      <c r="AZ112" s="670"/>
      <c r="BA112" s="670"/>
    </row>
    <row r="113" spans="15:53" s="345" customFormat="1">
      <c r="O113" s="690"/>
      <c r="P113" s="670"/>
      <c r="Q113" s="765"/>
      <c r="R113" s="767"/>
      <c r="S113" s="732"/>
      <c r="T113" s="732"/>
      <c r="U113" s="670"/>
      <c r="V113" s="670"/>
      <c r="W113" s="670"/>
      <c r="X113" s="670"/>
      <c r="Y113" s="765"/>
      <c r="Z113" s="768"/>
      <c r="AA113" s="732"/>
      <c r="AB113" s="732"/>
      <c r="AC113" s="670"/>
      <c r="AD113" s="670"/>
      <c r="AE113" s="670"/>
      <c r="AF113" s="670"/>
      <c r="AG113" s="733"/>
      <c r="AH113" s="768"/>
      <c r="AI113" s="732"/>
      <c r="AJ113" s="732"/>
      <c r="AK113" s="670"/>
      <c r="AL113" s="670"/>
      <c r="AM113" s="670"/>
      <c r="AN113" s="670"/>
      <c r="AO113" s="670"/>
      <c r="AP113" s="670"/>
      <c r="AQ113" s="670"/>
      <c r="AR113" s="670"/>
      <c r="AS113" s="670"/>
      <c r="AT113" s="670"/>
      <c r="AU113" s="670"/>
      <c r="AV113" s="670"/>
      <c r="AW113" s="670"/>
      <c r="AX113" s="670"/>
      <c r="AY113" s="670"/>
      <c r="AZ113" s="670"/>
      <c r="BA113" s="670"/>
    </row>
    <row r="114" spans="15:53" s="345" customFormat="1">
      <c r="O114" s="690"/>
      <c r="P114" s="670"/>
      <c r="Q114" s="733"/>
      <c r="R114" s="732"/>
      <c r="S114" s="732"/>
      <c r="T114" s="670"/>
      <c r="U114" s="732"/>
      <c r="V114" s="670"/>
      <c r="W114" s="670"/>
      <c r="X114" s="670"/>
      <c r="Y114" s="733"/>
      <c r="Z114" s="732"/>
      <c r="AA114" s="732"/>
      <c r="AB114" s="670"/>
      <c r="AC114" s="732"/>
      <c r="AD114" s="670"/>
      <c r="AE114" s="670"/>
      <c r="AF114" s="670"/>
      <c r="AG114" s="733"/>
      <c r="AH114" s="732"/>
      <c r="AI114" s="732"/>
      <c r="AJ114" s="670"/>
      <c r="AK114" s="732"/>
      <c r="AL114" s="670"/>
      <c r="AM114" s="670"/>
      <c r="AN114" s="670"/>
      <c r="AO114" s="670"/>
      <c r="AP114" s="670"/>
      <c r="AQ114" s="670"/>
      <c r="AR114" s="670"/>
      <c r="AS114" s="670"/>
      <c r="AT114" s="670"/>
      <c r="AU114" s="670"/>
      <c r="AV114" s="670"/>
      <c r="AW114" s="670"/>
      <c r="AX114" s="670"/>
      <c r="AY114" s="670"/>
      <c r="AZ114" s="670"/>
      <c r="BA114" s="670"/>
    </row>
    <row r="115" spans="15:53" s="345" customFormat="1" ht="15">
      <c r="O115" s="690"/>
      <c r="P115" s="679"/>
      <c r="Q115" s="679"/>
      <c r="R115" s="679"/>
      <c r="S115" s="769"/>
      <c r="T115" s="670"/>
      <c r="U115" s="732"/>
      <c r="V115" s="670"/>
      <c r="W115" s="670"/>
      <c r="X115" s="679"/>
      <c r="Y115" s="679"/>
      <c r="Z115" s="679"/>
      <c r="AA115" s="769"/>
      <c r="AB115" s="670"/>
      <c r="AC115" s="732"/>
      <c r="AD115" s="670"/>
      <c r="AE115" s="670"/>
      <c r="AF115" s="679"/>
      <c r="AG115" s="679"/>
      <c r="AH115" s="679"/>
      <c r="AI115" s="769"/>
      <c r="AJ115" s="670"/>
      <c r="AK115" s="732"/>
      <c r="AL115" s="670"/>
      <c r="AM115" s="670"/>
      <c r="AN115" s="670"/>
      <c r="AO115" s="670"/>
      <c r="AP115" s="670"/>
      <c r="AQ115" s="670"/>
      <c r="AR115" s="670"/>
      <c r="AS115" s="670"/>
      <c r="AT115" s="670"/>
      <c r="AU115" s="670"/>
      <c r="AV115" s="670"/>
      <c r="AW115" s="670"/>
      <c r="AX115" s="670"/>
      <c r="AY115" s="670"/>
      <c r="AZ115" s="670"/>
      <c r="BA115" s="670"/>
    </row>
    <row r="116" spans="15:53" s="345" customFormat="1">
      <c r="O116" s="690"/>
      <c r="P116" s="670"/>
      <c r="Q116" s="670"/>
      <c r="R116" s="670"/>
      <c r="S116" s="670"/>
      <c r="T116" s="670"/>
      <c r="U116" s="670"/>
      <c r="V116" s="670"/>
      <c r="W116" s="670"/>
      <c r="X116" s="670"/>
      <c r="Y116" s="670"/>
      <c r="Z116" s="670"/>
      <c r="AA116" s="670"/>
      <c r="AB116" s="670"/>
      <c r="AC116" s="670"/>
      <c r="AD116" s="670"/>
      <c r="AE116" s="670"/>
      <c r="AF116" s="670"/>
      <c r="AG116" s="670"/>
      <c r="AH116" s="670"/>
      <c r="AI116" s="670"/>
      <c r="AJ116" s="670"/>
      <c r="AK116" s="670"/>
      <c r="AL116" s="670"/>
      <c r="AM116" s="670"/>
      <c r="AN116" s="670"/>
      <c r="AO116" s="670"/>
      <c r="AP116" s="670"/>
      <c r="AQ116" s="670"/>
      <c r="AR116" s="670"/>
      <c r="AS116" s="670"/>
      <c r="AT116" s="670"/>
      <c r="AU116" s="670"/>
      <c r="AV116" s="670"/>
      <c r="AW116" s="670"/>
      <c r="AX116" s="670"/>
      <c r="AY116" s="670"/>
      <c r="AZ116" s="670"/>
      <c r="BA116" s="670"/>
    </row>
    <row r="117" spans="15:53" s="345" customFormat="1" ht="15">
      <c r="O117" s="690"/>
      <c r="P117" s="696"/>
      <c r="Q117" s="696"/>
      <c r="R117" s="679"/>
      <c r="S117" s="679"/>
      <c r="T117" s="679"/>
      <c r="U117" s="679"/>
      <c r="V117" s="679"/>
      <c r="W117" s="670"/>
      <c r="X117" s="696"/>
      <c r="Y117" s="696"/>
      <c r="Z117" s="679"/>
      <c r="AA117" s="679"/>
      <c r="AB117" s="679"/>
      <c r="AC117" s="679"/>
      <c r="AD117" s="679"/>
      <c r="AE117" s="670"/>
      <c r="AF117" s="696"/>
      <c r="AG117" s="696"/>
      <c r="AH117" s="679"/>
      <c r="AI117" s="679"/>
      <c r="AJ117" s="679"/>
      <c r="AK117" s="679"/>
      <c r="AL117" s="679"/>
      <c r="AM117" s="670"/>
      <c r="AN117" s="670"/>
      <c r="AO117" s="772"/>
      <c r="AP117" s="670"/>
      <c r="AQ117" s="670"/>
      <c r="AR117" s="670"/>
      <c r="AS117" s="670"/>
      <c r="AT117" s="670"/>
      <c r="AU117" s="670"/>
      <c r="AV117" s="670"/>
      <c r="AW117" s="670"/>
      <c r="AX117" s="670"/>
      <c r="AY117" s="670"/>
      <c r="AZ117" s="670"/>
      <c r="BA117" s="670"/>
    </row>
    <row r="118" spans="15:53" s="345" customFormat="1" ht="15">
      <c r="O118" s="690"/>
      <c r="P118" s="696"/>
      <c r="Q118" s="696"/>
      <c r="R118" s="679"/>
      <c r="S118" s="679"/>
      <c r="T118" s="679"/>
      <c r="U118" s="679"/>
      <c r="V118" s="679"/>
      <c r="W118" s="670"/>
      <c r="X118" s="696"/>
      <c r="Y118" s="696"/>
      <c r="Z118" s="679"/>
      <c r="AA118" s="679"/>
      <c r="AB118" s="679"/>
      <c r="AC118" s="679"/>
      <c r="AD118" s="679"/>
      <c r="AE118" s="670"/>
      <c r="AF118" s="696"/>
      <c r="AG118" s="696"/>
      <c r="AH118" s="679"/>
      <c r="AI118" s="679"/>
      <c r="AJ118" s="679"/>
      <c r="AK118" s="679"/>
      <c r="AL118" s="679"/>
      <c r="AM118" s="670"/>
      <c r="AN118" s="670"/>
      <c r="AO118" s="670"/>
      <c r="AP118" s="670"/>
      <c r="AQ118" s="670"/>
      <c r="AR118" s="670"/>
      <c r="AS118" s="670"/>
      <c r="AT118" s="670"/>
      <c r="AU118" s="670"/>
      <c r="AV118" s="670"/>
      <c r="AW118" s="670"/>
      <c r="AX118" s="670"/>
      <c r="AY118" s="670"/>
      <c r="AZ118" s="670"/>
      <c r="BA118" s="670"/>
    </row>
    <row r="119" spans="15:53" s="345" customFormat="1" ht="15">
      <c r="O119" s="690"/>
      <c r="P119" s="696"/>
      <c r="Q119" s="696"/>
      <c r="R119" s="703"/>
      <c r="S119" s="703"/>
      <c r="T119" s="703"/>
      <c r="U119" s="702"/>
      <c r="V119" s="743"/>
      <c r="W119" s="670"/>
      <c r="X119" s="696"/>
      <c r="Y119" s="696"/>
      <c r="Z119" s="703"/>
      <c r="AA119" s="703"/>
      <c r="AB119" s="703"/>
      <c r="AC119" s="702"/>
      <c r="AD119" s="743"/>
      <c r="AE119" s="670"/>
      <c r="AF119" s="696"/>
      <c r="AG119" s="696"/>
      <c r="AH119" s="703"/>
      <c r="AI119" s="703"/>
      <c r="AJ119" s="703"/>
      <c r="AK119" s="702"/>
      <c r="AL119" s="743"/>
      <c r="AM119" s="670"/>
      <c r="AN119" s="670"/>
      <c r="AO119" s="670"/>
      <c r="AP119" s="670"/>
      <c r="AQ119" s="670"/>
      <c r="AR119" s="670"/>
      <c r="AS119" s="670"/>
      <c r="AT119" s="670"/>
      <c r="AU119" s="670"/>
      <c r="AV119" s="670"/>
      <c r="AW119" s="670"/>
      <c r="AX119" s="670"/>
      <c r="AY119" s="670"/>
      <c r="AZ119" s="670"/>
      <c r="BA119" s="670"/>
    </row>
    <row r="120" spans="15:53" s="345" customFormat="1" ht="15">
      <c r="O120" s="690"/>
      <c r="P120" s="696"/>
      <c r="Q120" s="696"/>
      <c r="R120" s="703"/>
      <c r="S120" s="703"/>
      <c r="T120" s="703"/>
      <c r="U120" s="702"/>
      <c r="V120" s="743"/>
      <c r="W120" s="670"/>
      <c r="X120" s="696"/>
      <c r="Y120" s="696"/>
      <c r="Z120" s="703"/>
      <c r="AA120" s="703"/>
      <c r="AB120" s="703"/>
      <c r="AC120" s="702"/>
      <c r="AD120" s="743"/>
      <c r="AE120" s="670"/>
      <c r="AF120" s="696"/>
      <c r="AG120" s="696"/>
      <c r="AH120" s="703"/>
      <c r="AI120" s="703"/>
      <c r="AJ120" s="703"/>
      <c r="AK120" s="702"/>
      <c r="AL120" s="743"/>
      <c r="AM120" s="670"/>
      <c r="AN120" s="670"/>
      <c r="AO120" s="670"/>
      <c r="AP120" s="670"/>
      <c r="AQ120" s="670"/>
      <c r="AR120" s="670"/>
      <c r="AS120" s="670"/>
      <c r="AT120" s="670"/>
      <c r="AU120" s="670"/>
      <c r="AV120" s="670"/>
      <c r="AW120" s="670"/>
      <c r="AX120" s="670"/>
      <c r="AY120" s="670"/>
      <c r="AZ120" s="670"/>
      <c r="BA120" s="690"/>
    </row>
  </sheetData>
  <sheetProtection sheet="1" objects="1" scenarios="1" selectLockedCells="1"/>
  <mergeCells count="76">
    <mergeCell ref="C43:D44"/>
    <mergeCell ref="J43:K44"/>
    <mergeCell ref="P39:Q39"/>
    <mergeCell ref="B40:B41"/>
    <mergeCell ref="C40:D41"/>
    <mergeCell ref="E40:E41"/>
    <mergeCell ref="F40:F41"/>
    <mergeCell ref="I40:I41"/>
    <mergeCell ref="J40:K41"/>
    <mergeCell ref="L40:L41"/>
    <mergeCell ref="M40:M41"/>
    <mergeCell ref="S35:S36"/>
    <mergeCell ref="B36:D36"/>
    <mergeCell ref="I36:K36"/>
    <mergeCell ref="P37:Q37"/>
    <mergeCell ref="A38:D38"/>
    <mergeCell ref="H38:K38"/>
    <mergeCell ref="P38:Q38"/>
    <mergeCell ref="R35:R36"/>
    <mergeCell ref="B31:C32"/>
    <mergeCell ref="D31:E32"/>
    <mergeCell ref="I31:J32"/>
    <mergeCell ref="K31:L32"/>
    <mergeCell ref="C34:L34"/>
    <mergeCell ref="K27:K28"/>
    <mergeCell ref="L27:L28"/>
    <mergeCell ref="B29:C30"/>
    <mergeCell ref="D29:D30"/>
    <mergeCell ref="E29:E30"/>
    <mergeCell ref="I29:J30"/>
    <mergeCell ref="K29:K30"/>
    <mergeCell ref="L29:L30"/>
    <mergeCell ref="A24:B24"/>
    <mergeCell ref="H24:I24"/>
    <mergeCell ref="B27:C28"/>
    <mergeCell ref="D27:D28"/>
    <mergeCell ref="E27:E28"/>
    <mergeCell ref="I27:J28"/>
    <mergeCell ref="AI11:AL11"/>
    <mergeCell ref="A13:B13"/>
    <mergeCell ref="H13:I13"/>
    <mergeCell ref="J11:J12"/>
    <mergeCell ref="K11:K12"/>
    <mergeCell ref="L11:L12"/>
    <mergeCell ref="M11:M12"/>
    <mergeCell ref="Q11:Q12"/>
    <mergeCell ref="R11:U11"/>
    <mergeCell ref="B9:F9"/>
    <mergeCell ref="I9:M9"/>
    <mergeCell ref="P9:R9"/>
    <mergeCell ref="AB9:AD9"/>
    <mergeCell ref="B11:B12"/>
    <mergeCell ref="C11:C12"/>
    <mergeCell ref="D11:D12"/>
    <mergeCell ref="E11:E12"/>
    <mergeCell ref="F11:F12"/>
    <mergeCell ref="I11:I12"/>
    <mergeCell ref="W11:Z11"/>
    <mergeCell ref="AC11:AC12"/>
    <mergeCell ref="AD11:AG11"/>
    <mergeCell ref="AB3:AE3"/>
    <mergeCell ref="AF3:AG3"/>
    <mergeCell ref="C7:D7"/>
    <mergeCell ref="J7:K7"/>
    <mergeCell ref="Q7:S7"/>
    <mergeCell ref="AC7:AE7"/>
    <mergeCell ref="C1:D1"/>
    <mergeCell ref="K1:L1"/>
    <mergeCell ref="Q1:R1"/>
    <mergeCell ref="X1:Y1"/>
    <mergeCell ref="C3:E3"/>
    <mergeCell ref="F3:G3"/>
    <mergeCell ref="J3:K3"/>
    <mergeCell ref="L3:M3"/>
    <mergeCell ref="Q3:U3"/>
    <mergeCell ref="V3:W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21"/>
  <sheetViews>
    <sheetView workbookViewId="0">
      <selection sqref="A1:XFD1048576"/>
    </sheetView>
  </sheetViews>
  <sheetFormatPr baseColWidth="10" defaultRowHeight="12.75"/>
  <sheetData>
    <row r="1" spans="1:27" s="345" customFormat="1" ht="18">
      <c r="B1" s="345">
        <f>0.001</f>
        <v>1E-3</v>
      </c>
      <c r="D1" s="1228" t="s">
        <v>1101</v>
      </c>
      <c r="E1" s="1228"/>
      <c r="L1" s="1249" t="str">
        <f>IF('Stipe=phyllotaxie&amp;croissance'!S9&gt;0,'Stipe=phyllotaxie&amp;croissance'!S9,"")</f>
        <v/>
      </c>
      <c r="M1" s="1249"/>
    </row>
    <row r="2" spans="1:27" s="345" customFormat="1" ht="18">
      <c r="D2" s="346"/>
      <c r="E2" s="346"/>
    </row>
    <row r="3" spans="1:27" s="345" customFormat="1" ht="15.75">
      <c r="D3" s="1323" t="s">
        <v>1102</v>
      </c>
      <c r="E3" s="1323"/>
      <c r="F3" s="1323"/>
      <c r="G3" s="1323"/>
      <c r="H3" s="1323"/>
      <c r="I3" s="1322" t="str">
        <f>IF('Stipe=phyllotaxie&amp;croissance'!$E$11&gt;0,'Stipe=phyllotaxie&amp;croissance'!$E$11,"")</f>
        <v>Rochdi</v>
      </c>
      <c r="J3" s="1322"/>
      <c r="O3" s="1323" t="s">
        <v>1103</v>
      </c>
      <c r="P3" s="1323"/>
      <c r="Q3" s="1323"/>
      <c r="R3" s="1323"/>
      <c r="S3" s="1512" t="str">
        <f>IF('Stipe=phyllotaxie&amp;croissance'!$E$10&gt;0,'Stipe=phyllotaxie&amp;croissance'!$E$10,"")</f>
        <v>01</v>
      </c>
      <c r="T3" s="1512"/>
      <c r="U3" s="773"/>
    </row>
    <row r="4" spans="1:27" s="345" customFormat="1" ht="18">
      <c r="D4" s="346"/>
      <c r="E4" s="346"/>
    </row>
    <row r="5" spans="1:27" s="345" customFormat="1" ht="18">
      <c r="D5" s="1319" t="s">
        <v>1228</v>
      </c>
      <c r="E5" s="1319"/>
      <c r="F5" s="1319"/>
      <c r="G5" s="1319"/>
      <c r="H5" s="1319"/>
      <c r="I5" s="1319"/>
      <c r="J5" s="1319"/>
      <c r="K5" s="1319"/>
      <c r="L5" s="1319"/>
      <c r="M5" s="1319"/>
      <c r="N5" s="1319"/>
      <c r="O5" s="1319"/>
      <c r="P5" s="1319"/>
      <c r="Q5" s="1319"/>
      <c r="R5" s="1319"/>
      <c r="S5" s="1319"/>
      <c r="T5" s="1319"/>
      <c r="U5" s="1319"/>
      <c r="V5" s="1319"/>
      <c r="W5" s="1319"/>
      <c r="X5" s="1319"/>
    </row>
    <row r="6" spans="1:27" s="345" customFormat="1" ht="13.5" thickBot="1"/>
    <row r="7" spans="1:27" s="345" customFormat="1" ht="15.75" thickBot="1">
      <c r="D7" s="1496" t="s">
        <v>1229</v>
      </c>
      <c r="E7" s="1497"/>
      <c r="F7" s="1497"/>
      <c r="G7" s="577">
        <f>IF('Folioles=disposition&amp;groupes'!$D$7&gt;0,'Folioles=disposition&amp;groupes'!$D$7,"")</f>
        <v>57</v>
      </c>
      <c r="P7" s="1498" t="s">
        <v>1229</v>
      </c>
      <c r="Q7" s="1499"/>
      <c r="R7" s="1513"/>
      <c r="S7" s="577">
        <f>IF('Folioles=disposition&amp;groupes'!$P$7&gt;0,'Folioles=disposition&amp;groupes'!$P$7,"")</f>
        <v>83</v>
      </c>
    </row>
    <row r="8" spans="1:27" s="345" customFormat="1"/>
    <row r="9" spans="1:27" s="345" customFormat="1" ht="15">
      <c r="C9" s="582"/>
      <c r="D9" s="1514" t="s">
        <v>1231</v>
      </c>
      <c r="E9" s="1514"/>
      <c r="F9" s="1514"/>
      <c r="O9" s="582"/>
      <c r="P9" s="1514" t="s">
        <v>1279</v>
      </c>
      <c r="Q9" s="1514"/>
      <c r="R9" s="1514"/>
    </row>
    <row r="10" spans="1:27" s="345" customFormat="1" ht="13.5" thickBot="1"/>
    <row r="11" spans="1:27" s="345" customFormat="1" ht="15.75" thickBot="1">
      <c r="C11" s="1515" t="s">
        <v>1233</v>
      </c>
      <c r="D11" s="1520" t="s">
        <v>1237</v>
      </c>
      <c r="E11" s="1521"/>
      <c r="F11" s="1521"/>
      <c r="G11" s="1522"/>
      <c r="H11" s="1515" t="s">
        <v>1233</v>
      </c>
      <c r="I11" s="1520" t="s">
        <v>1238</v>
      </c>
      <c r="J11" s="1521"/>
      <c r="K11" s="1521"/>
      <c r="L11" s="1522"/>
      <c r="M11" s="583"/>
      <c r="O11" s="1515" t="s">
        <v>1233</v>
      </c>
      <c r="P11" s="1520" t="s">
        <v>1237</v>
      </c>
      <c r="Q11" s="1521"/>
      <c r="R11" s="1521"/>
      <c r="S11" s="1522"/>
      <c r="T11" s="1515" t="s">
        <v>1233</v>
      </c>
      <c r="U11" s="1520" t="s">
        <v>1238</v>
      </c>
      <c r="V11" s="1521"/>
      <c r="W11" s="1521"/>
      <c r="X11" s="1522"/>
    </row>
    <row r="12" spans="1:27" s="345" customFormat="1" ht="13.5" thickBot="1">
      <c r="C12" s="1517"/>
      <c r="D12" s="584" t="s">
        <v>1239</v>
      </c>
      <c r="E12" s="585" t="s">
        <v>1240</v>
      </c>
      <c r="F12" s="585" t="s">
        <v>1240</v>
      </c>
      <c r="G12" s="586" t="s">
        <v>1241</v>
      </c>
      <c r="H12" s="1517"/>
      <c r="I12" s="584" t="s">
        <v>1239</v>
      </c>
      <c r="J12" s="585" t="s">
        <v>1240</v>
      </c>
      <c r="K12" s="585" t="s">
        <v>1240</v>
      </c>
      <c r="L12" s="586" t="s">
        <v>1241</v>
      </c>
      <c r="M12" s="587"/>
      <c r="O12" s="1517"/>
      <c r="P12" s="584" t="s">
        <v>1239</v>
      </c>
      <c r="Q12" s="585" t="s">
        <v>1240</v>
      </c>
      <c r="R12" s="585" t="s">
        <v>1240</v>
      </c>
      <c r="S12" s="586" t="s">
        <v>1241</v>
      </c>
      <c r="T12" s="1517"/>
      <c r="U12" s="584" t="s">
        <v>1239</v>
      </c>
      <c r="V12" s="585" t="s">
        <v>1240</v>
      </c>
      <c r="W12" s="585" t="s">
        <v>1240</v>
      </c>
      <c r="X12" s="586" t="s">
        <v>1241</v>
      </c>
      <c r="Z12" s="774"/>
      <c r="AA12" s="774"/>
    </row>
    <row r="13" spans="1:27" s="345" customFormat="1">
      <c r="A13" s="345">
        <f>IF(COUNTIF(C13,"")+COUNTIF(H13,"")+COUNTIF(O13,"")+COUNTIF(T13,"")=4,"",AVERAGE(C13,H13,O13,T13))</f>
        <v>5.3605555861977985</v>
      </c>
      <c r="B13" s="595" t="s">
        <v>1243</v>
      </c>
      <c r="C13" s="775">
        <f>IF('Sections rachis &amp; L pennes'!Q13="","",'Sections rachis &amp; L pennes'!Q13)</f>
        <v>5.15970515970516</v>
      </c>
      <c r="D13" s="776" t="str">
        <f>IF('Sections rachis &amp; L pennes'!R13="","",'Sections rachis &amp; L pennes'!R13)</f>
        <v/>
      </c>
      <c r="E13" s="777" t="str">
        <f>IF('Sections rachis &amp; L pennes'!S13="","",'Sections rachis &amp; L pennes'!S13)</f>
        <v/>
      </c>
      <c r="F13" s="777" t="str">
        <f>IF('Sections rachis &amp; L pennes'!T13="","",'Sections rachis &amp; L pennes'!T13)</f>
        <v/>
      </c>
      <c r="G13" s="778">
        <f>IF('Sections rachis &amp; L pennes'!U13="","",'Sections rachis &amp; L pennes'!U13)</f>
        <v>1.7</v>
      </c>
      <c r="H13" s="775">
        <f>IF('Sections rachis &amp; L pennes'!V13="","",'Sections rachis &amp; L pennes'!V13)</f>
        <v>5.4054054054054053</v>
      </c>
      <c r="I13" s="779" t="str">
        <f>IF('Sections rachis &amp; L pennes'!W13="","",'Sections rachis &amp; L pennes'!W13)</f>
        <v/>
      </c>
      <c r="J13" s="777" t="str">
        <f>IF('Sections rachis &amp; L pennes'!X13="","",'Sections rachis &amp; L pennes'!X13)</f>
        <v/>
      </c>
      <c r="K13" s="777" t="str">
        <f>IF('Sections rachis &amp; L pennes'!Y13="","",'Sections rachis &amp; L pennes'!Y13)</f>
        <v/>
      </c>
      <c r="L13" s="780">
        <f>IF('Sections rachis &amp; L pennes'!Z13="","",'Sections rachis &amp; L pennes'!Z13)</f>
        <v>1</v>
      </c>
      <c r="M13" s="781">
        <f>IF(COUNTIF(D13:G13,"")+COUNTIF(I13:L13,"")=8,"",MAX(D13:G13,I13:L13))</f>
        <v>1.7</v>
      </c>
      <c r="N13" s="595" t="s">
        <v>1243</v>
      </c>
      <c r="O13" s="775">
        <f>IF('Sections rachis &amp; L pennes'!AC13="","",'Sections rachis &amp; L pennes'!AC13)</f>
        <v>5.3228419347373288</v>
      </c>
      <c r="P13" s="776">
        <f>IF('Sections rachis &amp; L pennes'!AD13="","",'Sections rachis &amp; L pennes'!AD13)</f>
        <v>1.7</v>
      </c>
      <c r="Q13" s="777" t="str">
        <f>IF('Sections rachis &amp; L pennes'!AE13="","",'Sections rachis &amp; L pennes'!AE13)</f>
        <v/>
      </c>
      <c r="R13" s="777" t="str">
        <f>IF('Sections rachis &amp; L pennes'!AF13="","",'Sections rachis &amp; L pennes'!AF13)</f>
        <v/>
      </c>
      <c r="S13" s="778" t="str">
        <f>IF('Sections rachis &amp; L pennes'!AG13="","",'Sections rachis &amp; L pennes'!AG13)</f>
        <v/>
      </c>
      <c r="T13" s="775">
        <f>IF('Sections rachis &amp; L pennes'!AH13="","",'Sections rachis &amp; L pennes'!AH13)</f>
        <v>5.5542698449432999</v>
      </c>
      <c r="U13" s="779">
        <f>IF('Sections rachis &amp; L pennes'!AI13="","",'Sections rachis &amp; L pennes'!AI13)</f>
        <v>1.4</v>
      </c>
      <c r="V13" s="777" t="str">
        <f>IF('Sections rachis &amp; L pennes'!AJ13="","",'Sections rachis &amp; L pennes'!AJ13)</f>
        <v/>
      </c>
      <c r="W13" s="777" t="str">
        <f>IF('Sections rachis &amp; L pennes'!AK13="","",'Sections rachis &amp; L pennes'!AK13)</f>
        <v/>
      </c>
      <c r="X13" s="780" t="str">
        <f>IF('Sections rachis &amp; L pennes'!AL13="","",'Sections rachis &amp; L pennes'!AL13)</f>
        <v/>
      </c>
      <c r="Y13" s="781">
        <f>IF(COUNTIF(P13:S13,"")+COUNTIF(U13:X13,"")=8,"",MAX(P13:S13,U13:X13))</f>
        <v>1.7</v>
      </c>
      <c r="Z13" s="774"/>
      <c r="AA13" s="774"/>
    </row>
    <row r="14" spans="1:27" s="345" customFormat="1">
      <c r="A14" s="345">
        <f t="shared" ref="A14:A31" si="0">IF(COUNTIF(C14,"")+COUNTIF(H14,"")+COUNTIF(O14,"")+COUNTIF(T14,"")=4,"",AVERAGE(C14,H14,O14,T14))</f>
        <v>26.922669813782981</v>
      </c>
      <c r="B14" s="609" t="s">
        <v>1244</v>
      </c>
      <c r="C14" s="782">
        <f>IF('Sections rachis &amp; L pennes'!Q14="","",'Sections rachis &amp; L pennes'!Q14)</f>
        <v>27.346437346437348</v>
      </c>
      <c r="D14" s="783" t="str">
        <f>IF('Sections rachis &amp; L pennes'!R14="","",'Sections rachis &amp; L pennes'!R14)</f>
        <v/>
      </c>
      <c r="E14" s="784" t="str">
        <f>IF('Sections rachis &amp; L pennes'!S14="","",'Sections rachis &amp; L pennes'!S14)</f>
        <v/>
      </c>
      <c r="F14" s="784" t="str">
        <f>IF('Sections rachis &amp; L pennes'!T14="","",'Sections rachis &amp; L pennes'!T14)</f>
        <v/>
      </c>
      <c r="G14" s="785">
        <f>IF('Sections rachis &amp; L pennes'!U14="","",'Sections rachis &amp; L pennes'!U14)</f>
        <v>13.3</v>
      </c>
      <c r="H14" s="782">
        <f>IF('Sections rachis &amp; L pennes'!V14="","",'Sections rachis &amp; L pennes'!V14)</f>
        <v>28.157248157248159</v>
      </c>
      <c r="I14" s="786">
        <f>IF('Sections rachis &amp; L pennes'!W14="","",'Sections rachis &amp; L pennes'!W14)</f>
        <v>10.6</v>
      </c>
      <c r="J14" s="784" t="str">
        <f>IF('Sections rachis &amp; L pennes'!X14="","",'Sections rachis &amp; L pennes'!X14)</f>
        <v/>
      </c>
      <c r="K14" s="784" t="str">
        <f>IF('Sections rachis &amp; L pennes'!Y14="","",'Sections rachis &amp; L pennes'!Y14)</f>
        <v/>
      </c>
      <c r="L14" s="787" t="str">
        <f>IF('Sections rachis &amp; L pennes'!Z14="","",'Sections rachis &amp; L pennes'!Z14)</f>
        <v/>
      </c>
      <c r="M14" s="781">
        <f t="shared" ref="M14:M31" si="1">IF(COUNTIF(D14:G14,"")+COUNTIF(I14:L14,"")=8,"",MAX(D14:G14,I14:L14))</f>
        <v>13.3</v>
      </c>
      <c r="N14" s="609" t="s">
        <v>1244</v>
      </c>
      <c r="O14" s="782">
        <f>IF('Sections rachis &amp; L pennes'!AC14="","",'Sections rachis &amp; L pennes'!AC14)</f>
        <v>26.429067345521869</v>
      </c>
      <c r="P14" s="783">
        <f>IF('Sections rachis &amp; L pennes'!AD14="","",'Sections rachis &amp; L pennes'!AD14)</f>
        <v>20.7</v>
      </c>
      <c r="Q14" s="784" t="str">
        <f>IF('Sections rachis &amp; L pennes'!AE14="","",'Sections rachis &amp; L pennes'!AE14)</f>
        <v/>
      </c>
      <c r="R14" s="784" t="str">
        <f>IF('Sections rachis &amp; L pennes'!AF14="","",'Sections rachis &amp; L pennes'!AF14)</f>
        <v/>
      </c>
      <c r="S14" s="785" t="str">
        <f>IF('Sections rachis &amp; L pennes'!AG14="","",'Sections rachis &amp; L pennes'!AG14)</f>
        <v/>
      </c>
      <c r="T14" s="782">
        <f>IF('Sections rachis &amp; L pennes'!AH14="","",'Sections rachis &amp; L pennes'!AH14)</f>
        <v>25.757926405924554</v>
      </c>
      <c r="U14" s="786" t="str">
        <f>IF('Sections rachis &amp; L pennes'!AI14="","",'Sections rachis &amp; L pennes'!AI14)</f>
        <v/>
      </c>
      <c r="V14" s="784" t="str">
        <f>IF('Sections rachis &amp; L pennes'!AJ14="","",'Sections rachis &amp; L pennes'!AJ14)</f>
        <v/>
      </c>
      <c r="W14" s="784" t="str">
        <f>IF('Sections rachis &amp; L pennes'!AK14="","",'Sections rachis &amp; L pennes'!AK14)</f>
        <v/>
      </c>
      <c r="X14" s="787">
        <f>IF('Sections rachis &amp; L pennes'!AL14="","",'Sections rachis &amp; L pennes'!AL14)</f>
        <v>22.8</v>
      </c>
      <c r="Y14" s="781">
        <f t="shared" ref="Y14:Y31" si="2">IF(COUNTIF(P14:S14,"")+COUNTIF(U14:X14,"")=8,"",MAX(P14:S14,U14:X14))</f>
        <v>22.8</v>
      </c>
      <c r="Z14" s="774"/>
      <c r="AA14" s="774"/>
    </row>
    <row r="15" spans="1:27" s="345" customFormat="1" ht="13.5" thickBot="1">
      <c r="A15" s="345">
        <f t="shared" si="0"/>
        <v>28.402760758696882</v>
      </c>
      <c r="B15" s="620" t="s">
        <v>1245</v>
      </c>
      <c r="C15" s="788">
        <f>IF('Sections rachis &amp; L pennes'!Q15="","",'Sections rachis &amp; L pennes'!Q15)</f>
        <v>30.466830466830466</v>
      </c>
      <c r="D15" s="789">
        <f>IF('Sections rachis &amp; L pennes'!R15="","",'Sections rachis &amp; L pennes'!R15)</f>
        <v>36.299999999999997</v>
      </c>
      <c r="E15" s="790" t="str">
        <f>IF('Sections rachis &amp; L pennes'!S15="","",'Sections rachis &amp; L pennes'!S15)</f>
        <v/>
      </c>
      <c r="F15" s="790" t="str">
        <f>IF('Sections rachis &amp; L pennes'!T15="","",'Sections rachis &amp; L pennes'!T15)</f>
        <v/>
      </c>
      <c r="G15" s="791" t="str">
        <f>IF('Sections rachis &amp; L pennes'!U15="","",'Sections rachis &amp; L pennes'!U15)</f>
        <v/>
      </c>
      <c r="H15" s="788">
        <f>IF('Sections rachis &amp; L pennes'!V15="","",'Sections rachis &amp; L pennes'!V15)</f>
        <v>28.55036855036855</v>
      </c>
      <c r="I15" s="792" t="str">
        <f>IF('Sections rachis &amp; L pennes'!W15="","",'Sections rachis &amp; L pennes'!W15)</f>
        <v/>
      </c>
      <c r="J15" s="790" t="str">
        <f>IF('Sections rachis &amp; L pennes'!X15="","",'Sections rachis &amp; L pennes'!X15)</f>
        <v/>
      </c>
      <c r="K15" s="790" t="str">
        <f>IF('Sections rachis &amp; L pennes'!Y15="","",'Sections rachis &amp; L pennes'!Y15)</f>
        <v/>
      </c>
      <c r="L15" s="793">
        <f>IF('Sections rachis &amp; L pennes'!Z15="","",'Sections rachis &amp; L pennes'!Z15)</f>
        <v>16</v>
      </c>
      <c r="M15" s="781">
        <f t="shared" si="1"/>
        <v>36.299999999999997</v>
      </c>
      <c r="N15" s="620" t="s">
        <v>1245</v>
      </c>
      <c r="O15" s="782">
        <f>IF('Sections rachis &amp; L pennes'!AC15="","",'Sections rachis &amp; L pennes'!AC15)</f>
        <v>26.799352001851421</v>
      </c>
      <c r="P15" s="789" t="str">
        <f>IF('Sections rachis &amp; L pennes'!AD15="","",'Sections rachis &amp; L pennes'!AD15)</f>
        <v/>
      </c>
      <c r="Q15" s="790" t="str">
        <f>IF('Sections rachis &amp; L pennes'!AE15="","",'Sections rachis &amp; L pennes'!AE15)</f>
        <v/>
      </c>
      <c r="R15" s="790" t="str">
        <f>IF('Sections rachis &amp; L pennes'!AF15="","",'Sections rachis &amp; L pennes'!AF15)</f>
        <v/>
      </c>
      <c r="S15" s="791">
        <f>IF('Sections rachis &amp; L pennes'!AG15="","",'Sections rachis &amp; L pennes'!AG15)</f>
        <v>40.700000000000003</v>
      </c>
      <c r="T15" s="782">
        <f>IF('Sections rachis &amp; L pennes'!AH15="","",'Sections rachis &amp; L pennes'!AH15)</f>
        <v>27.794492015737095</v>
      </c>
      <c r="U15" s="792">
        <f>IF('Sections rachis &amp; L pennes'!AI15="","",'Sections rachis &amp; L pennes'!AI15)</f>
        <v>51.4</v>
      </c>
      <c r="V15" s="790" t="str">
        <f>IF('Sections rachis &amp; L pennes'!AJ15="","",'Sections rachis &amp; L pennes'!AJ15)</f>
        <v/>
      </c>
      <c r="W15" s="790" t="str">
        <f>IF('Sections rachis &amp; L pennes'!AK15="","",'Sections rachis &amp; L pennes'!AK15)</f>
        <v/>
      </c>
      <c r="X15" s="793" t="str">
        <f>IF('Sections rachis &amp; L pennes'!AL15="","",'Sections rachis &amp; L pennes'!AL15)</f>
        <v/>
      </c>
      <c r="Y15" s="781">
        <f t="shared" si="2"/>
        <v>51.4</v>
      </c>
      <c r="Z15" s="774"/>
      <c r="AA15" s="774"/>
    </row>
    <row r="16" spans="1:27" s="345" customFormat="1">
      <c r="C16" s="775" t="str">
        <f>IF('Sections rachis &amp; L pennes'!Q16="","",'Sections rachis &amp; L pennes'!Q16)</f>
        <v/>
      </c>
      <c r="D16" s="776" t="str">
        <f>IF('Sections rachis &amp; L pennes'!R16="","",'Sections rachis &amp; L pennes'!R16)</f>
        <v/>
      </c>
      <c r="E16" s="777" t="str">
        <f>IF('Sections rachis &amp; L pennes'!S16="","",'Sections rachis &amp; L pennes'!S16)</f>
        <v/>
      </c>
      <c r="F16" s="777" t="str">
        <f>IF('Sections rachis &amp; L pennes'!T16="","",'Sections rachis &amp; L pennes'!T16)</f>
        <v/>
      </c>
      <c r="G16" s="778" t="str">
        <f>IF('Sections rachis &amp; L pennes'!U16="","",'Sections rachis &amp; L pennes'!U16)</f>
        <v/>
      </c>
      <c r="H16" s="775" t="str">
        <f>IF('Sections rachis &amp; L pennes'!V16="","",'Sections rachis &amp; L pennes'!V16)</f>
        <v/>
      </c>
      <c r="I16" s="779" t="str">
        <f>IF('Sections rachis &amp; L pennes'!W16="","",'Sections rachis &amp; L pennes'!W16)</f>
        <v/>
      </c>
      <c r="J16" s="777" t="str">
        <f>IF('Sections rachis &amp; L pennes'!X16="","",'Sections rachis &amp; L pennes'!X16)</f>
        <v/>
      </c>
      <c r="K16" s="777" t="str">
        <f>IF('Sections rachis &amp; L pennes'!Y16="","",'Sections rachis &amp; L pennes'!Y16)</f>
        <v/>
      </c>
      <c r="L16" s="780" t="str">
        <f>IF('Sections rachis &amp; L pennes'!Z16="","",'Sections rachis &amp; L pennes'!Z16)</f>
        <v/>
      </c>
      <c r="M16" s="781" t="str">
        <f t="shared" si="1"/>
        <v/>
      </c>
      <c r="O16" s="782" t="str">
        <f>IF('Sections rachis &amp; L pennes'!AC16="","",'Sections rachis &amp; L pennes'!AC16)</f>
        <v/>
      </c>
      <c r="P16" s="776" t="str">
        <f>IF('Sections rachis &amp; L pennes'!AD16="","",'Sections rachis &amp; L pennes'!AD16)</f>
        <v/>
      </c>
      <c r="Q16" s="777" t="str">
        <f>IF('Sections rachis &amp; L pennes'!AE16="","",'Sections rachis &amp; L pennes'!AE16)</f>
        <v/>
      </c>
      <c r="R16" s="777" t="str">
        <f>IF('Sections rachis &amp; L pennes'!AF16="","",'Sections rachis &amp; L pennes'!AF16)</f>
        <v/>
      </c>
      <c r="S16" s="778" t="str">
        <f>IF('Sections rachis &amp; L pennes'!AG16="","",'Sections rachis &amp; L pennes'!AG16)</f>
        <v/>
      </c>
      <c r="T16" s="782" t="str">
        <f>IF('Sections rachis &amp; L pennes'!AH16="","",'Sections rachis &amp; L pennes'!AH16)</f>
        <v/>
      </c>
      <c r="U16" s="779" t="str">
        <f>IF('Sections rachis &amp; L pennes'!AI16="","",'Sections rachis &amp; L pennes'!AI16)</f>
        <v/>
      </c>
      <c r="V16" s="777" t="str">
        <f>IF('Sections rachis &amp; L pennes'!AJ16="","",'Sections rachis &amp; L pennes'!AJ16)</f>
        <v/>
      </c>
      <c r="W16" s="777" t="str">
        <f>IF('Sections rachis &amp; L pennes'!AK16="","",'Sections rachis &amp; L pennes'!AK16)</f>
        <v/>
      </c>
      <c r="X16" s="780" t="str">
        <f>IF('Sections rachis &amp; L pennes'!AL16="","",'Sections rachis &amp; L pennes'!AL16)</f>
        <v/>
      </c>
      <c r="Y16" s="781" t="str">
        <f t="shared" si="2"/>
        <v/>
      </c>
    </row>
    <row r="17" spans="1:25" s="345" customFormat="1">
      <c r="A17" s="345">
        <f t="shared" si="0"/>
        <v>10</v>
      </c>
      <c r="C17" s="782">
        <f>IF('Sections rachis &amp; L pennes'!Q17="","",'Sections rachis &amp; L pennes'!Q17)</f>
        <v>10</v>
      </c>
      <c r="D17" s="783">
        <f>IF('Sections rachis &amp; L pennes'!R17="","",'Sections rachis &amp; L pennes'!R17)</f>
        <v>5.5</v>
      </c>
      <c r="E17" s="784" t="str">
        <f>IF('Sections rachis &amp; L pennes'!S17="","",'Sections rachis &amp; L pennes'!S17)</f>
        <v/>
      </c>
      <c r="F17" s="784" t="str">
        <f>IF('Sections rachis &amp; L pennes'!T17="","",'Sections rachis &amp; L pennes'!T17)</f>
        <v/>
      </c>
      <c r="G17" s="785" t="str">
        <f>IF('Sections rachis &amp; L pennes'!U17="","",'Sections rachis &amp; L pennes'!U17)</f>
        <v/>
      </c>
      <c r="H17" s="782">
        <f>IF('Sections rachis &amp; L pennes'!V17="","",'Sections rachis &amp; L pennes'!V17)</f>
        <v>10</v>
      </c>
      <c r="I17" s="786">
        <f>IF('Sections rachis &amp; L pennes'!W17="","",'Sections rachis &amp; L pennes'!W17)</f>
        <v>4.0999999999999996</v>
      </c>
      <c r="J17" s="784" t="str">
        <f>IF('Sections rachis &amp; L pennes'!X17="","",'Sections rachis &amp; L pennes'!X17)</f>
        <v/>
      </c>
      <c r="K17" s="784" t="str">
        <f>IF('Sections rachis &amp; L pennes'!Y17="","",'Sections rachis &amp; L pennes'!Y17)</f>
        <v/>
      </c>
      <c r="L17" s="787">
        <f>IF('Sections rachis &amp; L pennes'!Z17="","",'Sections rachis &amp; L pennes'!Z17)</f>
        <v>6.6</v>
      </c>
      <c r="M17" s="781">
        <f t="shared" si="1"/>
        <v>6.6</v>
      </c>
      <c r="O17" s="782">
        <f>IF('Sections rachis &amp; L pennes'!AC17="","",'Sections rachis &amp; L pennes'!AC17)</f>
        <v>10</v>
      </c>
      <c r="P17" s="783" t="str">
        <f>IF('Sections rachis &amp; L pennes'!AD17="","",'Sections rachis &amp; L pennes'!AD17)</f>
        <v/>
      </c>
      <c r="Q17" s="784">
        <f>IF('Sections rachis &amp; L pennes'!AE17="","",'Sections rachis &amp; L pennes'!AE17)</f>
        <v>4.7</v>
      </c>
      <c r="R17" s="784" t="str">
        <f>IF('Sections rachis &amp; L pennes'!AF17="","",'Sections rachis &amp; L pennes'!AF17)</f>
        <v/>
      </c>
      <c r="S17" s="785" t="str">
        <f>IF('Sections rachis &amp; L pennes'!AG17="","",'Sections rachis &amp; L pennes'!AG17)</f>
        <v/>
      </c>
      <c r="T17" s="782">
        <f>IF('Sections rachis &amp; L pennes'!AH17="","",'Sections rachis &amp; L pennes'!AH17)</f>
        <v>10</v>
      </c>
      <c r="U17" s="786" t="str">
        <f>IF('Sections rachis &amp; L pennes'!AI17="","",'Sections rachis &amp; L pennes'!AI17)</f>
        <v/>
      </c>
      <c r="V17" s="784">
        <f>IF('Sections rachis &amp; L pennes'!AJ17="","",'Sections rachis &amp; L pennes'!AJ17)</f>
        <v>6.4</v>
      </c>
      <c r="W17" s="784" t="str">
        <f>IF('Sections rachis &amp; L pennes'!AK17="","",'Sections rachis &amp; L pennes'!AK17)</f>
        <v/>
      </c>
      <c r="X17" s="787" t="str">
        <f>IF('Sections rachis &amp; L pennes'!AL17="","",'Sections rachis &amp; L pennes'!AL17)</f>
        <v/>
      </c>
      <c r="Y17" s="781">
        <f t="shared" si="2"/>
        <v>6.4</v>
      </c>
    </row>
    <row r="18" spans="1:25" s="345" customFormat="1">
      <c r="A18" s="345">
        <f t="shared" si="0"/>
        <v>20</v>
      </c>
      <c r="C18" s="782">
        <f>IF('Sections rachis &amp; L pennes'!Q18="","",'Sections rachis &amp; L pennes'!Q18)</f>
        <v>20</v>
      </c>
      <c r="D18" s="783">
        <f>IF('Sections rachis &amp; L pennes'!R18="","",'Sections rachis &amp; L pennes'!R18)</f>
        <v>8.5</v>
      </c>
      <c r="E18" s="784" t="str">
        <f>IF('Sections rachis &amp; L pennes'!S18="","",'Sections rachis &amp; L pennes'!S18)</f>
        <v/>
      </c>
      <c r="F18" s="784" t="str">
        <f>IF('Sections rachis &amp; L pennes'!T18="","",'Sections rachis &amp; L pennes'!T18)</f>
        <v/>
      </c>
      <c r="G18" s="785" t="str">
        <f>IF('Sections rachis &amp; L pennes'!U18="","",'Sections rachis &amp; L pennes'!U18)</f>
        <v/>
      </c>
      <c r="H18" s="782">
        <f>IF('Sections rachis &amp; L pennes'!V18="","",'Sections rachis &amp; L pennes'!V18)</f>
        <v>20</v>
      </c>
      <c r="I18" s="786">
        <f>IF('Sections rachis &amp; L pennes'!W18="","",'Sections rachis &amp; L pennes'!W18)</f>
        <v>8.8000000000000007</v>
      </c>
      <c r="J18" s="784" t="str">
        <f>IF('Sections rachis &amp; L pennes'!X18="","",'Sections rachis &amp; L pennes'!X18)</f>
        <v/>
      </c>
      <c r="K18" s="784" t="str">
        <f>IF('Sections rachis &amp; L pennes'!Y18="","",'Sections rachis &amp; L pennes'!Y18)</f>
        <v/>
      </c>
      <c r="L18" s="787" t="str">
        <f>IF('Sections rachis &amp; L pennes'!Z18="","",'Sections rachis &amp; L pennes'!Z18)</f>
        <v/>
      </c>
      <c r="M18" s="781">
        <f t="shared" si="1"/>
        <v>8.8000000000000007</v>
      </c>
      <c r="O18" s="782">
        <f>IF('Sections rachis &amp; L pennes'!AC18="","",'Sections rachis &amp; L pennes'!AC18)</f>
        <v>20</v>
      </c>
      <c r="P18" s="783">
        <f>IF('Sections rachis &amp; L pennes'!AD18="","",'Sections rachis &amp; L pennes'!AD18)</f>
        <v>6.5</v>
      </c>
      <c r="Q18" s="784" t="str">
        <f>IF('Sections rachis &amp; L pennes'!AE18="","",'Sections rachis &amp; L pennes'!AE18)</f>
        <v/>
      </c>
      <c r="R18" s="784" t="str">
        <f>IF('Sections rachis &amp; L pennes'!AF18="","",'Sections rachis &amp; L pennes'!AF18)</f>
        <v/>
      </c>
      <c r="S18" s="785">
        <f>IF('Sections rachis &amp; L pennes'!AG18="","",'Sections rachis &amp; L pennes'!AG18)</f>
        <v>10</v>
      </c>
      <c r="T18" s="782">
        <f>IF('Sections rachis &amp; L pennes'!AH18="","",'Sections rachis &amp; L pennes'!AH18)</f>
        <v>20</v>
      </c>
      <c r="U18" s="786">
        <f>IF('Sections rachis &amp; L pennes'!AI18="","",'Sections rachis &amp; L pennes'!AI18)</f>
        <v>7.9</v>
      </c>
      <c r="V18" s="784" t="str">
        <f>IF('Sections rachis &amp; L pennes'!AJ18="","",'Sections rachis &amp; L pennes'!AJ18)</f>
        <v/>
      </c>
      <c r="W18" s="784" t="str">
        <f>IF('Sections rachis &amp; L pennes'!AK18="","",'Sections rachis &amp; L pennes'!AK18)</f>
        <v/>
      </c>
      <c r="X18" s="787">
        <f>IF('Sections rachis &amp; L pennes'!AL18="","",'Sections rachis &amp; L pennes'!AL18)</f>
        <v>11.8</v>
      </c>
      <c r="Y18" s="781">
        <f t="shared" si="2"/>
        <v>11.8</v>
      </c>
    </row>
    <row r="19" spans="1:25" s="345" customFormat="1">
      <c r="A19" s="345">
        <f t="shared" si="0"/>
        <v>30</v>
      </c>
      <c r="C19" s="782">
        <f>IF('Sections rachis &amp; L pennes'!Q19="","",'Sections rachis &amp; L pennes'!Q19)</f>
        <v>30</v>
      </c>
      <c r="D19" s="783">
        <f>IF('Sections rachis &amp; L pennes'!R19="","",'Sections rachis &amp; L pennes'!R19)</f>
        <v>63.6</v>
      </c>
      <c r="E19" s="784" t="str">
        <f>IF('Sections rachis &amp; L pennes'!S19="","",'Sections rachis &amp; L pennes'!S19)</f>
        <v/>
      </c>
      <c r="F19" s="784" t="str">
        <f>IF('Sections rachis &amp; L pennes'!T19="","",'Sections rachis &amp; L pennes'!T19)</f>
        <v/>
      </c>
      <c r="G19" s="785">
        <f>IF('Sections rachis &amp; L pennes'!U19="","",'Sections rachis &amp; L pennes'!U19)</f>
        <v>68</v>
      </c>
      <c r="H19" s="782">
        <f>IF('Sections rachis &amp; L pennes'!V19="","",'Sections rachis &amp; L pennes'!V19)</f>
        <v>30</v>
      </c>
      <c r="I19" s="786">
        <f>IF('Sections rachis &amp; L pennes'!W19="","",'Sections rachis &amp; L pennes'!W19)</f>
        <v>60.9</v>
      </c>
      <c r="J19" s="784" t="str">
        <f>IF('Sections rachis &amp; L pennes'!X19="","",'Sections rachis &amp; L pennes'!X19)</f>
        <v/>
      </c>
      <c r="K19" s="784" t="str">
        <f>IF('Sections rachis &amp; L pennes'!Y19="","",'Sections rachis &amp; L pennes'!Y19)</f>
        <v/>
      </c>
      <c r="L19" s="787">
        <f>IF('Sections rachis &amp; L pennes'!Z19="","",'Sections rachis &amp; L pennes'!Z19)</f>
        <v>64.3</v>
      </c>
      <c r="M19" s="781">
        <f t="shared" si="1"/>
        <v>68</v>
      </c>
      <c r="O19" s="782">
        <f>IF('Sections rachis &amp; L pennes'!AC19="","",'Sections rachis &amp; L pennes'!AC19)</f>
        <v>30</v>
      </c>
      <c r="P19" s="783">
        <f>IF('Sections rachis &amp; L pennes'!AD19="","",'Sections rachis &amp; L pennes'!AD19)</f>
        <v>51.7</v>
      </c>
      <c r="Q19" s="784" t="str">
        <f>IF('Sections rachis &amp; L pennes'!AE19="","",'Sections rachis &amp; L pennes'!AE19)</f>
        <v/>
      </c>
      <c r="R19" s="784" t="str">
        <f>IF('Sections rachis &amp; L pennes'!AF19="","",'Sections rachis &amp; L pennes'!AF19)</f>
        <v/>
      </c>
      <c r="S19" s="785">
        <f>IF('Sections rachis &amp; L pennes'!AG19="","",'Sections rachis &amp; L pennes'!AG19)</f>
        <v>62.7</v>
      </c>
      <c r="T19" s="782">
        <f>IF('Sections rachis &amp; L pennes'!AH19="","",'Sections rachis &amp; L pennes'!AH19)</f>
        <v>30</v>
      </c>
      <c r="U19" s="786">
        <f>IF('Sections rachis &amp; L pennes'!AI19="","",'Sections rachis &amp; L pennes'!AI19)</f>
        <v>51.4</v>
      </c>
      <c r="V19" s="784" t="str">
        <f>IF('Sections rachis &amp; L pennes'!AJ19="","",'Sections rachis &amp; L pennes'!AJ19)</f>
        <v/>
      </c>
      <c r="W19" s="784" t="str">
        <f>IF('Sections rachis &amp; L pennes'!AK19="","",'Sections rachis &amp; L pennes'!AK19)</f>
        <v/>
      </c>
      <c r="X19" s="787">
        <f>IF('Sections rachis &amp; L pennes'!AL19="","",'Sections rachis &amp; L pennes'!AL19)</f>
        <v>63</v>
      </c>
      <c r="Y19" s="781">
        <f t="shared" si="2"/>
        <v>63</v>
      </c>
    </row>
    <row r="20" spans="1:25" s="345" customFormat="1">
      <c r="A20" s="345">
        <f t="shared" si="0"/>
        <v>40</v>
      </c>
      <c r="C20" s="782">
        <f>IF('Sections rachis &amp; L pennes'!Q20="","",'Sections rachis &amp; L pennes'!Q20)</f>
        <v>40</v>
      </c>
      <c r="D20" s="783">
        <f>IF('Sections rachis &amp; L pennes'!R20="","",'Sections rachis &amp; L pennes'!R20)</f>
        <v>58.1</v>
      </c>
      <c r="E20" s="784">
        <f>IF('Sections rachis &amp; L pennes'!S20="","",'Sections rachis &amp; L pennes'!S20)</f>
        <v>60.3</v>
      </c>
      <c r="F20" s="784" t="str">
        <f>IF('Sections rachis &amp; L pennes'!T20="","",'Sections rachis &amp; L pennes'!T20)</f>
        <v/>
      </c>
      <c r="G20" s="785">
        <f>IF('Sections rachis &amp; L pennes'!U20="","",'Sections rachis &amp; L pennes'!U20)</f>
        <v>61.3</v>
      </c>
      <c r="H20" s="782">
        <f>IF('Sections rachis &amp; L pennes'!V20="","",'Sections rachis &amp; L pennes'!V20)</f>
        <v>40</v>
      </c>
      <c r="I20" s="786">
        <f>IF('Sections rachis &amp; L pennes'!W20="","",'Sections rachis &amp; L pennes'!W20)</f>
        <v>57</v>
      </c>
      <c r="J20" s="784"/>
      <c r="K20" s="784" t="str">
        <f>IF('Sections rachis &amp; L pennes'!Y20="","",'Sections rachis &amp; L pennes'!Y20)</f>
        <v/>
      </c>
      <c r="L20" s="787">
        <f>IF('Sections rachis &amp; L pennes'!Z20="","",'Sections rachis &amp; L pennes'!Z20)</f>
        <v>58.29</v>
      </c>
      <c r="M20" s="781">
        <f t="shared" si="1"/>
        <v>61.3</v>
      </c>
      <c r="O20" s="782">
        <f>IF('Sections rachis &amp; L pennes'!AC20="","",'Sections rachis &amp; L pennes'!AC20)</f>
        <v>40</v>
      </c>
      <c r="P20" s="783">
        <f>IF('Sections rachis &amp; L pennes'!AD20="","",'Sections rachis &amp; L pennes'!AD20)</f>
        <v>66.7</v>
      </c>
      <c r="Q20" s="784" t="str">
        <f>IF('Sections rachis &amp; L pennes'!AE20="","",'Sections rachis &amp; L pennes'!AE20)</f>
        <v/>
      </c>
      <c r="R20" s="784" t="str">
        <f>IF('Sections rachis &amp; L pennes'!AF20="","",'Sections rachis &amp; L pennes'!AF20)</f>
        <v/>
      </c>
      <c r="S20" s="785">
        <f>IF('Sections rachis &amp; L pennes'!AG20="","",'Sections rachis &amp; L pennes'!AG20)</f>
        <v>70</v>
      </c>
      <c r="T20" s="782">
        <f>IF('Sections rachis &amp; L pennes'!AH20="","",'Sections rachis &amp; L pennes'!AH20)</f>
        <v>40</v>
      </c>
      <c r="U20" s="786">
        <f>IF('Sections rachis &amp; L pennes'!AI20="","",'Sections rachis &amp; L pennes'!AI20)</f>
        <v>73.599999999999994</v>
      </c>
      <c r="V20" s="784" t="str">
        <f>IF('Sections rachis &amp; L pennes'!AJ20="","",'Sections rachis &amp; L pennes'!AJ20)</f>
        <v/>
      </c>
      <c r="W20" s="784" t="str">
        <f>IF('Sections rachis &amp; L pennes'!AK20="","",'Sections rachis &amp; L pennes'!AK20)</f>
        <v/>
      </c>
      <c r="X20" s="787">
        <f>IF('Sections rachis &amp; L pennes'!AL20="","",'Sections rachis &amp; L pennes'!AL20)</f>
        <v>67.599999999999994</v>
      </c>
      <c r="Y20" s="781">
        <f t="shared" si="2"/>
        <v>73.599999999999994</v>
      </c>
    </row>
    <row r="21" spans="1:25" s="345" customFormat="1">
      <c r="A21" s="345">
        <f t="shared" si="0"/>
        <v>50</v>
      </c>
      <c r="C21" s="782">
        <f>IF('Sections rachis &amp; L pennes'!Q21="","",'Sections rachis &amp; L pennes'!Q21)</f>
        <v>50</v>
      </c>
      <c r="D21" s="783">
        <f>IF('Sections rachis &amp; L pennes'!R21="","",'Sections rachis &amp; L pennes'!R21)</f>
        <v>52.9</v>
      </c>
      <c r="E21" s="784" t="str">
        <f>IF('Sections rachis &amp; L pennes'!S21="","",'Sections rachis &amp; L pennes'!S21)</f>
        <v/>
      </c>
      <c r="F21" s="784" t="str">
        <f>IF('Sections rachis &amp; L pennes'!T21="","",'Sections rachis &amp; L pennes'!T21)</f>
        <v/>
      </c>
      <c r="G21" s="785">
        <f>IF('Sections rachis &amp; L pennes'!U21="","",'Sections rachis &amp; L pennes'!U21)</f>
        <v>3</v>
      </c>
      <c r="H21" s="782">
        <f>IF('Sections rachis &amp; L pennes'!V21="","",'Sections rachis &amp; L pennes'!V21)</f>
        <v>50</v>
      </c>
      <c r="I21" s="786">
        <f>IF('Sections rachis &amp; L pennes'!W21="","",'Sections rachis &amp; L pennes'!W21)</f>
        <v>53.2</v>
      </c>
      <c r="J21" s="784" t="str">
        <f>IF('Sections rachis &amp; L pennes'!X21="","",'Sections rachis &amp; L pennes'!X21)</f>
        <v/>
      </c>
      <c r="K21" s="784" t="str">
        <f>IF('Sections rachis &amp; L pennes'!Y21="","",'Sections rachis &amp; L pennes'!Y21)</f>
        <v/>
      </c>
      <c r="L21" s="787" t="str">
        <f>IF('Sections rachis &amp; L pennes'!Z21="","",'Sections rachis &amp; L pennes'!Z21)</f>
        <v/>
      </c>
      <c r="M21" s="781">
        <f t="shared" si="1"/>
        <v>53.2</v>
      </c>
      <c r="O21" s="782">
        <f>IF('Sections rachis &amp; L pennes'!AC21="","",'Sections rachis &amp; L pennes'!AC21)</f>
        <v>50</v>
      </c>
      <c r="P21" s="783">
        <f>IF('Sections rachis &amp; L pennes'!AD21="","",'Sections rachis &amp; L pennes'!AD21)</f>
        <v>54.8</v>
      </c>
      <c r="Q21" s="784">
        <f>IF('Sections rachis &amp; L pennes'!AE21="","",'Sections rachis &amp; L pennes'!AE21)</f>
        <v>55.5</v>
      </c>
      <c r="R21" s="784" t="str">
        <f>IF('Sections rachis &amp; L pennes'!AF21="","",'Sections rachis &amp; L pennes'!AF21)</f>
        <v/>
      </c>
      <c r="S21" s="785">
        <f>IF('Sections rachis &amp; L pennes'!AG21="","",'Sections rachis &amp; L pennes'!AG21)</f>
        <v>56.5</v>
      </c>
      <c r="T21" s="782">
        <f>IF('Sections rachis &amp; L pennes'!AH21="","",'Sections rachis &amp; L pennes'!AH21)</f>
        <v>50</v>
      </c>
      <c r="U21" s="786">
        <f>IF('Sections rachis &amp; L pennes'!AI21="","",'Sections rachis &amp; L pennes'!AI21)</f>
        <v>68.3</v>
      </c>
      <c r="V21" s="784" t="str">
        <f>IF('Sections rachis &amp; L pennes'!AJ21="","",'Sections rachis &amp; L pennes'!AJ21)</f>
        <v/>
      </c>
      <c r="W21" s="784" t="str">
        <f>IF('Sections rachis &amp; L pennes'!AK21="","",'Sections rachis &amp; L pennes'!AK21)</f>
        <v/>
      </c>
      <c r="X21" s="787">
        <f>IF('Sections rachis &amp; L pennes'!AL21="","",'Sections rachis &amp; L pennes'!AL21)</f>
        <v>70.400000000000006</v>
      </c>
      <c r="Y21" s="781">
        <f t="shared" si="2"/>
        <v>70.400000000000006</v>
      </c>
    </row>
    <row r="22" spans="1:25" s="345" customFormat="1">
      <c r="A22" s="345">
        <f t="shared" si="0"/>
        <v>60</v>
      </c>
      <c r="C22" s="782">
        <f>IF('Sections rachis &amp; L pennes'!Q22="","",'Sections rachis &amp; L pennes'!Q22)</f>
        <v>60</v>
      </c>
      <c r="D22" s="783">
        <f>IF('Sections rachis &amp; L pennes'!R22="","",'Sections rachis &amp; L pennes'!R22)</f>
        <v>52.3</v>
      </c>
      <c r="E22" s="784" t="str">
        <f>IF('Sections rachis &amp; L pennes'!S22="","",'Sections rachis &amp; L pennes'!S22)</f>
        <v/>
      </c>
      <c r="F22" s="784" t="str">
        <f>IF('Sections rachis &amp; L pennes'!T22="","",'Sections rachis &amp; L pennes'!T22)</f>
        <v/>
      </c>
      <c r="G22" s="785">
        <f>IF('Sections rachis &amp; L pennes'!U22="","",'Sections rachis &amp; L pennes'!U22)</f>
        <v>53</v>
      </c>
      <c r="H22" s="782">
        <f>IF('Sections rachis &amp; L pennes'!V22="","",'Sections rachis &amp; L pennes'!V22)</f>
        <v>60</v>
      </c>
      <c r="I22" s="786">
        <f>IF('Sections rachis &amp; L pennes'!W22="","",'Sections rachis &amp; L pennes'!W22)</f>
        <v>50.3</v>
      </c>
      <c r="J22" s="784">
        <f>IF('Sections rachis &amp; L pennes'!X22="","",'Sections rachis &amp; L pennes'!X22)</f>
        <v>51.4</v>
      </c>
      <c r="K22" s="784" t="str">
        <f>IF('Sections rachis &amp; L pennes'!Y22="","",'Sections rachis &amp; L pennes'!Y22)</f>
        <v/>
      </c>
      <c r="L22" s="787">
        <f>IF('Sections rachis &amp; L pennes'!Z22="","",'Sections rachis &amp; L pennes'!Z22)</f>
        <v>52.2</v>
      </c>
      <c r="M22" s="781">
        <f t="shared" si="1"/>
        <v>53</v>
      </c>
      <c r="O22" s="782">
        <f>IF('Sections rachis &amp; L pennes'!AC22="","",'Sections rachis &amp; L pennes'!AC22)</f>
        <v>60</v>
      </c>
      <c r="P22" s="783">
        <f>IF('Sections rachis &amp; L pennes'!AD22="","",'Sections rachis &amp; L pennes'!AD22)</f>
        <v>53</v>
      </c>
      <c r="Q22" s="784" t="str">
        <f>IF('Sections rachis &amp; L pennes'!AE22="","",'Sections rachis &amp; L pennes'!AE22)</f>
        <v/>
      </c>
      <c r="R22" s="784" t="str">
        <f>IF('Sections rachis &amp; L pennes'!AF22="","",'Sections rachis &amp; L pennes'!AF22)</f>
        <v/>
      </c>
      <c r="S22" s="785">
        <f>IF('Sections rachis &amp; L pennes'!AG22="","",'Sections rachis &amp; L pennes'!AG22)</f>
        <v>55.4</v>
      </c>
      <c r="T22" s="782">
        <f>IF('Sections rachis &amp; L pennes'!AH22="","",'Sections rachis &amp; L pennes'!AH22)</f>
        <v>60</v>
      </c>
      <c r="U22" s="786">
        <f>IF('Sections rachis &amp; L pennes'!AI22="","",'Sections rachis &amp; L pennes'!AI22)</f>
        <v>61.3</v>
      </c>
      <c r="V22" s="784">
        <f>IF('Sections rachis &amp; L pennes'!AJ22="","",'Sections rachis &amp; L pennes'!AJ22)</f>
        <v>58.5</v>
      </c>
      <c r="W22" s="784" t="str">
        <f>IF('Sections rachis &amp; L pennes'!AK22="","",'Sections rachis &amp; L pennes'!AK22)</f>
        <v/>
      </c>
      <c r="X22" s="787">
        <f>IF('Sections rachis &amp; L pennes'!AL22="","",'Sections rachis &amp; L pennes'!AL22)</f>
        <v>61.4</v>
      </c>
      <c r="Y22" s="781">
        <f t="shared" si="2"/>
        <v>61.4</v>
      </c>
    </row>
    <row r="23" spans="1:25" s="345" customFormat="1">
      <c r="A23" s="345">
        <f t="shared" si="0"/>
        <v>70</v>
      </c>
      <c r="C23" s="782">
        <f>IF('Sections rachis &amp; L pennes'!Q23="","",'Sections rachis &amp; L pennes'!Q23)</f>
        <v>70</v>
      </c>
      <c r="D23" s="783">
        <f>IF('Sections rachis &amp; L pennes'!R23="","",'Sections rachis &amp; L pennes'!R23)</f>
        <v>47.5</v>
      </c>
      <c r="E23" s="784" t="str">
        <f>IF('Sections rachis &amp; L pennes'!S23="","",'Sections rachis &amp; L pennes'!S23)</f>
        <v/>
      </c>
      <c r="F23" s="784" t="str">
        <f>IF('Sections rachis &amp; L pennes'!T23="","",'Sections rachis &amp; L pennes'!T23)</f>
        <v/>
      </c>
      <c r="G23" s="785">
        <f>IF('Sections rachis &amp; L pennes'!U23="","",'Sections rachis &amp; L pennes'!U23)</f>
        <v>47.8</v>
      </c>
      <c r="H23" s="782">
        <f>IF('Sections rachis &amp; L pennes'!V23="","",'Sections rachis &amp; L pennes'!V23)</f>
        <v>70</v>
      </c>
      <c r="I23" s="786">
        <f>IF('Sections rachis &amp; L pennes'!W23="","",'Sections rachis &amp; L pennes'!W23)</f>
        <v>51.4</v>
      </c>
      <c r="J23" s="784" t="str">
        <f>IF('Sections rachis &amp; L pennes'!X23="","",'Sections rachis &amp; L pennes'!X23)</f>
        <v/>
      </c>
      <c r="K23" s="784" t="str">
        <f>IF('Sections rachis &amp; L pennes'!Y23="","",'Sections rachis &amp; L pennes'!Y23)</f>
        <v/>
      </c>
      <c r="L23" s="787">
        <f>IF('Sections rachis &amp; L pennes'!Z23="","",'Sections rachis &amp; L pennes'!Z23)</f>
        <v>53.6</v>
      </c>
      <c r="M23" s="781">
        <f t="shared" si="1"/>
        <v>53.6</v>
      </c>
      <c r="O23" s="782">
        <f>IF('Sections rachis &amp; L pennes'!AC23="","",'Sections rachis &amp; L pennes'!AC23)</f>
        <v>70</v>
      </c>
      <c r="P23" s="783">
        <f>IF('Sections rachis &amp; L pennes'!AD23="","",'Sections rachis &amp; L pennes'!AD23)</f>
        <v>53.3</v>
      </c>
      <c r="Q23" s="784" t="str">
        <f>IF('Sections rachis &amp; L pennes'!AE23="","",'Sections rachis &amp; L pennes'!AE23)</f>
        <v/>
      </c>
      <c r="R23" s="784" t="str">
        <f>IF('Sections rachis &amp; L pennes'!AF23="","",'Sections rachis &amp; L pennes'!AF23)</f>
        <v/>
      </c>
      <c r="S23" s="785">
        <f>IF('Sections rachis &amp; L pennes'!AG23="","",'Sections rachis &amp; L pennes'!AG23)</f>
        <v>54.2</v>
      </c>
      <c r="T23" s="782">
        <f>IF('Sections rachis &amp; L pennes'!AH23="","",'Sections rachis &amp; L pennes'!AH23)</f>
        <v>70</v>
      </c>
      <c r="U23" s="786">
        <f>IF('Sections rachis &amp; L pennes'!AI23="","",'Sections rachis &amp; L pennes'!AI23)</f>
        <v>55</v>
      </c>
      <c r="V23" s="784">
        <f>IF('Sections rachis &amp; L pennes'!AJ23="","",'Sections rachis &amp; L pennes'!AJ23)</f>
        <v>55.3</v>
      </c>
      <c r="W23" s="784" t="str">
        <f>IF('Sections rachis &amp; L pennes'!AK23="","",'Sections rachis &amp; L pennes'!AK23)</f>
        <v/>
      </c>
      <c r="X23" s="787">
        <f>IF('Sections rachis &amp; L pennes'!AL23="","",'Sections rachis &amp; L pennes'!AL23)</f>
        <v>56.7</v>
      </c>
      <c r="Y23" s="781">
        <f t="shared" si="2"/>
        <v>56.7</v>
      </c>
    </row>
    <row r="24" spans="1:25" s="345" customFormat="1">
      <c r="A24" s="345">
        <f t="shared" si="0"/>
        <v>80</v>
      </c>
      <c r="C24" s="782">
        <f>IF('Sections rachis &amp; L pennes'!Q24="","",'Sections rachis &amp; L pennes'!Q24)</f>
        <v>80</v>
      </c>
      <c r="D24" s="783">
        <f>IF('Sections rachis &amp; L pennes'!R24="","",'Sections rachis &amp; L pennes'!R24)</f>
        <v>38.200000000000003</v>
      </c>
      <c r="E24" s="784" t="str">
        <f>IF('Sections rachis &amp; L pennes'!S24="","",'Sections rachis &amp; L pennes'!S24)</f>
        <v/>
      </c>
      <c r="F24" s="784" t="str">
        <f>IF('Sections rachis &amp; L pennes'!T24="","",'Sections rachis &amp; L pennes'!T24)</f>
        <v/>
      </c>
      <c r="G24" s="785">
        <f>IF('Sections rachis &amp; L pennes'!U24="","",'Sections rachis &amp; L pennes'!U24)</f>
        <v>40.1</v>
      </c>
      <c r="H24" s="782">
        <f>IF('Sections rachis &amp; L pennes'!V24="","",'Sections rachis &amp; L pennes'!V24)</f>
        <v>80</v>
      </c>
      <c r="I24" s="786">
        <f>IF('Sections rachis &amp; L pennes'!W24="","",'Sections rachis &amp; L pennes'!W24)</f>
        <v>45.9</v>
      </c>
      <c r="J24" s="784">
        <f>IF('Sections rachis &amp; L pennes'!X24="","",'Sections rachis &amp; L pennes'!X24)</f>
        <v>44.6</v>
      </c>
      <c r="K24" s="784" t="str">
        <f>IF('Sections rachis &amp; L pennes'!Y24="","",'Sections rachis &amp; L pennes'!Y24)</f>
        <v/>
      </c>
      <c r="L24" s="787">
        <f>IF('Sections rachis &amp; L pennes'!Z24="","",'Sections rachis &amp; L pennes'!Z24)</f>
        <v>43.8</v>
      </c>
      <c r="M24" s="781">
        <f t="shared" si="1"/>
        <v>45.9</v>
      </c>
      <c r="O24" s="782">
        <f>IF('Sections rachis &amp; L pennes'!AC24="","",'Sections rachis &amp; L pennes'!AC24)</f>
        <v>80</v>
      </c>
      <c r="P24" s="783">
        <f>IF('Sections rachis &amp; L pennes'!AD24="","",'Sections rachis &amp; L pennes'!AD24)</f>
        <v>45.5</v>
      </c>
      <c r="Q24" s="784">
        <f>IF('Sections rachis &amp; L pennes'!AE24="","",'Sections rachis &amp; L pennes'!AE24)</f>
        <v>45.4</v>
      </c>
      <c r="R24" s="784" t="str">
        <f>IF('Sections rachis &amp; L pennes'!AF24="","",'Sections rachis &amp; L pennes'!AF24)</f>
        <v/>
      </c>
      <c r="S24" s="785">
        <f>IF('Sections rachis &amp; L pennes'!AG24="","",'Sections rachis &amp; L pennes'!AG24)</f>
        <v>45</v>
      </c>
      <c r="T24" s="782">
        <f>IF('Sections rachis &amp; L pennes'!AH24="","",'Sections rachis &amp; L pennes'!AH24)</f>
        <v>80</v>
      </c>
      <c r="U24" s="786">
        <f>IF('Sections rachis &amp; L pennes'!AI24="","",'Sections rachis &amp; L pennes'!AI24)</f>
        <v>48.7</v>
      </c>
      <c r="V24" s="784">
        <f>IF('Sections rachis &amp; L pennes'!AJ24="","",'Sections rachis &amp; L pennes'!AJ24)</f>
        <v>49.4</v>
      </c>
      <c r="W24" s="784" t="str">
        <f>IF('Sections rachis &amp; L pennes'!AK24="","",'Sections rachis &amp; L pennes'!AK24)</f>
        <v/>
      </c>
      <c r="X24" s="787">
        <f>IF('Sections rachis &amp; L pennes'!AL24="","",'Sections rachis &amp; L pennes'!AL24)</f>
        <v>46.2</v>
      </c>
      <c r="Y24" s="781">
        <f t="shared" si="2"/>
        <v>49.4</v>
      </c>
    </row>
    <row r="25" spans="1:25" s="345" customFormat="1" ht="13.5" thickBot="1">
      <c r="A25" s="345">
        <f t="shared" si="0"/>
        <v>90</v>
      </c>
      <c r="C25" s="794">
        <f>IF('Sections rachis &amp; L pennes'!Q25="","",'Sections rachis &amp; L pennes'!Q25)</f>
        <v>90</v>
      </c>
      <c r="D25" s="783" t="str">
        <f>IF('Sections rachis &amp; L pennes'!R25="","",'Sections rachis &amp; L pennes'!R25)</f>
        <v/>
      </c>
      <c r="E25" s="784">
        <f>IF('Sections rachis &amp; L pennes'!S25="","",'Sections rachis &amp; L pennes'!S25)</f>
        <v>28.7</v>
      </c>
      <c r="F25" s="784" t="str">
        <f>IF('Sections rachis &amp; L pennes'!T25="","",'Sections rachis &amp; L pennes'!T25)</f>
        <v/>
      </c>
      <c r="G25" s="785" t="str">
        <f>IF('Sections rachis &amp; L pennes'!U25="","",'Sections rachis &amp; L pennes'!U25)</f>
        <v/>
      </c>
      <c r="H25" s="794">
        <f>IF('Sections rachis &amp; L pennes'!V25="","",'Sections rachis &amp; L pennes'!V25)</f>
        <v>90</v>
      </c>
      <c r="I25" s="786" t="str">
        <f>IF('Sections rachis &amp; L pennes'!W25="","",'Sections rachis &amp; L pennes'!W25)</f>
        <v/>
      </c>
      <c r="J25" s="784">
        <f>IF('Sections rachis &amp; L pennes'!X25="","",'Sections rachis &amp; L pennes'!X25)</f>
        <v>33.1</v>
      </c>
      <c r="K25" s="784" t="str">
        <f>IF('Sections rachis &amp; L pennes'!Y25="","",'Sections rachis &amp; L pennes'!Y25)</f>
        <v/>
      </c>
      <c r="L25" s="787" t="str">
        <f>IF('Sections rachis &amp; L pennes'!Z25="","",'Sections rachis &amp; L pennes'!Z25)</f>
        <v/>
      </c>
      <c r="M25" s="781">
        <f t="shared" si="1"/>
        <v>33.1</v>
      </c>
      <c r="O25" s="794">
        <f>IF('Sections rachis &amp; L pennes'!AC25="","",'Sections rachis &amp; L pennes'!AC25)</f>
        <v>90</v>
      </c>
      <c r="P25" s="783">
        <f>IF('Sections rachis &amp; L pennes'!AD25="","",'Sections rachis &amp; L pennes'!AD25)</f>
        <v>37.700000000000003</v>
      </c>
      <c r="Q25" s="784" t="str">
        <f>IF('Sections rachis &amp; L pennes'!AE25="","",'Sections rachis &amp; L pennes'!AE25)</f>
        <v/>
      </c>
      <c r="R25" s="784" t="str">
        <f>IF('Sections rachis &amp; L pennes'!AF25="","",'Sections rachis &amp; L pennes'!AF25)</f>
        <v/>
      </c>
      <c r="S25" s="785" t="str">
        <f>IF('Sections rachis &amp; L pennes'!AG25="","",'Sections rachis &amp; L pennes'!AG25)</f>
        <v/>
      </c>
      <c r="T25" s="788">
        <f>IF('Sections rachis &amp; L pennes'!AH25="","",'Sections rachis &amp; L pennes'!AH25)</f>
        <v>90</v>
      </c>
      <c r="U25" s="786">
        <f>IF('Sections rachis &amp; L pennes'!AI25="","",'Sections rachis &amp; L pennes'!AI25)</f>
        <v>41.1</v>
      </c>
      <c r="V25" s="784" t="str">
        <f>IF('Sections rachis &amp; L pennes'!AJ25="","",'Sections rachis &amp; L pennes'!AJ25)</f>
        <v/>
      </c>
      <c r="W25" s="784" t="str">
        <f>IF('Sections rachis &amp; L pennes'!AK25="","",'Sections rachis &amp; L pennes'!AK25)</f>
        <v/>
      </c>
      <c r="X25" s="787">
        <f>IF('Sections rachis &amp; L pennes'!AL25="","",'Sections rachis &amp; L pennes'!AL25)</f>
        <v>42</v>
      </c>
      <c r="Y25" s="781">
        <f t="shared" si="2"/>
        <v>42</v>
      </c>
    </row>
    <row r="26" spans="1:25" s="345" customFormat="1">
      <c r="A26" s="345">
        <f t="shared" si="0"/>
        <v>97.737572490101769</v>
      </c>
      <c r="B26" s="648" t="s">
        <v>1247</v>
      </c>
      <c r="C26" s="795">
        <f>IF('Sections rachis &amp; L pennes'!Q26="","",'Sections rachis &amp; L pennes'!Q26+IOTA)</f>
        <v>97.593137592137595</v>
      </c>
      <c r="D26" s="779" t="str">
        <f>IF('Sections rachis &amp; L pennes'!R26="","",'Sections rachis &amp; L pennes'!R26)</f>
        <v/>
      </c>
      <c r="E26" s="777" t="str">
        <f>IF('Sections rachis &amp; L pennes'!S26="","",'Sections rachis &amp; L pennes'!S26)</f>
        <v/>
      </c>
      <c r="F26" s="777" t="str">
        <f>IF('Sections rachis &amp; L pennes'!T26="","",'Sections rachis &amp; L pennes'!T26)</f>
        <v/>
      </c>
      <c r="G26" s="778">
        <f>IF('Sections rachis &amp; L pennes'!U26="","",'Sections rachis &amp; L pennes'!U26)</f>
        <v>26.8</v>
      </c>
      <c r="H26" s="795">
        <f>IF('Sections rachis &amp; L pennes'!V26="","",'Sections rachis &amp; L pennes'!V26+IOTA)</f>
        <v>97.543997542997545</v>
      </c>
      <c r="I26" s="779">
        <f>IF('Sections rachis &amp; L pennes'!W26="","",'Sections rachis &amp; L pennes'!W26)</f>
        <v>28.7</v>
      </c>
      <c r="J26" s="777" t="str">
        <f>IF('Sections rachis &amp; L pennes'!X26="","",'Sections rachis &amp; L pennes'!X26)</f>
        <v/>
      </c>
      <c r="K26" s="777" t="str">
        <f>IF('Sections rachis &amp; L pennes'!Y26="","",'Sections rachis &amp; L pennes'!Y26)</f>
        <v/>
      </c>
      <c r="L26" s="780" t="str">
        <f>IF('Sections rachis &amp; L pennes'!Z26="","",'Sections rachis &amp; L pennes'!Z26)</f>
        <v/>
      </c>
      <c r="M26" s="781">
        <f t="shared" si="1"/>
        <v>28.7</v>
      </c>
      <c r="N26" s="648" t="s">
        <v>1247</v>
      </c>
      <c r="O26" s="795">
        <f>IF('Sections rachis &amp; L pennes'!AC26="","",'Sections rachis &amp; L pennes'!AC26+IOTA)</f>
        <v>98.033862763249246</v>
      </c>
      <c r="P26" s="779" t="str">
        <f>IF('Sections rachis &amp; L pennes'!AD26="","",'Sections rachis &amp; L pennes'!AD26)</f>
        <v/>
      </c>
      <c r="Q26" s="777" t="str">
        <f>IF('Sections rachis &amp; L pennes'!AE26="","",'Sections rachis &amp; L pennes'!AE26)</f>
        <v/>
      </c>
      <c r="R26" s="777" t="str">
        <f>IF('Sections rachis &amp; L pennes'!AF26="","",'Sections rachis &amp; L pennes'!AF26)</f>
        <v/>
      </c>
      <c r="S26" s="778">
        <f>IF('Sections rachis &amp; L pennes'!AG26="","",'Sections rachis &amp; L pennes'!AG26)</f>
        <v>36.6</v>
      </c>
      <c r="T26" s="796">
        <f>IF('Sections rachis &amp; L pennes'!AH26="","",'Sections rachis &amp; L pennes'!AH26+IOTA)</f>
        <v>97.779292062022677</v>
      </c>
      <c r="U26" s="779" t="str">
        <f>IF('Sections rachis &amp; L pennes'!AI26="","",'Sections rachis &amp; L pennes'!AI26)</f>
        <v/>
      </c>
      <c r="V26" s="777" t="str">
        <f>IF('Sections rachis &amp; L pennes'!AJ26="","",'Sections rachis &amp; L pennes'!AJ26)</f>
        <v/>
      </c>
      <c r="W26" s="777" t="str">
        <f>IF('Sections rachis &amp; L pennes'!AK26="","",'Sections rachis &amp; L pennes'!AK26)</f>
        <v/>
      </c>
      <c r="X26" s="780">
        <f>IF('Sections rachis &amp; L pennes'!AL26="","",'Sections rachis &amp; L pennes'!AL26)</f>
        <v>37.299999999999997</v>
      </c>
      <c r="Y26" s="781">
        <f t="shared" si="2"/>
        <v>37.299999999999997</v>
      </c>
    </row>
    <row r="27" spans="1:25" s="345" customFormat="1">
      <c r="A27" s="345">
        <f t="shared" si="0"/>
        <v>98.475693898206984</v>
      </c>
      <c r="B27" s="653" t="s">
        <v>1248</v>
      </c>
      <c r="C27" s="797">
        <f>IF('Sections rachis &amp; L pennes'!Q27="","",'Sections rachis &amp; L pennes'!Q27+IOTA)</f>
        <v>98.600508599508601</v>
      </c>
      <c r="D27" s="786">
        <f>IF('Sections rachis &amp; L pennes'!R27="","",'Sections rachis &amp; L pennes'!R27)</f>
        <v>24.6</v>
      </c>
      <c r="E27" s="784" t="str">
        <f>IF('Sections rachis &amp; L pennes'!S27="","",'Sections rachis &amp; L pennes'!S27)</f>
        <v/>
      </c>
      <c r="F27" s="784" t="str">
        <f>IF('Sections rachis &amp; L pennes'!T27="","",'Sections rachis &amp; L pennes'!T27)</f>
        <v/>
      </c>
      <c r="G27" s="785" t="str">
        <f>IF('Sections rachis &amp; L pennes'!U27="","",'Sections rachis &amp; L pennes'!U27)</f>
        <v/>
      </c>
      <c r="H27" s="797">
        <f>IF('Sections rachis &amp; L pennes'!V27="","",'Sections rachis &amp; L pennes'!V27+IOTA)</f>
        <v>97.961687960687968</v>
      </c>
      <c r="I27" s="786" t="str">
        <f>IF('Sections rachis &amp; L pennes'!W27="","",'Sections rachis &amp; L pennes'!W27)</f>
        <v/>
      </c>
      <c r="J27" s="784" t="str">
        <f>IF('Sections rachis &amp; L pennes'!X27="","",'Sections rachis &amp; L pennes'!X27)</f>
        <v/>
      </c>
      <c r="K27" s="784" t="str">
        <f>IF('Sections rachis &amp; L pennes'!Y27="","",'Sections rachis &amp; L pennes'!Y27)</f>
        <v/>
      </c>
      <c r="L27" s="787">
        <f>IF('Sections rachis &amp; L pennes'!Z27="","",'Sections rachis &amp; L pennes'!Z27)</f>
        <v>28.6</v>
      </c>
      <c r="M27" s="781">
        <f t="shared" si="1"/>
        <v>28.6</v>
      </c>
      <c r="N27" s="653" t="s">
        <v>1248</v>
      </c>
      <c r="O27" s="797">
        <f>IF('Sections rachis &amp; L pennes'!AC27="","",'Sections rachis &amp; L pennes'!AC27+IOTA)</f>
        <v>98.705003702846568</v>
      </c>
      <c r="P27" s="786" t="str">
        <f>IF('Sections rachis &amp; L pennes'!AD27="","",'Sections rachis &amp; L pennes'!AD27)</f>
        <v/>
      </c>
      <c r="Q27" s="784">
        <f>IF('Sections rachis &amp; L pennes'!AE27="","",'Sections rachis &amp; L pennes'!AE27)</f>
        <v>37.9</v>
      </c>
      <c r="R27" s="784" t="str">
        <f>IF('Sections rachis &amp; L pennes'!AF27="","",'Sections rachis &amp; L pennes'!AF27)</f>
        <v/>
      </c>
      <c r="S27" s="785" t="str">
        <f>IF('Sections rachis &amp; L pennes'!AG27="","",'Sections rachis &amp; L pennes'!AG27)</f>
        <v/>
      </c>
      <c r="T27" s="797">
        <f>IF('Sections rachis &amp; L pennes'!AH27="","",'Sections rachis &amp; L pennes'!AH27+IOTA)</f>
        <v>98.635575329784771</v>
      </c>
      <c r="U27" s="786">
        <f>IF('Sections rachis &amp; L pennes'!AI27="","",'Sections rachis &amp; L pennes'!AI27)</f>
        <v>35.5</v>
      </c>
      <c r="V27" s="784" t="str">
        <f>IF('Sections rachis &amp; L pennes'!AJ27="","",'Sections rachis &amp; L pennes'!AJ27)</f>
        <v/>
      </c>
      <c r="W27" s="784" t="str">
        <f>IF('Sections rachis &amp; L pennes'!AK27="","",'Sections rachis &amp; L pennes'!AK27)</f>
        <v/>
      </c>
      <c r="X27" s="787" t="str">
        <f>IF('Sections rachis &amp; L pennes'!AL27="","",'Sections rachis &amp; L pennes'!AL27)</f>
        <v/>
      </c>
      <c r="Y27" s="781">
        <f t="shared" si="2"/>
        <v>37.9</v>
      </c>
    </row>
    <row r="28" spans="1:25" s="345" customFormat="1">
      <c r="A28" s="345">
        <f t="shared" si="0"/>
        <v>99.116172061249358</v>
      </c>
      <c r="B28" s="653" t="s">
        <v>1249</v>
      </c>
      <c r="C28" s="797">
        <f>IF('Sections rachis &amp; L pennes'!Q28="","",'Sections rachis &amp; L pennes'!Q28+IOTA)</f>
        <v>99.018199017199024</v>
      </c>
      <c r="D28" s="786" t="str">
        <f>IF('Sections rachis &amp; L pennes'!R28="","",'Sections rachis &amp; L pennes'!R28)</f>
        <v/>
      </c>
      <c r="E28" s="784" t="str">
        <f>IF('Sections rachis &amp; L pennes'!S28="","",'Sections rachis &amp; L pennes'!S28)</f>
        <v/>
      </c>
      <c r="F28" s="784" t="str">
        <f>IF('Sections rachis &amp; L pennes'!T28="","",'Sections rachis &amp; L pennes'!T28)</f>
        <v/>
      </c>
      <c r="G28" s="785">
        <f>IF('Sections rachis &amp; L pennes'!U28="","",'Sections rachis &amp; L pennes'!U28)</f>
        <v>25.2</v>
      </c>
      <c r="H28" s="797">
        <f>IF('Sections rachis &amp; L pennes'!V28="","",'Sections rachis &amp; L pennes'!V28+IOTA)</f>
        <v>99.018199017199024</v>
      </c>
      <c r="I28" s="786">
        <f>IF('Sections rachis &amp; L pennes'!W28="","",'Sections rachis &amp; L pennes'!W28)</f>
        <v>26</v>
      </c>
      <c r="J28" s="784" t="str">
        <f>IF('Sections rachis &amp; L pennes'!X28="","",'Sections rachis &amp; L pennes'!X28)</f>
        <v/>
      </c>
      <c r="K28" s="784" t="str">
        <f>IF('Sections rachis &amp; L pennes'!Y28="","",'Sections rachis &amp; L pennes'!Y28)</f>
        <v/>
      </c>
      <c r="L28" s="787" t="str">
        <f>IF('Sections rachis &amp; L pennes'!Z28="","",'Sections rachis &amp; L pennes'!Z28)</f>
        <v/>
      </c>
      <c r="M28" s="781">
        <f t="shared" si="1"/>
        <v>26</v>
      </c>
      <c r="N28" s="653" t="s">
        <v>1249</v>
      </c>
      <c r="O28" s="797">
        <f>IF('Sections rachis &amp; L pennes'!AC28="","",'Sections rachis &amp; L pennes'!AC28+IOTA)</f>
        <v>99.353001851423286</v>
      </c>
      <c r="P28" s="786">
        <f>IF('Sections rachis &amp; L pennes'!AD28="","",'Sections rachis &amp; L pennes'!AD28)</f>
        <v>36.299999999999997</v>
      </c>
      <c r="Q28" s="784" t="str">
        <f>IF('Sections rachis &amp; L pennes'!AE28="","",'Sections rachis &amp; L pennes'!AE28)</f>
        <v/>
      </c>
      <c r="R28" s="784" t="str">
        <f>IF('Sections rachis &amp; L pennes'!AF28="","",'Sections rachis &amp; L pennes'!AF28)</f>
        <v/>
      </c>
      <c r="S28" s="785" t="str">
        <f>IF('Sections rachis &amp; L pennes'!AG28="","",'Sections rachis &amp; L pennes'!AG28)</f>
        <v/>
      </c>
      <c r="T28" s="797">
        <f>IF('Sections rachis &amp; L pennes'!AH28="","",'Sections rachis &amp; L pennes'!AH28+IOTA)</f>
        <v>99.075288359176113</v>
      </c>
      <c r="U28" s="786" t="str">
        <f>IF('Sections rachis &amp; L pennes'!AI28="","",'Sections rachis &amp; L pennes'!AI28)</f>
        <v/>
      </c>
      <c r="V28" s="784" t="str">
        <f>IF('Sections rachis &amp; L pennes'!AJ28="","",'Sections rachis &amp; L pennes'!AJ28)</f>
        <v/>
      </c>
      <c r="W28" s="784" t="str">
        <f>IF('Sections rachis &amp; L pennes'!AK28="","",'Sections rachis &amp; L pennes'!AK28)</f>
        <v/>
      </c>
      <c r="X28" s="787">
        <f>IF('Sections rachis &amp; L pennes'!AL28="","",'Sections rachis &amp; L pennes'!AL28)</f>
        <v>36.299999999999997</v>
      </c>
      <c r="Y28" s="781">
        <f t="shared" si="2"/>
        <v>36.299999999999997</v>
      </c>
    </row>
    <row r="29" spans="1:25" s="345" customFormat="1">
      <c r="A29" s="345">
        <f t="shared" si="0"/>
        <v>99.666653482478281</v>
      </c>
      <c r="B29" s="653" t="s">
        <v>1251</v>
      </c>
      <c r="C29" s="797">
        <f>IF('Sections rachis &amp; L pennes'!Q29="","",'Sections rachis &amp; L pennes'!Q29+IOTA)</f>
        <v>99.657019656019656</v>
      </c>
      <c r="D29" s="786" t="str">
        <f>IF('Sections rachis &amp; L pennes'!R29="","",'Sections rachis &amp; L pennes'!R29)</f>
        <v/>
      </c>
      <c r="E29" s="784">
        <f>IF('Sections rachis &amp; L pennes'!S29="","",'Sections rachis &amp; L pennes'!S29)</f>
        <v>24.8</v>
      </c>
      <c r="F29" s="784" t="str">
        <f>IF('Sections rachis &amp; L pennes'!T29="","",'Sections rachis &amp; L pennes'!T29)</f>
        <v/>
      </c>
      <c r="G29" s="785" t="str">
        <f>IF('Sections rachis &amp; L pennes'!U29="","",'Sections rachis &amp; L pennes'!U29)</f>
        <v/>
      </c>
      <c r="H29" s="797">
        <f>IF('Sections rachis &amp; L pennes'!V29="","",'Sections rachis &amp; L pennes'!V29+IOTA)</f>
        <v>99.632449631449632</v>
      </c>
      <c r="I29" s="786" t="str">
        <f>IF('Sections rachis &amp; L pennes'!W29="","",'Sections rachis &amp; L pennes'!W29)</f>
        <v/>
      </c>
      <c r="J29" s="784" t="str">
        <f>IF('Sections rachis &amp; L pennes'!X29="","",'Sections rachis &amp; L pennes'!X29)</f>
        <v/>
      </c>
      <c r="K29" s="784" t="str">
        <f>IF('Sections rachis &amp; L pennes'!Y29="","",'Sections rachis &amp; L pennes'!Y29)</f>
        <v/>
      </c>
      <c r="L29" s="787">
        <f>IF('Sections rachis &amp; L pennes'!Z29="","",'Sections rachis &amp; L pennes'!Z29)</f>
        <v>25.7</v>
      </c>
      <c r="M29" s="781">
        <f t="shared" si="1"/>
        <v>25.7</v>
      </c>
      <c r="N29" s="653" t="s">
        <v>1251</v>
      </c>
      <c r="O29" s="797">
        <f>IF('Sections rachis &amp; L pennes'!AC29="","",'Sections rachis &amp; L pennes'!AC29+IOTA)</f>
        <v>99.746429298773435</v>
      </c>
      <c r="P29" s="786" t="str">
        <f>IF('Sections rachis &amp; L pennes'!AD29="","",'Sections rachis &amp; L pennes'!AD29)</f>
        <v/>
      </c>
      <c r="Q29" s="784">
        <f>IF('Sections rachis &amp; L pennes'!AE29="","",'Sections rachis &amp; L pennes'!AE29)</f>
        <v>38.5</v>
      </c>
      <c r="R29" s="784" t="str">
        <f>IF('Sections rachis &amp; L pennes'!AF29="","",'Sections rachis &amp; L pennes'!AF29)</f>
        <v/>
      </c>
      <c r="S29" s="785" t="str">
        <f>IF('Sections rachis &amp; L pennes'!AG29="","",'Sections rachis &amp; L pennes'!AG29)</f>
        <v/>
      </c>
      <c r="T29" s="797">
        <f>IF('Sections rachis &amp; L pennes'!AH29="","",'Sections rachis &amp; L pennes'!AH29+IOTA)</f>
        <v>99.630715343670445</v>
      </c>
      <c r="U29" s="786">
        <f>IF('Sections rachis &amp; L pennes'!AI29="","",'Sections rachis &amp; L pennes'!AI29)</f>
        <v>36.799999999999997</v>
      </c>
      <c r="V29" s="784" t="str">
        <f>IF('Sections rachis &amp; L pennes'!AJ29="","",'Sections rachis &amp; L pennes'!AJ29)</f>
        <v/>
      </c>
      <c r="W29" s="784" t="str">
        <f>IF('Sections rachis &amp; L pennes'!AK29="","",'Sections rachis &amp; L pennes'!AK29)</f>
        <v/>
      </c>
      <c r="X29" s="787" t="str">
        <f>IF('Sections rachis &amp; L pennes'!AL29="","",'Sections rachis &amp; L pennes'!AL29)</f>
        <v/>
      </c>
      <c r="Y29" s="781">
        <f t="shared" si="2"/>
        <v>38.5</v>
      </c>
    </row>
    <row r="30" spans="1:25" s="345" customFormat="1" ht="13.5" thickBot="1">
      <c r="A30" s="345">
        <f t="shared" si="0"/>
        <v>99.952573567634673</v>
      </c>
      <c r="B30" s="657" t="s">
        <v>1252</v>
      </c>
      <c r="C30" s="798">
        <f>IF('Sections rachis &amp; L pennes'!Q30="","",'Sections rachis &amp; L pennes'!Q30+IOTA)</f>
        <v>99.87814987714988</v>
      </c>
      <c r="D30" s="792" t="str">
        <f>IF('Sections rachis &amp; L pennes'!R30="","",'Sections rachis &amp; L pennes'!R30)</f>
        <v/>
      </c>
      <c r="E30" s="790">
        <f>IF('Sections rachis &amp; L pennes'!S30="","",'Sections rachis &amp; L pennes'!S30)</f>
        <v>24.6</v>
      </c>
      <c r="F30" s="790" t="str">
        <f>IF('Sections rachis &amp; L pennes'!T30="","",'Sections rachis &amp; L pennes'!T30)</f>
        <v/>
      </c>
      <c r="G30" s="791" t="str">
        <f>IF('Sections rachis &amp; L pennes'!U30="","",'Sections rachis &amp; L pennes'!U30)</f>
        <v/>
      </c>
      <c r="H30" s="798">
        <f>IF('Sections rachis &amp; L pennes'!V30="","",'Sections rachis &amp; L pennes'!V30+IOTA)</f>
        <v>99.97642997542998</v>
      </c>
      <c r="I30" s="792" t="str">
        <f>IF('Sections rachis &amp; L pennes'!W30="","",'Sections rachis &amp; L pennes'!W30)</f>
        <v/>
      </c>
      <c r="J30" s="790">
        <f>IF('Sections rachis &amp; L pennes'!X30="","",'Sections rachis &amp; L pennes'!X30)</f>
        <v>26</v>
      </c>
      <c r="K30" s="790" t="str">
        <f>IF('Sections rachis &amp; L pennes'!Y30="","",'Sections rachis &amp; L pennes'!Y30)</f>
        <v/>
      </c>
      <c r="L30" s="793" t="str">
        <f>IF('Sections rachis &amp; L pennes'!Z30="","",'Sections rachis &amp; L pennes'!Z30)</f>
        <v/>
      </c>
      <c r="M30" s="781">
        <f t="shared" si="1"/>
        <v>26</v>
      </c>
      <c r="N30" s="799" t="s">
        <v>1252</v>
      </c>
      <c r="O30" s="798">
        <f>IF('Sections rachis &amp; L pennes'!AC30="","",'Sections rachis &amp; L pennes'!AC30+IOTA)</f>
        <v>99.977857208979401</v>
      </c>
      <c r="P30" s="792" t="str">
        <f>IF('Sections rachis &amp; L pennes'!AD30="","",'Sections rachis &amp; L pennes'!AD30)</f>
        <v/>
      </c>
      <c r="Q30" s="790" t="str">
        <f>IF('Sections rachis &amp; L pennes'!AE30="","",'Sections rachis &amp; L pennes'!AE30)</f>
        <v/>
      </c>
      <c r="R30" s="790" t="str">
        <f>IF('Sections rachis &amp; L pennes'!AF30="","",'Sections rachis &amp; L pennes'!AF30)</f>
        <v/>
      </c>
      <c r="S30" s="791">
        <f>IF('Sections rachis &amp; L pennes'!AG30="","",'Sections rachis &amp; L pennes'!AG30)</f>
        <v>40</v>
      </c>
      <c r="T30" s="798">
        <f>IF('Sections rachis &amp; L pennes'!AH30="","",'Sections rachis &amp; L pennes'!AH30+IOTA)</f>
        <v>99.977857208979401</v>
      </c>
      <c r="U30" s="792" t="str">
        <f>IF('Sections rachis &amp; L pennes'!AI30="","",'Sections rachis &amp; L pennes'!AI30)</f>
        <v/>
      </c>
      <c r="V30" s="790" t="str">
        <f>IF('Sections rachis &amp; L pennes'!AJ30="","",'Sections rachis &amp; L pennes'!AJ30)</f>
        <v/>
      </c>
      <c r="W30" s="790" t="str">
        <f>IF('Sections rachis &amp; L pennes'!AK30="","",'Sections rachis &amp; L pennes'!AK30)</f>
        <v/>
      </c>
      <c r="X30" s="793">
        <f>IF('Sections rachis &amp; L pennes'!AL30="","",'Sections rachis &amp; L pennes'!AL30)</f>
        <v>39.5</v>
      </c>
      <c r="Y30" s="781">
        <f t="shared" si="2"/>
        <v>40</v>
      </c>
    </row>
    <row r="31" spans="1:25" s="345" customFormat="1" ht="13.5" thickBot="1">
      <c r="A31" s="345">
        <f t="shared" si="0"/>
        <v>100</v>
      </c>
      <c r="B31" s="660" t="s">
        <v>1254</v>
      </c>
      <c r="C31" s="800">
        <f>IF('Sections rachis &amp; L pennes'!Q31="","",'Sections rachis &amp; L pennes'!Q31)</f>
        <v>100</v>
      </c>
      <c r="D31" s="801" t="str">
        <f>IF('Sections rachis &amp; L pennes'!R31="","",'Sections rachis &amp; L pennes'!R31)</f>
        <v/>
      </c>
      <c r="E31" s="802">
        <f>IF('Sections rachis &amp; L pennes'!S31="","",'Sections rachis &amp; L pennes'!S31)</f>
        <v>27.1</v>
      </c>
      <c r="F31" s="802" t="str">
        <f>IF('Sections rachis &amp; L pennes'!T31="","",'Sections rachis &amp; L pennes'!T31)</f>
        <v/>
      </c>
      <c r="G31" s="803" t="str">
        <f>IF('Sections rachis &amp; L pennes'!U31="","",'Sections rachis &amp; L pennes'!U31)</f>
        <v/>
      </c>
      <c r="H31" s="800" t="str">
        <f>IF('Sections rachis &amp; L pennes'!V31="","",'Sections rachis &amp; L pennes'!V31)</f>
        <v>XXX</v>
      </c>
      <c r="I31" s="801" t="str">
        <f>IF('Sections rachis &amp; L pennes'!W31="","",'Sections rachis &amp; L pennes'!W31)</f>
        <v/>
      </c>
      <c r="J31" s="802" t="str">
        <f>IF('Sections rachis &amp; L pennes'!X31="","",'Sections rachis &amp; L pennes'!X31)</f>
        <v/>
      </c>
      <c r="K31" s="802" t="str">
        <f>IF('Sections rachis &amp; L pennes'!Y31="","",'Sections rachis &amp; L pennes'!Y31)</f>
        <v/>
      </c>
      <c r="L31" s="803" t="str">
        <f>IF('Sections rachis &amp; L pennes'!Z31="","",'Sections rachis &amp; L pennes'!Z31)</f>
        <v/>
      </c>
      <c r="M31" s="781">
        <f t="shared" si="1"/>
        <v>27.1</v>
      </c>
      <c r="N31" s="660" t="s">
        <v>1254</v>
      </c>
      <c r="O31" s="800">
        <f>IF('Sections rachis &amp; L pennes'!AC31="","",'Sections rachis &amp; L pennes'!AC31)</f>
        <v>100</v>
      </c>
      <c r="P31" s="801" t="str">
        <f>IF('Sections rachis &amp; L pennes'!AD31="","",'Sections rachis &amp; L pennes'!AD31)</f>
        <v/>
      </c>
      <c r="Q31" s="802">
        <f>IF('Sections rachis &amp; L pennes'!AE31="","",'Sections rachis &amp; L pennes'!AE31)</f>
        <v>41.9</v>
      </c>
      <c r="R31" s="802" t="str">
        <f>IF('Sections rachis &amp; L pennes'!AF31="","",'Sections rachis &amp; L pennes'!AF31)</f>
        <v/>
      </c>
      <c r="S31" s="803" t="str">
        <f>IF('Sections rachis &amp; L pennes'!AG31="","",'Sections rachis &amp; L pennes'!AG31)</f>
        <v/>
      </c>
      <c r="T31" s="804" t="str">
        <f>IF('Sections rachis &amp; L pennes'!AH31="","",'Sections rachis &amp; L pennes'!AH31)</f>
        <v>XXX</v>
      </c>
      <c r="U31" s="801" t="str">
        <f>IF('Sections rachis &amp; L pennes'!AI31="","",'Sections rachis &amp; L pennes'!AI31)</f>
        <v/>
      </c>
      <c r="V31" s="802" t="str">
        <f>IF('Sections rachis &amp; L pennes'!AJ31="","",'Sections rachis &amp; L pennes'!AJ31)</f>
        <v/>
      </c>
      <c r="W31" s="802" t="str">
        <f>IF('Sections rachis &amp; L pennes'!AK31="","",'Sections rachis &amp; L pennes'!AK31)</f>
        <v/>
      </c>
      <c r="X31" s="803" t="str">
        <f>IF('Sections rachis &amp; L pennes'!AL31="","",'Sections rachis &amp; L pennes'!AL31)</f>
        <v/>
      </c>
      <c r="Y31" s="781">
        <f t="shared" si="2"/>
        <v>41.9</v>
      </c>
    </row>
    <row r="32" spans="1:25" s="345" customFormat="1">
      <c r="D32" s="805"/>
      <c r="E32" s="806"/>
      <c r="F32" s="807"/>
      <c r="G32" s="807"/>
      <c r="H32" s="807"/>
      <c r="I32" s="807"/>
      <c r="J32" s="807"/>
      <c r="K32" s="807"/>
      <c r="L32" s="807"/>
      <c r="M32" s="807"/>
      <c r="N32" s="807"/>
      <c r="O32" s="807"/>
      <c r="P32" s="807"/>
      <c r="Q32" s="807"/>
      <c r="R32" s="807"/>
      <c r="S32" s="808"/>
      <c r="T32" s="808"/>
      <c r="Y32" s="807"/>
    </row>
    <row r="33" spans="1:27" s="345" customFormat="1">
      <c r="B33" s="809"/>
      <c r="C33" s="809"/>
      <c r="D33" s="810"/>
      <c r="E33" s="811"/>
      <c r="F33" s="812"/>
      <c r="G33" s="812"/>
      <c r="H33" s="806"/>
      <c r="I33" s="806"/>
      <c r="J33" s="806"/>
      <c r="K33" s="806"/>
      <c r="L33" s="806"/>
      <c r="M33" s="806">
        <f>MAX(M13:M31)</f>
        <v>68</v>
      </c>
      <c r="N33" s="806"/>
      <c r="O33" s="806"/>
      <c r="P33" s="806"/>
      <c r="Q33" s="806"/>
      <c r="R33" s="806"/>
      <c r="S33" s="813"/>
      <c r="T33" s="813"/>
      <c r="U33" s="694"/>
      <c r="V33" s="694"/>
      <c r="W33" s="694"/>
      <c r="X33" s="694"/>
      <c r="Y33" s="806">
        <f>MAX(Y13:Y31)</f>
        <v>73.599999999999994</v>
      </c>
      <c r="Z33" s="694"/>
    </row>
    <row r="34" spans="1:27" s="345" customFormat="1" ht="13.5" thickBot="1">
      <c r="B34" s="694"/>
      <c r="C34" s="814"/>
      <c r="D34" s="815"/>
      <c r="E34" s="811"/>
      <c r="F34" s="816"/>
      <c r="G34" s="476"/>
      <c r="H34" s="476"/>
      <c r="I34" s="476"/>
      <c r="J34" s="476"/>
      <c r="K34" s="476"/>
      <c r="L34" s="476"/>
      <c r="M34" s="476"/>
      <c r="N34" s="476"/>
      <c r="O34" s="476"/>
      <c r="P34" s="476"/>
      <c r="Q34" s="476"/>
      <c r="R34" s="817"/>
      <c r="S34" s="476"/>
      <c r="T34" s="476"/>
      <c r="U34" s="476"/>
      <c r="V34" s="476"/>
      <c r="W34" s="476"/>
      <c r="X34" s="476"/>
      <c r="Y34" s="476"/>
      <c r="Z34" s="476"/>
      <c r="AA34" s="476"/>
    </row>
    <row r="35" spans="1:27" s="345" customFormat="1" ht="16.5" thickBot="1">
      <c r="A35" s="345">
        <v>1</v>
      </c>
      <c r="B35" s="818" t="str">
        <f>IF(C16="","",C16)</f>
        <v/>
      </c>
      <c r="C35" s="809">
        <f>SUMIF(D$35:D$54,A35,B$35:B$54)</f>
        <v>5.3605555861977985</v>
      </c>
      <c r="D35" s="809">
        <f>IF(B35="",0,RANK(B35,B$35:B$54,1))</f>
        <v>0</v>
      </c>
      <c r="E35" s="814"/>
      <c r="F35" s="819">
        <f>MAX(M33,Y33)</f>
        <v>73.599999999999994</v>
      </c>
      <c r="H35" s="1580" t="s">
        <v>1280</v>
      </c>
      <c r="I35" s="1581"/>
      <c r="J35" s="1581"/>
      <c r="K35" s="1581"/>
      <c r="L35" s="1581"/>
      <c r="M35" s="1581"/>
      <c r="N35" s="1581"/>
      <c r="O35" s="1581"/>
      <c r="P35" s="1581"/>
      <c r="Q35" s="1581"/>
      <c r="R35" s="1581"/>
      <c r="S35" s="1581"/>
      <c r="T35" s="1581"/>
      <c r="U35" s="1581"/>
      <c r="V35" s="1581"/>
      <c r="W35" s="1581"/>
      <c r="X35" s="1581"/>
      <c r="Y35" s="1581"/>
      <c r="Z35" s="1581"/>
      <c r="AA35" s="1582"/>
    </row>
    <row r="36" spans="1:27" s="345" customFormat="1" ht="15.75" thickBot="1">
      <c r="A36" s="345">
        <v>2</v>
      </c>
      <c r="B36" s="818" t="str">
        <f>IF(O16="","",O16)</f>
        <v/>
      </c>
      <c r="C36" s="809">
        <f t="shared" ref="C36:C54" si="3">SUMIF(D$35:D$54,A36,B$35:B$54)</f>
        <v>10</v>
      </c>
      <c r="D36" s="809">
        <f t="shared" ref="D36:D54" si="4">IF(B36="",0,RANK(B36,B$35:B$54,1))</f>
        <v>0</v>
      </c>
      <c r="E36" s="1583" t="s">
        <v>1281</v>
      </c>
      <c r="F36" s="1584"/>
      <c r="G36" s="1585"/>
      <c r="H36" s="820">
        <f>IF($C35=0,"",$C35)</f>
        <v>5.3605555861977985</v>
      </c>
      <c r="I36" s="821">
        <f>IF($C36=0,"",$C36)</f>
        <v>10</v>
      </c>
      <c r="J36" s="821">
        <f>IF($C37=0,"",$C37)</f>
        <v>20</v>
      </c>
      <c r="K36" s="821">
        <f>IF($C38=0,"",$C38)</f>
        <v>26.922669813782981</v>
      </c>
      <c r="L36" s="821">
        <f>IF($C39=0,"",$C39)</f>
        <v>28.402760758696882</v>
      </c>
      <c r="M36" s="821">
        <f>IF($C40="",0,$C40)</f>
        <v>30</v>
      </c>
      <c r="N36" s="821">
        <f>IF($C41=0,"",$C41)</f>
        <v>40</v>
      </c>
      <c r="O36" s="821">
        <f>IF($C42=0,"",$C42)</f>
        <v>50</v>
      </c>
      <c r="P36" s="821">
        <f>IF($C43=0,"",$C43)</f>
        <v>60</v>
      </c>
      <c r="Q36" s="821">
        <f>IF($C44=0,"",$C44)</f>
        <v>70</v>
      </c>
      <c r="R36" s="821">
        <f>IF($C45=0,"",$C45)</f>
        <v>80</v>
      </c>
      <c r="S36" s="821">
        <f>IF($C46=0,"",$C46)</f>
        <v>90</v>
      </c>
      <c r="T36" s="821">
        <f>IF($C47=0,"",$C47)</f>
        <v>97.737572490101769</v>
      </c>
      <c r="U36" s="821">
        <f>IF($C48=0,"",$C48)</f>
        <v>98.475693898206984</v>
      </c>
      <c r="V36" s="821">
        <f>IF($C49=0,"",$C49)</f>
        <v>99.116172061249358</v>
      </c>
      <c r="W36" s="821">
        <f>IF($C50=0,"",$C50)</f>
        <v>99.666653482478281</v>
      </c>
      <c r="X36" s="821">
        <f>IF($C51=0,"",$C51)</f>
        <v>99.952573567634673</v>
      </c>
      <c r="Y36" s="821">
        <f>IF($C52=0,"",$C52)</f>
        <v>100</v>
      </c>
      <c r="Z36" s="821" t="str">
        <f>IF($C53=0,"",$C53)</f>
        <v/>
      </c>
      <c r="AA36" s="822" t="str">
        <f>IF($C54=0,"",$C54)</f>
        <v/>
      </c>
    </row>
    <row r="37" spans="1:27" s="345" customFormat="1">
      <c r="A37" s="345">
        <v>3</v>
      </c>
      <c r="B37" s="818">
        <f>IF(COUNTIF(C13,"")+COUNTIF(H13,"")+COUNTIF(O13,"")+COUNTIF(T13,"")=4,"",AVERAGE(C13,H13,O13,T13))</f>
        <v>5.3605555861977985</v>
      </c>
      <c r="C37" s="809">
        <f t="shared" si="3"/>
        <v>20</v>
      </c>
      <c r="D37" s="809">
        <f t="shared" si="4"/>
        <v>1</v>
      </c>
      <c r="E37" s="1571" t="s">
        <v>1282</v>
      </c>
      <c r="F37" s="1574" t="s">
        <v>1283</v>
      </c>
      <c r="G37" s="1575"/>
      <c r="H37" s="823">
        <f t="shared" ref="H37:AA37" si="5">IF(COUNTIF(H39:H42,"")=4,"",AVERAGE(H39:H42))</f>
        <v>2.1059782608695655E-2</v>
      </c>
      <c r="I37" s="824">
        <f t="shared" si="5"/>
        <v>7.0588235294117646E-2</v>
      </c>
      <c r="J37" s="824">
        <f t="shared" si="5"/>
        <v>0.11251598465473145</v>
      </c>
      <c r="K37" s="824">
        <f t="shared" si="5"/>
        <v>0.21856617647058824</v>
      </c>
      <c r="L37" s="824">
        <f t="shared" si="5"/>
        <v>0.61609654731457808</v>
      </c>
      <c r="M37" s="824">
        <f t="shared" si="5"/>
        <v>0.80792439258312032</v>
      </c>
      <c r="N37" s="824">
        <f t="shared" si="5"/>
        <v>0.8997242647058824</v>
      </c>
      <c r="O37" s="824">
        <f t="shared" si="5"/>
        <v>0.80821211636828649</v>
      </c>
      <c r="P37" s="824">
        <f t="shared" si="5"/>
        <v>0.76545316496163684</v>
      </c>
      <c r="Q37" s="824">
        <f t="shared" si="5"/>
        <v>0.73146978900255755</v>
      </c>
      <c r="R37" s="824">
        <f t="shared" si="5"/>
        <v>0.62916400255754479</v>
      </c>
      <c r="S37" s="824">
        <f t="shared" si="5"/>
        <v>0.53532608695652173</v>
      </c>
      <c r="T37" s="824">
        <f t="shared" si="5"/>
        <v>0.42205882352941176</v>
      </c>
      <c r="U37" s="824">
        <f t="shared" si="5"/>
        <v>0.42205083120204612</v>
      </c>
      <c r="V37" s="824">
        <f t="shared" si="5"/>
        <v>0.43777973145780047</v>
      </c>
      <c r="W37" s="824">
        <f t="shared" si="5"/>
        <v>0.5</v>
      </c>
      <c r="X37" s="824" t="str">
        <f t="shared" si="5"/>
        <v/>
      </c>
      <c r="Y37" s="824" t="str">
        <f t="shared" si="5"/>
        <v/>
      </c>
      <c r="Z37" s="824" t="str">
        <f t="shared" si="5"/>
        <v/>
      </c>
      <c r="AA37" s="825" t="str">
        <f t="shared" si="5"/>
        <v/>
      </c>
    </row>
    <row r="38" spans="1:27" s="345" customFormat="1" ht="13.5" thickBot="1">
      <c r="A38" s="345">
        <v>4</v>
      </c>
      <c r="B38" s="818">
        <f>IF(COUNTIF(C14,"")+COUNTIF(H14,"")+COUNTIF(O14,"")+COUNTIF(T14,"")=4,"",AVERAGE(C14,H14,O14,T14))</f>
        <v>26.922669813782981</v>
      </c>
      <c r="C38" s="809">
        <f t="shared" si="3"/>
        <v>26.922669813782981</v>
      </c>
      <c r="D38" s="809">
        <f t="shared" si="4"/>
        <v>4</v>
      </c>
      <c r="E38" s="1572"/>
      <c r="F38" s="1576" t="s">
        <v>1284</v>
      </c>
      <c r="G38" s="1577"/>
      <c r="H38" s="823">
        <f t="shared" ref="H38:AA38" si="6">IF(COUNTIF(H39:H42,"")=4,"",IF(COUNTIF(H39:H42,"")=3,0,STDEV(H39:H42)*$F$35))</f>
        <v>0.21213203435596428</v>
      </c>
      <c r="I38" s="824">
        <f t="shared" si="6"/>
        <v>1.0714747460803233</v>
      </c>
      <c r="J38" s="824">
        <f t="shared" si="6"/>
        <v>1.3794307034947277</v>
      </c>
      <c r="K38" s="824">
        <f t="shared" si="6"/>
        <v>6.5245158645248162</v>
      </c>
      <c r="L38" s="824">
        <f t="shared" si="6"/>
        <v>8.563479065334457</v>
      </c>
      <c r="M38" s="824">
        <f t="shared" si="6"/>
        <v>9.2157879865057897</v>
      </c>
      <c r="N38" s="824">
        <f t="shared" si="6"/>
        <v>5.3635373146787693</v>
      </c>
      <c r="O38" s="824">
        <f t="shared" si="6"/>
        <v>6.0067832763235032</v>
      </c>
      <c r="P38" s="824">
        <f t="shared" si="6"/>
        <v>3.6253531665850565</v>
      </c>
      <c r="Q38" s="824">
        <f t="shared" si="6"/>
        <v>1.8928027039616599</v>
      </c>
      <c r="R38" s="824">
        <f t="shared" si="6"/>
        <v>3.7579921140085437</v>
      </c>
      <c r="S38" s="824">
        <f t="shared" si="6"/>
        <v>2.4041630560342577</v>
      </c>
      <c r="T38" s="824">
        <f t="shared" si="6"/>
        <v>0</v>
      </c>
      <c r="U38" s="824">
        <f t="shared" si="6"/>
        <v>6.2749487652824669</v>
      </c>
      <c r="V38" s="824">
        <f t="shared" si="6"/>
        <v>5.769159444151466</v>
      </c>
      <c r="W38" s="824">
        <f t="shared" si="6"/>
        <v>0</v>
      </c>
      <c r="X38" s="824" t="str">
        <f t="shared" si="6"/>
        <v/>
      </c>
      <c r="Y38" s="824" t="str">
        <f t="shared" si="6"/>
        <v/>
      </c>
      <c r="Z38" s="824" t="str">
        <f t="shared" si="6"/>
        <v/>
      </c>
      <c r="AA38" s="825" t="str">
        <f t="shared" si="6"/>
        <v/>
      </c>
    </row>
    <row r="39" spans="1:27" s="345" customFormat="1">
      <c r="A39" s="345">
        <v>5</v>
      </c>
      <c r="B39" s="818">
        <f>IF(COUNTIF(C15,"")+COUNTIF(H15,"")+COUNTIF(O15,"")+COUNTIF(T15,"")=4,"",AVERAGE(C15,H15,O15,T15))</f>
        <v>28.402760758696882</v>
      </c>
      <c r="C39" s="809">
        <f t="shared" si="3"/>
        <v>28.402760758696882</v>
      </c>
      <c r="D39" s="809">
        <f t="shared" si="4"/>
        <v>5</v>
      </c>
      <c r="E39" s="1572"/>
      <c r="F39" s="1578">
        <f>G7</f>
        <v>57</v>
      </c>
      <c r="G39" s="826" t="s">
        <v>1285</v>
      </c>
      <c r="H39" s="827" t="str">
        <f>IF(H36="","",IF(SUMIF($A$13:$A$31,H36,$D$13:$D$31)=0,"",SUMIF($A$13:$A$31,H36,$D$13:$D$31)/$M$33))</f>
        <v/>
      </c>
      <c r="I39" s="828">
        <f t="shared" ref="I39:AA39" si="7">IF(I36="","",IF(SUMIF($A$13:$A$31,I36,$D$13:$D$31)=0,"",SUMIF($A$13:$A$31,I36,$D$13:$D$31)/$M$33))</f>
        <v>8.0882352941176475E-2</v>
      </c>
      <c r="J39" s="828">
        <f t="shared" si="7"/>
        <v>0.125</v>
      </c>
      <c r="K39" s="828" t="str">
        <f t="shared" si="7"/>
        <v/>
      </c>
      <c r="L39" s="828">
        <f t="shared" si="7"/>
        <v>0.5338235294117647</v>
      </c>
      <c r="M39" s="828">
        <f t="shared" si="7"/>
        <v>0.93529411764705883</v>
      </c>
      <c r="N39" s="828">
        <f t="shared" si="7"/>
        <v>0.85441176470588243</v>
      </c>
      <c r="O39" s="828">
        <f t="shared" si="7"/>
        <v>0.77794117647058825</v>
      </c>
      <c r="P39" s="828">
        <f t="shared" si="7"/>
        <v>0.76911764705882346</v>
      </c>
      <c r="Q39" s="828">
        <f t="shared" si="7"/>
        <v>0.69852941176470584</v>
      </c>
      <c r="R39" s="828">
        <f t="shared" si="7"/>
        <v>0.56176470588235294</v>
      </c>
      <c r="S39" s="828" t="str">
        <f t="shared" si="7"/>
        <v/>
      </c>
      <c r="T39" s="828" t="str">
        <f t="shared" si="7"/>
        <v/>
      </c>
      <c r="U39" s="828">
        <f t="shared" si="7"/>
        <v>0.36176470588235299</v>
      </c>
      <c r="V39" s="828" t="str">
        <f t="shared" si="7"/>
        <v/>
      </c>
      <c r="W39" s="828" t="str">
        <f t="shared" si="7"/>
        <v/>
      </c>
      <c r="X39" s="828" t="str">
        <f t="shared" si="7"/>
        <v/>
      </c>
      <c r="Y39" s="828" t="str">
        <f t="shared" si="7"/>
        <v/>
      </c>
      <c r="Z39" s="828" t="str">
        <f t="shared" si="7"/>
        <v/>
      </c>
      <c r="AA39" s="829" t="str">
        <f t="shared" si="7"/>
        <v/>
      </c>
    </row>
    <row r="40" spans="1:27" s="345" customFormat="1" ht="13.5" thickBot="1">
      <c r="A40" s="345">
        <v>6</v>
      </c>
      <c r="B40" s="818">
        <f t="shared" ref="B40:B48" si="8">IF(C17="","",C17)</f>
        <v>10</v>
      </c>
      <c r="C40" s="809">
        <f t="shared" si="3"/>
        <v>30</v>
      </c>
      <c r="D40" s="809">
        <f t="shared" si="4"/>
        <v>2</v>
      </c>
      <c r="E40" s="1572"/>
      <c r="F40" s="1579"/>
      <c r="G40" s="830" t="s">
        <v>1286</v>
      </c>
      <c r="H40" s="823" t="str">
        <f>IF(H36="","",IF(SUMIF($A$13:$A$31,H36,$I$13:$I$31)=0,"",SUMIF($A$13:$A$31,H36,$I$13:$I$31)/$M$33))</f>
        <v/>
      </c>
      <c r="I40" s="824">
        <f t="shared" ref="I40:AA40" si="9">IF(I36="","",IF(SUMIF($A$13:$A$31,I36,$I$13:$I$31)=0,"",SUMIF($A$13:$A$31,I36,$I$13:$I$31)/$M$33))</f>
        <v>6.0294117647058817E-2</v>
      </c>
      <c r="J40" s="824">
        <f t="shared" si="9"/>
        <v>0.12941176470588237</v>
      </c>
      <c r="K40" s="824">
        <f t="shared" si="9"/>
        <v>0.15588235294117647</v>
      </c>
      <c r="L40" s="824" t="str">
        <f t="shared" si="9"/>
        <v/>
      </c>
      <c r="M40" s="824">
        <f t="shared" si="9"/>
        <v>0.89558823529411757</v>
      </c>
      <c r="N40" s="824">
        <f t="shared" si="9"/>
        <v>0.83823529411764708</v>
      </c>
      <c r="O40" s="824">
        <f t="shared" si="9"/>
        <v>0.78235294117647058</v>
      </c>
      <c r="P40" s="824">
        <f t="shared" si="9"/>
        <v>0.7397058823529411</v>
      </c>
      <c r="Q40" s="824">
        <f t="shared" si="9"/>
        <v>0.75588235294117645</v>
      </c>
      <c r="R40" s="824">
        <f t="shared" si="9"/>
        <v>0.67499999999999993</v>
      </c>
      <c r="S40" s="824" t="str">
        <f t="shared" si="9"/>
        <v/>
      </c>
      <c r="T40" s="824">
        <f t="shared" si="9"/>
        <v>0.42205882352941176</v>
      </c>
      <c r="U40" s="824" t="str">
        <f t="shared" si="9"/>
        <v/>
      </c>
      <c r="V40" s="824">
        <f t="shared" si="9"/>
        <v>0.38235294117647056</v>
      </c>
      <c r="W40" s="824" t="str">
        <f t="shared" si="9"/>
        <v/>
      </c>
      <c r="X40" s="824" t="str">
        <f t="shared" si="9"/>
        <v/>
      </c>
      <c r="Y40" s="824" t="str">
        <f t="shared" si="9"/>
        <v/>
      </c>
      <c r="Z40" s="824" t="str">
        <f t="shared" si="9"/>
        <v/>
      </c>
      <c r="AA40" s="825" t="str">
        <f t="shared" si="9"/>
        <v/>
      </c>
    </row>
    <row r="41" spans="1:27" s="345" customFormat="1">
      <c r="A41" s="345">
        <v>7</v>
      </c>
      <c r="B41" s="818">
        <f t="shared" si="8"/>
        <v>20</v>
      </c>
      <c r="C41" s="809">
        <f t="shared" si="3"/>
        <v>40</v>
      </c>
      <c r="D41" s="809">
        <f t="shared" si="4"/>
        <v>3</v>
      </c>
      <c r="E41" s="1572"/>
      <c r="F41" s="1578">
        <f>S7</f>
        <v>83</v>
      </c>
      <c r="G41" s="826" t="s">
        <v>1285</v>
      </c>
      <c r="H41" s="827">
        <f>IF(H36="","",IF(SUMIF($A$13:$A$31,H36,$P$13:$P$31)=0,"",SUMIF($A$13:$A$31,H36,$P$13:$P$31)/$Y$33))</f>
        <v>2.3097826086956524E-2</v>
      </c>
      <c r="I41" s="828" t="str">
        <f t="shared" ref="I41:AA41" si="10">IF(I36="","",IF(SUMIF($A$13:$A$31,I36,$P$13:$P$31)=0,"",SUMIF($A$13:$A$31,I36,$P$13:$P$31)/$Y$33))</f>
        <v/>
      </c>
      <c r="J41" s="828">
        <f t="shared" si="10"/>
        <v>8.8315217391304351E-2</v>
      </c>
      <c r="K41" s="828">
        <f t="shared" si="10"/>
        <v>0.28125</v>
      </c>
      <c r="L41" s="828" t="str">
        <f t="shared" si="10"/>
        <v/>
      </c>
      <c r="M41" s="828">
        <f t="shared" si="10"/>
        <v>0.70244565217391308</v>
      </c>
      <c r="N41" s="828">
        <f t="shared" si="10"/>
        <v>0.90625000000000011</v>
      </c>
      <c r="O41" s="828">
        <f t="shared" si="10"/>
        <v>0.74456521739130432</v>
      </c>
      <c r="P41" s="828">
        <f t="shared" si="10"/>
        <v>0.72010869565217395</v>
      </c>
      <c r="Q41" s="828">
        <f t="shared" si="10"/>
        <v>0.72418478260869568</v>
      </c>
      <c r="R41" s="828">
        <f t="shared" si="10"/>
        <v>0.61820652173913049</v>
      </c>
      <c r="S41" s="828">
        <f t="shared" si="10"/>
        <v>0.5122282608695653</v>
      </c>
      <c r="T41" s="828" t="str">
        <f t="shared" si="10"/>
        <v/>
      </c>
      <c r="U41" s="828" t="str">
        <f t="shared" si="10"/>
        <v/>
      </c>
      <c r="V41" s="828">
        <f t="shared" si="10"/>
        <v>0.49320652173913043</v>
      </c>
      <c r="W41" s="828" t="str">
        <f t="shared" si="10"/>
        <v/>
      </c>
      <c r="X41" s="828" t="str">
        <f t="shared" si="10"/>
        <v/>
      </c>
      <c r="Y41" s="828" t="str">
        <f t="shared" si="10"/>
        <v/>
      </c>
      <c r="Z41" s="828" t="str">
        <f t="shared" si="10"/>
        <v/>
      </c>
      <c r="AA41" s="829" t="str">
        <f t="shared" si="10"/>
        <v/>
      </c>
    </row>
    <row r="42" spans="1:27" s="345" customFormat="1" ht="13.5" thickBot="1">
      <c r="A42" s="345">
        <v>8</v>
      </c>
      <c r="B42" s="818">
        <f t="shared" si="8"/>
        <v>30</v>
      </c>
      <c r="C42" s="809">
        <f t="shared" si="3"/>
        <v>50</v>
      </c>
      <c r="D42" s="809">
        <f t="shared" si="4"/>
        <v>6</v>
      </c>
      <c r="E42" s="1573"/>
      <c r="F42" s="1579"/>
      <c r="G42" s="830" t="s">
        <v>1286</v>
      </c>
      <c r="H42" s="831">
        <f>IF(H36="","",IF(SUMIF($A$13:$A$31,H36,$U$13:$U$31)=0,"",SUMIF($A$13:$A$31,H36,$U$13:$U$31)/$Y$33))</f>
        <v>1.9021739130434784E-2</v>
      </c>
      <c r="I42" s="832" t="str">
        <f t="shared" ref="I42:AA42" si="11">IF(I36="","",IF(SUMIF($A$13:$A$31,I36,$U$13:$U$31)=0,"",SUMIF($A$13:$A$31,I36,$U$13:$U$31)/$Y$33))</f>
        <v/>
      </c>
      <c r="J42" s="832">
        <f t="shared" si="11"/>
        <v>0.10733695652173915</v>
      </c>
      <c r="K42" s="832" t="str">
        <f t="shared" si="11"/>
        <v/>
      </c>
      <c r="L42" s="832">
        <f t="shared" si="11"/>
        <v>0.69836956521739135</v>
      </c>
      <c r="M42" s="832">
        <f t="shared" si="11"/>
        <v>0.69836956521739135</v>
      </c>
      <c r="N42" s="832">
        <f t="shared" si="11"/>
        <v>1</v>
      </c>
      <c r="O42" s="832">
        <f t="shared" si="11"/>
        <v>0.92798913043478259</v>
      </c>
      <c r="P42" s="832">
        <f t="shared" si="11"/>
        <v>0.83288043478260876</v>
      </c>
      <c r="Q42" s="832">
        <f t="shared" si="11"/>
        <v>0.74728260869565222</v>
      </c>
      <c r="R42" s="832">
        <f t="shared" si="11"/>
        <v>0.66168478260869579</v>
      </c>
      <c r="S42" s="832">
        <f t="shared" si="11"/>
        <v>0.55842391304347827</v>
      </c>
      <c r="T42" s="832" t="str">
        <f t="shared" si="11"/>
        <v/>
      </c>
      <c r="U42" s="832">
        <f t="shared" si="11"/>
        <v>0.48233695652173919</v>
      </c>
      <c r="V42" s="832" t="str">
        <f t="shared" si="11"/>
        <v/>
      </c>
      <c r="W42" s="832">
        <f t="shared" si="11"/>
        <v>0.5</v>
      </c>
      <c r="X42" s="832" t="str">
        <f t="shared" si="11"/>
        <v/>
      </c>
      <c r="Y42" s="832" t="str">
        <f t="shared" si="11"/>
        <v/>
      </c>
      <c r="Z42" s="832" t="str">
        <f t="shared" si="11"/>
        <v/>
      </c>
      <c r="AA42" s="833" t="str">
        <f t="shared" si="11"/>
        <v/>
      </c>
    </row>
    <row r="43" spans="1:27" s="345" customFormat="1">
      <c r="A43" s="345">
        <v>9</v>
      </c>
      <c r="B43" s="818">
        <f t="shared" si="8"/>
        <v>40</v>
      </c>
      <c r="C43" s="809">
        <f t="shared" si="3"/>
        <v>60</v>
      </c>
      <c r="D43" s="809">
        <f t="shared" si="4"/>
        <v>7</v>
      </c>
      <c r="E43" s="1590">
        <v>0</v>
      </c>
      <c r="F43" s="1574" t="s">
        <v>1283</v>
      </c>
      <c r="G43" s="1593"/>
      <c r="H43" s="834" t="str">
        <f t="shared" ref="H43:AA43" si="12">IF(COUNTIF(H45:H52,"")=8,"",AVERAGE(H45:H52))</f>
        <v/>
      </c>
      <c r="I43" s="835">
        <f t="shared" si="12"/>
        <v>7.540760869565219E-2</v>
      </c>
      <c r="J43" s="835" t="str">
        <f t="shared" si="12"/>
        <v/>
      </c>
      <c r="K43" s="835" t="str">
        <f t="shared" si="12"/>
        <v/>
      </c>
      <c r="L43" s="835" t="str">
        <f t="shared" si="12"/>
        <v/>
      </c>
      <c r="M43" s="835" t="str">
        <f t="shared" si="12"/>
        <v/>
      </c>
      <c r="N43" s="835">
        <f t="shared" si="12"/>
        <v>0.8867647058823529</v>
      </c>
      <c r="O43" s="835">
        <f t="shared" si="12"/>
        <v>0.75407608695652184</v>
      </c>
      <c r="P43" s="835">
        <f t="shared" si="12"/>
        <v>0.77535965473145785</v>
      </c>
      <c r="Q43" s="835">
        <f t="shared" si="12"/>
        <v>0.75135869565217395</v>
      </c>
      <c r="R43" s="835">
        <f t="shared" si="12"/>
        <v>0.6479752770673487</v>
      </c>
      <c r="S43" s="835">
        <f t="shared" si="12"/>
        <v>0.4544117647058824</v>
      </c>
      <c r="T43" s="835" t="str">
        <f t="shared" si="12"/>
        <v/>
      </c>
      <c r="U43" s="835">
        <f t="shared" si="12"/>
        <v>0.51494565217391308</v>
      </c>
      <c r="V43" s="835" t="str">
        <f t="shared" si="12"/>
        <v/>
      </c>
      <c r="W43" s="835">
        <f t="shared" si="12"/>
        <v>0.44390185421994888</v>
      </c>
      <c r="X43" s="835">
        <f t="shared" si="12"/>
        <v>0.37205882352941178</v>
      </c>
      <c r="Y43" s="835">
        <f t="shared" si="12"/>
        <v>0.48391144501278777</v>
      </c>
      <c r="Z43" s="835" t="str">
        <f t="shared" si="12"/>
        <v/>
      </c>
      <c r="AA43" s="836" t="str">
        <f t="shared" si="12"/>
        <v/>
      </c>
    </row>
    <row r="44" spans="1:27" s="345" customFormat="1" ht="13.5" thickBot="1">
      <c r="A44" s="345">
        <v>10</v>
      </c>
      <c r="B44" s="818">
        <f t="shared" si="8"/>
        <v>50</v>
      </c>
      <c r="C44" s="809">
        <f t="shared" si="3"/>
        <v>70</v>
      </c>
      <c r="D44" s="809">
        <f t="shared" si="4"/>
        <v>8</v>
      </c>
      <c r="E44" s="1591"/>
      <c r="F44" s="1576" t="s">
        <v>1284</v>
      </c>
      <c r="G44" s="1594"/>
      <c r="H44" s="834" t="str">
        <f t="shared" ref="H44:AA44" si="13">IF(COUNTIF(H45:H52,"")=8,"",IF(COUNTIF(H45:H52,"")=7,0,STDEV(H45:H52)*$F$35))</f>
        <v/>
      </c>
      <c r="I44" s="835">
        <f t="shared" si="13"/>
        <v>1.202081528017126</v>
      </c>
      <c r="J44" s="835" t="str">
        <f t="shared" si="13"/>
        <v/>
      </c>
      <c r="K44" s="835" t="str">
        <f t="shared" si="13"/>
        <v/>
      </c>
      <c r="L44" s="835" t="str">
        <f t="shared" si="13"/>
        <v/>
      </c>
      <c r="M44" s="835" t="str">
        <f t="shared" si="13"/>
        <v/>
      </c>
      <c r="N44" s="835">
        <f t="shared" si="13"/>
        <v>0</v>
      </c>
      <c r="O44" s="835">
        <f t="shared" si="13"/>
        <v>0</v>
      </c>
      <c r="P44" s="835">
        <f t="shared" si="13"/>
        <v>2.027316736178379</v>
      </c>
      <c r="Q44" s="835">
        <f t="shared" si="13"/>
        <v>0</v>
      </c>
      <c r="R44" s="835">
        <f t="shared" si="13"/>
        <v>2.062524852179795</v>
      </c>
      <c r="S44" s="835">
        <f t="shared" si="13"/>
        <v>3.3674920591095834</v>
      </c>
      <c r="T44" s="835" t="str">
        <f t="shared" si="13"/>
        <v/>
      </c>
      <c r="U44" s="835">
        <f t="shared" si="13"/>
        <v>0</v>
      </c>
      <c r="V44" s="835" t="str">
        <f t="shared" si="13"/>
        <v/>
      </c>
      <c r="W44" s="835">
        <f t="shared" si="13"/>
        <v>8.2432012879735215</v>
      </c>
      <c r="X44" s="835">
        <f t="shared" si="13"/>
        <v>1.0714747460803176</v>
      </c>
      <c r="Y44" s="835">
        <f t="shared" si="13"/>
        <v>8.8870844040186974</v>
      </c>
      <c r="Z44" s="835" t="str">
        <f t="shared" si="13"/>
        <v/>
      </c>
      <c r="AA44" s="836" t="str">
        <f t="shared" si="13"/>
        <v/>
      </c>
    </row>
    <row r="45" spans="1:27" s="345" customFormat="1">
      <c r="A45" s="345">
        <v>11</v>
      </c>
      <c r="B45" s="818">
        <f t="shared" si="8"/>
        <v>60</v>
      </c>
      <c r="C45" s="809">
        <f t="shared" si="3"/>
        <v>80</v>
      </c>
      <c r="D45" s="809">
        <f t="shared" si="4"/>
        <v>9</v>
      </c>
      <c r="E45" s="1591"/>
      <c r="F45" s="1578">
        <f>G7</f>
        <v>57</v>
      </c>
      <c r="G45" s="1596" t="s">
        <v>1285</v>
      </c>
      <c r="H45" s="837" t="str">
        <f>IF(H36="","",IF(SUMIF($A$13:$A$31,H36,$E$13:$E$31)=0,"",SUMIF($A$13:$A$31,H36,$E$13:$E$31)/$M$33))</f>
        <v/>
      </c>
      <c r="I45" s="838" t="str">
        <f t="shared" ref="I45:AA45" si="14">IF(I36="","",IF(SUMIF($A$13:$A$31,I36,$E$13:$E$31)=0,"",SUMIF($A$13:$A$31,I36,$E$13:$E$31)/$M$33))</f>
        <v/>
      </c>
      <c r="J45" s="838" t="str">
        <f t="shared" si="14"/>
        <v/>
      </c>
      <c r="K45" s="838" t="str">
        <f t="shared" si="14"/>
        <v/>
      </c>
      <c r="L45" s="838" t="str">
        <f t="shared" si="14"/>
        <v/>
      </c>
      <c r="M45" s="838" t="str">
        <f t="shared" si="14"/>
        <v/>
      </c>
      <c r="N45" s="838">
        <f t="shared" si="14"/>
        <v>0.8867647058823529</v>
      </c>
      <c r="O45" s="838" t="str">
        <f t="shared" si="14"/>
        <v/>
      </c>
      <c r="P45" s="838" t="str">
        <f t="shared" si="14"/>
        <v/>
      </c>
      <c r="Q45" s="838" t="str">
        <f t="shared" si="14"/>
        <v/>
      </c>
      <c r="R45" s="838" t="str">
        <f t="shared" si="14"/>
        <v/>
      </c>
      <c r="S45" s="838">
        <f t="shared" si="14"/>
        <v>0.42205882352941176</v>
      </c>
      <c r="T45" s="838" t="str">
        <f t="shared" si="14"/>
        <v/>
      </c>
      <c r="U45" s="838" t="str">
        <f t="shared" si="14"/>
        <v/>
      </c>
      <c r="V45" s="838" t="str">
        <f t="shared" si="14"/>
        <v/>
      </c>
      <c r="W45" s="838">
        <f t="shared" si="14"/>
        <v>0.36470588235294121</v>
      </c>
      <c r="X45" s="838">
        <f t="shared" si="14"/>
        <v>0.36176470588235299</v>
      </c>
      <c r="Y45" s="838">
        <f t="shared" si="14"/>
        <v>0.39852941176470591</v>
      </c>
      <c r="Z45" s="838" t="str">
        <f t="shared" si="14"/>
        <v/>
      </c>
      <c r="AA45" s="839" t="str">
        <f t="shared" si="14"/>
        <v/>
      </c>
    </row>
    <row r="46" spans="1:27" s="345" customFormat="1">
      <c r="A46" s="345">
        <v>12</v>
      </c>
      <c r="B46" s="818">
        <f t="shared" si="8"/>
        <v>70</v>
      </c>
      <c r="C46" s="809">
        <f t="shared" si="3"/>
        <v>90</v>
      </c>
      <c r="D46" s="809">
        <f t="shared" si="4"/>
        <v>10</v>
      </c>
      <c r="E46" s="1591"/>
      <c r="F46" s="1595"/>
      <c r="G46" s="1597"/>
      <c r="H46" s="834" t="str">
        <f>IF(H36="","",IF(SUMIF($A$13:$A$31,H36,$F$13:$F$31)=0,"",SUMIF($A$13:$A$31,H36,$F$13:$F$31)/$M$33))</f>
        <v/>
      </c>
      <c r="I46" s="835" t="str">
        <f t="shared" ref="I46:AA46" si="15">IF(I36="","",IF(SUMIF($A$13:$A$31,I36,$F$13:$F$31)=0,"",SUMIF($A$13:$A$31,I36,$F$13:$F$31)/$M$33))</f>
        <v/>
      </c>
      <c r="J46" s="835" t="str">
        <f t="shared" si="15"/>
        <v/>
      </c>
      <c r="K46" s="835" t="str">
        <f t="shared" si="15"/>
        <v/>
      </c>
      <c r="L46" s="835" t="str">
        <f t="shared" si="15"/>
        <v/>
      </c>
      <c r="M46" s="835" t="str">
        <f t="shared" si="15"/>
        <v/>
      </c>
      <c r="N46" s="835" t="str">
        <f t="shared" si="15"/>
        <v/>
      </c>
      <c r="O46" s="835" t="str">
        <f t="shared" si="15"/>
        <v/>
      </c>
      <c r="P46" s="835" t="str">
        <f t="shared" si="15"/>
        <v/>
      </c>
      <c r="Q46" s="835" t="str">
        <f t="shared" si="15"/>
        <v/>
      </c>
      <c r="R46" s="835" t="str">
        <f t="shared" si="15"/>
        <v/>
      </c>
      <c r="S46" s="835" t="str">
        <f t="shared" si="15"/>
        <v/>
      </c>
      <c r="T46" s="835" t="str">
        <f t="shared" si="15"/>
        <v/>
      </c>
      <c r="U46" s="835" t="str">
        <f t="shared" si="15"/>
        <v/>
      </c>
      <c r="V46" s="835" t="str">
        <f t="shared" si="15"/>
        <v/>
      </c>
      <c r="W46" s="835" t="str">
        <f t="shared" si="15"/>
        <v/>
      </c>
      <c r="X46" s="835" t="str">
        <f t="shared" si="15"/>
        <v/>
      </c>
      <c r="Y46" s="835" t="str">
        <f t="shared" si="15"/>
        <v/>
      </c>
      <c r="Z46" s="835" t="str">
        <f t="shared" si="15"/>
        <v/>
      </c>
      <c r="AA46" s="836" t="str">
        <f t="shared" si="15"/>
        <v/>
      </c>
    </row>
    <row r="47" spans="1:27" s="345" customFormat="1">
      <c r="A47" s="345">
        <v>13</v>
      </c>
      <c r="B47" s="818">
        <f t="shared" si="8"/>
        <v>80</v>
      </c>
      <c r="C47" s="809">
        <f t="shared" si="3"/>
        <v>97.737572490101769</v>
      </c>
      <c r="D47" s="809">
        <f t="shared" si="4"/>
        <v>11</v>
      </c>
      <c r="E47" s="1591"/>
      <c r="F47" s="1595"/>
      <c r="G47" s="1597" t="s">
        <v>1286</v>
      </c>
      <c r="H47" s="834" t="str">
        <f>IF(H36="","",IF(SUMIF($A$13:$A$31,H36,$J$13:$J$31)=0,"",SUMIF($A$13:$A$31,H36,$J$13:$J$31)/$M$33))</f>
        <v/>
      </c>
      <c r="I47" s="835" t="str">
        <f t="shared" ref="I47:AA47" si="16">IF(I36="","",IF(SUMIF($A$13:$A$31,I36,$J$13:$J$31)=0,"",SUMIF($A$13:$A$31,I36,$J$13:$J$31)/$M$33))</f>
        <v/>
      </c>
      <c r="J47" s="835" t="str">
        <f t="shared" si="16"/>
        <v/>
      </c>
      <c r="K47" s="835" t="str">
        <f t="shared" si="16"/>
        <v/>
      </c>
      <c r="L47" s="835" t="str">
        <f t="shared" si="16"/>
        <v/>
      </c>
      <c r="M47" s="835" t="str">
        <f t="shared" si="16"/>
        <v/>
      </c>
      <c r="N47" s="835" t="str">
        <f t="shared" si="16"/>
        <v/>
      </c>
      <c r="O47" s="835" t="str">
        <f t="shared" si="16"/>
        <v/>
      </c>
      <c r="P47" s="835">
        <f t="shared" si="16"/>
        <v>0.75588235294117645</v>
      </c>
      <c r="Q47" s="835" t="str">
        <f t="shared" si="16"/>
        <v/>
      </c>
      <c r="R47" s="835">
        <f t="shared" si="16"/>
        <v>0.65588235294117647</v>
      </c>
      <c r="S47" s="835">
        <f t="shared" si="16"/>
        <v>0.48676470588235299</v>
      </c>
      <c r="T47" s="835" t="str">
        <f t="shared" si="16"/>
        <v/>
      </c>
      <c r="U47" s="835" t="str">
        <f t="shared" si="16"/>
        <v/>
      </c>
      <c r="V47" s="835" t="str">
        <f t="shared" si="16"/>
        <v/>
      </c>
      <c r="W47" s="835" t="str">
        <f t="shared" si="16"/>
        <v/>
      </c>
      <c r="X47" s="835">
        <f t="shared" si="16"/>
        <v>0.38235294117647056</v>
      </c>
      <c r="Y47" s="835" t="str">
        <f t="shared" si="16"/>
        <v/>
      </c>
      <c r="Z47" s="835" t="str">
        <f t="shared" si="16"/>
        <v/>
      </c>
      <c r="AA47" s="836" t="str">
        <f t="shared" si="16"/>
        <v/>
      </c>
    </row>
    <row r="48" spans="1:27" s="345" customFormat="1" ht="13.5" thickBot="1">
      <c r="A48" s="345">
        <v>14</v>
      </c>
      <c r="B48" s="818">
        <f t="shared" si="8"/>
        <v>90</v>
      </c>
      <c r="C48" s="809">
        <f t="shared" si="3"/>
        <v>98.475693898206984</v>
      </c>
      <c r="D48" s="809">
        <f t="shared" si="4"/>
        <v>12</v>
      </c>
      <c r="E48" s="1591"/>
      <c r="F48" s="1579"/>
      <c r="G48" s="1598"/>
      <c r="H48" s="834" t="str">
        <f>IF(H36="","",IF(SUMIF($A$13:$A$31,H36,$K$13:$K$31)=0,"",SUMIF($A$13:$A$31,H36,$K$13:$K$31)/$M$33))</f>
        <v/>
      </c>
      <c r="I48" s="835" t="str">
        <f t="shared" ref="I48:AA48" si="17">IF(I36="","",IF(SUMIF($A$13:$A$31,I36,$K$13:$K$31)=0,"",SUMIF($A$13:$A$31,I36,$K$13:$K$31)/$M$33))</f>
        <v/>
      </c>
      <c r="J48" s="835" t="str">
        <f t="shared" si="17"/>
        <v/>
      </c>
      <c r="K48" s="835" t="str">
        <f t="shared" si="17"/>
        <v/>
      </c>
      <c r="L48" s="835" t="str">
        <f t="shared" si="17"/>
        <v/>
      </c>
      <c r="M48" s="835" t="str">
        <f t="shared" si="17"/>
        <v/>
      </c>
      <c r="N48" s="835" t="str">
        <f t="shared" si="17"/>
        <v/>
      </c>
      <c r="O48" s="835" t="str">
        <f t="shared" si="17"/>
        <v/>
      </c>
      <c r="P48" s="835" t="str">
        <f t="shared" si="17"/>
        <v/>
      </c>
      <c r="Q48" s="835" t="str">
        <f t="shared" si="17"/>
        <v/>
      </c>
      <c r="R48" s="835" t="str">
        <f t="shared" si="17"/>
        <v/>
      </c>
      <c r="S48" s="835" t="str">
        <f t="shared" si="17"/>
        <v/>
      </c>
      <c r="T48" s="835" t="str">
        <f t="shared" si="17"/>
        <v/>
      </c>
      <c r="U48" s="835" t="str">
        <f t="shared" si="17"/>
        <v/>
      </c>
      <c r="V48" s="835" t="str">
        <f t="shared" si="17"/>
        <v/>
      </c>
      <c r="W48" s="835" t="str">
        <f t="shared" si="17"/>
        <v/>
      </c>
      <c r="X48" s="835" t="str">
        <f t="shared" si="17"/>
        <v/>
      </c>
      <c r="Y48" s="835" t="str">
        <f t="shared" si="17"/>
        <v/>
      </c>
      <c r="Z48" s="835" t="str">
        <f t="shared" si="17"/>
        <v/>
      </c>
      <c r="AA48" s="836" t="str">
        <f t="shared" si="17"/>
        <v/>
      </c>
    </row>
    <row r="49" spans="1:28" s="345" customFormat="1">
      <c r="A49" s="345">
        <v>15</v>
      </c>
      <c r="B49" s="818">
        <f t="shared" ref="B49:B54" si="18">IF(COUNTIF(C26,"")+COUNTIF(H26,"")+COUNTIF(O26,"")+COUNTIF(T26,"")=4,"",AVERAGE(C26,H26,O26,T26))</f>
        <v>97.737572490101769</v>
      </c>
      <c r="C49" s="809">
        <f t="shared" si="3"/>
        <v>99.116172061249358</v>
      </c>
      <c r="D49" s="809">
        <f t="shared" si="4"/>
        <v>13</v>
      </c>
      <c r="E49" s="1591"/>
      <c r="F49" s="1578">
        <f>S7</f>
        <v>83</v>
      </c>
      <c r="G49" s="1596" t="s">
        <v>1285</v>
      </c>
      <c r="H49" s="840" t="str">
        <f>IF(H36="","",IF(SUMIF($A$13:$A$31,H36,$Q$13:$Q$31)=0,"",SUMIF($A$13:$A$31,H36,$Q$13:$Q$31)/$Y$33))</f>
        <v/>
      </c>
      <c r="I49" s="841">
        <f t="shared" ref="I49:AA49" si="19">IF(I36="","",IF(SUMIF($A$13:$A$31,I36,$Q$13:$Q$31)=0,"",SUMIF($A$13:$A$31,I36,$Q$13:$Q$31)/$Y$33))</f>
        <v>6.3858695652173919E-2</v>
      </c>
      <c r="J49" s="841" t="str">
        <f t="shared" si="19"/>
        <v/>
      </c>
      <c r="K49" s="841" t="str">
        <f t="shared" si="19"/>
        <v/>
      </c>
      <c r="L49" s="841" t="str">
        <f t="shared" si="19"/>
        <v/>
      </c>
      <c r="M49" s="841" t="str">
        <f t="shared" si="19"/>
        <v/>
      </c>
      <c r="N49" s="841" t="str">
        <f t="shared" si="19"/>
        <v/>
      </c>
      <c r="O49" s="841">
        <f t="shared" si="19"/>
        <v>0.75407608695652184</v>
      </c>
      <c r="P49" s="841" t="str">
        <f t="shared" si="19"/>
        <v/>
      </c>
      <c r="Q49" s="841" t="str">
        <f t="shared" si="19"/>
        <v/>
      </c>
      <c r="R49" s="841">
        <f t="shared" si="19"/>
        <v>0.61684782608695654</v>
      </c>
      <c r="S49" s="841" t="str">
        <f t="shared" si="19"/>
        <v/>
      </c>
      <c r="T49" s="841" t="str">
        <f t="shared" si="19"/>
        <v/>
      </c>
      <c r="U49" s="841">
        <f t="shared" si="19"/>
        <v>0.51494565217391308</v>
      </c>
      <c r="V49" s="841" t="str">
        <f t="shared" si="19"/>
        <v/>
      </c>
      <c r="W49" s="841">
        <f t="shared" si="19"/>
        <v>0.52309782608695654</v>
      </c>
      <c r="X49" s="841" t="str">
        <f t="shared" si="19"/>
        <v/>
      </c>
      <c r="Y49" s="841">
        <f t="shared" si="19"/>
        <v>0.56929347826086962</v>
      </c>
      <c r="Z49" s="841" t="str">
        <f t="shared" si="19"/>
        <v/>
      </c>
      <c r="AA49" s="842" t="str">
        <f t="shared" si="19"/>
        <v/>
      </c>
    </row>
    <row r="50" spans="1:28" s="345" customFormat="1">
      <c r="A50" s="345">
        <v>16</v>
      </c>
      <c r="B50" s="818">
        <f t="shared" si="18"/>
        <v>98.475693898206984</v>
      </c>
      <c r="C50" s="809">
        <f t="shared" si="3"/>
        <v>99.666653482478281</v>
      </c>
      <c r="D50" s="809">
        <f t="shared" si="4"/>
        <v>14</v>
      </c>
      <c r="E50" s="1591"/>
      <c r="F50" s="1595"/>
      <c r="G50" s="1597"/>
      <c r="H50" s="843" t="str">
        <f>IF(H36="","",IF(SUMIF($A$13:$A$31,H36,$R$13:$R$31)=0,"",SUMIF($A$13:$A$31,H36,$R$13:$R$31)/$Y$33))</f>
        <v/>
      </c>
      <c r="I50" s="844" t="str">
        <f t="shared" ref="I50:AA50" si="20">IF(I36="","",IF(SUMIF($A$13:$A$31,I36,$R$13:$R$31)=0,"",SUMIF($A$13:$A$31,I36,$R$13:$R$31)/$Y$33))</f>
        <v/>
      </c>
      <c r="J50" s="844" t="str">
        <f t="shared" si="20"/>
        <v/>
      </c>
      <c r="K50" s="844" t="str">
        <f t="shared" si="20"/>
        <v/>
      </c>
      <c r="L50" s="844" t="str">
        <f t="shared" si="20"/>
        <v/>
      </c>
      <c r="M50" s="844" t="str">
        <f t="shared" si="20"/>
        <v/>
      </c>
      <c r="N50" s="844" t="str">
        <f t="shared" si="20"/>
        <v/>
      </c>
      <c r="O50" s="844" t="str">
        <f t="shared" si="20"/>
        <v/>
      </c>
      <c r="P50" s="844" t="str">
        <f t="shared" si="20"/>
        <v/>
      </c>
      <c r="Q50" s="844" t="str">
        <f t="shared" si="20"/>
        <v/>
      </c>
      <c r="R50" s="844" t="str">
        <f t="shared" si="20"/>
        <v/>
      </c>
      <c r="S50" s="844" t="str">
        <f t="shared" si="20"/>
        <v/>
      </c>
      <c r="T50" s="844" t="str">
        <f t="shared" si="20"/>
        <v/>
      </c>
      <c r="U50" s="844" t="str">
        <f t="shared" si="20"/>
        <v/>
      </c>
      <c r="V50" s="844" t="str">
        <f t="shared" si="20"/>
        <v/>
      </c>
      <c r="W50" s="844" t="str">
        <f t="shared" si="20"/>
        <v/>
      </c>
      <c r="X50" s="844" t="str">
        <f t="shared" si="20"/>
        <v/>
      </c>
      <c r="Y50" s="844" t="str">
        <f t="shared" si="20"/>
        <v/>
      </c>
      <c r="Z50" s="844" t="str">
        <f t="shared" si="20"/>
        <v/>
      </c>
      <c r="AA50" s="845" t="str">
        <f t="shared" si="20"/>
        <v/>
      </c>
    </row>
    <row r="51" spans="1:28" s="345" customFormat="1">
      <c r="A51" s="345">
        <v>17</v>
      </c>
      <c r="B51" s="818">
        <f t="shared" si="18"/>
        <v>99.116172061249358</v>
      </c>
      <c r="C51" s="809">
        <f t="shared" si="3"/>
        <v>99.952573567634673</v>
      </c>
      <c r="D51" s="809">
        <f t="shared" si="4"/>
        <v>15</v>
      </c>
      <c r="E51" s="1591"/>
      <c r="F51" s="1595"/>
      <c r="G51" s="1597" t="s">
        <v>1286</v>
      </c>
      <c r="H51" s="843" t="str">
        <f>IF(H36="","",IF(SUMIF($A$13:$A$31,H36,$V$13:$V$31)=0,"",SUMIF($A$13:$A$31,H36,$V$13:$V$31)/$Y$33))</f>
        <v/>
      </c>
      <c r="I51" s="844">
        <f t="shared" ref="I51:AA51" si="21">IF(I36="","",IF(SUMIF($A$13:$A$31,I36,$V$13:$V$31)=0,"",SUMIF($A$13:$A$31,I36,$V$13:$V$31)/$Y$33))</f>
        <v>8.6956521739130446E-2</v>
      </c>
      <c r="J51" s="844" t="str">
        <f t="shared" si="21"/>
        <v/>
      </c>
      <c r="K51" s="844" t="str">
        <f t="shared" si="21"/>
        <v/>
      </c>
      <c r="L51" s="844" t="str">
        <f t="shared" si="21"/>
        <v/>
      </c>
      <c r="M51" s="844" t="str">
        <f t="shared" si="21"/>
        <v/>
      </c>
      <c r="N51" s="844" t="str">
        <f t="shared" si="21"/>
        <v/>
      </c>
      <c r="O51" s="844" t="str">
        <f t="shared" si="21"/>
        <v/>
      </c>
      <c r="P51" s="844">
        <f t="shared" si="21"/>
        <v>0.79483695652173925</v>
      </c>
      <c r="Q51" s="844">
        <f t="shared" si="21"/>
        <v>0.75135869565217395</v>
      </c>
      <c r="R51" s="844">
        <f t="shared" si="21"/>
        <v>0.67119565217391308</v>
      </c>
      <c r="S51" s="844" t="str">
        <f t="shared" si="21"/>
        <v/>
      </c>
      <c r="T51" s="844" t="str">
        <f t="shared" si="21"/>
        <v/>
      </c>
      <c r="U51" s="844" t="str">
        <f t="shared" si="21"/>
        <v/>
      </c>
      <c r="V51" s="844" t="str">
        <f t="shared" si="21"/>
        <v/>
      </c>
      <c r="W51" s="844" t="str">
        <f t="shared" si="21"/>
        <v/>
      </c>
      <c r="X51" s="844" t="str">
        <f t="shared" si="21"/>
        <v/>
      </c>
      <c r="Y51" s="844" t="str">
        <f t="shared" si="21"/>
        <v/>
      </c>
      <c r="Z51" s="844" t="str">
        <f t="shared" si="21"/>
        <v/>
      </c>
      <c r="AA51" s="845" t="str">
        <f t="shared" si="21"/>
        <v/>
      </c>
    </row>
    <row r="52" spans="1:28" s="345" customFormat="1" ht="12" customHeight="1" thickBot="1">
      <c r="A52" s="345">
        <v>18</v>
      </c>
      <c r="B52" s="818">
        <f t="shared" si="18"/>
        <v>99.666653482478281</v>
      </c>
      <c r="C52" s="809">
        <f t="shared" si="3"/>
        <v>100</v>
      </c>
      <c r="D52" s="809">
        <f t="shared" si="4"/>
        <v>16</v>
      </c>
      <c r="E52" s="1592"/>
      <c r="F52" s="1579"/>
      <c r="G52" s="1598"/>
      <c r="H52" s="846" t="str">
        <f>IF(H36="","",IF(SUMIF($A$13:$A$31,H36,$W$13:$W$31)=0,"",SUMIF($A$13:$A$31,H36,$W$13:$W$31)/$Y$33))</f>
        <v/>
      </c>
      <c r="I52" s="847" t="str">
        <f t="shared" ref="I52:AA52" si="22">IF(I36="","",IF(SUMIF($A$13:$A$31,I36,$W$13:$W$31)=0,"",SUMIF($A$13:$A$31,I36,$W$13:$W$31)/$Y$33))</f>
        <v/>
      </c>
      <c r="J52" s="847" t="str">
        <f t="shared" si="22"/>
        <v/>
      </c>
      <c r="K52" s="847" t="str">
        <f t="shared" si="22"/>
        <v/>
      </c>
      <c r="L52" s="847" t="str">
        <f t="shared" si="22"/>
        <v/>
      </c>
      <c r="M52" s="847" t="str">
        <f t="shared" si="22"/>
        <v/>
      </c>
      <c r="N52" s="847" t="str">
        <f t="shared" si="22"/>
        <v/>
      </c>
      <c r="O52" s="847" t="str">
        <f t="shared" si="22"/>
        <v/>
      </c>
      <c r="P52" s="847" t="str">
        <f t="shared" si="22"/>
        <v/>
      </c>
      <c r="Q52" s="847" t="str">
        <f t="shared" si="22"/>
        <v/>
      </c>
      <c r="R52" s="847" t="str">
        <f t="shared" si="22"/>
        <v/>
      </c>
      <c r="S52" s="847" t="str">
        <f t="shared" si="22"/>
        <v/>
      </c>
      <c r="T52" s="847" t="str">
        <f t="shared" si="22"/>
        <v/>
      </c>
      <c r="U52" s="847" t="str">
        <f t="shared" si="22"/>
        <v/>
      </c>
      <c r="V52" s="847" t="str">
        <f t="shared" si="22"/>
        <v/>
      </c>
      <c r="W52" s="847" t="str">
        <f t="shared" si="22"/>
        <v/>
      </c>
      <c r="X52" s="847" t="str">
        <f t="shared" si="22"/>
        <v/>
      </c>
      <c r="Y52" s="847" t="str">
        <f t="shared" si="22"/>
        <v/>
      </c>
      <c r="Z52" s="847" t="str">
        <f t="shared" si="22"/>
        <v/>
      </c>
      <c r="AA52" s="848" t="str">
        <f t="shared" si="22"/>
        <v/>
      </c>
    </row>
    <row r="53" spans="1:28" s="345" customFormat="1">
      <c r="A53" s="345">
        <v>19</v>
      </c>
      <c r="B53" s="818">
        <f t="shared" si="18"/>
        <v>99.952573567634673</v>
      </c>
      <c r="C53" s="809">
        <f t="shared" si="3"/>
        <v>0</v>
      </c>
      <c r="D53" s="809">
        <f t="shared" si="4"/>
        <v>17</v>
      </c>
      <c r="E53" s="1571" t="s">
        <v>1287</v>
      </c>
      <c r="F53" s="1574" t="s">
        <v>1283</v>
      </c>
      <c r="G53" s="1593"/>
      <c r="H53" s="834">
        <f t="shared" ref="H53:AA53" si="23">IF(COUNTIF(H55:H58,"")=4,"",AVERAGE(H55:H58))</f>
        <v>1.9852941176470587E-2</v>
      </c>
      <c r="I53" s="835">
        <f t="shared" si="23"/>
        <v>9.7058823529411753E-2</v>
      </c>
      <c r="J53" s="835">
        <f t="shared" si="23"/>
        <v>0.14809782608695654</v>
      </c>
      <c r="K53" s="835">
        <f t="shared" si="23"/>
        <v>0.25268542199488492</v>
      </c>
      <c r="L53" s="835">
        <f t="shared" si="23"/>
        <v>0.39414162404092079</v>
      </c>
      <c r="M53" s="835">
        <f t="shared" si="23"/>
        <v>0.91336716751918168</v>
      </c>
      <c r="N53" s="835">
        <f t="shared" si="23"/>
        <v>0.90706042199488501</v>
      </c>
      <c r="O53" s="835">
        <f t="shared" si="23"/>
        <v>0.58943414322250642</v>
      </c>
      <c r="P53" s="835">
        <f t="shared" si="23"/>
        <v>0.7835038363171356</v>
      </c>
      <c r="Q53" s="835">
        <f t="shared" si="23"/>
        <v>0.74949248721227624</v>
      </c>
      <c r="R53" s="835">
        <f t="shared" si="23"/>
        <v>0.61823849104859341</v>
      </c>
      <c r="S53" s="835">
        <f t="shared" si="23"/>
        <v>0.57065217391304357</v>
      </c>
      <c r="T53" s="835">
        <f t="shared" si="23"/>
        <v>0.46606457800511514</v>
      </c>
      <c r="U53" s="835">
        <f t="shared" si="23"/>
        <v>0.42058823529411765</v>
      </c>
      <c r="V53" s="835">
        <f t="shared" si="23"/>
        <v>0.43189737851662402</v>
      </c>
      <c r="W53" s="835">
        <f t="shared" si="23"/>
        <v>0.37794117647058822</v>
      </c>
      <c r="X53" s="835">
        <f t="shared" si="23"/>
        <v>0.54008152173913049</v>
      </c>
      <c r="Y53" s="835" t="str">
        <f t="shared" si="23"/>
        <v/>
      </c>
      <c r="Z53" s="835" t="str">
        <f t="shared" si="23"/>
        <v/>
      </c>
      <c r="AA53" s="836" t="str">
        <f t="shared" si="23"/>
        <v/>
      </c>
    </row>
    <row r="54" spans="1:28" s="345" customFormat="1" ht="12.75" customHeight="1" thickBot="1">
      <c r="A54" s="345">
        <v>20</v>
      </c>
      <c r="B54" s="818">
        <f t="shared" si="18"/>
        <v>100</v>
      </c>
      <c r="C54" s="809">
        <f t="shared" si="3"/>
        <v>0</v>
      </c>
      <c r="D54" s="809">
        <f t="shared" si="4"/>
        <v>18</v>
      </c>
      <c r="E54" s="1572"/>
      <c r="F54" s="1576" t="s">
        <v>1284</v>
      </c>
      <c r="G54" s="1594"/>
      <c r="H54" s="834">
        <f t="shared" ref="H54:AA54" si="24">IF(COUNTIF(H55:H58,"")=4,"",IF(COUNTIF(H55:H58,"")=3,0,STDEV(H55:H58)*$F$35))</f>
        <v>0.53573737304016122</v>
      </c>
      <c r="I54" s="835">
        <f t="shared" si="24"/>
        <v>0</v>
      </c>
      <c r="J54" s="835">
        <f t="shared" si="24"/>
        <v>1.2727922061357853</v>
      </c>
      <c r="K54" s="835">
        <f t="shared" si="24"/>
        <v>5.9430245232902372</v>
      </c>
      <c r="L54" s="835">
        <f t="shared" si="24"/>
        <v>16.533820324803091</v>
      </c>
      <c r="M54" s="835">
        <f t="shared" si="24"/>
        <v>5.3099015580272271</v>
      </c>
      <c r="N54" s="835">
        <f t="shared" si="24"/>
        <v>2.8774444223461395</v>
      </c>
      <c r="O54" s="835">
        <f t="shared" si="24"/>
        <v>35.446211016588599</v>
      </c>
      <c r="P54" s="835">
        <f t="shared" si="24"/>
        <v>2.616014207623258</v>
      </c>
      <c r="Q54" s="835">
        <f t="shared" si="24"/>
        <v>2.7784715911683615</v>
      </c>
      <c r="R54" s="835">
        <f t="shared" si="24"/>
        <v>1.7104555333266878</v>
      </c>
      <c r="S54" s="835">
        <f t="shared" si="24"/>
        <v>0</v>
      </c>
      <c r="T54" s="835">
        <f t="shared" si="24"/>
        <v>4.5991961084835626</v>
      </c>
      <c r="U54" s="835">
        <f t="shared" si="24"/>
        <v>0</v>
      </c>
      <c r="V54" s="835">
        <f t="shared" si="24"/>
        <v>6.3814307276259168</v>
      </c>
      <c r="W54" s="835">
        <f t="shared" si="24"/>
        <v>0</v>
      </c>
      <c r="X54" s="835">
        <f t="shared" si="24"/>
        <v>0.35355339059327673</v>
      </c>
      <c r="Y54" s="835" t="str">
        <f t="shared" si="24"/>
        <v/>
      </c>
      <c r="Z54" s="835" t="str">
        <f t="shared" si="24"/>
        <v/>
      </c>
      <c r="AA54" s="836" t="str">
        <f t="shared" si="24"/>
        <v/>
      </c>
    </row>
    <row r="55" spans="1:28" s="345" customFormat="1" ht="13.5" customHeight="1">
      <c r="E55" s="1572"/>
      <c r="F55" s="1578">
        <f>G7</f>
        <v>57</v>
      </c>
      <c r="G55" s="849" t="s">
        <v>1285</v>
      </c>
      <c r="H55" s="827">
        <f>IF(H36="","",IF(SUMIF($A$13:$A$31,H36,$G$13:$G$31)=0,"",SUMIF($A$13:$A$31,H36,$G$13:$G$31)/$M$33))</f>
        <v>2.4999999999999998E-2</v>
      </c>
      <c r="I55" s="828" t="str">
        <f t="shared" ref="I55:AA55" si="25">IF(I36="","",IF(SUMIF($A$13:$A$31,I36,$G$13:$G$31)=0,"",SUMIF($A$13:$A$31,I36,$G$13:$G$31)/$M$33))</f>
        <v/>
      </c>
      <c r="J55" s="828" t="str">
        <f t="shared" si="25"/>
        <v/>
      </c>
      <c r="K55" s="828">
        <f t="shared" si="25"/>
        <v>0.19558823529411765</v>
      </c>
      <c r="L55" s="828" t="str">
        <f t="shared" si="25"/>
        <v/>
      </c>
      <c r="M55" s="828">
        <f t="shared" si="25"/>
        <v>1</v>
      </c>
      <c r="N55" s="828">
        <f t="shared" si="25"/>
        <v>0.90147058823529402</v>
      </c>
      <c r="O55" s="828">
        <f t="shared" si="25"/>
        <v>4.4117647058823532E-2</v>
      </c>
      <c r="P55" s="828">
        <f t="shared" si="25"/>
        <v>0.77941176470588236</v>
      </c>
      <c r="Q55" s="828">
        <f t="shared" si="25"/>
        <v>0.70294117647058818</v>
      </c>
      <c r="R55" s="828">
        <f t="shared" si="25"/>
        <v>0.58970588235294119</v>
      </c>
      <c r="S55" s="828" t="str">
        <f t="shared" si="25"/>
        <v/>
      </c>
      <c r="T55" s="828">
        <f t="shared" si="25"/>
        <v>0.39411764705882352</v>
      </c>
      <c r="U55" s="828" t="str">
        <f t="shared" si="25"/>
        <v/>
      </c>
      <c r="V55" s="828">
        <f t="shared" si="25"/>
        <v>0.37058823529411766</v>
      </c>
      <c r="W55" s="828" t="str">
        <f t="shared" si="25"/>
        <v/>
      </c>
      <c r="X55" s="828" t="str">
        <f t="shared" si="25"/>
        <v/>
      </c>
      <c r="Y55" s="828" t="str">
        <f t="shared" si="25"/>
        <v/>
      </c>
      <c r="Z55" s="828" t="str">
        <f t="shared" si="25"/>
        <v/>
      </c>
      <c r="AA55" s="829" t="str">
        <f t="shared" si="25"/>
        <v/>
      </c>
    </row>
    <row r="56" spans="1:28" s="345" customFormat="1" ht="13.5" thickBot="1">
      <c r="E56" s="1572"/>
      <c r="F56" s="1579"/>
      <c r="G56" s="850" t="s">
        <v>1286</v>
      </c>
      <c r="H56" s="823">
        <f>IF(H36="","",IF(SUMIF($A$13:$A$31,H36,$L$13:$L$31)=0,"",SUMIF($A$13:$A$31,H36,$L$13:$L$31)/$M$33))</f>
        <v>1.4705882352941176E-2</v>
      </c>
      <c r="I56" s="824">
        <f t="shared" ref="I56:AA56" si="26">IF(I36="","",IF(SUMIF($A$13:$A$31,I36,$L$13:$L$31)=0,"",SUMIF($A$13:$A$31,I36,$L$13:$L$31)/$M$33))</f>
        <v>9.7058823529411753E-2</v>
      </c>
      <c r="J56" s="824" t="str">
        <f t="shared" si="26"/>
        <v/>
      </c>
      <c r="K56" s="824" t="str">
        <f t="shared" si="26"/>
        <v/>
      </c>
      <c r="L56" s="824">
        <f t="shared" si="26"/>
        <v>0.23529411764705882</v>
      </c>
      <c r="M56" s="824">
        <f t="shared" si="26"/>
        <v>0.94558823529411762</v>
      </c>
      <c r="N56" s="824">
        <f t="shared" si="26"/>
        <v>0.85720588235294115</v>
      </c>
      <c r="O56" s="824" t="str">
        <f t="shared" si="26"/>
        <v/>
      </c>
      <c r="P56" s="824">
        <f t="shared" si="26"/>
        <v>0.76764705882352946</v>
      </c>
      <c r="Q56" s="824">
        <f t="shared" si="26"/>
        <v>0.78823529411764703</v>
      </c>
      <c r="R56" s="824">
        <f t="shared" si="26"/>
        <v>0.64411764705882346</v>
      </c>
      <c r="S56" s="824" t="str">
        <f t="shared" si="26"/>
        <v/>
      </c>
      <c r="T56" s="824" t="str">
        <f t="shared" si="26"/>
        <v/>
      </c>
      <c r="U56" s="824">
        <f t="shared" si="26"/>
        <v>0.42058823529411765</v>
      </c>
      <c r="V56" s="824" t="str">
        <f t="shared" si="26"/>
        <v/>
      </c>
      <c r="W56" s="824">
        <f t="shared" si="26"/>
        <v>0.37794117647058822</v>
      </c>
      <c r="X56" s="824" t="str">
        <f t="shared" si="26"/>
        <v/>
      </c>
      <c r="Y56" s="824" t="str">
        <f t="shared" si="26"/>
        <v/>
      </c>
      <c r="Z56" s="824" t="str">
        <f t="shared" si="26"/>
        <v/>
      </c>
      <c r="AA56" s="825" t="str">
        <f t="shared" si="26"/>
        <v/>
      </c>
    </row>
    <row r="57" spans="1:28" s="345" customFormat="1">
      <c r="E57" s="1572"/>
      <c r="F57" s="1578">
        <f>S7</f>
        <v>83</v>
      </c>
      <c r="G57" s="849" t="s">
        <v>1285</v>
      </c>
      <c r="H57" s="823" t="str">
        <f>IF(H36="","",IF(SUMIF($A$13:$A$31,H36,$S$13:$S$31)=0,"",SUMIF($A$13:$A$31,H36,$S$13:$S$31)/$Y$33))</f>
        <v/>
      </c>
      <c r="I57" s="824" t="str">
        <f t="shared" ref="I57:AA57" si="27">IF(I36="","",IF(SUMIF($A$13:$A$31,I36,$S$13:$S$31)=0,"",SUMIF($A$13:$A$31,I36,$S$13:$S$31)/$Y$33))</f>
        <v/>
      </c>
      <c r="J57" s="824">
        <f t="shared" si="27"/>
        <v>0.13586956521739132</v>
      </c>
      <c r="K57" s="824" t="str">
        <f t="shared" si="27"/>
        <v/>
      </c>
      <c r="L57" s="824">
        <f t="shared" si="27"/>
        <v>0.55298913043478271</v>
      </c>
      <c r="M57" s="824">
        <f t="shared" si="27"/>
        <v>0.85190217391304357</v>
      </c>
      <c r="N57" s="824">
        <f t="shared" si="27"/>
        <v>0.95108695652173925</v>
      </c>
      <c r="O57" s="824">
        <f t="shared" si="27"/>
        <v>0.76766304347826098</v>
      </c>
      <c r="P57" s="824">
        <f t="shared" si="27"/>
        <v>0.75271739130434789</v>
      </c>
      <c r="Q57" s="824">
        <f t="shared" si="27"/>
        <v>0.73641304347826098</v>
      </c>
      <c r="R57" s="824">
        <f t="shared" si="27"/>
        <v>0.61141304347826086</v>
      </c>
      <c r="S57" s="824" t="str">
        <f t="shared" si="27"/>
        <v/>
      </c>
      <c r="T57" s="824">
        <f t="shared" si="27"/>
        <v>0.49728260869565222</v>
      </c>
      <c r="U57" s="824" t="str">
        <f t="shared" si="27"/>
        <v/>
      </c>
      <c r="V57" s="824" t="str">
        <f t="shared" si="27"/>
        <v/>
      </c>
      <c r="W57" s="824" t="str">
        <f t="shared" si="27"/>
        <v/>
      </c>
      <c r="X57" s="824">
        <f t="shared" si="27"/>
        <v>0.5434782608695653</v>
      </c>
      <c r="Y57" s="824" t="str">
        <f t="shared" si="27"/>
        <v/>
      </c>
      <c r="Z57" s="824" t="str">
        <f t="shared" si="27"/>
        <v/>
      </c>
      <c r="AA57" s="825" t="str">
        <f t="shared" si="27"/>
        <v/>
      </c>
    </row>
    <row r="58" spans="1:28" s="345" customFormat="1" ht="13.5" thickBot="1">
      <c r="E58" s="1573"/>
      <c r="F58" s="1579"/>
      <c r="G58" s="850" t="s">
        <v>1286</v>
      </c>
      <c r="H58" s="831" t="str">
        <f>IF(H36="","",IF(SUMIF($A$13:$A$31,H36,$X$13:$X$31)=0,"",SUMIF($A$13:$A$31,H36,$X$13:$X$31)/$Y$33))</f>
        <v/>
      </c>
      <c r="I58" s="832" t="str">
        <f t="shared" ref="I58:AA58" si="28">IF(I36="","",IF(SUMIF($A$13:$A$31,I36,$X$13:$X$31)=0,"",SUMIF($A$13:$A$31,I36,$X$13:$X$31)/$Y$33))</f>
        <v/>
      </c>
      <c r="J58" s="832">
        <f t="shared" si="28"/>
        <v>0.16032608695652176</v>
      </c>
      <c r="K58" s="832">
        <f t="shared" si="28"/>
        <v>0.30978260869565222</v>
      </c>
      <c r="L58" s="832" t="str">
        <f t="shared" si="28"/>
        <v/>
      </c>
      <c r="M58" s="832">
        <f t="shared" si="28"/>
        <v>0.8559782608695653</v>
      </c>
      <c r="N58" s="832">
        <f t="shared" si="28"/>
        <v>0.91847826086956519</v>
      </c>
      <c r="O58" s="832">
        <f t="shared" si="28"/>
        <v>0.95652173913043492</v>
      </c>
      <c r="P58" s="832">
        <f t="shared" si="28"/>
        <v>0.83423913043478271</v>
      </c>
      <c r="Q58" s="832">
        <f t="shared" si="28"/>
        <v>0.77038043478260876</v>
      </c>
      <c r="R58" s="832">
        <f t="shared" si="28"/>
        <v>0.62771739130434789</v>
      </c>
      <c r="S58" s="832">
        <f t="shared" si="28"/>
        <v>0.57065217391304357</v>
      </c>
      <c r="T58" s="832">
        <f t="shared" si="28"/>
        <v>0.50679347826086951</v>
      </c>
      <c r="U58" s="832" t="str">
        <f t="shared" si="28"/>
        <v/>
      </c>
      <c r="V58" s="832">
        <f t="shared" si="28"/>
        <v>0.49320652173913043</v>
      </c>
      <c r="W58" s="832" t="str">
        <f t="shared" si="28"/>
        <v/>
      </c>
      <c r="X58" s="832">
        <f t="shared" si="28"/>
        <v>0.53668478260869568</v>
      </c>
      <c r="Y58" s="832" t="str">
        <f t="shared" si="28"/>
        <v/>
      </c>
      <c r="Z58" s="832" t="str">
        <f t="shared" si="28"/>
        <v/>
      </c>
      <c r="AA58" s="833" t="str">
        <f t="shared" si="28"/>
        <v/>
      </c>
    </row>
    <row r="59" spans="1:28" s="345" customFormat="1">
      <c r="E59" s="1586" t="s">
        <v>1283</v>
      </c>
      <c r="F59" s="1587"/>
      <c r="G59" s="1587"/>
      <c r="H59" s="834">
        <f t="shared" ref="H59:AA59" si="29">IF(COUNTIF(H39:H42,"")+COUNTIF(H45:H52,"")+COUNTIF(H55:H58,"")=16,"",AVERAGE(H39:H42,H45:H52,H55:H58))</f>
        <v>2.0456361892583121E-2</v>
      </c>
      <c r="I59" s="835">
        <f t="shared" si="29"/>
        <v>7.7810102301790279E-2</v>
      </c>
      <c r="J59" s="835">
        <f t="shared" si="29"/>
        <v>0.12437659846547315</v>
      </c>
      <c r="K59" s="835">
        <f t="shared" si="29"/>
        <v>0.23562579923273658</v>
      </c>
      <c r="L59" s="835">
        <f t="shared" si="29"/>
        <v>0.50511908567774944</v>
      </c>
      <c r="M59" s="835">
        <f t="shared" si="29"/>
        <v>0.860645780051151</v>
      </c>
      <c r="N59" s="835">
        <f t="shared" si="29"/>
        <v>0.90154482807615799</v>
      </c>
      <c r="O59" s="835">
        <f t="shared" si="29"/>
        <v>0.71940337276214839</v>
      </c>
      <c r="P59" s="835">
        <f t="shared" si="29"/>
        <v>0.77465473145780062</v>
      </c>
      <c r="Q59" s="835">
        <f t="shared" si="29"/>
        <v>0.74168975561238981</v>
      </c>
      <c r="R59" s="835">
        <f t="shared" si="29"/>
        <v>0.6303214368751453</v>
      </c>
      <c r="S59" s="835">
        <f t="shared" si="29"/>
        <v>0.51002557544757043</v>
      </c>
      <c r="T59" s="835">
        <f t="shared" si="29"/>
        <v>0.45506313938618925</v>
      </c>
      <c r="U59" s="835">
        <f t="shared" si="29"/>
        <v>0.44490888746803076</v>
      </c>
      <c r="V59" s="835">
        <f t="shared" si="29"/>
        <v>0.43483855498721224</v>
      </c>
      <c r="W59" s="835">
        <f t="shared" si="29"/>
        <v>0.44143622122762149</v>
      </c>
      <c r="X59" s="835">
        <f t="shared" si="29"/>
        <v>0.45607017263427119</v>
      </c>
      <c r="Y59" s="835">
        <f t="shared" si="29"/>
        <v>0.48391144501278777</v>
      </c>
      <c r="Z59" s="835" t="str">
        <f t="shared" si="29"/>
        <v/>
      </c>
      <c r="AA59" s="836" t="str">
        <f t="shared" si="29"/>
        <v/>
      </c>
      <c r="AB59" s="851">
        <f>MAX(H59:AA59)</f>
        <v>0.90154482807615799</v>
      </c>
    </row>
    <row r="60" spans="1:28" s="345" customFormat="1" ht="13.5" thickBot="1">
      <c r="E60" s="1588" t="s">
        <v>1284</v>
      </c>
      <c r="F60" s="1589"/>
      <c r="G60" s="1589"/>
      <c r="H60" s="831">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0.33660270955986782</v>
      </c>
      <c r="I60" s="832">
        <f t="shared" si="30"/>
        <v>1.1432075315565449</v>
      </c>
      <c r="J60" s="832">
        <f t="shared" si="30"/>
        <v>1.8150924366635541</v>
      </c>
      <c r="K60" s="832">
        <f t="shared" si="30"/>
        <v>5.2976364232017392</v>
      </c>
      <c r="L60" s="832">
        <f t="shared" si="30"/>
        <v>14.301065700201359</v>
      </c>
      <c r="M60" s="832">
        <f t="shared" si="30"/>
        <v>8.1049444152501522</v>
      </c>
      <c r="N60" s="832">
        <f t="shared" si="30"/>
        <v>3.7592551418915097</v>
      </c>
      <c r="O60" s="832">
        <f t="shared" si="30"/>
        <v>20.952423374268001</v>
      </c>
      <c r="P60" s="832">
        <f t="shared" si="30"/>
        <v>2.7407799202633427</v>
      </c>
      <c r="Q60" s="832">
        <f t="shared" si="30"/>
        <v>2.1793517848731803</v>
      </c>
      <c r="R60" s="832">
        <f t="shared" si="30"/>
        <v>2.6059490340450377</v>
      </c>
      <c r="S60" s="832">
        <f t="shared" si="30"/>
        <v>4.4009558099942874</v>
      </c>
      <c r="T60" s="832">
        <f t="shared" si="30"/>
        <v>4.089526993006416</v>
      </c>
      <c r="U60" s="832">
        <f t="shared" si="30"/>
        <v>4.9936859325169944</v>
      </c>
      <c r="V60" s="832">
        <f t="shared" si="30"/>
        <v>4.9730371969187974</v>
      </c>
      <c r="W60" s="832">
        <f t="shared" si="30"/>
        <v>6.0120433053898079</v>
      </c>
      <c r="X60" s="832">
        <f t="shared" si="30"/>
        <v>7.1694410042711931</v>
      </c>
      <c r="Y60" s="832">
        <f t="shared" si="30"/>
        <v>8.8870844040186974</v>
      </c>
      <c r="Z60" s="832" t="str">
        <f t="shared" si="30"/>
        <v/>
      </c>
      <c r="AA60" s="833" t="str">
        <f t="shared" si="30"/>
        <v/>
      </c>
    </row>
    <row r="61" spans="1:28" s="345" customFormat="1">
      <c r="R61" s="694"/>
    </row>
    <row r="62" spans="1:28" s="345" customFormat="1">
      <c r="E62" s="656">
        <f>IF(A13="","",A13)</f>
        <v>5.3605555861977985</v>
      </c>
      <c r="F62" s="852">
        <f>IF(E62="","",STDEV(C13,H13,O13,T13))</f>
        <v>0.16462070916000682</v>
      </c>
      <c r="G62" s="853"/>
      <c r="H62" s="816"/>
      <c r="R62" s="694"/>
    </row>
    <row r="63" spans="1:28" s="345" customFormat="1">
      <c r="E63" s="656">
        <f>IF(A15="","",A15)</f>
        <v>28.402760758696882</v>
      </c>
      <c r="F63" s="852">
        <f>IF(E63="","",STDEV(C15,H15,O15,T15))</f>
        <v>1.5516746142353675</v>
      </c>
      <c r="G63" s="853"/>
      <c r="H63" s="816"/>
    </row>
    <row r="64" spans="1:28" s="345" customFormat="1" ht="15.75" customHeight="1" thickBot="1">
      <c r="F64" s="854"/>
      <c r="G64" s="853"/>
      <c r="H64" s="816"/>
      <c r="R64" s="694"/>
    </row>
    <row r="65" spans="5:27" s="345" customFormat="1">
      <c r="F65" s="854"/>
      <c r="G65" s="853"/>
      <c r="H65" s="1599" t="s">
        <v>1288</v>
      </c>
      <c r="I65" s="1600"/>
      <c r="J65" s="1600"/>
      <c r="K65" s="1600"/>
      <c r="L65" s="1600"/>
      <c r="M65" s="1600"/>
      <c r="N65" s="1600"/>
      <c r="O65" s="1600"/>
      <c r="P65" s="1600"/>
      <c r="Q65" s="1600"/>
      <c r="R65" s="1600"/>
      <c r="S65" s="1600"/>
      <c r="T65" s="1600"/>
      <c r="U65" s="1600"/>
      <c r="V65" s="1600"/>
      <c r="W65" s="1600"/>
      <c r="X65" s="1600"/>
      <c r="Y65" s="1600"/>
      <c r="Z65" s="1600"/>
      <c r="AA65" s="1601"/>
    </row>
    <row r="66" spans="5:27" s="345" customFormat="1" ht="13.5" thickBot="1">
      <c r="F66" s="854"/>
      <c r="G66" s="855"/>
      <c r="H66" s="1602"/>
      <c r="I66" s="1603"/>
      <c r="J66" s="1603"/>
      <c r="K66" s="1603"/>
      <c r="L66" s="1603"/>
      <c r="M66" s="1603"/>
      <c r="N66" s="1603"/>
      <c r="O66" s="1603"/>
      <c r="P66" s="1603"/>
      <c r="Q66" s="1603"/>
      <c r="R66" s="1603"/>
      <c r="S66" s="1603"/>
      <c r="T66" s="1603"/>
      <c r="U66" s="1603"/>
      <c r="V66" s="1603"/>
      <c r="W66" s="1603"/>
      <c r="X66" s="1603"/>
      <c r="Y66" s="1603"/>
      <c r="Z66" s="1603"/>
      <c r="AA66" s="1604"/>
    </row>
    <row r="67" spans="5:27" s="345" customFormat="1" ht="13.5" thickBot="1">
      <c r="F67" s="854"/>
      <c r="G67" s="855"/>
      <c r="H67" s="856">
        <v>1</v>
      </c>
      <c r="I67" s="857">
        <v>2</v>
      </c>
      <c r="J67" s="857">
        <v>3</v>
      </c>
      <c r="K67" s="857">
        <v>4</v>
      </c>
      <c r="L67" s="857">
        <v>5</v>
      </c>
      <c r="M67" s="857">
        <v>6</v>
      </c>
      <c r="N67" s="857">
        <v>7</v>
      </c>
      <c r="O67" s="857">
        <v>8</v>
      </c>
      <c r="P67" s="857">
        <v>9</v>
      </c>
      <c r="Q67" s="857">
        <v>10</v>
      </c>
      <c r="R67" s="857">
        <v>11</v>
      </c>
      <c r="S67" s="857">
        <v>12</v>
      </c>
      <c r="T67" s="857">
        <v>13</v>
      </c>
      <c r="U67" s="857">
        <v>14</v>
      </c>
      <c r="V67" s="857">
        <v>15</v>
      </c>
      <c r="W67" s="857">
        <v>16</v>
      </c>
      <c r="X67" s="857">
        <v>17</v>
      </c>
      <c r="Y67" s="857">
        <v>18</v>
      </c>
      <c r="Z67" s="857">
        <v>19</v>
      </c>
      <c r="AA67" s="858">
        <v>20</v>
      </c>
    </row>
    <row r="68" spans="5:27" s="345" customFormat="1">
      <c r="E68" s="816"/>
      <c r="F68" s="816"/>
      <c r="H68" s="859">
        <f t="shared" ref="H68:AA68" si="31">IF(H37="","",RANK(H36,$H$36:$AA$36,1))</f>
        <v>1</v>
      </c>
      <c r="I68" s="860">
        <f t="shared" si="31"/>
        <v>2</v>
      </c>
      <c r="J68" s="860">
        <f t="shared" si="31"/>
        <v>3</v>
      </c>
      <c r="K68" s="860">
        <f t="shared" si="31"/>
        <v>4</v>
      </c>
      <c r="L68" s="860">
        <f t="shared" si="31"/>
        <v>5</v>
      </c>
      <c r="M68" s="860">
        <f t="shared" si="31"/>
        <v>6</v>
      </c>
      <c r="N68" s="860">
        <f t="shared" si="31"/>
        <v>7</v>
      </c>
      <c r="O68" s="860">
        <f t="shared" si="31"/>
        <v>8</v>
      </c>
      <c r="P68" s="860">
        <f t="shared" si="31"/>
        <v>9</v>
      </c>
      <c r="Q68" s="860">
        <f t="shared" si="31"/>
        <v>10</v>
      </c>
      <c r="R68" s="860">
        <f t="shared" si="31"/>
        <v>11</v>
      </c>
      <c r="S68" s="860">
        <f t="shared" si="31"/>
        <v>12</v>
      </c>
      <c r="T68" s="860">
        <f t="shared" si="31"/>
        <v>13</v>
      </c>
      <c r="U68" s="860">
        <f t="shared" si="31"/>
        <v>14</v>
      </c>
      <c r="V68" s="860">
        <f t="shared" si="31"/>
        <v>15</v>
      </c>
      <c r="W68" s="860">
        <f t="shared" si="31"/>
        <v>16</v>
      </c>
      <c r="X68" s="860" t="str">
        <f t="shared" si="31"/>
        <v/>
      </c>
      <c r="Y68" s="860" t="str">
        <f t="shared" si="31"/>
        <v/>
      </c>
      <c r="Z68" s="860" t="str">
        <f t="shared" si="31"/>
        <v/>
      </c>
      <c r="AA68" s="861" t="str">
        <f t="shared" si="31"/>
        <v/>
      </c>
    </row>
    <row r="69" spans="5:27" s="345" customFormat="1" ht="13.5" thickBot="1">
      <c r="F69" s="854"/>
      <c r="G69" s="855"/>
      <c r="H69" s="859">
        <f t="shared" ref="H69:AA69" si="32">IF(H68="","",RANK(H68,$H$68:$AA$68,1))</f>
        <v>1</v>
      </c>
      <c r="I69" s="860">
        <f t="shared" si="32"/>
        <v>2</v>
      </c>
      <c r="J69" s="860">
        <f t="shared" si="32"/>
        <v>3</v>
      </c>
      <c r="K69" s="860">
        <f t="shared" si="32"/>
        <v>4</v>
      </c>
      <c r="L69" s="860">
        <f t="shared" si="32"/>
        <v>5</v>
      </c>
      <c r="M69" s="860">
        <f t="shared" si="32"/>
        <v>6</v>
      </c>
      <c r="N69" s="860">
        <f t="shared" si="32"/>
        <v>7</v>
      </c>
      <c r="O69" s="860">
        <f t="shared" si="32"/>
        <v>8</v>
      </c>
      <c r="P69" s="860">
        <f t="shared" si="32"/>
        <v>9</v>
      </c>
      <c r="Q69" s="860">
        <f t="shared" si="32"/>
        <v>10</v>
      </c>
      <c r="R69" s="860">
        <f t="shared" si="32"/>
        <v>11</v>
      </c>
      <c r="S69" s="860">
        <f t="shared" si="32"/>
        <v>12</v>
      </c>
      <c r="T69" s="860">
        <f t="shared" si="32"/>
        <v>13</v>
      </c>
      <c r="U69" s="860">
        <f t="shared" si="32"/>
        <v>14</v>
      </c>
      <c r="V69" s="860">
        <f t="shared" si="32"/>
        <v>15</v>
      </c>
      <c r="W69" s="860">
        <f t="shared" si="32"/>
        <v>16</v>
      </c>
      <c r="X69" s="860" t="str">
        <f t="shared" si="32"/>
        <v/>
      </c>
      <c r="Y69" s="860" t="str">
        <f t="shared" si="32"/>
        <v/>
      </c>
      <c r="Z69" s="860" t="str">
        <f t="shared" si="32"/>
        <v/>
      </c>
      <c r="AA69" s="861" t="str">
        <f t="shared" si="32"/>
        <v/>
      </c>
    </row>
    <row r="70" spans="5:27" s="345" customFormat="1" ht="13.5" thickBot="1">
      <c r="E70" s="1605" t="s">
        <v>1281</v>
      </c>
      <c r="F70" s="1606"/>
      <c r="G70" s="1606"/>
      <c r="H70" s="862">
        <f>IF(SUMIF($H$69:$AA$69,H$67,$H$36:$AA$36)=0,"",SUMIF($H$69:$AA$69,H$67,$H$36:$AA$36))</f>
        <v>5.3605555861977985</v>
      </c>
      <c r="I70" s="863">
        <f>IF(SUMIF($H$69:$AA$69,I$67,$H$36:$AA$36)=0,"",SUMIF($H$69:$AA$69,I$67,$H$36:$AA$36))</f>
        <v>10</v>
      </c>
      <c r="J70" s="863">
        <f t="shared" ref="J70:AA70" si="33">IF(SUMIF($H$69:$AA$69,J$67,$H$36:$AA$36)=0,"",SUMIF($H$69:$AA$69,J$67,$H$36:$AA$36))</f>
        <v>20</v>
      </c>
      <c r="K70" s="863">
        <f t="shared" si="33"/>
        <v>26.922669813782981</v>
      </c>
      <c r="L70" s="863">
        <f t="shared" si="33"/>
        <v>28.402760758696882</v>
      </c>
      <c r="M70" s="863">
        <f t="shared" si="33"/>
        <v>30</v>
      </c>
      <c r="N70" s="863">
        <f t="shared" si="33"/>
        <v>40</v>
      </c>
      <c r="O70" s="863">
        <f t="shared" si="33"/>
        <v>50</v>
      </c>
      <c r="P70" s="863">
        <f t="shared" si="33"/>
        <v>60</v>
      </c>
      <c r="Q70" s="863">
        <f t="shared" si="33"/>
        <v>70</v>
      </c>
      <c r="R70" s="863">
        <f t="shared" si="33"/>
        <v>80</v>
      </c>
      <c r="S70" s="863">
        <f t="shared" si="33"/>
        <v>90</v>
      </c>
      <c r="T70" s="863">
        <f t="shared" si="33"/>
        <v>97.737572490101769</v>
      </c>
      <c r="U70" s="863">
        <f t="shared" si="33"/>
        <v>98.475693898206984</v>
      </c>
      <c r="V70" s="863">
        <f t="shared" si="33"/>
        <v>99.116172061249358</v>
      </c>
      <c r="W70" s="863">
        <f t="shared" si="33"/>
        <v>99.666653482478281</v>
      </c>
      <c r="X70" s="863" t="str">
        <f t="shared" si="33"/>
        <v/>
      </c>
      <c r="Y70" s="863" t="str">
        <f t="shared" si="33"/>
        <v/>
      </c>
      <c r="Z70" s="863" t="str">
        <f t="shared" si="33"/>
        <v/>
      </c>
      <c r="AA70" s="864" t="str">
        <f t="shared" si="33"/>
        <v/>
      </c>
    </row>
    <row r="71" spans="5:27" s="345" customFormat="1">
      <c r="E71" s="1574" t="s">
        <v>1283</v>
      </c>
      <c r="F71" s="1593"/>
      <c r="G71" s="1575"/>
      <c r="H71" s="865">
        <f>IF(SUMIF($H$36:$AA$36,H$70,$H37:$AA37)=0,"",SUMIF($H$36:$AA$36,H$70,$H37:$AA37)/$AB$59)</f>
        <v>2.3359662163040695E-2</v>
      </c>
      <c r="I71" s="866">
        <f t="shared" ref="I71:AA71" si="34">IF(SUMIF($H$36:$AA$36,I$70,$H37:$AA37)=0,"",SUMIF($H$36:$AA$36,I$70,$H37:$AA37)/$AB$59)</f>
        <v>7.8296977694108302E-2</v>
      </c>
      <c r="J71" s="866">
        <f t="shared" si="34"/>
        <v>0.12480353849384698</v>
      </c>
      <c r="K71" s="866">
        <f t="shared" si="34"/>
        <v>0.24243517312055932</v>
      </c>
      <c r="L71" s="866">
        <f t="shared" si="34"/>
        <v>0.68337871631884439</v>
      </c>
      <c r="M71" s="866">
        <f t="shared" si="34"/>
        <v>0.89615554038192646</v>
      </c>
      <c r="N71" s="866">
        <f t="shared" si="34"/>
        <v>0.99798061803076332</v>
      </c>
      <c r="O71" s="866">
        <f t="shared" si="34"/>
        <v>0.8964746856714404</v>
      </c>
      <c r="P71" s="866">
        <f t="shared" si="34"/>
        <v>0.84904614959088331</v>
      </c>
      <c r="Q71" s="866">
        <f t="shared" si="34"/>
        <v>0.8113515448405042</v>
      </c>
      <c r="R71" s="866">
        <f t="shared" si="34"/>
        <v>0.69787323155093972</v>
      </c>
      <c r="S71" s="866">
        <f t="shared" si="34"/>
        <v>0.59378754143471169</v>
      </c>
      <c r="T71" s="866">
        <f t="shared" si="34"/>
        <v>0.46815067912935587</v>
      </c>
      <c r="U71" s="866">
        <f t="shared" si="34"/>
        <v>0.46814181398242505</v>
      </c>
      <c r="V71" s="866">
        <f t="shared" si="34"/>
        <v>0.48558842314252515</v>
      </c>
      <c r="W71" s="866">
        <f t="shared" si="34"/>
        <v>0.55460359199993381</v>
      </c>
      <c r="X71" s="866" t="str">
        <f t="shared" si="34"/>
        <v/>
      </c>
      <c r="Y71" s="866" t="str">
        <f t="shared" si="34"/>
        <v/>
      </c>
      <c r="Z71" s="866" t="str">
        <f t="shared" si="34"/>
        <v/>
      </c>
      <c r="AA71" s="867" t="str">
        <f t="shared" si="34"/>
        <v/>
      </c>
    </row>
    <row r="72" spans="5:27" s="345" customFormat="1" ht="13.5" thickBot="1">
      <c r="E72" s="1576" t="s">
        <v>1284</v>
      </c>
      <c r="F72" s="1594"/>
      <c r="G72" s="1577"/>
      <c r="H72" s="868">
        <f>IF(SUMIF($H$36:$AA$36,H$70,$H37:$AA37)=0,"",SUMIF($H$36:$AA$36,H$70,$H38:$AA38)/$AB$59)</f>
        <v>0.23529837646414231</v>
      </c>
      <c r="I72" s="869">
        <f t="shared" ref="I72:AA72" si="35">IF(SUMIF($H$36:$AA$36,I$70,$H37:$AA37)=0,"",SUMIF($H$36:$AA$36,I$70,$H38:$AA38)/$AB$59)</f>
        <v>1.1884874858267287</v>
      </c>
      <c r="J72" s="869">
        <f t="shared" si="35"/>
        <v>1.5300744461463434</v>
      </c>
      <c r="K72" s="869">
        <f t="shared" si="35"/>
        <v>7.2370398690520332</v>
      </c>
      <c r="L72" s="869">
        <f t="shared" si="35"/>
        <v>9.4986724993014509</v>
      </c>
      <c r="M72" s="869">
        <f t="shared" si="35"/>
        <v>10.222218240851896</v>
      </c>
      <c r="N72" s="869">
        <f t="shared" si="35"/>
        <v>5.9492741210930493</v>
      </c>
      <c r="O72" s="869">
        <f t="shared" si="35"/>
        <v>6.6627671628282918</v>
      </c>
      <c r="P72" s="869">
        <f t="shared" si="35"/>
        <v>4.0212677769128131</v>
      </c>
      <c r="Q72" s="869">
        <f t="shared" si="35"/>
        <v>2.099510357128648</v>
      </c>
      <c r="R72" s="869">
        <f t="shared" si="35"/>
        <v>4.1683918502731263</v>
      </c>
      <c r="S72" s="869">
        <f t="shared" si="35"/>
        <v>2.6667149332602751</v>
      </c>
      <c r="T72" s="869">
        <f t="shared" si="35"/>
        <v>0</v>
      </c>
      <c r="U72" s="869">
        <f t="shared" si="35"/>
        <v>6.9602182496824119</v>
      </c>
      <c r="V72" s="869">
        <f t="shared" si="35"/>
        <v>6.3991931010934895</v>
      </c>
      <c r="W72" s="869">
        <f t="shared" si="35"/>
        <v>0</v>
      </c>
      <c r="X72" s="869" t="str">
        <f t="shared" si="35"/>
        <v/>
      </c>
      <c r="Y72" s="869" t="str">
        <f t="shared" si="35"/>
        <v/>
      </c>
      <c r="Z72" s="869" t="str">
        <f t="shared" si="35"/>
        <v/>
      </c>
      <c r="AA72" s="870" t="str">
        <f t="shared" si="35"/>
        <v/>
      </c>
    </row>
    <row r="73" spans="5:27" s="345" customFormat="1">
      <c r="F73" s="854"/>
      <c r="H73" s="871" t="str">
        <f t="shared" ref="H73:AA73" si="36">IF(H43="","",RANK(H36,$H$36:$AA$36,1))</f>
        <v/>
      </c>
      <c r="I73" s="872">
        <f t="shared" si="36"/>
        <v>2</v>
      </c>
      <c r="J73" s="872" t="str">
        <f t="shared" si="36"/>
        <v/>
      </c>
      <c r="K73" s="872" t="str">
        <f t="shared" si="36"/>
        <v/>
      </c>
      <c r="L73" s="872" t="str">
        <f t="shared" si="36"/>
        <v/>
      </c>
      <c r="M73" s="872" t="str">
        <f t="shared" si="36"/>
        <v/>
      </c>
      <c r="N73" s="872">
        <f t="shared" si="36"/>
        <v>7</v>
      </c>
      <c r="O73" s="872">
        <f t="shared" si="36"/>
        <v>8</v>
      </c>
      <c r="P73" s="872">
        <f t="shared" si="36"/>
        <v>9</v>
      </c>
      <c r="Q73" s="872">
        <f t="shared" si="36"/>
        <v>10</v>
      </c>
      <c r="R73" s="872">
        <f t="shared" si="36"/>
        <v>11</v>
      </c>
      <c r="S73" s="872">
        <f t="shared" si="36"/>
        <v>12</v>
      </c>
      <c r="T73" s="872" t="str">
        <f t="shared" si="36"/>
        <v/>
      </c>
      <c r="U73" s="872">
        <f t="shared" si="36"/>
        <v>14</v>
      </c>
      <c r="V73" s="872" t="str">
        <f t="shared" si="36"/>
        <v/>
      </c>
      <c r="W73" s="872">
        <f t="shared" si="36"/>
        <v>16</v>
      </c>
      <c r="X73" s="872">
        <f t="shared" si="36"/>
        <v>17</v>
      </c>
      <c r="Y73" s="872">
        <f t="shared" si="36"/>
        <v>18</v>
      </c>
      <c r="Z73" s="872" t="str">
        <f t="shared" si="36"/>
        <v/>
      </c>
      <c r="AA73" s="873" t="str">
        <f t="shared" si="36"/>
        <v/>
      </c>
    </row>
    <row r="74" spans="5:27" s="345" customFormat="1" ht="13.5" thickBot="1">
      <c r="F74" s="854"/>
      <c r="H74" s="874" t="str">
        <f t="shared" ref="H74:AA74" si="37">IF(H73="","",RANK(H73,$H$73:$AA$73,1))</f>
        <v/>
      </c>
      <c r="I74" s="875">
        <f t="shared" si="37"/>
        <v>1</v>
      </c>
      <c r="J74" s="875" t="str">
        <f t="shared" si="37"/>
        <v/>
      </c>
      <c r="K74" s="875" t="str">
        <f t="shared" si="37"/>
        <v/>
      </c>
      <c r="L74" s="875" t="str">
        <f t="shared" si="37"/>
        <v/>
      </c>
      <c r="M74" s="875" t="str">
        <f t="shared" si="37"/>
        <v/>
      </c>
      <c r="N74" s="875">
        <f t="shared" si="37"/>
        <v>2</v>
      </c>
      <c r="O74" s="875">
        <f t="shared" si="37"/>
        <v>3</v>
      </c>
      <c r="P74" s="875">
        <f t="shared" si="37"/>
        <v>4</v>
      </c>
      <c r="Q74" s="875">
        <f t="shared" si="37"/>
        <v>5</v>
      </c>
      <c r="R74" s="875">
        <f t="shared" si="37"/>
        <v>6</v>
      </c>
      <c r="S74" s="875">
        <f t="shared" si="37"/>
        <v>7</v>
      </c>
      <c r="T74" s="875" t="str">
        <f t="shared" si="37"/>
        <v/>
      </c>
      <c r="U74" s="875">
        <f t="shared" si="37"/>
        <v>8</v>
      </c>
      <c r="V74" s="875" t="str">
        <f t="shared" si="37"/>
        <v/>
      </c>
      <c r="W74" s="875">
        <f t="shared" si="37"/>
        <v>9</v>
      </c>
      <c r="X74" s="875">
        <f t="shared" si="37"/>
        <v>10</v>
      </c>
      <c r="Y74" s="875">
        <f t="shared" si="37"/>
        <v>11</v>
      </c>
      <c r="Z74" s="875" t="str">
        <f t="shared" si="37"/>
        <v/>
      </c>
      <c r="AA74" s="876" t="str">
        <f t="shared" si="37"/>
        <v/>
      </c>
    </row>
    <row r="75" spans="5:27" s="345" customFormat="1" ht="13.5" thickBot="1">
      <c r="E75" s="1605" t="s">
        <v>1281</v>
      </c>
      <c r="F75" s="1606"/>
      <c r="G75" s="1607"/>
      <c r="H75" s="877">
        <f>IF(SUMIF($H$74:$AA$74,H$67,$H$36:$AA$36)=0,"",SUMIF($H$74:$AA$74,H$67,$H$36:$AA$36))</f>
        <v>10</v>
      </c>
      <c r="I75" s="878">
        <f>IF(SUMIF($H$74:$AA$74,I$67,$H$36:$AA$36)=0,"",SUMIF($H$74:$AA$74,I$67,$H$36:$AA$36))</f>
        <v>40</v>
      </c>
      <c r="J75" s="878">
        <f t="shared" ref="J75:AA75" si="38">IF(SUMIF($H$74:$AA$74,J$67,$H$36:$AA$36)=0,"",SUMIF($H$74:$AA$74,J$67,$H$36:$AA$36))</f>
        <v>50</v>
      </c>
      <c r="K75" s="878">
        <f t="shared" si="38"/>
        <v>60</v>
      </c>
      <c r="L75" s="878">
        <f t="shared" si="38"/>
        <v>70</v>
      </c>
      <c r="M75" s="878">
        <f t="shared" si="38"/>
        <v>80</v>
      </c>
      <c r="N75" s="878">
        <f t="shared" si="38"/>
        <v>90</v>
      </c>
      <c r="O75" s="878">
        <f t="shared" si="38"/>
        <v>98.475693898206984</v>
      </c>
      <c r="P75" s="878">
        <f t="shared" si="38"/>
        <v>99.666653482478281</v>
      </c>
      <c r="Q75" s="878">
        <f t="shared" si="38"/>
        <v>99.952573567634673</v>
      </c>
      <c r="R75" s="878">
        <f t="shared" si="38"/>
        <v>100</v>
      </c>
      <c r="S75" s="878" t="str">
        <f t="shared" si="38"/>
        <v/>
      </c>
      <c r="T75" s="878" t="str">
        <f t="shared" si="38"/>
        <v/>
      </c>
      <c r="U75" s="878" t="str">
        <f t="shared" si="38"/>
        <v/>
      </c>
      <c r="V75" s="878" t="str">
        <f t="shared" si="38"/>
        <v/>
      </c>
      <c r="W75" s="878" t="str">
        <f t="shared" si="38"/>
        <v/>
      </c>
      <c r="X75" s="878" t="str">
        <f t="shared" si="38"/>
        <v/>
      </c>
      <c r="Y75" s="878" t="str">
        <f t="shared" si="38"/>
        <v/>
      </c>
      <c r="Z75" s="878" t="str">
        <f t="shared" si="38"/>
        <v/>
      </c>
      <c r="AA75" s="879" t="str">
        <f t="shared" si="38"/>
        <v/>
      </c>
    </row>
    <row r="76" spans="5:27" s="345" customFormat="1">
      <c r="E76" s="1574" t="s">
        <v>1283</v>
      </c>
      <c r="F76" s="1593"/>
      <c r="G76" s="1575"/>
      <c r="H76" s="880">
        <f>IF(SUMIF($H$36:$AA$36,H$75,$H43:$AA43)=0,"",SUMIF($H$36:$AA$36,H$75,$H43:$AA43)/$AB$59)</f>
        <v>8.3642661293468298E-2</v>
      </c>
      <c r="I76" s="881">
        <f t="shared" ref="I76:AA76" si="39">IF(SUMIF($H$36:$AA$36,I$75,$H43:$AA43)=0,"",SUMIF($H$36:$AA$36,I$75,$H43:$AA43)/$AB$59)</f>
        <v>0.9836057822822355</v>
      </c>
      <c r="J76" s="881">
        <f t="shared" si="39"/>
        <v>0.8364266129346829</v>
      </c>
      <c r="K76" s="881">
        <f t="shared" si="39"/>
        <v>0.86003449921178998</v>
      </c>
      <c r="L76" s="881">
        <f t="shared" si="39"/>
        <v>0.83341246297816141</v>
      </c>
      <c r="M76" s="881">
        <f t="shared" si="39"/>
        <v>0.71873883237740788</v>
      </c>
      <c r="N76" s="881">
        <f t="shared" si="39"/>
        <v>0.50403679390582223</v>
      </c>
      <c r="O76" s="881">
        <f t="shared" si="39"/>
        <v>0.57118141676080147</v>
      </c>
      <c r="P76" s="881">
        <f t="shared" si="39"/>
        <v>0.49237912569162923</v>
      </c>
      <c r="Q76" s="881">
        <f t="shared" si="39"/>
        <v>0.4126903199293625</v>
      </c>
      <c r="R76" s="881">
        <f t="shared" si="39"/>
        <v>0.53675805122794107</v>
      </c>
      <c r="S76" s="881" t="str">
        <f t="shared" si="39"/>
        <v/>
      </c>
      <c r="T76" s="881" t="str">
        <f t="shared" si="39"/>
        <v/>
      </c>
      <c r="U76" s="881" t="str">
        <f t="shared" si="39"/>
        <v/>
      </c>
      <c r="V76" s="881" t="str">
        <f t="shared" si="39"/>
        <v/>
      </c>
      <c r="W76" s="881" t="str">
        <f t="shared" si="39"/>
        <v/>
      </c>
      <c r="X76" s="881" t="str">
        <f t="shared" si="39"/>
        <v/>
      </c>
      <c r="Y76" s="881" t="str">
        <f t="shared" si="39"/>
        <v/>
      </c>
      <c r="Z76" s="881" t="str">
        <f t="shared" si="39"/>
        <v/>
      </c>
      <c r="AA76" s="882" t="str">
        <f t="shared" si="39"/>
        <v/>
      </c>
    </row>
    <row r="77" spans="5:27" s="345" customFormat="1" ht="13.5" thickBot="1">
      <c r="E77" s="1576" t="s">
        <v>1284</v>
      </c>
      <c r="F77" s="1594"/>
      <c r="G77" s="1577"/>
      <c r="H77" s="883">
        <f>IF(SUMIF($H$36:$AA$36,H$75,$H43:$AA43)=0,"",SUMIF($H$36:$AA$36,H$75,$H44:$AA44)/$AB$59)</f>
        <v>1.3333574666301342</v>
      </c>
      <c r="I77" s="884">
        <f t="shared" ref="I77:AA77" si="40">IF(SUMIF($H$36:$AA$36,I$75,$H43:$AA43)=0,"",SUMIF($H$36:$AA$36,I$75,$H44:$AA44)/$AB$59)</f>
        <v>0</v>
      </c>
      <c r="J77" s="884">
        <f t="shared" si="40"/>
        <v>0</v>
      </c>
      <c r="K77" s="884">
        <f t="shared" si="40"/>
        <v>2.2487142880122222</v>
      </c>
      <c r="L77" s="884">
        <f t="shared" si="40"/>
        <v>0</v>
      </c>
      <c r="M77" s="884">
        <f t="shared" si="40"/>
        <v>2.2877673832160936</v>
      </c>
      <c r="N77" s="884">
        <f t="shared" si="40"/>
        <v>3.7352463840268566</v>
      </c>
      <c r="O77" s="884">
        <f t="shared" si="40"/>
        <v>0</v>
      </c>
      <c r="P77" s="884">
        <f t="shared" si="40"/>
        <v>9.1434180877771922</v>
      </c>
      <c r="Q77" s="884">
        <f t="shared" si="40"/>
        <v>1.1884874858267223</v>
      </c>
      <c r="R77" s="884">
        <f t="shared" si="40"/>
        <v>9.8576178657507203</v>
      </c>
      <c r="S77" s="884" t="str">
        <f t="shared" si="40"/>
        <v/>
      </c>
      <c r="T77" s="884" t="str">
        <f t="shared" si="40"/>
        <v/>
      </c>
      <c r="U77" s="884" t="str">
        <f t="shared" si="40"/>
        <v/>
      </c>
      <c r="V77" s="884" t="str">
        <f t="shared" si="40"/>
        <v/>
      </c>
      <c r="W77" s="884" t="str">
        <f t="shared" si="40"/>
        <v/>
      </c>
      <c r="X77" s="884" t="str">
        <f t="shared" si="40"/>
        <v/>
      </c>
      <c r="Y77" s="884" t="str">
        <f t="shared" si="40"/>
        <v/>
      </c>
      <c r="Z77" s="884" t="str">
        <f t="shared" si="40"/>
        <v/>
      </c>
      <c r="AA77" s="885" t="str">
        <f t="shared" si="40"/>
        <v/>
      </c>
    </row>
    <row r="78" spans="5:27" s="345" customFormat="1">
      <c r="F78" s="854"/>
      <c r="H78" s="886">
        <f t="shared" ref="H78:AA78" si="41">IF(H53="","",RANK(H36,$H$36:$AA$36,1))</f>
        <v>1</v>
      </c>
      <c r="I78" s="887">
        <f t="shared" si="41"/>
        <v>2</v>
      </c>
      <c r="J78" s="887">
        <f t="shared" si="41"/>
        <v>3</v>
      </c>
      <c r="K78" s="887">
        <f t="shared" si="41"/>
        <v>4</v>
      </c>
      <c r="L78" s="887">
        <f t="shared" si="41"/>
        <v>5</v>
      </c>
      <c r="M78" s="887">
        <f t="shared" si="41"/>
        <v>6</v>
      </c>
      <c r="N78" s="887">
        <f t="shared" si="41"/>
        <v>7</v>
      </c>
      <c r="O78" s="887">
        <f t="shared" si="41"/>
        <v>8</v>
      </c>
      <c r="P78" s="887">
        <f t="shared" si="41"/>
        <v>9</v>
      </c>
      <c r="Q78" s="887">
        <f t="shared" si="41"/>
        <v>10</v>
      </c>
      <c r="R78" s="887">
        <f t="shared" si="41"/>
        <v>11</v>
      </c>
      <c r="S78" s="887">
        <f t="shared" si="41"/>
        <v>12</v>
      </c>
      <c r="T78" s="887">
        <f t="shared" si="41"/>
        <v>13</v>
      </c>
      <c r="U78" s="887">
        <f t="shared" si="41"/>
        <v>14</v>
      </c>
      <c r="V78" s="887">
        <f t="shared" si="41"/>
        <v>15</v>
      </c>
      <c r="W78" s="887">
        <f t="shared" si="41"/>
        <v>16</v>
      </c>
      <c r="X78" s="887">
        <f t="shared" si="41"/>
        <v>17</v>
      </c>
      <c r="Y78" s="887" t="str">
        <f t="shared" si="41"/>
        <v/>
      </c>
      <c r="Z78" s="887" t="str">
        <f t="shared" si="41"/>
        <v/>
      </c>
      <c r="AA78" s="888" t="str">
        <f t="shared" si="41"/>
        <v/>
      </c>
    </row>
    <row r="79" spans="5:27" s="345" customFormat="1" ht="13.5" thickBot="1">
      <c r="F79" s="854"/>
      <c r="H79" s="859">
        <f t="shared" ref="H79:AA79" si="42">IF(H78="","",RANK(H78,$H$78:$AA$78,1))</f>
        <v>1</v>
      </c>
      <c r="I79" s="860">
        <f t="shared" si="42"/>
        <v>2</v>
      </c>
      <c r="J79" s="860">
        <f t="shared" si="42"/>
        <v>3</v>
      </c>
      <c r="K79" s="860">
        <f t="shared" si="42"/>
        <v>4</v>
      </c>
      <c r="L79" s="860">
        <f t="shared" si="42"/>
        <v>5</v>
      </c>
      <c r="M79" s="860">
        <f t="shared" si="42"/>
        <v>6</v>
      </c>
      <c r="N79" s="860">
        <f t="shared" si="42"/>
        <v>7</v>
      </c>
      <c r="O79" s="860">
        <f t="shared" si="42"/>
        <v>8</v>
      </c>
      <c r="P79" s="860">
        <f t="shared" si="42"/>
        <v>9</v>
      </c>
      <c r="Q79" s="860">
        <f t="shared" si="42"/>
        <v>10</v>
      </c>
      <c r="R79" s="860">
        <f t="shared" si="42"/>
        <v>11</v>
      </c>
      <c r="S79" s="860">
        <f t="shared" si="42"/>
        <v>12</v>
      </c>
      <c r="T79" s="860">
        <f t="shared" si="42"/>
        <v>13</v>
      </c>
      <c r="U79" s="860">
        <f t="shared" si="42"/>
        <v>14</v>
      </c>
      <c r="V79" s="860">
        <f t="shared" si="42"/>
        <v>15</v>
      </c>
      <c r="W79" s="860">
        <f t="shared" si="42"/>
        <v>16</v>
      </c>
      <c r="X79" s="860">
        <f t="shared" si="42"/>
        <v>17</v>
      </c>
      <c r="Y79" s="860" t="str">
        <f t="shared" si="42"/>
        <v/>
      </c>
      <c r="Z79" s="860" t="str">
        <f t="shared" si="42"/>
        <v/>
      </c>
      <c r="AA79" s="861" t="str">
        <f t="shared" si="42"/>
        <v/>
      </c>
    </row>
    <row r="80" spans="5:27" s="345" customFormat="1" ht="13.5" thickBot="1">
      <c r="E80" s="1605" t="s">
        <v>1281</v>
      </c>
      <c r="F80" s="1606"/>
      <c r="G80" s="1607"/>
      <c r="H80" s="862">
        <f>IF(SUMIF($H$79:$AA$79,H$67,$H$36:$AA$36)=0,"",SUMIF($H$79:$AA$79,H$67,$H$36:$AA$36))</f>
        <v>5.3605555861977985</v>
      </c>
      <c r="I80" s="863">
        <f>IF(SUMIF($H$79:$AA$79,I$67,$H$36:$AA$36)=0,"",SUMIF($H$79:$AA$79,I$67,$H$36:$AA$36))</f>
        <v>10</v>
      </c>
      <c r="J80" s="863">
        <f t="shared" ref="J80:AA80" si="43">IF(SUMIF($H$79:$AA$79,J$67,$H$36:$AA$36)=0,"",SUMIF($H$79:$AA$79,J$67,$H$36:$AA$36))</f>
        <v>20</v>
      </c>
      <c r="K80" s="863">
        <f t="shared" si="43"/>
        <v>26.922669813782981</v>
      </c>
      <c r="L80" s="863">
        <f t="shared" si="43"/>
        <v>28.402760758696882</v>
      </c>
      <c r="M80" s="863">
        <f t="shared" si="43"/>
        <v>30</v>
      </c>
      <c r="N80" s="863">
        <f t="shared" si="43"/>
        <v>40</v>
      </c>
      <c r="O80" s="863">
        <f t="shared" si="43"/>
        <v>50</v>
      </c>
      <c r="P80" s="863">
        <f t="shared" si="43"/>
        <v>60</v>
      </c>
      <c r="Q80" s="863">
        <f t="shared" si="43"/>
        <v>70</v>
      </c>
      <c r="R80" s="863">
        <f t="shared" si="43"/>
        <v>80</v>
      </c>
      <c r="S80" s="863">
        <f t="shared" si="43"/>
        <v>90</v>
      </c>
      <c r="T80" s="863">
        <f t="shared" si="43"/>
        <v>97.737572490101769</v>
      </c>
      <c r="U80" s="863">
        <f t="shared" si="43"/>
        <v>98.475693898206984</v>
      </c>
      <c r="V80" s="863">
        <f t="shared" si="43"/>
        <v>99.116172061249358</v>
      </c>
      <c r="W80" s="863">
        <f t="shared" si="43"/>
        <v>99.666653482478281</v>
      </c>
      <c r="X80" s="863">
        <f t="shared" si="43"/>
        <v>99.952573567634673</v>
      </c>
      <c r="Y80" s="863" t="str">
        <f t="shared" si="43"/>
        <v/>
      </c>
      <c r="Z80" s="863" t="str">
        <f t="shared" si="43"/>
        <v/>
      </c>
      <c r="AA80" s="864" t="str">
        <f t="shared" si="43"/>
        <v/>
      </c>
    </row>
    <row r="81" spans="5:28" s="345" customFormat="1" ht="13.5" customHeight="1">
      <c r="E81" s="1574" t="s">
        <v>1283</v>
      </c>
      <c r="F81" s="1593"/>
      <c r="G81" s="1575"/>
      <c r="H81" s="865">
        <f>IF(SUMIF($H$36:$AA$36,H$80,$H53:$AA53)=0,"",SUMIF($H$36:$AA$36,H$80,$H53:$AA53)/$AB$59)</f>
        <v>2.2021024976467959E-2</v>
      </c>
      <c r="I81" s="866">
        <f t="shared" ref="I81:AA81" si="44">IF(SUMIF($H$36:$AA$36,I$80,$H53:$AA53)=0,"",SUMIF($H$36:$AA$36,I$80,$H53:$AA53)/$AB$59)</f>
        <v>0.1076583443293989</v>
      </c>
      <c r="J81" s="866">
        <f t="shared" si="44"/>
        <v>0.16427117263041521</v>
      </c>
      <c r="K81" s="866">
        <f t="shared" si="44"/>
        <v>0.28028048536876449</v>
      </c>
      <c r="L81" s="866">
        <f t="shared" si="44"/>
        <v>0.43718472089956428</v>
      </c>
      <c r="M81" s="866">
        <f t="shared" si="44"/>
        <v>1.0131134238418869</v>
      </c>
      <c r="N81" s="866">
        <f t="shared" si="44"/>
        <v>1.0061179363986781</v>
      </c>
      <c r="O81" s="866">
        <f t="shared" si="44"/>
        <v>0.65380458615721104</v>
      </c>
      <c r="P81" s="866">
        <f t="shared" si="44"/>
        <v>0.86906808393442325</v>
      </c>
      <c r="Q81" s="866">
        <f t="shared" si="44"/>
        <v>0.83134245116978567</v>
      </c>
      <c r="R81" s="866">
        <f t="shared" si="44"/>
        <v>0.68575457569633769</v>
      </c>
      <c r="S81" s="866">
        <f t="shared" si="44"/>
        <v>0.63297149086948978</v>
      </c>
      <c r="T81" s="866">
        <f t="shared" si="44"/>
        <v>0.51696217813114043</v>
      </c>
      <c r="U81" s="866">
        <f t="shared" si="44"/>
        <v>0.46651949209406196</v>
      </c>
      <c r="V81" s="866">
        <f t="shared" si="44"/>
        <v>0.47906367500134944</v>
      </c>
      <c r="W81" s="866">
        <f t="shared" si="44"/>
        <v>0.41921506807053821</v>
      </c>
      <c r="X81" s="866">
        <f t="shared" si="44"/>
        <v>0.59906230385862425</v>
      </c>
      <c r="Y81" s="866" t="str">
        <f t="shared" si="44"/>
        <v/>
      </c>
      <c r="Z81" s="866" t="str">
        <f t="shared" si="44"/>
        <v/>
      </c>
      <c r="AA81" s="867" t="str">
        <f t="shared" si="44"/>
        <v/>
      </c>
    </row>
    <row r="82" spans="5:28" s="345" customFormat="1" ht="13.5" thickBot="1">
      <c r="E82" s="1576" t="s">
        <v>1284</v>
      </c>
      <c r="F82" s="1594"/>
      <c r="G82" s="1577"/>
      <c r="H82" s="868">
        <f>IF(SUMIF($H$36:$AA$36,H$80,$H53:$AA53)=0,"",SUMIF($H$36:$AA$36,H$80,$H54:$AA54)/$AB$59)</f>
        <v>0.59424374291336379</v>
      </c>
      <c r="I82" s="869">
        <f t="shared" ref="I82:AA82" si="45">IF(SUMIF($H$36:$AA$36,I$80,$H53:$AA53)=0,"",SUMIF($H$36:$AA$36,I$80,$H54:$AA54)/$AB$59)</f>
        <v>0</v>
      </c>
      <c r="J82" s="869">
        <f t="shared" si="45"/>
        <v>1.4117902587848534</v>
      </c>
      <c r="K82" s="869">
        <f t="shared" si="45"/>
        <v>6.59204549592092</v>
      </c>
      <c r="L82" s="869">
        <f t="shared" si="45"/>
        <v>18.339432283234615</v>
      </c>
      <c r="M82" s="869">
        <f t="shared" si="45"/>
        <v>5.8897809544958903</v>
      </c>
      <c r="N82" s="869">
        <f t="shared" si="45"/>
        <v>3.1916820248266871</v>
      </c>
      <c r="O82" s="869">
        <f t="shared" si="45"/>
        <v>39.317191905175328</v>
      </c>
      <c r="P82" s="869">
        <f t="shared" si="45"/>
        <v>2.901701752541439</v>
      </c>
      <c r="Q82" s="869">
        <f t="shared" si="45"/>
        <v>3.0819006494634897</v>
      </c>
      <c r="R82" s="869">
        <f t="shared" si="45"/>
        <v>1.897249565478287</v>
      </c>
      <c r="S82" s="869">
        <f t="shared" si="45"/>
        <v>0</v>
      </c>
      <c r="T82" s="869">
        <f t="shared" si="45"/>
        <v>5.1014613641542024</v>
      </c>
      <c r="U82" s="869">
        <f t="shared" si="45"/>
        <v>0</v>
      </c>
      <c r="V82" s="869">
        <f t="shared" si="45"/>
        <v>7.0783288072801698</v>
      </c>
      <c r="W82" s="869">
        <f t="shared" si="45"/>
        <v>0</v>
      </c>
      <c r="X82" s="869">
        <f t="shared" si="45"/>
        <v>0.39216396077357379</v>
      </c>
      <c r="Y82" s="869" t="str">
        <f t="shared" si="45"/>
        <v/>
      </c>
      <c r="Z82" s="869" t="str">
        <f t="shared" si="45"/>
        <v/>
      </c>
      <c r="AA82" s="870" t="str">
        <f t="shared" si="45"/>
        <v/>
      </c>
    </row>
    <row r="83" spans="5:28" s="345" customFormat="1" ht="15.75" customHeight="1">
      <c r="F83" s="889"/>
      <c r="H83" s="871">
        <f t="shared" ref="H83:AA83" si="46">IF(H59="","",RANK(H36,$H$36:$AA$36,1))</f>
        <v>1</v>
      </c>
      <c r="I83" s="872">
        <f t="shared" si="46"/>
        <v>2</v>
      </c>
      <c r="J83" s="872">
        <f t="shared" si="46"/>
        <v>3</v>
      </c>
      <c r="K83" s="872">
        <f t="shared" si="46"/>
        <v>4</v>
      </c>
      <c r="L83" s="872">
        <f t="shared" si="46"/>
        <v>5</v>
      </c>
      <c r="M83" s="872">
        <f t="shared" si="46"/>
        <v>6</v>
      </c>
      <c r="N83" s="872">
        <f t="shared" si="46"/>
        <v>7</v>
      </c>
      <c r="O83" s="872">
        <f t="shared" si="46"/>
        <v>8</v>
      </c>
      <c r="P83" s="872">
        <f t="shared" si="46"/>
        <v>9</v>
      </c>
      <c r="Q83" s="872">
        <f t="shared" si="46"/>
        <v>10</v>
      </c>
      <c r="R83" s="872">
        <f t="shared" si="46"/>
        <v>11</v>
      </c>
      <c r="S83" s="872">
        <f t="shared" si="46"/>
        <v>12</v>
      </c>
      <c r="T83" s="872">
        <f t="shared" si="46"/>
        <v>13</v>
      </c>
      <c r="U83" s="872">
        <f t="shared" si="46"/>
        <v>14</v>
      </c>
      <c r="V83" s="872">
        <f t="shared" si="46"/>
        <v>15</v>
      </c>
      <c r="W83" s="872">
        <f t="shared" si="46"/>
        <v>16</v>
      </c>
      <c r="X83" s="872">
        <f t="shared" si="46"/>
        <v>17</v>
      </c>
      <c r="Y83" s="872">
        <f t="shared" si="46"/>
        <v>18</v>
      </c>
      <c r="Z83" s="872" t="str">
        <f t="shared" si="46"/>
        <v/>
      </c>
      <c r="AA83" s="873" t="str">
        <f t="shared" si="46"/>
        <v/>
      </c>
    </row>
    <row r="84" spans="5:28" s="345" customFormat="1" ht="13.5" customHeight="1" thickBot="1">
      <c r="F84" s="889"/>
      <c r="H84" s="874">
        <f t="shared" ref="H84:AA84" si="47">IF(H83="","",RANK(H83,$H$83:$AA$83,1))</f>
        <v>1</v>
      </c>
      <c r="I84" s="875">
        <f t="shared" si="47"/>
        <v>2</v>
      </c>
      <c r="J84" s="875">
        <f t="shared" si="47"/>
        <v>3</v>
      </c>
      <c r="K84" s="875">
        <f t="shared" si="47"/>
        <v>4</v>
      </c>
      <c r="L84" s="875">
        <f t="shared" si="47"/>
        <v>5</v>
      </c>
      <c r="M84" s="875">
        <f t="shared" si="47"/>
        <v>6</v>
      </c>
      <c r="N84" s="875">
        <f t="shared" si="47"/>
        <v>7</v>
      </c>
      <c r="O84" s="875">
        <f t="shared" si="47"/>
        <v>8</v>
      </c>
      <c r="P84" s="875">
        <f t="shared" si="47"/>
        <v>9</v>
      </c>
      <c r="Q84" s="875">
        <f t="shared" si="47"/>
        <v>10</v>
      </c>
      <c r="R84" s="875">
        <f t="shared" si="47"/>
        <v>11</v>
      </c>
      <c r="S84" s="875">
        <f t="shared" si="47"/>
        <v>12</v>
      </c>
      <c r="T84" s="875">
        <f t="shared" si="47"/>
        <v>13</v>
      </c>
      <c r="U84" s="875">
        <f t="shared" si="47"/>
        <v>14</v>
      </c>
      <c r="V84" s="875">
        <f t="shared" si="47"/>
        <v>15</v>
      </c>
      <c r="W84" s="875">
        <f t="shared" si="47"/>
        <v>16</v>
      </c>
      <c r="X84" s="875">
        <f t="shared" si="47"/>
        <v>17</v>
      </c>
      <c r="Y84" s="875">
        <f t="shared" si="47"/>
        <v>18</v>
      </c>
      <c r="Z84" s="875" t="str">
        <f t="shared" si="47"/>
        <v/>
      </c>
      <c r="AA84" s="876" t="str">
        <f t="shared" si="47"/>
        <v/>
      </c>
    </row>
    <row r="85" spans="5:28" s="345" customFormat="1" ht="12.75" customHeight="1" thickBot="1">
      <c r="E85" s="1605" t="s">
        <v>1281</v>
      </c>
      <c r="F85" s="1606"/>
      <c r="G85" s="1607"/>
      <c r="H85" s="877">
        <f>IF(SUMIF($H$84:$AA$84,H$67,$H$36:$AA$36)=0,"",SUMIF($H$84:$AA$84,H$67,$H$36:$AA$36))</f>
        <v>5.3605555861977985</v>
      </c>
      <c r="I85" s="878">
        <f>IF(SUMIF($H$84:$AA$84,I$67,$H$36:$AA$36)=0,"",SUMIF($H$84:$AA$84,I$67,$H$36:$AA$36))</f>
        <v>10</v>
      </c>
      <c r="J85" s="878">
        <f t="shared" ref="J85:AA85" si="48">IF(SUMIF($H$84:$AA$84,J$67,$H$36:$AA$36)=0,"",SUMIF($H$84:$AA$84,J$67,$H$36:$AA$36))</f>
        <v>20</v>
      </c>
      <c r="K85" s="878">
        <f t="shared" si="48"/>
        <v>26.922669813782981</v>
      </c>
      <c r="L85" s="878">
        <f t="shared" si="48"/>
        <v>28.402760758696882</v>
      </c>
      <c r="M85" s="878">
        <f t="shared" si="48"/>
        <v>30</v>
      </c>
      <c r="N85" s="878">
        <f t="shared" si="48"/>
        <v>40</v>
      </c>
      <c r="O85" s="878">
        <f t="shared" si="48"/>
        <v>50</v>
      </c>
      <c r="P85" s="878">
        <f t="shared" si="48"/>
        <v>60</v>
      </c>
      <c r="Q85" s="878">
        <f t="shared" si="48"/>
        <v>70</v>
      </c>
      <c r="R85" s="878">
        <f t="shared" si="48"/>
        <v>80</v>
      </c>
      <c r="S85" s="878">
        <f t="shared" si="48"/>
        <v>90</v>
      </c>
      <c r="T85" s="878">
        <f t="shared" si="48"/>
        <v>97.737572490101769</v>
      </c>
      <c r="U85" s="878">
        <f t="shared" si="48"/>
        <v>98.475693898206984</v>
      </c>
      <c r="V85" s="878">
        <f t="shared" si="48"/>
        <v>99.116172061249358</v>
      </c>
      <c r="W85" s="878">
        <f t="shared" si="48"/>
        <v>99.666653482478281</v>
      </c>
      <c r="X85" s="878">
        <f t="shared" si="48"/>
        <v>99.952573567634673</v>
      </c>
      <c r="Y85" s="878">
        <f t="shared" si="48"/>
        <v>100</v>
      </c>
      <c r="Z85" s="878" t="str">
        <f t="shared" si="48"/>
        <v/>
      </c>
      <c r="AA85" s="879" t="str">
        <f t="shared" si="48"/>
        <v/>
      </c>
    </row>
    <row r="86" spans="5:28" s="345" customFormat="1" ht="13.5" customHeight="1">
      <c r="E86" s="1574" t="s">
        <v>1283</v>
      </c>
      <c r="F86" s="1593"/>
      <c r="G86" s="1575"/>
      <c r="H86" s="880">
        <f>IF(SUMIF($H$36:$AA$36,H$85,$H59:$AA59)=0,"",SUMIF($H$36:$AA$36,H$85,$H59:$AA59)/$AB$59)</f>
        <v>2.2690343569754325E-2</v>
      </c>
      <c r="I86" s="881">
        <f t="shared" ref="I86:AA86" si="49">IF(SUMIF($H$36:$AA$36,I$85,$H59:$AA59)=0,"",SUMIF($H$36:$AA$36,I$85,$H59:$AA59)/$AB$59)</f>
        <v>8.6307524460910418E-2</v>
      </c>
      <c r="J86" s="881">
        <f t="shared" si="49"/>
        <v>0.13795941653936974</v>
      </c>
      <c r="K86" s="881">
        <f t="shared" si="49"/>
        <v>0.26135782924466189</v>
      </c>
      <c r="L86" s="881">
        <f t="shared" si="49"/>
        <v>0.56028171860920428</v>
      </c>
      <c r="M86" s="881">
        <f t="shared" si="49"/>
        <v>0.9546344821119066</v>
      </c>
      <c r="N86" s="881">
        <f t="shared" si="49"/>
        <v>1</v>
      </c>
      <c r="O86" s="881">
        <f t="shared" si="49"/>
        <v>0.79796738926150967</v>
      </c>
      <c r="P86" s="881">
        <f t="shared" si="49"/>
        <v>0.85925259325248071</v>
      </c>
      <c r="Q86" s="881">
        <f t="shared" si="49"/>
        <v>0.8226876052243689</v>
      </c>
      <c r="R86" s="881">
        <f t="shared" si="49"/>
        <v>0.69915706601103023</v>
      </c>
      <c r="S86" s="881">
        <f t="shared" si="49"/>
        <v>0.56572403231011159</v>
      </c>
      <c r="T86" s="881">
        <f t="shared" si="49"/>
        <v>0.50475930338069419</v>
      </c>
      <c r="U86" s="881">
        <f t="shared" si="49"/>
        <v>0.49349613420492838</v>
      </c>
      <c r="V86" s="881">
        <f t="shared" si="49"/>
        <v>0.48232604907193727</v>
      </c>
      <c r="W86" s="881">
        <f t="shared" si="49"/>
        <v>0.48964422786343265</v>
      </c>
      <c r="X86" s="881">
        <f t="shared" si="49"/>
        <v>0.5058763118939934</v>
      </c>
      <c r="Y86" s="881">
        <f t="shared" si="49"/>
        <v>0.53675805122794107</v>
      </c>
      <c r="Z86" s="881" t="str">
        <f t="shared" si="49"/>
        <v/>
      </c>
      <c r="AA86" s="882" t="str">
        <f t="shared" si="49"/>
        <v/>
      </c>
      <c r="AB86" s="851">
        <v>1</v>
      </c>
    </row>
    <row r="87" spans="5:28" s="345" customFormat="1" ht="13.5" thickBot="1">
      <c r="E87" s="1576" t="s">
        <v>1284</v>
      </c>
      <c r="F87" s="1594"/>
      <c r="G87" s="1577"/>
      <c r="H87" s="883">
        <f>IF(SUMIF($H$36:$AA$36,H$85,$H59:$AA59)=0,"",SUMIF($H$36:$AA$36,H$85,$H60:$AA60)/$AB$59)</f>
        <v>0.37336214359762632</v>
      </c>
      <c r="I87" s="884">
        <f t="shared" ref="I87:AA87" si="50">IF(SUMIF($H$36:$AA$36,I$85,$H59:$AA59)=0,"",SUMIF($H$36:$AA$36,I$85,$H60:$AA60)/$AB$59)</f>
        <v>1.268054006805275</v>
      </c>
      <c r="J87" s="884">
        <f t="shared" si="50"/>
        <v>2.013313570371039</v>
      </c>
      <c r="K87" s="884">
        <f t="shared" si="50"/>
        <v>5.8761763788347325</v>
      </c>
      <c r="L87" s="884">
        <f t="shared" si="50"/>
        <v>15.862844813517444</v>
      </c>
      <c r="M87" s="884">
        <f t="shared" si="50"/>
        <v>8.9900625713150752</v>
      </c>
      <c r="N87" s="884">
        <f t="shared" si="50"/>
        <v>4.1697928098745045</v>
      </c>
      <c r="O87" s="884">
        <f t="shared" si="50"/>
        <v>23.240578528944813</v>
      </c>
      <c r="P87" s="884">
        <f t="shared" si="50"/>
        <v>3.0400927773186841</v>
      </c>
      <c r="Q87" s="884">
        <f t="shared" si="50"/>
        <v>2.4173526562442658</v>
      </c>
      <c r="R87" s="884">
        <f t="shared" si="50"/>
        <v>2.8905373897002713</v>
      </c>
      <c r="S87" s="884">
        <f t="shared" si="50"/>
        <v>4.8815718009116198</v>
      </c>
      <c r="T87" s="884">
        <f t="shared" si="50"/>
        <v>4.536132719804093</v>
      </c>
      <c r="U87" s="884">
        <f t="shared" si="50"/>
        <v>5.5390323109869284</v>
      </c>
      <c r="V87" s="884">
        <f t="shared" si="50"/>
        <v>5.5161285851208941</v>
      </c>
      <c r="W87" s="884">
        <f t="shared" si="50"/>
        <v>6.6686016248566853</v>
      </c>
      <c r="X87" s="884">
        <f t="shared" si="50"/>
        <v>7.9523954672008328</v>
      </c>
      <c r="Y87" s="884">
        <f t="shared" si="50"/>
        <v>9.8576178657507203</v>
      </c>
      <c r="Z87" s="884" t="str">
        <f t="shared" si="50"/>
        <v/>
      </c>
      <c r="AA87" s="885" t="str">
        <f t="shared" si="50"/>
        <v/>
      </c>
    </row>
    <row r="88" spans="5:28" s="345" customFormat="1">
      <c r="F88" s="889"/>
      <c r="R88" s="694"/>
    </row>
    <row r="89" spans="5:28" s="345" customFormat="1">
      <c r="F89" s="889"/>
      <c r="R89" s="694"/>
    </row>
    <row r="90" spans="5:28" s="345" customFormat="1">
      <c r="F90" s="889"/>
      <c r="R90" s="694"/>
    </row>
    <row r="91" spans="5:28" s="345" customFormat="1">
      <c r="F91" s="889"/>
      <c r="Q91" s="694"/>
    </row>
    <row r="92" spans="5:28" s="345" customFormat="1">
      <c r="F92" s="889"/>
      <c r="R92" s="694"/>
    </row>
    <row r="93" spans="5:28" s="345" customFormat="1">
      <c r="F93" s="889"/>
      <c r="R93" s="694"/>
    </row>
    <row r="94" spans="5:28" s="345" customFormat="1">
      <c r="F94" s="889"/>
    </row>
    <row r="95" spans="5:28" s="345" customFormat="1">
      <c r="F95" s="889"/>
    </row>
    <row r="96" spans="5:28" s="345" customFormat="1" ht="15.75" customHeight="1">
      <c r="F96" s="889"/>
      <c r="R96" s="694"/>
    </row>
    <row r="97" spans="6:18" s="345" customFormat="1">
      <c r="F97" s="889"/>
      <c r="R97" s="694"/>
    </row>
    <row r="98" spans="6:18" s="345" customFormat="1">
      <c r="F98" s="889"/>
      <c r="R98" s="694"/>
    </row>
    <row r="99" spans="6:18" s="345" customFormat="1">
      <c r="F99" s="889"/>
      <c r="R99" s="694"/>
    </row>
    <row r="100" spans="6:18" s="345" customFormat="1">
      <c r="F100" s="889"/>
      <c r="R100" s="694"/>
    </row>
    <row r="101" spans="6:18" s="345" customFormat="1">
      <c r="F101" s="889"/>
      <c r="R101" s="694"/>
    </row>
    <row r="102" spans="6:18" s="345" customFormat="1">
      <c r="F102" s="889"/>
      <c r="R102" s="694"/>
    </row>
    <row r="103" spans="6:18" s="345" customFormat="1">
      <c r="F103" s="889"/>
      <c r="R103" s="694"/>
    </row>
    <row r="104" spans="6:18" s="345" customFormat="1">
      <c r="F104" s="889"/>
      <c r="R104" s="694"/>
    </row>
    <row r="105" spans="6:18" s="345" customFormat="1">
      <c r="F105" s="889"/>
      <c r="R105" s="694"/>
    </row>
    <row r="106" spans="6:18" s="345" customFormat="1">
      <c r="F106" s="889"/>
      <c r="R106" s="694"/>
    </row>
    <row r="107" spans="6:18" s="345" customFormat="1">
      <c r="F107" s="889"/>
      <c r="R107" s="694"/>
    </row>
    <row r="108" spans="6:18" s="345" customFormat="1">
      <c r="F108" s="889"/>
      <c r="R108" s="694"/>
    </row>
    <row r="109" spans="6:18" s="345" customFormat="1">
      <c r="F109" s="889"/>
      <c r="R109" s="694"/>
    </row>
    <row r="110" spans="6:18" s="345" customFormat="1">
      <c r="F110" s="889"/>
      <c r="R110" s="694"/>
    </row>
    <row r="111" spans="6:18" s="345" customFormat="1">
      <c r="F111" s="889"/>
      <c r="R111" s="694"/>
    </row>
    <row r="112" spans="6:18" s="345" customFormat="1">
      <c r="F112" s="889"/>
      <c r="R112" s="694"/>
    </row>
    <row r="113" spans="6:18" s="345" customFormat="1">
      <c r="F113" s="889"/>
      <c r="R113" s="694"/>
    </row>
    <row r="114" spans="6:18" s="345" customFormat="1">
      <c r="F114" s="889"/>
      <c r="R114" s="694"/>
    </row>
    <row r="115" spans="6:18" s="345" customFormat="1">
      <c r="F115" s="889"/>
      <c r="R115" s="694"/>
    </row>
    <row r="116" spans="6:18" s="345" customFormat="1">
      <c r="F116" s="889"/>
      <c r="R116" s="694"/>
    </row>
    <row r="117" spans="6:18" s="345" customFormat="1">
      <c r="F117" s="889"/>
      <c r="R117" s="694"/>
    </row>
    <row r="118" spans="6:18" s="345" customFormat="1">
      <c r="F118" s="889"/>
      <c r="R118" s="694"/>
    </row>
    <row r="119" spans="6:18" s="345" customFormat="1">
      <c r="F119" s="889"/>
      <c r="R119" s="694"/>
    </row>
    <row r="120" spans="6:18" s="345" customFormat="1">
      <c r="F120" s="889"/>
      <c r="R120" s="694"/>
    </row>
    <row r="121" spans="6:18" s="345" customFormat="1">
      <c r="F121" s="889"/>
      <c r="R121" s="694"/>
    </row>
  </sheetData>
  <sheetProtection sheet="1" objects="1" scenarios="1" selectLockedCells="1" selectUnlockedCells="1"/>
  <mergeCells count="55">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P11:S11"/>
    <mergeCell ref="T11:T12"/>
    <mergeCell ref="U11:X11"/>
    <mergeCell ref="H35:AA35"/>
    <mergeCell ref="E36:G36"/>
    <mergeCell ref="E37:E42"/>
    <mergeCell ref="F37:G37"/>
    <mergeCell ref="F38:G38"/>
    <mergeCell ref="F39:F40"/>
    <mergeCell ref="F41:F42"/>
    <mergeCell ref="D5:X5"/>
    <mergeCell ref="D7:F7"/>
    <mergeCell ref="P7:R7"/>
    <mergeCell ref="D9:F9"/>
    <mergeCell ref="P9:R9"/>
    <mergeCell ref="C11:C12"/>
    <mergeCell ref="D11:G11"/>
    <mergeCell ref="H11:H12"/>
    <mergeCell ref="I11:L11"/>
    <mergeCell ref="O11:O12"/>
    <mergeCell ref="S3:T3"/>
    <mergeCell ref="D1:E1"/>
    <mergeCell ref="L1:M1"/>
    <mergeCell ref="D3:H3"/>
    <mergeCell ref="I3:J3"/>
    <mergeCell ref="O3:R3"/>
  </mergeCells>
  <conditionalFormatting sqref="D13:G31">
    <cfRule type="cellIs" priority="1" stopIfTrue="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40</vt:i4>
      </vt:variant>
      <vt:variant>
        <vt:lpstr>Plages nommées</vt:lpstr>
      </vt:variant>
      <vt:variant>
        <vt:i4>8</vt:i4>
      </vt:variant>
    </vt:vector>
  </HeadingPairs>
  <TitlesOfParts>
    <vt:vector size="48" baseType="lpstr">
      <vt:lpstr>IGAP</vt:lpstr>
      <vt:lpstr>Phoenix_dactylifera_Rochdi_v201</vt:lpstr>
      <vt:lpstr>Stipe=phyllotaxie&amp;croissance</vt:lpstr>
      <vt:lpstr>Nervure=pétiole&amp;rachis</vt:lpstr>
      <vt:lpstr>Feuilles=description générale</vt:lpstr>
      <vt:lpstr>Feuilles=description rejets</vt:lpstr>
      <vt:lpstr>Folioles=disposition&amp;groupes</vt:lpstr>
      <vt:lpstr>Sections rachis &amp; L pennes</vt:lpstr>
      <vt:lpstr>Longueurs pennes (1-1)</vt:lpstr>
      <vt:lpstr>Ouvertures pennes</vt:lpstr>
      <vt:lpstr>Ouvertures pennes (1-1)</vt:lpstr>
      <vt:lpstr>Ouvertures pennes (2-1)</vt:lpstr>
      <vt:lpstr>Ouvertures pennes (MAX)</vt:lpstr>
      <vt:lpstr>Largeurs pennes</vt:lpstr>
      <vt:lpstr>Hauteurs pennes (0-1)</vt:lpstr>
      <vt:lpstr>Hauteurs pennes (1-1)</vt:lpstr>
      <vt:lpstr>Hauteurs pennes (2-1)</vt:lpstr>
      <vt:lpstr>Hauteurs pennes (MAX)</vt:lpstr>
      <vt:lpstr>Angles des pennes</vt:lpstr>
      <vt:lpstr>Angle horizontal pennes (1-1)</vt:lpstr>
      <vt:lpstr>Angle rotation pennes (1-1)</vt:lpstr>
      <vt:lpstr>Summary</vt:lpstr>
      <vt:lpstr>PLANT</vt:lpstr>
      <vt:lpstr>STEM_Geom</vt:lpstr>
      <vt:lpstr>SPEAR</vt:lpstr>
      <vt:lpstr>FROND_Prod</vt:lpstr>
      <vt:lpstr>FROND_NERVURE_Geom</vt:lpstr>
      <vt:lpstr>PINNAE_Prod</vt:lpstr>
      <vt:lpstr>PINNAE_Geom</vt:lpstr>
      <vt:lpstr>INFLO_Prod</vt:lpstr>
      <vt:lpstr>STALK_Geom</vt:lpstr>
      <vt:lpstr>BRACT_Prod</vt:lpstr>
      <vt:lpstr>BRACT_Geom</vt:lpstr>
      <vt:lpstr>SPIKELET_Prod</vt:lpstr>
      <vt:lpstr>SPIKELET_Geom</vt:lpstr>
      <vt:lpstr>FEMALE_FLOWER_Prod</vt:lpstr>
      <vt:lpstr>FEMALE_FLOWER_Geom</vt:lpstr>
      <vt:lpstr>MALE_FLOWER_Prod</vt:lpstr>
      <vt:lpstr>MALE_FLOWER_Geom</vt:lpstr>
      <vt:lpstr>MIXED_FLOWER_Prod</vt:lpstr>
      <vt:lpstr>'Longueurs pennes (1-1)'!IOTA</vt:lpstr>
      <vt:lpstr>BRACT_Prod!Zone_d_impression</vt:lpstr>
      <vt:lpstr>FEMALE_FLOWER_Prod!Zone_d_impression</vt:lpstr>
      <vt:lpstr>MALE_FLOWER_Prod!Zone_d_impression</vt:lpstr>
      <vt:lpstr>MIXED_FLOWER_Prod!Zone_d_impression</vt:lpstr>
      <vt:lpstr>Phoenix_dactylifera_Rochdi_v201!Zone_d_impression</vt:lpstr>
      <vt:lpstr>SPEAR!Zone_d_impression</vt:lpstr>
      <vt:lpstr>SPIKELET_Prod!Zone_d_impression</vt:lpstr>
    </vt:vector>
  </TitlesOfParts>
  <Manager>Hervé Raymond Rey</Manager>
  <Company>CIRAD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PRINCIPES</dc:title>
  <dc:subject>Modélisation des palmiers</dc:subject>
  <dc:creator>Rey Hervé;REY</dc:creator>
  <cp:keywords>Modèle Palmier</cp:keywords>
  <dc:description>Fichier paramètres</dc:description>
  <cp:lastModifiedBy>REY Hervé</cp:lastModifiedBy>
  <cp:lastPrinted>2015-03-09T08:59:29Z</cp:lastPrinted>
  <dcterms:created xsi:type="dcterms:W3CDTF">2010-12-02T15:46:49Z</dcterms:created>
  <dcterms:modified xsi:type="dcterms:W3CDTF">2016-02-19T15:54:33Z</dcterms:modified>
</cp:coreProperties>
</file>